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/>
  <mc:AlternateContent xmlns:mc="http://schemas.openxmlformats.org/markup-compatibility/2006">
    <mc:Choice Requires="x15">
      <x15ac:absPath xmlns:x15ac="http://schemas.microsoft.com/office/spreadsheetml/2010/11/ac" url="C:\Users\natan.pereira\Desktop\EPE\Demonstrações financeiras - EPE\2026\06. Junho\"/>
    </mc:Choice>
  </mc:AlternateContent>
  <xr:revisionPtr revIDLastSave="0" documentId="8_{4E3C4957-034C-47A9-A82F-ED8F0063938D}" xr6:coauthVersionLast="47" xr6:coauthVersionMax="47" xr10:uidLastSave="{00000000-0000-0000-0000-000000000000}"/>
  <bookViews>
    <workbookView xWindow="-120" yWindow="-120" windowWidth="20736" windowHeight="11160" firstSheet="1" activeTab="1" xr2:uid="{00000000-000D-0000-FFFF-FFFF00000000}"/>
  </bookViews>
  <sheets>
    <sheet name="DRE (2)" sheetId="91" state="hidden" r:id="rId1"/>
    <sheet name="BP" sheetId="1" r:id="rId2"/>
    <sheet name="DRE" sheetId="37" r:id="rId3"/>
    <sheet name="DRA " sheetId="38" r:id="rId4"/>
    <sheet name="DMPL" sheetId="20" r:id="rId5"/>
    <sheet name="DFC " sheetId="40" r:id="rId6"/>
    <sheet name="DVA " sheetId="32" r:id="rId7"/>
    <sheet name="Teste de soma" sheetId="93" state="hidden" r:id="rId8"/>
    <sheet name="NE" sheetId="60" state="hidden" r:id="rId9"/>
    <sheet name="Balancete trim 2023" sheetId="84" state="hidden" r:id="rId10"/>
    <sheet name="NE DOMINI" sheetId="82" state="hidden" r:id="rId11"/>
    <sheet name="Depositos 2026" sheetId="96" state="hidden" r:id="rId12"/>
    <sheet name="Impostos a recuperar 2026" sheetId="95" state="hidden" r:id="rId13"/>
    <sheet name="DE x PARA" sheetId="65" state="hidden" r:id="rId14"/>
    <sheet name="Balancete 08.2023" sheetId="83" state="hidden" r:id="rId15"/>
    <sheet name="Listas" sheetId="66" state="hidden" r:id="rId16"/>
    <sheet name="Reembolso de custo" sheetId="61" state="hidden" r:id="rId17"/>
    <sheet name="Balancete trim" sheetId="54" state="hidden" r:id="rId18"/>
    <sheet name="REEMBOLSO DE CUSTOS 2023" sheetId="76" state="hidden" r:id="rId19"/>
    <sheet name="Contingências" sheetId="75" state="hidden" r:id="rId20"/>
    <sheet name="Extrato SIAF" sheetId="64" state="hidden" r:id="rId21"/>
    <sheet name="impostos a recupera" sheetId="51" state="hidden" r:id="rId22"/>
    <sheet name="Depósito judiciais" sheetId="52" state="hidden" r:id="rId23"/>
    <sheet name="impostos a recupera 2025" sheetId="87" state="hidden" r:id="rId24"/>
    <sheet name="Depósito judiciais 2025" sheetId="86" state="hidden" r:id="rId25"/>
    <sheet name="IRPJ_CSLL_2025" sheetId="90" state="hidden" r:id="rId26"/>
    <sheet name="IRPJ_CSLL_2026" sheetId="98" state="hidden" r:id="rId27"/>
    <sheet name="Balancete 06.2026" sheetId="92" state="hidden" r:id="rId28"/>
    <sheet name="Impostos a recuperar 2023" sheetId="73" state="hidden" r:id="rId29"/>
    <sheet name="Depósitos judiciais 2023" sheetId="74" state="hidden" r:id="rId30"/>
    <sheet name="IRPJ_CSLL_2023" sheetId="48" state="hidden" r:id="rId31"/>
    <sheet name="IRPJ_CSLL_2024" sheetId="79" state="hidden" r:id="rId32"/>
    <sheet name="Reconciliação IRPJ e CSLL" sheetId="78" state="hidden" r:id="rId33"/>
    <sheet name="Mov imob" sheetId="19" state="hidden" r:id="rId34"/>
  </sheets>
  <externalReferences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_xlnm._FilterDatabase" localSheetId="26" hidden="1">IRPJ_CSLL_2026!$A$6:$I$7</definedName>
    <definedName name="_xlnm.Print_Area" localSheetId="26">IRPJ_CSLL_2026!$A$1:$O$120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98" l="1"/>
  <c r="P8" i="98"/>
  <c r="P9" i="98"/>
  <c r="P10" i="98"/>
  <c r="P12" i="98"/>
  <c r="P13" i="98"/>
  <c r="P14" i="98"/>
  <c r="P15" i="98"/>
  <c r="P16" i="98"/>
  <c r="P17" i="98"/>
  <c r="P18" i="98"/>
  <c r="P19" i="98"/>
  <c r="P20" i="98"/>
  <c r="P21" i="98"/>
  <c r="P22" i="98"/>
  <c r="P23" i="98"/>
  <c r="P24" i="98"/>
  <c r="J17" i="78" s="1"/>
  <c r="P25" i="98"/>
  <c r="P26" i="98"/>
  <c r="P27" i="98"/>
  <c r="P29" i="98"/>
  <c r="P30" i="98"/>
  <c r="P31" i="98"/>
  <c r="P32" i="98"/>
  <c r="P33" i="98"/>
  <c r="P34" i="98"/>
  <c r="P37" i="98"/>
  <c r="P7" i="98"/>
  <c r="J23" i="78" l="1"/>
  <c r="J14" i="78"/>
  <c r="G294" i="60"/>
  <c r="G295" i="60" s="1"/>
  <c r="C254" i="60"/>
  <c r="B197" i="60" l="1"/>
  <c r="C183" i="60"/>
  <c r="C182" i="60"/>
  <c r="C177" i="60"/>
  <c r="C176" i="60"/>
  <c r="C150" i="60"/>
  <c r="D203" i="95"/>
  <c r="D204" i="95"/>
  <c r="E45" i="96"/>
  <c r="G338" i="54"/>
  <c r="F338" i="54"/>
  <c r="I416" i="54"/>
  <c r="J416" i="54"/>
  <c r="I417" i="54"/>
  <c r="J417" i="54"/>
  <c r="I418" i="54"/>
  <c r="J418" i="54"/>
  <c r="I419" i="54"/>
  <c r="J419" i="54" s="1"/>
  <c r="I420" i="54"/>
  <c r="J420" i="54"/>
  <c r="I421" i="54"/>
  <c r="J421" i="54"/>
  <c r="I422" i="54"/>
  <c r="J422" i="54"/>
  <c r="I423" i="54"/>
  <c r="J423" i="54"/>
  <c r="I424" i="54"/>
  <c r="J424" i="54"/>
  <c r="I425" i="54"/>
  <c r="J425" i="54" s="1"/>
  <c r="I426" i="54"/>
  <c r="J426" i="54"/>
  <c r="I427" i="54"/>
  <c r="J427" i="54"/>
  <c r="I428" i="54"/>
  <c r="J428" i="54"/>
  <c r="I429" i="54"/>
  <c r="J429" i="54"/>
  <c r="I430" i="54"/>
  <c r="J430" i="54"/>
  <c r="I8" i="54"/>
  <c r="J8" i="54" s="1"/>
  <c r="I9" i="54"/>
  <c r="J9" i="54" s="1"/>
  <c r="I10" i="54"/>
  <c r="J10" i="54"/>
  <c r="I11" i="54"/>
  <c r="J11" i="54"/>
  <c r="I12" i="54"/>
  <c r="J12" i="54" s="1"/>
  <c r="I13" i="54"/>
  <c r="J13" i="54"/>
  <c r="I14" i="54"/>
  <c r="J14" i="54" s="1"/>
  <c r="I15" i="54"/>
  <c r="J15" i="54" s="1"/>
  <c r="I16" i="54"/>
  <c r="J16" i="54"/>
  <c r="I17" i="54"/>
  <c r="J17" i="54"/>
  <c r="I18" i="54"/>
  <c r="J18" i="54" s="1"/>
  <c r="I19" i="54"/>
  <c r="J19" i="54"/>
  <c r="I20" i="54"/>
  <c r="J20" i="54" s="1"/>
  <c r="I21" i="54"/>
  <c r="J21" i="54" s="1"/>
  <c r="I22" i="54"/>
  <c r="J22" i="54"/>
  <c r="I23" i="54"/>
  <c r="J23" i="54"/>
  <c r="I24" i="54"/>
  <c r="J24" i="54" s="1"/>
  <c r="I25" i="54"/>
  <c r="J25" i="54"/>
  <c r="I26" i="54"/>
  <c r="J26" i="54" s="1"/>
  <c r="I27" i="54"/>
  <c r="J27" i="54" s="1"/>
  <c r="I28" i="54"/>
  <c r="J28" i="54"/>
  <c r="I29" i="54"/>
  <c r="J29" i="54"/>
  <c r="I30" i="54"/>
  <c r="J30" i="54" s="1"/>
  <c r="I31" i="54"/>
  <c r="J31" i="54"/>
  <c r="I32" i="54"/>
  <c r="J32" i="54" s="1"/>
  <c r="I33" i="54"/>
  <c r="J33" i="54" s="1"/>
  <c r="I34" i="54"/>
  <c r="J34" i="54"/>
  <c r="I35" i="54"/>
  <c r="J35" i="54"/>
  <c r="I36" i="54"/>
  <c r="J36" i="54" s="1"/>
  <c r="I37" i="54"/>
  <c r="J37" i="54"/>
  <c r="I38" i="54"/>
  <c r="J38" i="54" s="1"/>
  <c r="I39" i="54"/>
  <c r="J39" i="54" s="1"/>
  <c r="I40" i="54"/>
  <c r="J40" i="54"/>
  <c r="I41" i="54"/>
  <c r="J41" i="54"/>
  <c r="I42" i="54"/>
  <c r="J42" i="54" s="1"/>
  <c r="I43" i="54"/>
  <c r="J43" i="54"/>
  <c r="I44" i="54"/>
  <c r="J44" i="54" s="1"/>
  <c r="I45" i="54"/>
  <c r="J45" i="54" s="1"/>
  <c r="I46" i="54"/>
  <c r="J46" i="54"/>
  <c r="I47" i="54"/>
  <c r="J47" i="54"/>
  <c r="I48" i="54"/>
  <c r="J48" i="54" s="1"/>
  <c r="I49" i="54"/>
  <c r="J49" i="54"/>
  <c r="I50" i="54"/>
  <c r="J50" i="54" s="1"/>
  <c r="I51" i="54"/>
  <c r="J51" i="54" s="1"/>
  <c r="I52" i="54"/>
  <c r="J52" i="54"/>
  <c r="I53" i="54"/>
  <c r="J53" i="54"/>
  <c r="I54" i="54"/>
  <c r="J54" i="54" s="1"/>
  <c r="I55" i="54"/>
  <c r="J55" i="54"/>
  <c r="I56" i="54"/>
  <c r="J56" i="54" s="1"/>
  <c r="I57" i="54"/>
  <c r="J57" i="54" s="1"/>
  <c r="I58" i="54"/>
  <c r="J58" i="54"/>
  <c r="I59" i="54"/>
  <c r="J59" i="54"/>
  <c r="I60" i="54"/>
  <c r="J60" i="54" s="1"/>
  <c r="I61" i="54"/>
  <c r="J61" i="54"/>
  <c r="I62" i="54"/>
  <c r="J62" i="54" s="1"/>
  <c r="I63" i="54"/>
  <c r="J63" i="54" s="1"/>
  <c r="I64" i="54"/>
  <c r="J64" i="54"/>
  <c r="I65" i="54"/>
  <c r="J65" i="54"/>
  <c r="I66" i="54"/>
  <c r="J66" i="54" s="1"/>
  <c r="I67" i="54"/>
  <c r="J67" i="54"/>
  <c r="I68" i="54"/>
  <c r="J68" i="54" s="1"/>
  <c r="I69" i="54"/>
  <c r="J69" i="54" s="1"/>
  <c r="I70" i="54"/>
  <c r="J70" i="54"/>
  <c r="I71" i="54"/>
  <c r="J71" i="54"/>
  <c r="I72" i="54"/>
  <c r="J72" i="54" s="1"/>
  <c r="I73" i="54"/>
  <c r="J73" i="54"/>
  <c r="I74" i="54"/>
  <c r="J74" i="54" s="1"/>
  <c r="I75" i="54"/>
  <c r="J75" i="54" s="1"/>
  <c r="I76" i="54"/>
  <c r="J76" i="54"/>
  <c r="I77" i="54"/>
  <c r="J77" i="54"/>
  <c r="I78" i="54"/>
  <c r="J78" i="54" s="1"/>
  <c r="I79" i="54"/>
  <c r="J79" i="54"/>
  <c r="I80" i="54"/>
  <c r="J80" i="54" s="1"/>
  <c r="I81" i="54"/>
  <c r="J81" i="54" s="1"/>
  <c r="I82" i="54"/>
  <c r="J82" i="54"/>
  <c r="I83" i="54"/>
  <c r="J83" i="54"/>
  <c r="I84" i="54"/>
  <c r="J84" i="54" s="1"/>
  <c r="I85" i="54"/>
  <c r="J85" i="54"/>
  <c r="I86" i="54"/>
  <c r="J86" i="54" s="1"/>
  <c r="I87" i="54"/>
  <c r="J87" i="54" s="1"/>
  <c r="I88" i="54"/>
  <c r="J88" i="54"/>
  <c r="I89" i="54"/>
  <c r="J89" i="54"/>
  <c r="I90" i="54"/>
  <c r="J90" i="54"/>
  <c r="I91" i="54"/>
  <c r="J91" i="54"/>
  <c r="I92" i="54"/>
  <c r="J92" i="54"/>
  <c r="I93" i="54"/>
  <c r="J93" i="54" s="1"/>
  <c r="I94" i="54"/>
  <c r="J94" i="54"/>
  <c r="I95" i="54"/>
  <c r="J95" i="54"/>
  <c r="I96" i="54"/>
  <c r="J96" i="54"/>
  <c r="I97" i="54"/>
  <c r="J97" i="54"/>
  <c r="I98" i="54"/>
  <c r="J98" i="54"/>
  <c r="I99" i="54"/>
  <c r="J99" i="54" s="1"/>
  <c r="I100" i="54"/>
  <c r="J100" i="54"/>
  <c r="I101" i="54"/>
  <c r="J101" i="54"/>
  <c r="I102" i="54"/>
  <c r="J102" i="54"/>
  <c r="I103" i="54"/>
  <c r="J103" i="54"/>
  <c r="I104" i="54"/>
  <c r="J104" i="54"/>
  <c r="I105" i="54"/>
  <c r="J105" i="54" s="1"/>
  <c r="I106" i="54"/>
  <c r="J106" i="54"/>
  <c r="I107" i="54"/>
  <c r="J107" i="54"/>
  <c r="I108" i="54"/>
  <c r="J108" i="54"/>
  <c r="I109" i="54"/>
  <c r="J109" i="54"/>
  <c r="I110" i="54"/>
  <c r="J110" i="54"/>
  <c r="I111" i="54"/>
  <c r="J111" i="54" s="1"/>
  <c r="I112" i="54"/>
  <c r="J112" i="54"/>
  <c r="I113" i="54"/>
  <c r="J113" i="54"/>
  <c r="I114" i="54"/>
  <c r="J114" i="54"/>
  <c r="I115" i="54"/>
  <c r="J115" i="54"/>
  <c r="I116" i="54"/>
  <c r="J116" i="54"/>
  <c r="I117" i="54"/>
  <c r="J117" i="54" s="1"/>
  <c r="I118" i="54"/>
  <c r="J118" i="54"/>
  <c r="I119" i="54"/>
  <c r="J119" i="54"/>
  <c r="I120" i="54"/>
  <c r="J120" i="54"/>
  <c r="I121" i="54"/>
  <c r="J121" i="54"/>
  <c r="I122" i="54"/>
  <c r="J122" i="54"/>
  <c r="I123" i="54"/>
  <c r="J123" i="54" s="1"/>
  <c r="I124" i="54"/>
  <c r="J124" i="54"/>
  <c r="I125" i="54"/>
  <c r="J125" i="54"/>
  <c r="I126" i="54"/>
  <c r="J126" i="54"/>
  <c r="I127" i="54"/>
  <c r="J127" i="54"/>
  <c r="I128" i="54"/>
  <c r="J128" i="54"/>
  <c r="I129" i="54"/>
  <c r="J129" i="54" s="1"/>
  <c r="I130" i="54"/>
  <c r="J130" i="54"/>
  <c r="I131" i="54"/>
  <c r="J131" i="54"/>
  <c r="I132" i="54"/>
  <c r="J132" i="54"/>
  <c r="I133" i="54"/>
  <c r="J133" i="54"/>
  <c r="I134" i="54"/>
  <c r="J134" i="54"/>
  <c r="I135" i="54"/>
  <c r="J135" i="54" s="1"/>
  <c r="I136" i="54"/>
  <c r="J136" i="54"/>
  <c r="I137" i="54"/>
  <c r="J137" i="54"/>
  <c r="I138" i="54"/>
  <c r="J138" i="54"/>
  <c r="I139" i="54"/>
  <c r="J139" i="54"/>
  <c r="I140" i="54"/>
  <c r="J140" i="54"/>
  <c r="I141" i="54"/>
  <c r="J141" i="54" s="1"/>
  <c r="I142" i="54"/>
  <c r="J142" i="54"/>
  <c r="I143" i="54"/>
  <c r="J143" i="54"/>
  <c r="I144" i="54"/>
  <c r="J144" i="54"/>
  <c r="I145" i="54"/>
  <c r="J145" i="54"/>
  <c r="I146" i="54"/>
  <c r="J146" i="54"/>
  <c r="I147" i="54"/>
  <c r="J147" i="54" s="1"/>
  <c r="I148" i="54"/>
  <c r="J148" i="54"/>
  <c r="I149" i="54"/>
  <c r="J149" i="54"/>
  <c r="I150" i="54"/>
  <c r="J150" i="54"/>
  <c r="I151" i="54"/>
  <c r="J151" i="54"/>
  <c r="I152" i="54"/>
  <c r="J152" i="54"/>
  <c r="I153" i="54"/>
  <c r="J153" i="54" s="1"/>
  <c r="I154" i="54"/>
  <c r="J154" i="54"/>
  <c r="I155" i="54"/>
  <c r="J155" i="54"/>
  <c r="I156" i="54"/>
  <c r="J156" i="54"/>
  <c r="I157" i="54"/>
  <c r="J157" i="54"/>
  <c r="I158" i="54"/>
  <c r="J158" i="54"/>
  <c r="I159" i="54"/>
  <c r="J159" i="54" s="1"/>
  <c r="I160" i="54"/>
  <c r="J160" i="54"/>
  <c r="I161" i="54"/>
  <c r="J161" i="54"/>
  <c r="I162" i="54"/>
  <c r="J162" i="54"/>
  <c r="I163" i="54"/>
  <c r="J163" i="54"/>
  <c r="I164" i="54"/>
  <c r="J164" i="54"/>
  <c r="I165" i="54"/>
  <c r="J165" i="54" s="1"/>
  <c r="I166" i="54"/>
  <c r="J166" i="54"/>
  <c r="I167" i="54"/>
  <c r="J167" i="54"/>
  <c r="I168" i="54"/>
  <c r="J168" i="54"/>
  <c r="I169" i="54"/>
  <c r="J169" i="54"/>
  <c r="I170" i="54"/>
  <c r="J170" i="54"/>
  <c r="I171" i="54"/>
  <c r="J171" i="54" s="1"/>
  <c r="I172" i="54"/>
  <c r="J172" i="54"/>
  <c r="I173" i="54"/>
  <c r="J173" i="54"/>
  <c r="I174" i="54"/>
  <c r="J174" i="54"/>
  <c r="I175" i="54"/>
  <c r="J175" i="54"/>
  <c r="I176" i="54"/>
  <c r="J176" i="54"/>
  <c r="I177" i="54"/>
  <c r="J177" i="54" s="1"/>
  <c r="I178" i="54"/>
  <c r="J178" i="54"/>
  <c r="I179" i="54"/>
  <c r="J179" i="54"/>
  <c r="I180" i="54"/>
  <c r="J180" i="54"/>
  <c r="I181" i="54"/>
  <c r="J181" i="54"/>
  <c r="I182" i="54"/>
  <c r="J182" i="54"/>
  <c r="I183" i="54"/>
  <c r="J183" i="54" s="1"/>
  <c r="I184" i="54"/>
  <c r="J184" i="54"/>
  <c r="I185" i="54"/>
  <c r="J185" i="54"/>
  <c r="I186" i="54"/>
  <c r="J186" i="54"/>
  <c r="I187" i="54"/>
  <c r="J187" i="54"/>
  <c r="I188" i="54"/>
  <c r="J188" i="54"/>
  <c r="I189" i="54"/>
  <c r="J189" i="54" s="1"/>
  <c r="I190" i="54"/>
  <c r="J190" i="54"/>
  <c r="I191" i="54"/>
  <c r="J191" i="54"/>
  <c r="I192" i="54"/>
  <c r="J192" i="54"/>
  <c r="I193" i="54"/>
  <c r="J193" i="54"/>
  <c r="I194" i="54"/>
  <c r="J194" i="54"/>
  <c r="I195" i="54"/>
  <c r="J195" i="54" s="1"/>
  <c r="I196" i="54"/>
  <c r="J196" i="54"/>
  <c r="I197" i="54"/>
  <c r="J197" i="54"/>
  <c r="I198" i="54"/>
  <c r="J198" i="54"/>
  <c r="I199" i="54"/>
  <c r="J199" i="54"/>
  <c r="I200" i="54"/>
  <c r="J200" i="54"/>
  <c r="I201" i="54"/>
  <c r="J201" i="54" s="1"/>
  <c r="I202" i="54"/>
  <c r="J202" i="54"/>
  <c r="I203" i="54"/>
  <c r="J203" i="54"/>
  <c r="I204" i="54"/>
  <c r="J204" i="54"/>
  <c r="I205" i="54"/>
  <c r="J205" i="54"/>
  <c r="I206" i="54"/>
  <c r="J206" i="54"/>
  <c r="I207" i="54"/>
  <c r="J207" i="54" s="1"/>
  <c r="I208" i="54"/>
  <c r="J208" i="54"/>
  <c r="I209" i="54"/>
  <c r="J209" i="54"/>
  <c r="I210" i="54"/>
  <c r="J210" i="54"/>
  <c r="I211" i="54"/>
  <c r="J211" i="54"/>
  <c r="I212" i="54"/>
  <c r="J212" i="54"/>
  <c r="I213" i="54"/>
  <c r="J213" i="54" s="1"/>
  <c r="I214" i="54"/>
  <c r="J214" i="54"/>
  <c r="I215" i="54"/>
  <c r="J215" i="54"/>
  <c r="I216" i="54"/>
  <c r="J216" i="54"/>
  <c r="I217" i="54"/>
  <c r="J217" i="54"/>
  <c r="I218" i="54"/>
  <c r="J218" i="54"/>
  <c r="I219" i="54"/>
  <c r="J219" i="54" s="1"/>
  <c r="I220" i="54"/>
  <c r="J220" i="54"/>
  <c r="I221" i="54"/>
  <c r="J221" i="54"/>
  <c r="I222" i="54"/>
  <c r="J222" i="54"/>
  <c r="I223" i="54"/>
  <c r="J223" i="54"/>
  <c r="I224" i="54"/>
  <c r="J224" i="54"/>
  <c r="I225" i="54"/>
  <c r="J225" i="54" s="1"/>
  <c r="I226" i="54"/>
  <c r="J226" i="54"/>
  <c r="I227" i="54"/>
  <c r="J227" i="54"/>
  <c r="I228" i="54"/>
  <c r="J228" i="54"/>
  <c r="I229" i="54"/>
  <c r="J229" i="54"/>
  <c r="I230" i="54"/>
  <c r="J230" i="54"/>
  <c r="I231" i="54"/>
  <c r="J231" i="54" s="1"/>
  <c r="I232" i="54"/>
  <c r="J232" i="54"/>
  <c r="I233" i="54"/>
  <c r="J233" i="54"/>
  <c r="I234" i="54"/>
  <c r="J234" i="54"/>
  <c r="I235" i="54"/>
  <c r="J235" i="54"/>
  <c r="I236" i="54"/>
  <c r="J236" i="54"/>
  <c r="I237" i="54"/>
  <c r="J237" i="54" s="1"/>
  <c r="I238" i="54"/>
  <c r="J238" i="54"/>
  <c r="I239" i="54"/>
  <c r="J239" i="54"/>
  <c r="I240" i="54"/>
  <c r="J240" i="54"/>
  <c r="I241" i="54"/>
  <c r="J241" i="54"/>
  <c r="I242" i="54"/>
  <c r="J242" i="54"/>
  <c r="I243" i="54"/>
  <c r="J243" i="54" s="1"/>
  <c r="I244" i="54"/>
  <c r="J244" i="54"/>
  <c r="I245" i="54"/>
  <c r="J245" i="54"/>
  <c r="I246" i="54"/>
  <c r="J246" i="54"/>
  <c r="I247" i="54"/>
  <c r="J247" i="54"/>
  <c r="I248" i="54"/>
  <c r="J248" i="54"/>
  <c r="I249" i="54"/>
  <c r="J249" i="54" s="1"/>
  <c r="I250" i="54"/>
  <c r="J250" i="54"/>
  <c r="I251" i="54"/>
  <c r="J251" i="54"/>
  <c r="I252" i="54"/>
  <c r="J252" i="54"/>
  <c r="I253" i="54"/>
  <c r="J253" i="54"/>
  <c r="I254" i="54"/>
  <c r="J254" i="54"/>
  <c r="I255" i="54"/>
  <c r="J255" i="54" s="1"/>
  <c r="I256" i="54"/>
  <c r="J256" i="54"/>
  <c r="I257" i="54"/>
  <c r="J257" i="54"/>
  <c r="I258" i="54"/>
  <c r="J258" i="54"/>
  <c r="I259" i="54"/>
  <c r="J259" i="54"/>
  <c r="I260" i="54"/>
  <c r="J260" i="54"/>
  <c r="I261" i="54"/>
  <c r="J261" i="54" s="1"/>
  <c r="I262" i="54"/>
  <c r="J262" i="54"/>
  <c r="I263" i="54"/>
  <c r="J263" i="54"/>
  <c r="I264" i="54"/>
  <c r="J264" i="54"/>
  <c r="I265" i="54"/>
  <c r="J265" i="54"/>
  <c r="I266" i="54"/>
  <c r="J266" i="54"/>
  <c r="I267" i="54"/>
  <c r="J267" i="54" s="1"/>
  <c r="I268" i="54"/>
  <c r="J268" i="54"/>
  <c r="I269" i="54"/>
  <c r="J269" i="54"/>
  <c r="I270" i="54"/>
  <c r="J270" i="54"/>
  <c r="I271" i="54"/>
  <c r="J271" i="54"/>
  <c r="I272" i="54"/>
  <c r="J272" i="54"/>
  <c r="I273" i="54"/>
  <c r="J273" i="54" s="1"/>
  <c r="I274" i="54"/>
  <c r="J274" i="54"/>
  <c r="I275" i="54"/>
  <c r="J275" i="54"/>
  <c r="I38" i="37" s="1"/>
  <c r="I276" i="54"/>
  <c r="J276" i="54"/>
  <c r="I277" i="54"/>
  <c r="J277" i="54"/>
  <c r="I278" i="54"/>
  <c r="J278" i="54"/>
  <c r="I39" i="37" s="1"/>
  <c r="I279" i="54"/>
  <c r="J279" i="54" s="1"/>
  <c r="I280" i="54"/>
  <c r="J280" i="54"/>
  <c r="I281" i="54"/>
  <c r="J281" i="54"/>
  <c r="I282" i="54"/>
  <c r="J282" i="54"/>
  <c r="I283" i="54"/>
  <c r="J283" i="54"/>
  <c r="I284" i="54"/>
  <c r="J284" i="54"/>
  <c r="I285" i="54"/>
  <c r="J285" i="54" s="1"/>
  <c r="I286" i="54"/>
  <c r="J286" i="54"/>
  <c r="I287" i="54"/>
  <c r="J287" i="54"/>
  <c r="I288" i="54"/>
  <c r="J288" i="54"/>
  <c r="I289" i="54"/>
  <c r="J289" i="54"/>
  <c r="I290" i="54"/>
  <c r="J290" i="54"/>
  <c r="I291" i="54"/>
  <c r="J291" i="54" s="1"/>
  <c r="I292" i="54"/>
  <c r="J292" i="54"/>
  <c r="I293" i="54"/>
  <c r="J293" i="54"/>
  <c r="I294" i="54"/>
  <c r="J294" i="54"/>
  <c r="I295" i="54"/>
  <c r="J295" i="54"/>
  <c r="I296" i="54"/>
  <c r="J296" i="54"/>
  <c r="I297" i="54"/>
  <c r="J297" i="54" s="1"/>
  <c r="I298" i="54"/>
  <c r="J298" i="54"/>
  <c r="I299" i="54"/>
  <c r="J299" i="54"/>
  <c r="I300" i="54"/>
  <c r="J300" i="54"/>
  <c r="I301" i="54"/>
  <c r="J301" i="54"/>
  <c r="I302" i="54"/>
  <c r="J302" i="54"/>
  <c r="I303" i="54"/>
  <c r="J303" i="54" s="1"/>
  <c r="I304" i="54"/>
  <c r="J304" i="54"/>
  <c r="I305" i="54"/>
  <c r="J305" i="54"/>
  <c r="I306" i="54"/>
  <c r="J306" i="54"/>
  <c r="I307" i="54"/>
  <c r="J307" i="54"/>
  <c r="I308" i="54"/>
  <c r="J308" i="54"/>
  <c r="I309" i="54"/>
  <c r="J309" i="54" s="1"/>
  <c r="I310" i="54"/>
  <c r="J310" i="54"/>
  <c r="I311" i="54"/>
  <c r="J311" i="54"/>
  <c r="I312" i="54"/>
  <c r="J312" i="54"/>
  <c r="I313" i="54"/>
  <c r="J313" i="54"/>
  <c r="I314" i="54"/>
  <c r="J314" i="54"/>
  <c r="I315" i="54"/>
  <c r="J315" i="54" s="1"/>
  <c r="I316" i="54"/>
  <c r="J316" i="54"/>
  <c r="I317" i="54"/>
  <c r="J317" i="54"/>
  <c r="I318" i="54"/>
  <c r="J318" i="54"/>
  <c r="I319" i="54"/>
  <c r="J319" i="54"/>
  <c r="I320" i="54"/>
  <c r="J320" i="54"/>
  <c r="I321" i="54"/>
  <c r="J321" i="54" s="1"/>
  <c r="I322" i="54"/>
  <c r="J322" i="54"/>
  <c r="I323" i="54"/>
  <c r="J323" i="54"/>
  <c r="I324" i="54"/>
  <c r="J324" i="54"/>
  <c r="I325" i="54"/>
  <c r="J325" i="54"/>
  <c r="I326" i="54"/>
  <c r="J326" i="54"/>
  <c r="I327" i="54"/>
  <c r="J327" i="54" s="1"/>
  <c r="I328" i="54"/>
  <c r="J328" i="54"/>
  <c r="I329" i="54"/>
  <c r="J329" i="54"/>
  <c r="I330" i="54"/>
  <c r="J330" i="54"/>
  <c r="I331" i="54"/>
  <c r="J331" i="54"/>
  <c r="I332" i="54"/>
  <c r="J332" i="54"/>
  <c r="I333" i="54"/>
  <c r="J333" i="54" s="1"/>
  <c r="I334" i="54"/>
  <c r="J334" i="54"/>
  <c r="I335" i="54"/>
  <c r="J335" i="54"/>
  <c r="I336" i="54"/>
  <c r="J336" i="54"/>
  <c r="I337" i="54"/>
  <c r="J337" i="54"/>
  <c r="I338" i="54"/>
  <c r="J338" i="54" s="1"/>
  <c r="I339" i="54"/>
  <c r="J339" i="54" s="1"/>
  <c r="I340" i="54"/>
  <c r="J340" i="54"/>
  <c r="I341" i="54"/>
  <c r="J341" i="54"/>
  <c r="I342" i="54"/>
  <c r="J342" i="54"/>
  <c r="I343" i="54"/>
  <c r="J343" i="54"/>
  <c r="I344" i="54"/>
  <c r="J344" i="54"/>
  <c r="I345" i="54"/>
  <c r="J345" i="54" s="1"/>
  <c r="I346" i="54"/>
  <c r="J346" i="54"/>
  <c r="I347" i="54"/>
  <c r="J347" i="54"/>
  <c r="I348" i="54"/>
  <c r="J348" i="54"/>
  <c r="I349" i="54"/>
  <c r="J349" i="54"/>
  <c r="I350" i="54"/>
  <c r="J350" i="54"/>
  <c r="I351" i="54"/>
  <c r="J351" i="54" s="1"/>
  <c r="I352" i="54"/>
  <c r="J352" i="54"/>
  <c r="I353" i="54"/>
  <c r="J353" i="54"/>
  <c r="I354" i="54"/>
  <c r="J354" i="54"/>
  <c r="I355" i="54"/>
  <c r="J355" i="54"/>
  <c r="I356" i="54"/>
  <c r="J356" i="54"/>
  <c r="I357" i="54"/>
  <c r="J357" i="54" s="1"/>
  <c r="I358" i="54"/>
  <c r="J358" i="54"/>
  <c r="I359" i="54"/>
  <c r="J359" i="54"/>
  <c r="I360" i="54"/>
  <c r="J360" i="54"/>
  <c r="I361" i="54"/>
  <c r="J361" i="54"/>
  <c r="I362" i="54"/>
  <c r="J362" i="54"/>
  <c r="I363" i="54"/>
  <c r="J363" i="54" s="1"/>
  <c r="I364" i="54"/>
  <c r="J364" i="54"/>
  <c r="I365" i="54"/>
  <c r="J365" i="54"/>
  <c r="I366" i="54"/>
  <c r="J366" i="54"/>
  <c r="I367" i="54"/>
  <c r="J367" i="54"/>
  <c r="I368" i="54"/>
  <c r="J368" i="54"/>
  <c r="I369" i="54"/>
  <c r="J369" i="54" s="1"/>
  <c r="I370" i="54"/>
  <c r="J370" i="54"/>
  <c r="I371" i="54"/>
  <c r="J371" i="54"/>
  <c r="I372" i="54"/>
  <c r="J372" i="54"/>
  <c r="I373" i="54"/>
  <c r="J373" i="54"/>
  <c r="I374" i="54"/>
  <c r="J374" i="54"/>
  <c r="I375" i="54"/>
  <c r="J375" i="54" s="1"/>
  <c r="I376" i="54"/>
  <c r="J376" i="54"/>
  <c r="I377" i="54"/>
  <c r="J377" i="54"/>
  <c r="I378" i="54"/>
  <c r="J378" i="54"/>
  <c r="I379" i="54"/>
  <c r="J379" i="54"/>
  <c r="I380" i="54"/>
  <c r="J380" i="54"/>
  <c r="I381" i="54"/>
  <c r="J381" i="54" s="1"/>
  <c r="I382" i="54"/>
  <c r="J382" i="54"/>
  <c r="I383" i="54"/>
  <c r="J383" i="54"/>
  <c r="I384" i="54"/>
  <c r="J384" i="54"/>
  <c r="I385" i="54"/>
  <c r="J385" i="54"/>
  <c r="I386" i="54"/>
  <c r="J386" i="54"/>
  <c r="I387" i="54"/>
  <c r="J387" i="54" s="1"/>
  <c r="I388" i="54"/>
  <c r="J388" i="54"/>
  <c r="I389" i="54"/>
  <c r="J389" i="54"/>
  <c r="I390" i="54"/>
  <c r="J390" i="54"/>
  <c r="I391" i="54"/>
  <c r="J391" i="54"/>
  <c r="I392" i="54"/>
  <c r="J392" i="54"/>
  <c r="I393" i="54"/>
  <c r="J393" i="54" s="1"/>
  <c r="I394" i="54"/>
  <c r="J394" i="54"/>
  <c r="I395" i="54"/>
  <c r="J395" i="54"/>
  <c r="I396" i="54"/>
  <c r="J396" i="54"/>
  <c r="I397" i="54"/>
  <c r="J397" i="54"/>
  <c r="I398" i="54"/>
  <c r="J398" i="54"/>
  <c r="I399" i="54"/>
  <c r="J399" i="54" s="1"/>
  <c r="I400" i="54"/>
  <c r="J400" i="54"/>
  <c r="I401" i="54"/>
  <c r="J401" i="54"/>
  <c r="I402" i="54"/>
  <c r="J402" i="54"/>
  <c r="I403" i="54"/>
  <c r="J403" i="54"/>
  <c r="I404" i="54"/>
  <c r="J404" i="54"/>
  <c r="I405" i="54"/>
  <c r="J405" i="54" s="1"/>
  <c r="I406" i="54"/>
  <c r="J406" i="54"/>
  <c r="I407" i="54"/>
  <c r="J407" i="54"/>
  <c r="I408" i="54"/>
  <c r="J408" i="54"/>
  <c r="I409" i="54"/>
  <c r="J409" i="54"/>
  <c r="I410" i="54"/>
  <c r="J410" i="54"/>
  <c r="I411" i="54"/>
  <c r="J411" i="54" s="1"/>
  <c r="I412" i="54"/>
  <c r="J412" i="54"/>
  <c r="I413" i="54"/>
  <c r="J413" i="54"/>
  <c r="I414" i="54"/>
  <c r="J414" i="54"/>
  <c r="I415" i="54"/>
  <c r="J415" i="54"/>
  <c r="I29" i="37" l="1"/>
  <c r="J430" i="92"/>
  <c r="K430" i="92" s="1"/>
  <c r="J431" i="92"/>
  <c r="K431" i="92" s="1"/>
  <c r="L431" i="92"/>
  <c r="M431" i="92"/>
  <c r="J432" i="92"/>
  <c r="K432" i="92" s="1"/>
  <c r="J433" i="92"/>
  <c r="K433" i="92" s="1"/>
  <c r="J434" i="92"/>
  <c r="K434" i="92" s="1"/>
  <c r="J435" i="92"/>
  <c r="K435" i="92" s="1"/>
  <c r="J436" i="92"/>
  <c r="K436" i="92" s="1"/>
  <c r="J437" i="92"/>
  <c r="K437" i="92" s="1"/>
  <c r="J438" i="92"/>
  <c r="K438" i="92" s="1"/>
  <c r="J439" i="92"/>
  <c r="K439" i="92" s="1"/>
  <c r="J440" i="92"/>
  <c r="K440" i="92" s="1"/>
  <c r="J441" i="92"/>
  <c r="K441" i="92" s="1"/>
  <c r="J442" i="92"/>
  <c r="K442" i="92" s="1"/>
  <c r="J443" i="92"/>
  <c r="K443" i="92" s="1"/>
  <c r="J444" i="92"/>
  <c r="K444" i="92" s="1"/>
  <c r="L444" i="92"/>
  <c r="M444" i="92"/>
  <c r="J445" i="92"/>
  <c r="K445" i="92" s="1"/>
  <c r="L445" i="92"/>
  <c r="M445" i="92"/>
  <c r="J446" i="92"/>
  <c r="K446" i="92" s="1"/>
  <c r="J447" i="92"/>
  <c r="K447" i="92" s="1"/>
  <c r="J448" i="92"/>
  <c r="K448" i="92" s="1"/>
  <c r="L448" i="92"/>
  <c r="M448" i="92"/>
  <c r="J449" i="92"/>
  <c r="K449" i="92" s="1"/>
  <c r="L449" i="92"/>
  <c r="M449" i="92"/>
  <c r="J450" i="92"/>
  <c r="K450" i="92" s="1"/>
  <c r="J451" i="92"/>
  <c r="K451" i="92" s="1"/>
  <c r="L451" i="92"/>
  <c r="M451" i="92"/>
  <c r="J452" i="92"/>
  <c r="K452" i="92" s="1"/>
  <c r="L452" i="92"/>
  <c r="M452" i="92"/>
  <c r="J453" i="92"/>
  <c r="K453" i="92" s="1"/>
  <c r="L453" i="92"/>
  <c r="M453" i="92"/>
  <c r="J454" i="92"/>
  <c r="K454" i="92" s="1"/>
  <c r="J455" i="92"/>
  <c r="K455" i="92" s="1"/>
  <c r="J456" i="92"/>
  <c r="K456" i="92" s="1"/>
  <c r="J457" i="92"/>
  <c r="K457" i="92" s="1"/>
  <c r="L457" i="92"/>
  <c r="M457" i="92"/>
  <c r="J458" i="92"/>
  <c r="K458" i="92" s="1"/>
  <c r="J459" i="92"/>
  <c r="K459" i="92" s="1"/>
  <c r="J460" i="92"/>
  <c r="K460" i="92" s="1"/>
  <c r="J9" i="92"/>
  <c r="K9" i="92" s="1"/>
  <c r="L9" i="92"/>
  <c r="M9" i="92"/>
  <c r="J10" i="92"/>
  <c r="K10" i="92"/>
  <c r="L10" i="92"/>
  <c r="M10" i="92"/>
  <c r="J11" i="92"/>
  <c r="K11" i="92" s="1"/>
  <c r="L11" i="92"/>
  <c r="M11" i="92"/>
  <c r="J12" i="92"/>
  <c r="K12" i="92"/>
  <c r="J13" i="92"/>
  <c r="K13" i="92" s="1"/>
  <c r="J14" i="92"/>
  <c r="K14" i="92"/>
  <c r="J15" i="92"/>
  <c r="K15" i="92" s="1"/>
  <c r="L15" i="92"/>
  <c r="M15" i="92"/>
  <c r="J16" i="92"/>
  <c r="K16" i="92"/>
  <c r="L16" i="92"/>
  <c r="M16" i="92"/>
  <c r="J17" i="92"/>
  <c r="K17" i="92" s="1"/>
  <c r="J18" i="92"/>
  <c r="K18" i="92"/>
  <c r="J19" i="92"/>
  <c r="K19" i="92" s="1"/>
  <c r="J20" i="92"/>
  <c r="K20" i="92"/>
  <c r="J21" i="92"/>
  <c r="K21" i="92" s="1"/>
  <c r="J22" i="92"/>
  <c r="K22" i="92"/>
  <c r="L22" i="92"/>
  <c r="M22" i="92"/>
  <c r="J23" i="92"/>
  <c r="K23" i="92" s="1"/>
  <c r="L23" i="92"/>
  <c r="M23" i="92"/>
  <c r="J24" i="92"/>
  <c r="K24" i="92"/>
  <c r="L24" i="92"/>
  <c r="M24" i="92"/>
  <c r="J25" i="92"/>
  <c r="K25" i="92" s="1"/>
  <c r="L25" i="92"/>
  <c r="M25" i="92"/>
  <c r="J26" i="92"/>
  <c r="K26" i="92"/>
  <c r="L26" i="92"/>
  <c r="M26" i="92"/>
  <c r="J27" i="92"/>
  <c r="K27" i="92" s="1"/>
  <c r="J28" i="92"/>
  <c r="K28" i="92"/>
  <c r="C96" i="60" s="1"/>
  <c r="J29" i="92"/>
  <c r="K29" i="92" s="1"/>
  <c r="J30" i="92"/>
  <c r="K30" i="92"/>
  <c r="J31" i="92"/>
  <c r="K31" i="92" s="1"/>
  <c r="J32" i="92"/>
  <c r="K32" i="92"/>
  <c r="L32" i="92"/>
  <c r="M32" i="92"/>
  <c r="J33" i="92"/>
  <c r="K33" i="92" s="1"/>
  <c r="J34" i="92"/>
  <c r="K34" i="92"/>
  <c r="L34" i="92"/>
  <c r="M34" i="92"/>
  <c r="J35" i="92"/>
  <c r="K35" i="92" s="1"/>
  <c r="J36" i="92"/>
  <c r="K36" i="92"/>
  <c r="J37" i="92"/>
  <c r="K37" i="92" s="1"/>
  <c r="L37" i="92"/>
  <c r="M37" i="92"/>
  <c r="J38" i="92"/>
  <c r="K38" i="92"/>
  <c r="L38" i="92"/>
  <c r="M38" i="92"/>
  <c r="J39" i="92"/>
  <c r="K39" i="92" s="1"/>
  <c r="J40" i="92"/>
  <c r="K40" i="92"/>
  <c r="J41" i="92"/>
  <c r="K41" i="92" s="1"/>
  <c r="J42" i="92"/>
  <c r="K42" i="92"/>
  <c r="J43" i="92"/>
  <c r="K43" i="92" s="1"/>
  <c r="J44" i="92"/>
  <c r="K44" i="92"/>
  <c r="L44" i="92"/>
  <c r="M44" i="92"/>
  <c r="J45" i="92"/>
  <c r="K45" i="92" s="1"/>
  <c r="L45" i="92"/>
  <c r="M45" i="92"/>
  <c r="J46" i="92"/>
  <c r="K46" i="92"/>
  <c r="L46" i="92"/>
  <c r="M46" i="92"/>
  <c r="J47" i="92"/>
  <c r="K47" i="92" s="1"/>
  <c r="J48" i="92"/>
  <c r="K48" i="92"/>
  <c r="J49" i="92"/>
  <c r="K49" i="92" s="1"/>
  <c r="J50" i="92"/>
  <c r="K50" i="92"/>
  <c r="J51" i="92"/>
  <c r="K51" i="92"/>
  <c r="L51" i="92"/>
  <c r="M51" i="92"/>
  <c r="J52" i="92"/>
  <c r="K52" i="92"/>
  <c r="L52" i="92"/>
  <c r="M52" i="92"/>
  <c r="J53" i="92"/>
  <c r="K53" i="92"/>
  <c r="L53" i="92"/>
  <c r="M53" i="92"/>
  <c r="J54" i="92"/>
  <c r="K54" i="92"/>
  <c r="L54" i="92"/>
  <c r="M54" i="92"/>
  <c r="J55" i="92"/>
  <c r="K55" i="92"/>
  <c r="L55" i="92"/>
  <c r="M55" i="92"/>
  <c r="J56" i="92"/>
  <c r="K56" i="92"/>
  <c r="L56" i="92"/>
  <c r="M56" i="92"/>
  <c r="J57" i="92"/>
  <c r="K57" i="92"/>
  <c r="L57" i="92"/>
  <c r="M57" i="92"/>
  <c r="J58" i="92"/>
  <c r="K58" i="92"/>
  <c r="L58" i="92"/>
  <c r="M58" i="92"/>
  <c r="J59" i="92"/>
  <c r="K59" i="92"/>
  <c r="L59" i="92"/>
  <c r="M59" i="92"/>
  <c r="J60" i="92"/>
  <c r="K60" i="92"/>
  <c r="L60" i="92"/>
  <c r="M60" i="92"/>
  <c r="J61" i="92"/>
  <c r="K61" i="92"/>
  <c r="L61" i="92"/>
  <c r="M61" i="92"/>
  <c r="J62" i="92"/>
  <c r="K62" i="92"/>
  <c r="J63" i="92"/>
  <c r="K63" i="92"/>
  <c r="L63" i="92"/>
  <c r="M63" i="92"/>
  <c r="J64" i="92"/>
  <c r="K64" i="92"/>
  <c r="C124" i="60" s="1"/>
  <c r="J65" i="92"/>
  <c r="K65" i="92"/>
  <c r="J66" i="92"/>
  <c r="K66" i="92"/>
  <c r="J67" i="92"/>
  <c r="K67" i="92"/>
  <c r="L67" i="92"/>
  <c r="M67" i="92"/>
  <c r="J68" i="92"/>
  <c r="K68" i="92"/>
  <c r="L68" i="92"/>
  <c r="M68" i="92"/>
  <c r="J69" i="92"/>
  <c r="K69" i="92"/>
  <c r="J70" i="92"/>
  <c r="K70" i="92"/>
  <c r="J71" i="92"/>
  <c r="K71" i="92"/>
  <c r="J72" i="92"/>
  <c r="K72" i="92"/>
  <c r="J73" i="92"/>
  <c r="K73" i="92"/>
  <c r="L73" i="92"/>
  <c r="M73" i="92"/>
  <c r="J74" i="92"/>
  <c r="K74" i="92"/>
  <c r="E136" i="60" s="1"/>
  <c r="J75" i="92"/>
  <c r="K75" i="92"/>
  <c r="J76" i="92"/>
  <c r="K76" i="92"/>
  <c r="J77" i="92"/>
  <c r="K77" i="92"/>
  <c r="J78" i="92"/>
  <c r="K78" i="92"/>
  <c r="L78" i="92"/>
  <c r="M78" i="92"/>
  <c r="J79" i="92"/>
  <c r="K79" i="92"/>
  <c r="L79" i="92"/>
  <c r="M79" i="92"/>
  <c r="J80" i="92"/>
  <c r="K80" i="92"/>
  <c r="J81" i="92"/>
  <c r="K81" i="92"/>
  <c r="L81" i="92"/>
  <c r="M81" i="92"/>
  <c r="J82" i="92"/>
  <c r="K82" i="92"/>
  <c r="D190" i="60" s="1"/>
  <c r="J83" i="92"/>
  <c r="K83" i="92"/>
  <c r="L83" i="92"/>
  <c r="M83" i="92"/>
  <c r="J84" i="92"/>
  <c r="K84" i="92"/>
  <c r="L84" i="92"/>
  <c r="M84" i="92"/>
  <c r="J85" i="92"/>
  <c r="K85" i="92"/>
  <c r="J86" i="92"/>
  <c r="K86" i="92"/>
  <c r="J87" i="92"/>
  <c r="K87" i="92"/>
  <c r="L87" i="92"/>
  <c r="M87" i="92"/>
  <c r="J88" i="92"/>
  <c r="K88" i="92"/>
  <c r="L88" i="92"/>
  <c r="M88" i="92"/>
  <c r="J89" i="92"/>
  <c r="K89" i="92"/>
  <c r="L89" i="92"/>
  <c r="M89" i="92"/>
  <c r="J90" i="92"/>
  <c r="K90" i="92"/>
  <c r="L90" i="92"/>
  <c r="M90" i="92"/>
  <c r="J91" i="92"/>
  <c r="K91" i="92"/>
  <c r="L91" i="92"/>
  <c r="J92" i="92"/>
  <c r="K92" i="92"/>
  <c r="L92" i="92"/>
  <c r="J93" i="92"/>
  <c r="K93" i="92"/>
  <c r="L93" i="92"/>
  <c r="J94" i="92"/>
  <c r="K94" i="92"/>
  <c r="J95" i="92"/>
  <c r="K95" i="92"/>
  <c r="J96" i="92"/>
  <c r="K96" i="92"/>
  <c r="J97" i="92"/>
  <c r="K97" i="92"/>
  <c r="J98" i="92"/>
  <c r="K98" i="92"/>
  <c r="J99" i="92"/>
  <c r="K99" i="92"/>
  <c r="L99" i="92"/>
  <c r="J100" i="92"/>
  <c r="K100" i="92"/>
  <c r="J101" i="92"/>
  <c r="K101" i="92"/>
  <c r="J102" i="92"/>
  <c r="K102" i="92"/>
  <c r="J103" i="92"/>
  <c r="K103" i="92"/>
  <c r="J104" i="92"/>
  <c r="K104" i="92"/>
  <c r="J105" i="92"/>
  <c r="K105" i="92"/>
  <c r="L105" i="92"/>
  <c r="J106" i="92"/>
  <c r="K106" i="92"/>
  <c r="J107" i="92"/>
  <c r="K107" i="92"/>
  <c r="J108" i="92"/>
  <c r="K108" i="92"/>
  <c r="J109" i="92"/>
  <c r="K109" i="92"/>
  <c r="J110" i="92"/>
  <c r="K110" i="92"/>
  <c r="J111" i="92"/>
  <c r="K111" i="92"/>
  <c r="J112" i="92"/>
  <c r="K112" i="92"/>
  <c r="L112" i="92"/>
  <c r="J113" i="92"/>
  <c r="K113" i="92"/>
  <c r="L113" i="92"/>
  <c r="J114" i="92"/>
  <c r="K114" i="92"/>
  <c r="L114" i="92"/>
  <c r="J115" i="92"/>
  <c r="K115" i="92"/>
  <c r="L115" i="92"/>
  <c r="J116" i="92"/>
  <c r="K116" i="92"/>
  <c r="L116" i="92"/>
  <c r="J117" i="92"/>
  <c r="K117" i="92"/>
  <c r="L117" i="92"/>
  <c r="J118" i="92"/>
  <c r="K118" i="92"/>
  <c r="L118" i="92"/>
  <c r="J119" i="92"/>
  <c r="K119" i="92"/>
  <c r="L119" i="92"/>
  <c r="J120" i="92"/>
  <c r="K120" i="92"/>
  <c r="L120" i="92"/>
  <c r="J121" i="92"/>
  <c r="K121" i="92"/>
  <c r="L121" i="92"/>
  <c r="J122" i="92"/>
  <c r="K122" i="92"/>
  <c r="L122" i="92"/>
  <c r="J123" i="92"/>
  <c r="K123" i="92"/>
  <c r="L123" i="92"/>
  <c r="J124" i="92"/>
  <c r="K124" i="92"/>
  <c r="L124" i="92"/>
  <c r="J125" i="92"/>
  <c r="K125" i="92"/>
  <c r="L125" i="92"/>
  <c r="J126" i="92"/>
  <c r="K126" i="92"/>
  <c r="L126" i="92"/>
  <c r="J127" i="92"/>
  <c r="K127" i="92"/>
  <c r="L127" i="92"/>
  <c r="J128" i="92"/>
  <c r="K128" i="92"/>
  <c r="L128" i="92"/>
  <c r="J129" i="92"/>
  <c r="K129" i="92"/>
  <c r="L129" i="92"/>
  <c r="J130" i="92"/>
  <c r="K130" i="92"/>
  <c r="L130" i="92"/>
  <c r="J131" i="92"/>
  <c r="K131" i="92"/>
  <c r="L131" i="92"/>
  <c r="J132" i="92"/>
  <c r="K132" i="92"/>
  <c r="L132" i="92"/>
  <c r="J133" i="92"/>
  <c r="K133" i="92"/>
  <c r="L133" i="92"/>
  <c r="J134" i="92"/>
  <c r="K134" i="92"/>
  <c r="L134" i="92"/>
  <c r="J135" i="92"/>
  <c r="K135" i="92"/>
  <c r="L135" i="92"/>
  <c r="J136" i="92"/>
  <c r="K136" i="92"/>
  <c r="L136" i="92"/>
  <c r="J137" i="92"/>
  <c r="K137" i="92"/>
  <c r="L137" i="92"/>
  <c r="J138" i="92"/>
  <c r="K138" i="92"/>
  <c r="L138" i="92"/>
  <c r="J139" i="92"/>
  <c r="K139" i="92"/>
  <c r="L139" i="92"/>
  <c r="J140" i="92"/>
  <c r="K140" i="92"/>
  <c r="L140" i="92"/>
  <c r="J141" i="92"/>
  <c r="K141" i="92"/>
  <c r="L141" i="92"/>
  <c r="J142" i="92"/>
  <c r="K142" i="92"/>
  <c r="L142" i="92"/>
  <c r="J143" i="92"/>
  <c r="K143" i="92"/>
  <c r="L143" i="92"/>
  <c r="J144" i="92"/>
  <c r="K144" i="92" s="1"/>
  <c r="L144" i="92"/>
  <c r="J145" i="92"/>
  <c r="K145" i="92" s="1"/>
  <c r="L145" i="92"/>
  <c r="J146" i="92"/>
  <c r="K146" i="92" s="1"/>
  <c r="L146" i="92"/>
  <c r="J147" i="92"/>
  <c r="K147" i="92"/>
  <c r="L147" i="92"/>
  <c r="J148" i="92"/>
  <c r="K148" i="92" s="1"/>
  <c r="L148" i="92"/>
  <c r="J149" i="92"/>
  <c r="K149" i="92"/>
  <c r="L149" i="92"/>
  <c r="J150" i="92"/>
  <c r="K150" i="92" s="1"/>
  <c r="L150" i="92"/>
  <c r="J151" i="92"/>
  <c r="K151" i="92"/>
  <c r="J152" i="92"/>
  <c r="K152" i="92" s="1"/>
  <c r="L152" i="92"/>
  <c r="J153" i="92"/>
  <c r="K153" i="92" s="1"/>
  <c r="L153" i="92"/>
  <c r="J154" i="92"/>
  <c r="K154" i="92"/>
  <c r="L154" i="92"/>
  <c r="J155" i="92"/>
  <c r="K155" i="92" s="1"/>
  <c r="L155" i="92"/>
  <c r="J156" i="92"/>
  <c r="K156" i="92" s="1"/>
  <c r="J157" i="92"/>
  <c r="K157" i="92" s="1"/>
  <c r="L157" i="92"/>
  <c r="J158" i="92"/>
  <c r="K158" i="92" s="1"/>
  <c r="L158" i="92"/>
  <c r="J159" i="92"/>
  <c r="K159" i="92" s="1"/>
  <c r="L159" i="92"/>
  <c r="J160" i="92"/>
  <c r="K160" i="92"/>
  <c r="L160" i="92"/>
  <c r="J161" i="92"/>
  <c r="K161" i="92" s="1"/>
  <c r="L161" i="92"/>
  <c r="J162" i="92"/>
  <c r="K162" i="92"/>
  <c r="L162" i="92"/>
  <c r="J163" i="92"/>
  <c r="K163" i="92"/>
  <c r="L163" i="92"/>
  <c r="J164" i="92"/>
  <c r="K164" i="92" s="1"/>
  <c r="L164" i="92"/>
  <c r="J165" i="92"/>
  <c r="K165" i="92" s="1"/>
  <c r="L165" i="92"/>
  <c r="J166" i="92"/>
  <c r="K166" i="92" s="1"/>
  <c r="L166" i="92"/>
  <c r="J167" i="92"/>
  <c r="K167" i="92"/>
  <c r="L167" i="92"/>
  <c r="J168" i="92"/>
  <c r="K168" i="92" s="1"/>
  <c r="L168" i="92"/>
  <c r="J169" i="92"/>
  <c r="K169" i="92" s="1"/>
  <c r="L169" i="92"/>
  <c r="J170" i="92"/>
  <c r="K170" i="92" s="1"/>
  <c r="L170" i="92"/>
  <c r="M170" i="92"/>
  <c r="J171" i="92"/>
  <c r="K171" i="92" s="1"/>
  <c r="L171" i="92"/>
  <c r="M171" i="92"/>
  <c r="J172" i="92"/>
  <c r="K172" i="92"/>
  <c r="L172" i="92"/>
  <c r="M172" i="92"/>
  <c r="J173" i="92"/>
  <c r="K173" i="92"/>
  <c r="L173" i="92"/>
  <c r="M173" i="92"/>
  <c r="J174" i="92"/>
  <c r="K174" i="92"/>
  <c r="L174" i="92"/>
  <c r="M174" i="92"/>
  <c r="J175" i="92"/>
  <c r="K175" i="92"/>
  <c r="L175" i="92"/>
  <c r="M175" i="92"/>
  <c r="J176" i="92"/>
  <c r="K176" i="92" s="1"/>
  <c r="L176" i="92"/>
  <c r="M176" i="92"/>
  <c r="J177" i="92"/>
  <c r="K177" i="92" s="1"/>
  <c r="L177" i="92"/>
  <c r="M177" i="92"/>
  <c r="J178" i="92"/>
  <c r="K178" i="92"/>
  <c r="L178" i="92"/>
  <c r="M178" i="92"/>
  <c r="J179" i="92"/>
  <c r="K179" i="92" s="1"/>
  <c r="L179" i="92"/>
  <c r="M179" i="92"/>
  <c r="J180" i="92"/>
  <c r="K180" i="92"/>
  <c r="L180" i="92"/>
  <c r="M180" i="92"/>
  <c r="J181" i="92"/>
  <c r="K181" i="92" s="1"/>
  <c r="L181" i="92"/>
  <c r="M181" i="92"/>
  <c r="J182" i="92"/>
  <c r="K182" i="92"/>
  <c r="L182" i="92"/>
  <c r="M182" i="92"/>
  <c r="J183" i="92"/>
  <c r="K183" i="92" s="1"/>
  <c r="L183" i="92"/>
  <c r="M183" i="92"/>
  <c r="J184" i="92"/>
  <c r="K184" i="92" s="1"/>
  <c r="L184" i="92"/>
  <c r="M184" i="92"/>
  <c r="J185" i="92"/>
  <c r="K185" i="92" s="1"/>
  <c r="L185" i="92"/>
  <c r="M185" i="92"/>
  <c r="J186" i="92"/>
  <c r="K186" i="92" s="1"/>
  <c r="L186" i="92"/>
  <c r="M186" i="92"/>
  <c r="J187" i="92"/>
  <c r="K187" i="92" s="1"/>
  <c r="L187" i="92"/>
  <c r="M187" i="92"/>
  <c r="J188" i="92"/>
  <c r="K188" i="92"/>
  <c r="L188" i="92"/>
  <c r="M188" i="92"/>
  <c r="J189" i="92"/>
  <c r="K189" i="92" s="1"/>
  <c r="L189" i="92"/>
  <c r="M189" i="92"/>
  <c r="J190" i="92"/>
  <c r="K190" i="92" s="1"/>
  <c r="L190" i="92"/>
  <c r="M190" i="92"/>
  <c r="J191" i="92"/>
  <c r="K191" i="92" s="1"/>
  <c r="L191" i="92"/>
  <c r="M191" i="92"/>
  <c r="J192" i="92"/>
  <c r="K192" i="92" s="1"/>
  <c r="L192" i="92"/>
  <c r="M192" i="92"/>
  <c r="J193" i="92"/>
  <c r="K193" i="92" s="1"/>
  <c r="L193" i="92"/>
  <c r="M193" i="92"/>
  <c r="J194" i="92"/>
  <c r="K194" i="92"/>
  <c r="L194" i="92"/>
  <c r="M194" i="92"/>
  <c r="J195" i="92"/>
  <c r="K195" i="92" s="1"/>
  <c r="L195" i="92"/>
  <c r="M195" i="92"/>
  <c r="J196" i="92"/>
  <c r="K196" i="92"/>
  <c r="L196" i="92"/>
  <c r="M196" i="92"/>
  <c r="J197" i="92"/>
  <c r="K197" i="92" s="1"/>
  <c r="L197" i="92"/>
  <c r="M197" i="92"/>
  <c r="J198" i="92"/>
  <c r="K198" i="92" s="1"/>
  <c r="L198" i="92"/>
  <c r="M198" i="92"/>
  <c r="J199" i="92"/>
  <c r="K199" i="92" s="1"/>
  <c r="L199" i="92"/>
  <c r="M199" i="92"/>
  <c r="J200" i="92"/>
  <c r="K200" i="92" s="1"/>
  <c r="L200" i="92"/>
  <c r="M200" i="92"/>
  <c r="J201" i="92"/>
  <c r="K201" i="92" s="1"/>
  <c r="L201" i="92"/>
  <c r="M201" i="92"/>
  <c r="J202" i="92"/>
  <c r="K202" i="92"/>
  <c r="L202" i="92"/>
  <c r="M202" i="92"/>
  <c r="J203" i="92"/>
  <c r="K203" i="92" s="1"/>
  <c r="L203" i="92"/>
  <c r="M203" i="92"/>
  <c r="J204" i="92"/>
  <c r="K204" i="92"/>
  <c r="L204" i="92"/>
  <c r="M204" i="92"/>
  <c r="J205" i="92"/>
  <c r="K205" i="92" s="1"/>
  <c r="L205" i="92"/>
  <c r="M205" i="92"/>
  <c r="J206" i="92"/>
  <c r="K206" i="92"/>
  <c r="L206" i="92"/>
  <c r="M206" i="92"/>
  <c r="J207" i="92"/>
  <c r="K207" i="92" s="1"/>
  <c r="L207" i="92"/>
  <c r="M207" i="92"/>
  <c r="J208" i="92"/>
  <c r="K208" i="92" s="1"/>
  <c r="L208" i="92"/>
  <c r="M208" i="92"/>
  <c r="J209" i="92"/>
  <c r="K209" i="92" s="1"/>
  <c r="L209" i="92"/>
  <c r="M209" i="92"/>
  <c r="J210" i="92"/>
  <c r="K210" i="92" s="1"/>
  <c r="L210" i="92"/>
  <c r="M210" i="92"/>
  <c r="J211" i="92"/>
  <c r="K211" i="92" s="1"/>
  <c r="L211" i="92"/>
  <c r="M211" i="92"/>
  <c r="J212" i="92"/>
  <c r="K212" i="92"/>
  <c r="L212" i="92"/>
  <c r="M212" i="92"/>
  <c r="J213" i="92"/>
  <c r="K213" i="92" s="1"/>
  <c r="L213" i="92"/>
  <c r="M213" i="92"/>
  <c r="J214" i="92"/>
  <c r="K214" i="92" s="1"/>
  <c r="L214" i="92"/>
  <c r="M214" i="92"/>
  <c r="J215" i="92"/>
  <c r="K215" i="92" s="1"/>
  <c r="L215" i="92"/>
  <c r="M215" i="92"/>
  <c r="J216" i="92"/>
  <c r="K216" i="92" s="1"/>
  <c r="L216" i="92"/>
  <c r="M216" i="92"/>
  <c r="J217" i="92"/>
  <c r="K217" i="92" s="1"/>
  <c r="L217" i="92"/>
  <c r="M217" i="92"/>
  <c r="J218" i="92"/>
  <c r="K218" i="92"/>
  <c r="L218" i="92"/>
  <c r="M218" i="92"/>
  <c r="J219" i="92"/>
  <c r="K219" i="92" s="1"/>
  <c r="L219" i="92"/>
  <c r="M219" i="92"/>
  <c r="J220" i="92"/>
  <c r="K220" i="92"/>
  <c r="L220" i="92"/>
  <c r="M220" i="92"/>
  <c r="J221" i="92"/>
  <c r="K221" i="92" s="1"/>
  <c r="L221" i="92"/>
  <c r="M221" i="92"/>
  <c r="J222" i="92"/>
  <c r="K222" i="92" s="1"/>
  <c r="L222" i="92"/>
  <c r="M222" i="92"/>
  <c r="J223" i="92"/>
  <c r="K223" i="92" s="1"/>
  <c r="L223" i="92"/>
  <c r="M223" i="92"/>
  <c r="J224" i="92"/>
  <c r="K224" i="92"/>
  <c r="L224" i="92"/>
  <c r="M224" i="92"/>
  <c r="J225" i="92"/>
  <c r="K225" i="92" s="1"/>
  <c r="J226" i="92"/>
  <c r="K226" i="92"/>
  <c r="J227" i="92"/>
  <c r="K227" i="92" s="1"/>
  <c r="J228" i="92"/>
  <c r="K228" i="92"/>
  <c r="L228" i="92"/>
  <c r="M228" i="92"/>
  <c r="J229" i="92"/>
  <c r="K229" i="92" s="1"/>
  <c r="C227" i="60" s="1"/>
  <c r="J230" i="92"/>
  <c r="K230" i="92"/>
  <c r="J231" i="92"/>
  <c r="K231" i="92" s="1"/>
  <c r="J232" i="92"/>
  <c r="K232" i="92" s="1"/>
  <c r="J233" i="92"/>
  <c r="K233" i="92" s="1"/>
  <c r="J234" i="92"/>
  <c r="K234" i="92" s="1"/>
  <c r="L234" i="92"/>
  <c r="M234" i="92"/>
  <c r="J235" i="92"/>
  <c r="K235" i="92" s="1"/>
  <c r="J236" i="92"/>
  <c r="K236" i="92"/>
  <c r="J237" i="92"/>
  <c r="K237" i="92" s="1"/>
  <c r="J238" i="92"/>
  <c r="K238" i="92" s="1"/>
  <c r="J239" i="92"/>
  <c r="K239" i="92" s="1"/>
  <c r="J240" i="92"/>
  <c r="K240" i="92" s="1"/>
  <c r="J241" i="92"/>
  <c r="K241" i="92" s="1"/>
  <c r="J242" i="92"/>
  <c r="K242" i="92"/>
  <c r="J243" i="92"/>
  <c r="K243" i="92" s="1"/>
  <c r="B273" i="60" s="1"/>
  <c r="J244" i="92"/>
  <c r="K244" i="92"/>
  <c r="J245" i="92"/>
  <c r="K245" i="92" s="1"/>
  <c r="J246" i="92"/>
  <c r="K246" i="92" s="1"/>
  <c r="J247" i="92"/>
  <c r="K247" i="92" s="1"/>
  <c r="J248" i="92"/>
  <c r="K248" i="92"/>
  <c r="J249" i="92"/>
  <c r="K249" i="92" s="1"/>
  <c r="J250" i="92"/>
  <c r="K250" i="92"/>
  <c r="L250" i="92"/>
  <c r="M250" i="92"/>
  <c r="J251" i="92"/>
  <c r="K251" i="92" s="1"/>
  <c r="J252" i="92"/>
  <c r="K252" i="92"/>
  <c r="L252" i="92"/>
  <c r="M252" i="92"/>
  <c r="J253" i="92"/>
  <c r="K253" i="92" s="1"/>
  <c r="J254" i="92"/>
  <c r="K254" i="92"/>
  <c r="J255" i="92"/>
  <c r="K255" i="92" s="1"/>
  <c r="L255" i="92"/>
  <c r="M255" i="92"/>
  <c r="J256" i="92"/>
  <c r="K256" i="92" s="1"/>
  <c r="J257" i="92"/>
  <c r="K257" i="92" s="1"/>
  <c r="L257" i="92"/>
  <c r="M257" i="92"/>
  <c r="J258" i="92"/>
  <c r="K258" i="92" s="1"/>
  <c r="J259" i="92"/>
  <c r="K259" i="92" s="1"/>
  <c r="J260" i="92"/>
  <c r="K260" i="92"/>
  <c r="L260" i="92"/>
  <c r="M260" i="92"/>
  <c r="J261" i="92"/>
  <c r="K261" i="92" s="1"/>
  <c r="J262" i="92"/>
  <c r="K262" i="92" s="1"/>
  <c r="L262" i="92"/>
  <c r="M262" i="92"/>
  <c r="J263" i="92"/>
  <c r="K263" i="92" s="1"/>
  <c r="L263" i="92"/>
  <c r="M263" i="92"/>
  <c r="J264" i="92"/>
  <c r="K264" i="92" s="1"/>
  <c r="L264" i="92"/>
  <c r="M264" i="92"/>
  <c r="J265" i="92"/>
  <c r="K265" i="92" s="1"/>
  <c r="J266" i="92"/>
  <c r="K266" i="92"/>
  <c r="J267" i="92"/>
  <c r="K267" i="92" s="1"/>
  <c r="J268" i="92"/>
  <c r="K268" i="92"/>
  <c r="L268" i="92"/>
  <c r="M268" i="92"/>
  <c r="J269" i="92"/>
  <c r="K269" i="92" s="1"/>
  <c r="J270" i="92"/>
  <c r="K270" i="92" s="1"/>
  <c r="J271" i="92"/>
  <c r="K271" i="92" s="1"/>
  <c r="L271" i="92"/>
  <c r="M271" i="92"/>
  <c r="J272" i="92"/>
  <c r="K272" i="92" s="1"/>
  <c r="L272" i="92"/>
  <c r="M272" i="92"/>
  <c r="J273" i="92"/>
  <c r="K273" i="92" s="1"/>
  <c r="L273" i="92"/>
  <c r="M273" i="92"/>
  <c r="J274" i="92"/>
  <c r="K274" i="92" s="1"/>
  <c r="J275" i="92"/>
  <c r="K275" i="92" s="1"/>
  <c r="L275" i="92"/>
  <c r="M275" i="92"/>
  <c r="J276" i="92"/>
  <c r="K276" i="92"/>
  <c r="L276" i="92"/>
  <c r="M276" i="92"/>
  <c r="J277" i="92"/>
  <c r="K277" i="92" s="1"/>
  <c r="J278" i="92"/>
  <c r="K278" i="92"/>
  <c r="L278" i="92"/>
  <c r="M278" i="92"/>
  <c r="J279" i="92"/>
  <c r="K279" i="92" s="1"/>
  <c r="L279" i="92"/>
  <c r="M279" i="92"/>
  <c r="J280" i="92"/>
  <c r="K280" i="92" s="1"/>
  <c r="J281" i="92"/>
  <c r="K281" i="92" s="1"/>
  <c r="L281" i="92"/>
  <c r="M281" i="92"/>
  <c r="J282" i="92"/>
  <c r="K282" i="92" s="1"/>
  <c r="J283" i="92"/>
  <c r="K283" i="92" s="1"/>
  <c r="L283" i="92"/>
  <c r="M283" i="92"/>
  <c r="J284" i="92"/>
  <c r="K284" i="92"/>
  <c r="L284" i="92"/>
  <c r="M284" i="92"/>
  <c r="J285" i="92"/>
  <c r="K285" i="92" s="1"/>
  <c r="J286" i="92"/>
  <c r="K286" i="92" s="1"/>
  <c r="L286" i="92"/>
  <c r="M286" i="92"/>
  <c r="J287" i="92"/>
  <c r="K287" i="92" s="1"/>
  <c r="L287" i="92"/>
  <c r="M287" i="92"/>
  <c r="J288" i="92"/>
  <c r="K288" i="92"/>
  <c r="L288" i="92"/>
  <c r="M288" i="92"/>
  <c r="J289" i="92"/>
  <c r="K289" i="92" s="1"/>
  <c r="L289" i="92"/>
  <c r="M289" i="92"/>
  <c r="J290" i="92"/>
  <c r="K290" i="92" s="1"/>
  <c r="J291" i="92"/>
  <c r="K291" i="92" s="1"/>
  <c r="L291" i="92"/>
  <c r="M291" i="92"/>
  <c r="J292" i="92"/>
  <c r="K292" i="92"/>
  <c r="L292" i="92"/>
  <c r="M292" i="92"/>
  <c r="J293" i="92"/>
  <c r="K293" i="92" s="1"/>
  <c r="L293" i="92"/>
  <c r="M293" i="92"/>
  <c r="J294" i="92"/>
  <c r="K294" i="92" s="1"/>
  <c r="J295" i="92"/>
  <c r="K295" i="92" s="1"/>
  <c r="J296" i="92"/>
  <c r="K296" i="92" s="1"/>
  <c r="J297" i="92"/>
  <c r="K297" i="92" s="1"/>
  <c r="L297" i="92"/>
  <c r="M297" i="92"/>
  <c r="J298" i="92"/>
  <c r="K298" i="92" s="1"/>
  <c r="L298" i="92"/>
  <c r="M298" i="92"/>
  <c r="J299" i="92"/>
  <c r="K299" i="92" s="1"/>
  <c r="J300" i="92"/>
  <c r="K300" i="92"/>
  <c r="J301" i="92"/>
  <c r="K301" i="92" s="1"/>
  <c r="L301" i="92"/>
  <c r="M301" i="92"/>
  <c r="J302" i="92"/>
  <c r="K302" i="92"/>
  <c r="G39" i="37" s="1"/>
  <c r="L302" i="92"/>
  <c r="M302" i="92"/>
  <c r="J303" i="92"/>
  <c r="K303" i="92" s="1"/>
  <c r="J304" i="92"/>
  <c r="K304" i="92" s="1"/>
  <c r="J305" i="92"/>
  <c r="K305" i="92" s="1"/>
  <c r="L305" i="92"/>
  <c r="M305" i="92"/>
  <c r="J306" i="92"/>
  <c r="K306" i="92" s="1"/>
  <c r="L306" i="92"/>
  <c r="M306" i="92"/>
  <c r="J307" i="92"/>
  <c r="K307" i="92"/>
  <c r="J308" i="92"/>
  <c r="K308" i="92" s="1"/>
  <c r="L308" i="92"/>
  <c r="M308" i="92"/>
  <c r="J309" i="92"/>
  <c r="K309" i="92" s="1"/>
  <c r="L309" i="92"/>
  <c r="M309" i="92"/>
  <c r="J310" i="92"/>
  <c r="K310" i="92" s="1"/>
  <c r="L310" i="92"/>
  <c r="M310" i="92"/>
  <c r="J311" i="92"/>
  <c r="K311" i="92"/>
  <c r="L311" i="92"/>
  <c r="M311" i="92"/>
  <c r="J312" i="92"/>
  <c r="K312" i="92" s="1"/>
  <c r="J313" i="92"/>
  <c r="K313" i="92" s="1"/>
  <c r="J314" i="92"/>
  <c r="K314" i="92" s="1"/>
  <c r="J315" i="92"/>
  <c r="K315" i="92"/>
  <c r="J316" i="92"/>
  <c r="K316" i="92" s="1"/>
  <c r="J317" i="92"/>
  <c r="K317" i="92"/>
  <c r="J318" i="92"/>
  <c r="K318" i="92" s="1"/>
  <c r="L318" i="92"/>
  <c r="M318" i="92"/>
  <c r="J319" i="92"/>
  <c r="K319" i="92" s="1"/>
  <c r="J320" i="92"/>
  <c r="K320" i="92" s="1"/>
  <c r="J321" i="92"/>
  <c r="K321" i="92" s="1"/>
  <c r="J322" i="92"/>
  <c r="K322" i="92" s="1"/>
  <c r="J323" i="92"/>
  <c r="K323" i="92"/>
  <c r="J324" i="92"/>
  <c r="K324" i="92" s="1"/>
  <c r="J325" i="92"/>
  <c r="K325" i="92" s="1"/>
  <c r="L325" i="92"/>
  <c r="M325" i="92"/>
  <c r="J326" i="92"/>
  <c r="K326" i="92" s="1"/>
  <c r="J327" i="92"/>
  <c r="K327" i="92" s="1"/>
  <c r="J328" i="92"/>
  <c r="K328" i="92" s="1"/>
  <c r="J329" i="92"/>
  <c r="K329" i="92"/>
  <c r="J330" i="92"/>
  <c r="K330" i="92" s="1"/>
  <c r="J331" i="92"/>
  <c r="K331" i="92"/>
  <c r="J332" i="92"/>
  <c r="K332" i="92" s="1"/>
  <c r="J333" i="92"/>
  <c r="K333" i="92" s="1"/>
  <c r="J334" i="92"/>
  <c r="K334" i="92" s="1"/>
  <c r="L334" i="92"/>
  <c r="M334" i="92"/>
  <c r="J335" i="92"/>
  <c r="K335" i="92"/>
  <c r="L335" i="92"/>
  <c r="M335" i="92"/>
  <c r="J336" i="92"/>
  <c r="K336" i="92" s="1"/>
  <c r="J337" i="92"/>
  <c r="K337" i="92" s="1"/>
  <c r="J338" i="92"/>
  <c r="K338" i="92" s="1"/>
  <c r="J339" i="92"/>
  <c r="K339" i="92"/>
  <c r="J340" i="92"/>
  <c r="K340" i="92" s="1"/>
  <c r="J341" i="92"/>
  <c r="K341" i="92"/>
  <c r="J342" i="92"/>
  <c r="K342" i="92" s="1"/>
  <c r="L342" i="92"/>
  <c r="M342" i="92"/>
  <c r="J343" i="92"/>
  <c r="K343" i="92" s="1"/>
  <c r="L343" i="92"/>
  <c r="M343" i="92"/>
  <c r="J344" i="92"/>
  <c r="K344" i="92" s="1"/>
  <c r="J345" i="92"/>
  <c r="K345" i="92" s="1"/>
  <c r="J346" i="92"/>
  <c r="K346" i="92" s="1"/>
  <c r="L346" i="92"/>
  <c r="M346" i="92"/>
  <c r="J347" i="92"/>
  <c r="K347" i="92"/>
  <c r="L347" i="92"/>
  <c r="M347" i="92"/>
  <c r="J348" i="92"/>
  <c r="K348" i="92" s="1"/>
  <c r="J349" i="92"/>
  <c r="K349" i="92" s="1"/>
  <c r="J350" i="92"/>
  <c r="K350" i="92" s="1"/>
  <c r="J351" i="92"/>
  <c r="K351" i="92" s="1"/>
  <c r="J352" i="92"/>
  <c r="K352" i="92" s="1"/>
  <c r="J353" i="92"/>
  <c r="K353" i="92"/>
  <c r="J354" i="92"/>
  <c r="K354" i="92" s="1"/>
  <c r="L354" i="92"/>
  <c r="M354" i="92"/>
  <c r="J355" i="92"/>
  <c r="K355" i="92"/>
  <c r="J356" i="92"/>
  <c r="K356" i="92" s="1"/>
  <c r="J357" i="92"/>
  <c r="K357" i="92" s="1"/>
  <c r="J358" i="92"/>
  <c r="K358" i="92" s="1"/>
  <c r="J359" i="92"/>
  <c r="K359" i="92"/>
  <c r="J360" i="92"/>
  <c r="K360" i="92" s="1"/>
  <c r="J361" i="92"/>
  <c r="K361" i="92" s="1"/>
  <c r="J362" i="92"/>
  <c r="K362" i="92" s="1"/>
  <c r="J363" i="92"/>
  <c r="K363" i="92"/>
  <c r="L363" i="92"/>
  <c r="M363" i="92"/>
  <c r="J364" i="92"/>
  <c r="K364" i="92" s="1"/>
  <c r="L364" i="92"/>
  <c r="M364" i="92"/>
  <c r="J365" i="92"/>
  <c r="K365" i="92"/>
  <c r="L365" i="92"/>
  <c r="M365" i="92"/>
  <c r="J366" i="92"/>
  <c r="K366" i="92" s="1"/>
  <c r="J367" i="92"/>
  <c r="K367" i="92" s="1"/>
  <c r="J368" i="92"/>
  <c r="K368" i="92" s="1"/>
  <c r="J369" i="92"/>
  <c r="K369" i="92" s="1"/>
  <c r="J370" i="92"/>
  <c r="K370" i="92" s="1"/>
  <c r="J371" i="92"/>
  <c r="K371" i="92"/>
  <c r="J372" i="92"/>
  <c r="K372" i="92" s="1"/>
  <c r="L372" i="92"/>
  <c r="M372" i="92"/>
  <c r="J373" i="92"/>
  <c r="K373" i="92" s="1"/>
  <c r="J374" i="92"/>
  <c r="K374" i="92" s="1"/>
  <c r="J375" i="92"/>
  <c r="K375" i="92" s="1"/>
  <c r="J376" i="92"/>
  <c r="K376" i="92" s="1"/>
  <c r="J377" i="92"/>
  <c r="K377" i="92"/>
  <c r="J378" i="92"/>
  <c r="K378" i="92" s="1"/>
  <c r="J379" i="92"/>
  <c r="K379" i="92"/>
  <c r="L379" i="92"/>
  <c r="M379" i="92"/>
  <c r="J380" i="92"/>
  <c r="K380" i="92" s="1"/>
  <c r="J381" i="92"/>
  <c r="K381" i="92" s="1"/>
  <c r="J382" i="92"/>
  <c r="K382" i="92" s="1"/>
  <c r="J383" i="92"/>
  <c r="K383" i="92"/>
  <c r="J384" i="92"/>
  <c r="K384" i="92" s="1"/>
  <c r="J385" i="92"/>
  <c r="K385" i="92" s="1"/>
  <c r="J386" i="92"/>
  <c r="K386" i="92" s="1"/>
  <c r="J387" i="92"/>
  <c r="K387" i="92"/>
  <c r="J388" i="92"/>
  <c r="K388" i="92" s="1"/>
  <c r="J389" i="92"/>
  <c r="K389" i="92"/>
  <c r="L389" i="92"/>
  <c r="M389" i="92"/>
  <c r="J390" i="92"/>
  <c r="K390" i="92" s="1"/>
  <c r="L390" i="92"/>
  <c r="M390" i="92"/>
  <c r="J391" i="92"/>
  <c r="K391" i="92" s="1"/>
  <c r="J392" i="92"/>
  <c r="K392" i="92" s="1"/>
  <c r="L392" i="92"/>
  <c r="M392" i="92"/>
  <c r="J393" i="92"/>
  <c r="K393" i="92" s="1"/>
  <c r="L393" i="92"/>
  <c r="M393" i="92"/>
  <c r="J394" i="92"/>
  <c r="K394" i="92" s="1"/>
  <c r="J395" i="92"/>
  <c r="K395" i="92"/>
  <c r="J396" i="92"/>
  <c r="K396" i="92" s="1"/>
  <c r="J397" i="92"/>
  <c r="K397" i="92" s="1"/>
  <c r="J398" i="92"/>
  <c r="K398" i="92" s="1"/>
  <c r="J399" i="92"/>
  <c r="K399" i="92" s="1"/>
  <c r="J400" i="92"/>
  <c r="K400" i="92" s="1"/>
  <c r="J401" i="92"/>
  <c r="K401" i="92"/>
  <c r="J402" i="92"/>
  <c r="K402" i="92" s="1"/>
  <c r="J403" i="92"/>
  <c r="K403" i="92"/>
  <c r="J404" i="92"/>
  <c r="K404" i="92" s="1"/>
  <c r="J405" i="92"/>
  <c r="K405" i="92" s="1"/>
  <c r="J406" i="92"/>
  <c r="K406" i="92" s="1"/>
  <c r="J407" i="92"/>
  <c r="K407" i="92"/>
  <c r="L407" i="92"/>
  <c r="M407" i="92"/>
  <c r="J408" i="92"/>
  <c r="K408" i="92" s="1"/>
  <c r="L408" i="92"/>
  <c r="M408" i="92"/>
  <c r="J409" i="92"/>
  <c r="K409" i="92" s="1"/>
  <c r="J410" i="92"/>
  <c r="K410" i="92" s="1"/>
  <c r="J411" i="92"/>
  <c r="K411" i="92"/>
  <c r="J412" i="92"/>
  <c r="K412" i="92" s="1"/>
  <c r="J413" i="92"/>
  <c r="K413" i="92"/>
  <c r="L413" i="92"/>
  <c r="M413" i="92"/>
  <c r="J414" i="92"/>
  <c r="K414" i="92" s="1"/>
  <c r="L414" i="92"/>
  <c r="M414" i="92"/>
  <c r="J415" i="92"/>
  <c r="K415" i="92" s="1"/>
  <c r="J416" i="92"/>
  <c r="K416" i="92" s="1"/>
  <c r="L416" i="92"/>
  <c r="M416" i="92"/>
  <c r="J417" i="92"/>
  <c r="K417" i="92" s="1"/>
  <c r="J418" i="92"/>
  <c r="K418" i="92" s="1"/>
  <c r="L418" i="92"/>
  <c r="M418" i="92"/>
  <c r="J419" i="92"/>
  <c r="K419" i="92" s="1"/>
  <c r="L419" i="92"/>
  <c r="M419" i="92"/>
  <c r="J420" i="92"/>
  <c r="K420" i="92" s="1"/>
  <c r="J421" i="92"/>
  <c r="K421" i="92" s="1"/>
  <c r="J422" i="92"/>
  <c r="K422" i="92" s="1"/>
  <c r="J423" i="92"/>
  <c r="K423" i="92" s="1"/>
  <c r="J424" i="92"/>
  <c r="K424" i="92" s="1"/>
  <c r="J425" i="92"/>
  <c r="K425" i="92" s="1"/>
  <c r="J426" i="92"/>
  <c r="K426" i="92" s="1"/>
  <c r="J427" i="92"/>
  <c r="K427" i="92" s="1"/>
  <c r="J428" i="92"/>
  <c r="K428" i="92" s="1"/>
  <c r="J429" i="92"/>
  <c r="K429" i="92" s="1"/>
  <c r="A430" i="92"/>
  <c r="A431" i="92"/>
  <c r="A432" i="92"/>
  <c r="A433" i="92"/>
  <c r="A434" i="92"/>
  <c r="A435" i="92"/>
  <c r="A436" i="92"/>
  <c r="A437" i="92"/>
  <c r="A438" i="92"/>
  <c r="A439" i="92"/>
  <c r="A440" i="92"/>
  <c r="A441" i="92"/>
  <c r="A442" i="92"/>
  <c r="A443" i="92"/>
  <c r="A444" i="92"/>
  <c r="A445" i="92"/>
  <c r="A446" i="92"/>
  <c r="A447" i="92"/>
  <c r="A448" i="92"/>
  <c r="A449" i="92"/>
  <c r="A450" i="92"/>
  <c r="A451" i="92"/>
  <c r="A452" i="92"/>
  <c r="A453" i="92"/>
  <c r="A454" i="92"/>
  <c r="A455" i="92"/>
  <c r="A456" i="92"/>
  <c r="A457" i="92"/>
  <c r="A458" i="92"/>
  <c r="A459" i="92"/>
  <c r="A460" i="92"/>
  <c r="A9" i="92"/>
  <c r="A10" i="92"/>
  <c r="A11" i="92"/>
  <c r="A12" i="92"/>
  <c r="A13" i="92"/>
  <c r="A14" i="92"/>
  <c r="A15" i="92"/>
  <c r="A16" i="92"/>
  <c r="A17" i="92"/>
  <c r="A18" i="92"/>
  <c r="A19" i="92"/>
  <c r="A20" i="92"/>
  <c r="A21" i="92"/>
  <c r="A22" i="92"/>
  <c r="A23" i="92"/>
  <c r="A24" i="92"/>
  <c r="A25" i="92"/>
  <c r="A26" i="92"/>
  <c r="A27" i="92"/>
  <c r="A28" i="92"/>
  <c r="A29" i="92"/>
  <c r="A30" i="92"/>
  <c r="A31" i="92"/>
  <c r="A32" i="92"/>
  <c r="A33" i="92"/>
  <c r="A34" i="92"/>
  <c r="A35" i="92"/>
  <c r="A36" i="92"/>
  <c r="A37" i="92"/>
  <c r="A38" i="92"/>
  <c r="A39" i="92"/>
  <c r="A40" i="92"/>
  <c r="A41" i="92"/>
  <c r="A42" i="92"/>
  <c r="A43" i="92"/>
  <c r="A44" i="92"/>
  <c r="A45" i="92"/>
  <c r="A46" i="92"/>
  <c r="A47" i="92"/>
  <c r="A48" i="92"/>
  <c r="A49" i="92"/>
  <c r="A50" i="92"/>
  <c r="A51" i="92"/>
  <c r="A52" i="92"/>
  <c r="A53" i="92"/>
  <c r="A54" i="92"/>
  <c r="A55" i="92"/>
  <c r="A56" i="92"/>
  <c r="A57" i="92"/>
  <c r="A58" i="92"/>
  <c r="A59" i="92"/>
  <c r="A60" i="92"/>
  <c r="A61" i="92"/>
  <c r="A62" i="92"/>
  <c r="A63" i="92"/>
  <c r="A64" i="92"/>
  <c r="A65" i="92"/>
  <c r="A66" i="92"/>
  <c r="A67" i="92"/>
  <c r="A68" i="92"/>
  <c r="A69" i="92"/>
  <c r="A70" i="92"/>
  <c r="A71" i="92"/>
  <c r="A72" i="92"/>
  <c r="A73" i="92"/>
  <c r="A74" i="92"/>
  <c r="A75" i="92"/>
  <c r="A76" i="92"/>
  <c r="A77" i="92"/>
  <c r="A78" i="92"/>
  <c r="A79" i="92"/>
  <c r="A80" i="92"/>
  <c r="A81" i="92"/>
  <c r="A82" i="92"/>
  <c r="A83" i="92"/>
  <c r="A84" i="92"/>
  <c r="A85" i="92"/>
  <c r="A86" i="92"/>
  <c r="A87" i="92"/>
  <c r="A88" i="92"/>
  <c r="A89" i="92"/>
  <c r="A90" i="92"/>
  <c r="A91" i="92"/>
  <c r="A92" i="92"/>
  <c r="A93" i="92"/>
  <c r="A94" i="92"/>
  <c r="A95" i="92"/>
  <c r="A96" i="92"/>
  <c r="A97" i="92"/>
  <c r="A98" i="92"/>
  <c r="A99" i="92"/>
  <c r="A100" i="92"/>
  <c r="A101" i="92"/>
  <c r="A102" i="92"/>
  <c r="A103" i="92"/>
  <c r="A104" i="92"/>
  <c r="A105" i="92"/>
  <c r="A106" i="92"/>
  <c r="A107" i="92"/>
  <c r="A108" i="92"/>
  <c r="A109" i="92"/>
  <c r="A110" i="92"/>
  <c r="A111" i="92"/>
  <c r="A112" i="92"/>
  <c r="A113" i="92"/>
  <c r="A114" i="92"/>
  <c r="A115" i="92"/>
  <c r="A116" i="92"/>
  <c r="A117" i="92"/>
  <c r="A118" i="92"/>
  <c r="A119" i="92"/>
  <c r="A120" i="92"/>
  <c r="A121" i="92"/>
  <c r="A122" i="92"/>
  <c r="A123" i="92"/>
  <c r="A124" i="92"/>
  <c r="A125" i="92"/>
  <c r="A126" i="92"/>
  <c r="A127" i="92"/>
  <c r="A128" i="92"/>
  <c r="A129" i="92"/>
  <c r="A130" i="92"/>
  <c r="A131" i="92"/>
  <c r="A132" i="92"/>
  <c r="A133" i="92"/>
  <c r="A134" i="92"/>
  <c r="A135" i="92"/>
  <c r="A136" i="92"/>
  <c r="A137" i="92"/>
  <c r="A138" i="92"/>
  <c r="A139" i="92"/>
  <c r="A140" i="92"/>
  <c r="A141" i="92"/>
  <c r="A142" i="92"/>
  <c r="A143" i="92"/>
  <c r="A144" i="92"/>
  <c r="A145" i="92"/>
  <c r="A146" i="92"/>
  <c r="A147" i="92"/>
  <c r="A148" i="92"/>
  <c r="A149" i="92"/>
  <c r="A150" i="92"/>
  <c r="A151" i="92"/>
  <c r="A152" i="92"/>
  <c r="A153" i="92"/>
  <c r="A154" i="92"/>
  <c r="A155" i="92"/>
  <c r="A156" i="92"/>
  <c r="A157" i="92"/>
  <c r="A158" i="92"/>
  <c r="A159" i="92"/>
  <c r="A160" i="92"/>
  <c r="A161" i="92"/>
  <c r="A162" i="92"/>
  <c r="A163" i="92"/>
  <c r="A164" i="92"/>
  <c r="A165" i="92"/>
  <c r="A166" i="92"/>
  <c r="A167" i="92"/>
  <c r="A168" i="92"/>
  <c r="A169" i="92"/>
  <c r="A170" i="92"/>
  <c r="A171" i="92"/>
  <c r="A172" i="92"/>
  <c r="A173" i="92"/>
  <c r="A174" i="92"/>
  <c r="A175" i="92"/>
  <c r="A176" i="92"/>
  <c r="A177" i="92"/>
  <c r="A178" i="92"/>
  <c r="A179" i="92"/>
  <c r="A180" i="92"/>
  <c r="A181" i="92"/>
  <c r="A182" i="92"/>
  <c r="A183" i="92"/>
  <c r="A184" i="92"/>
  <c r="A185" i="92"/>
  <c r="A186" i="92"/>
  <c r="A187" i="92"/>
  <c r="A188" i="92"/>
  <c r="A189" i="92"/>
  <c r="A190" i="92"/>
  <c r="A191" i="92"/>
  <c r="A192" i="92"/>
  <c r="A193" i="92"/>
  <c r="A194" i="92"/>
  <c r="A195" i="92"/>
  <c r="A196" i="92"/>
  <c r="A197" i="92"/>
  <c r="A198" i="92"/>
  <c r="A199" i="92"/>
  <c r="A200" i="92"/>
  <c r="A201" i="92"/>
  <c r="A202" i="92"/>
  <c r="A203" i="92"/>
  <c r="A204" i="92"/>
  <c r="A205" i="92"/>
  <c r="A206" i="92"/>
  <c r="A207" i="92"/>
  <c r="A208" i="92"/>
  <c r="A209" i="92"/>
  <c r="A210" i="92"/>
  <c r="A211" i="92"/>
  <c r="A212" i="92"/>
  <c r="A213" i="92"/>
  <c r="A214" i="92"/>
  <c r="A215" i="92"/>
  <c r="A216" i="92"/>
  <c r="A217" i="92"/>
  <c r="A218" i="92"/>
  <c r="A219" i="92"/>
  <c r="A220" i="92"/>
  <c r="A221" i="92"/>
  <c r="A222" i="92"/>
  <c r="A223" i="92"/>
  <c r="A224" i="92"/>
  <c r="A225" i="92"/>
  <c r="A226" i="92"/>
  <c r="A227" i="92"/>
  <c r="A228" i="92"/>
  <c r="A229" i="92"/>
  <c r="A230" i="92"/>
  <c r="A231" i="92"/>
  <c r="A232" i="92"/>
  <c r="A233" i="92"/>
  <c r="A234" i="92"/>
  <c r="A235" i="92"/>
  <c r="A236" i="92"/>
  <c r="A237" i="92"/>
  <c r="A238" i="92"/>
  <c r="A239" i="92"/>
  <c r="A240" i="92"/>
  <c r="A241" i="92"/>
  <c r="A242" i="92"/>
  <c r="A243" i="92"/>
  <c r="A244" i="92"/>
  <c r="A245" i="92"/>
  <c r="A246" i="92"/>
  <c r="A247" i="92"/>
  <c r="A248" i="92"/>
  <c r="A249" i="92"/>
  <c r="A250" i="92"/>
  <c r="A251" i="92"/>
  <c r="A252" i="92"/>
  <c r="A253" i="92"/>
  <c r="A254" i="92"/>
  <c r="A255" i="92"/>
  <c r="A256" i="92"/>
  <c r="A257" i="92"/>
  <c r="A258" i="92"/>
  <c r="A259" i="92"/>
  <c r="A260" i="92"/>
  <c r="A261" i="92"/>
  <c r="A262" i="92"/>
  <c r="A263" i="92"/>
  <c r="A264" i="92"/>
  <c r="A265" i="92"/>
  <c r="A266" i="92"/>
  <c r="A267" i="92"/>
  <c r="A268" i="92"/>
  <c r="A269" i="92"/>
  <c r="A270" i="92"/>
  <c r="A271" i="92"/>
  <c r="A272" i="92"/>
  <c r="A273" i="92"/>
  <c r="A274" i="92"/>
  <c r="A275" i="92"/>
  <c r="A276" i="92"/>
  <c r="A277" i="92"/>
  <c r="A278" i="92"/>
  <c r="A279" i="92"/>
  <c r="A280" i="92"/>
  <c r="A281" i="92"/>
  <c r="A282" i="92"/>
  <c r="A283" i="92"/>
  <c r="A284" i="92"/>
  <c r="A285" i="92"/>
  <c r="A286" i="92"/>
  <c r="A287" i="92"/>
  <c r="A288" i="92"/>
  <c r="A289" i="92"/>
  <c r="A290" i="92"/>
  <c r="A291" i="92"/>
  <c r="A292" i="92"/>
  <c r="A293" i="92"/>
  <c r="A294" i="92"/>
  <c r="A295" i="92"/>
  <c r="A296" i="92"/>
  <c r="A297" i="92"/>
  <c r="A298" i="92"/>
  <c r="A299" i="92"/>
  <c r="A300" i="92"/>
  <c r="A301" i="92"/>
  <c r="A302" i="92"/>
  <c r="A303" i="92"/>
  <c r="A304" i="92"/>
  <c r="A305" i="92"/>
  <c r="A306" i="92"/>
  <c r="A307" i="92"/>
  <c r="A308" i="92"/>
  <c r="A309" i="92"/>
  <c r="A310" i="92"/>
  <c r="A311" i="92"/>
  <c r="A312" i="92"/>
  <c r="A313" i="92"/>
  <c r="A314" i="92"/>
  <c r="A315" i="92"/>
  <c r="A316" i="92"/>
  <c r="A317" i="92"/>
  <c r="A318" i="92"/>
  <c r="A319" i="92"/>
  <c r="A320" i="92"/>
  <c r="A321" i="92"/>
  <c r="A322" i="92"/>
  <c r="A323" i="92"/>
  <c r="A324" i="92"/>
  <c r="A325" i="92"/>
  <c r="A326" i="92"/>
  <c r="A327" i="92"/>
  <c r="A328" i="92"/>
  <c r="A329" i="92"/>
  <c r="A330" i="92"/>
  <c r="A331" i="92"/>
  <c r="A332" i="92"/>
  <c r="A333" i="92"/>
  <c r="A334" i="92"/>
  <c r="A335" i="92"/>
  <c r="A336" i="92"/>
  <c r="A337" i="92"/>
  <c r="A338" i="92"/>
  <c r="A339" i="92"/>
  <c r="A340" i="92"/>
  <c r="A341" i="92"/>
  <c r="A342" i="92"/>
  <c r="A343" i="92"/>
  <c r="A344" i="92"/>
  <c r="A345" i="92"/>
  <c r="A346" i="92"/>
  <c r="A347" i="92"/>
  <c r="A348" i="92"/>
  <c r="A349" i="92"/>
  <c r="A350" i="92"/>
  <c r="A351" i="92"/>
  <c r="A352" i="92"/>
  <c r="A353" i="92"/>
  <c r="A354" i="92"/>
  <c r="A355" i="92"/>
  <c r="A356" i="92"/>
  <c r="A357" i="92"/>
  <c r="A358" i="92"/>
  <c r="A359" i="92"/>
  <c r="A360" i="92"/>
  <c r="A361" i="92"/>
  <c r="A362" i="92"/>
  <c r="A363" i="92"/>
  <c r="A364" i="92"/>
  <c r="A365" i="92"/>
  <c r="A366" i="92"/>
  <c r="A367" i="92"/>
  <c r="A368" i="92"/>
  <c r="A369" i="92"/>
  <c r="A370" i="92"/>
  <c r="A371" i="92"/>
  <c r="A372" i="92"/>
  <c r="A373" i="92"/>
  <c r="A374" i="92"/>
  <c r="A375" i="92"/>
  <c r="A376" i="92"/>
  <c r="A377" i="92"/>
  <c r="A378" i="92"/>
  <c r="A379" i="92"/>
  <c r="A380" i="92"/>
  <c r="A381" i="92"/>
  <c r="A382" i="92"/>
  <c r="A383" i="92"/>
  <c r="A384" i="92"/>
  <c r="A385" i="92"/>
  <c r="A386" i="92"/>
  <c r="A387" i="92"/>
  <c r="A388" i="92"/>
  <c r="A389" i="92"/>
  <c r="A390" i="92"/>
  <c r="A391" i="92"/>
  <c r="A392" i="92"/>
  <c r="A393" i="92"/>
  <c r="A394" i="92"/>
  <c r="A395" i="92"/>
  <c r="A396" i="92"/>
  <c r="A397" i="92"/>
  <c r="A398" i="92"/>
  <c r="A399" i="92"/>
  <c r="A400" i="92"/>
  <c r="A401" i="92"/>
  <c r="A402" i="92"/>
  <c r="A403" i="92"/>
  <c r="A404" i="92"/>
  <c r="A405" i="92"/>
  <c r="A406" i="92"/>
  <c r="A407" i="92"/>
  <c r="A408" i="92"/>
  <c r="A409" i="92"/>
  <c r="A410" i="92"/>
  <c r="A411" i="92"/>
  <c r="A412" i="92"/>
  <c r="A413" i="92"/>
  <c r="A414" i="92"/>
  <c r="A415" i="92"/>
  <c r="A416" i="92"/>
  <c r="A417" i="92"/>
  <c r="A418" i="92"/>
  <c r="A419" i="92"/>
  <c r="A420" i="92"/>
  <c r="A421" i="92"/>
  <c r="A422" i="92"/>
  <c r="A423" i="92"/>
  <c r="A424" i="92"/>
  <c r="A425" i="92"/>
  <c r="A426" i="92"/>
  <c r="A427" i="92"/>
  <c r="A428" i="92"/>
  <c r="A429" i="92"/>
  <c r="I7" i="38"/>
  <c r="G29" i="37" l="1"/>
  <c r="C314" i="60"/>
  <c r="C322" i="60"/>
  <c r="C239" i="60"/>
  <c r="C238" i="60"/>
  <c r="C199" i="60"/>
  <c r="C217" i="60"/>
  <c r="C218" i="60" s="1"/>
  <c r="E158" i="60"/>
  <c r="K2088" i="65"/>
  <c r="M443" i="92" s="1"/>
  <c r="I2088" i="65"/>
  <c r="L443" i="92" s="1"/>
  <c r="K1925" i="65"/>
  <c r="M362" i="92" s="1"/>
  <c r="I1925" i="65"/>
  <c r="L362" i="92" s="1"/>
  <c r="B5" i="60" l="1"/>
  <c r="C105" i="60"/>
  <c r="C313" i="60"/>
  <c r="F10" i="40"/>
  <c r="B50" i="20"/>
  <c r="B61" i="20"/>
  <c r="C230" i="60" l="1"/>
  <c r="C320" i="60"/>
  <c r="C38" i="60"/>
  <c r="C82" i="60"/>
  <c r="K1972" i="65"/>
  <c r="M388" i="92" s="1"/>
  <c r="I1972" i="65"/>
  <c r="L388" i="92" s="1"/>
  <c r="K1828" i="65"/>
  <c r="M333" i="92" s="1"/>
  <c r="I1828" i="65"/>
  <c r="L333" i="92" s="1"/>
  <c r="J56" i="20"/>
  <c r="C31" i="60"/>
  <c r="C95" i="60"/>
  <c r="C40" i="60"/>
  <c r="C126" i="60"/>
  <c r="C244" i="60"/>
  <c r="F47" i="1"/>
  <c r="B280" i="60" s="1"/>
  <c r="F82" i="60" l="1"/>
  <c r="C67" i="60"/>
  <c r="J24" i="78"/>
  <c r="J21" i="78"/>
  <c r="J19" i="78"/>
  <c r="J20" i="78"/>
  <c r="Q8" i="90" l="1"/>
  <c r="Q10" i="90"/>
  <c r="Q12" i="90"/>
  <c r="Q13" i="90"/>
  <c r="Q14" i="90"/>
  <c r="Q15" i="90"/>
  <c r="Q16" i="90"/>
  <c r="Q17" i="90"/>
  <c r="Q18" i="90"/>
  <c r="Q19" i="90"/>
  <c r="Q20" i="90"/>
  <c r="Q21" i="90"/>
  <c r="Q22" i="90"/>
  <c r="Q23" i="90"/>
  <c r="Q24" i="90"/>
  <c r="L17" i="78" s="1"/>
  <c r="Q25" i="90"/>
  <c r="Q26" i="90"/>
  <c r="Q27" i="90"/>
  <c r="L20" i="78" s="1"/>
  <c r="Q28" i="90"/>
  <c r="L21" i="78" s="1"/>
  <c r="Q30" i="90"/>
  <c r="Q31" i="90"/>
  <c r="L24" i="78" s="1"/>
  <c r="Q32" i="90"/>
  <c r="L25" i="78" s="1"/>
  <c r="Q33" i="90"/>
  <c r="Q34" i="90"/>
  <c r="Q35" i="90"/>
  <c r="Q38" i="90"/>
  <c r="Q7" i="90"/>
  <c r="P8" i="90"/>
  <c r="P10" i="90"/>
  <c r="P12" i="90"/>
  <c r="P13" i="90"/>
  <c r="P14" i="90"/>
  <c r="P15" i="90"/>
  <c r="P16" i="90"/>
  <c r="P17" i="90"/>
  <c r="P18" i="90"/>
  <c r="P19" i="90"/>
  <c r="P20" i="90"/>
  <c r="P21" i="90"/>
  <c r="P22" i="90"/>
  <c r="P23" i="90"/>
  <c r="P24" i="90"/>
  <c r="P25" i="90"/>
  <c r="P26" i="90"/>
  <c r="P27" i="90"/>
  <c r="P28" i="90"/>
  <c r="P30" i="90"/>
  <c r="P31" i="90"/>
  <c r="P32" i="90"/>
  <c r="P33" i="90"/>
  <c r="P34" i="90"/>
  <c r="P35" i="90"/>
  <c r="P38" i="90"/>
  <c r="P7" i="90"/>
  <c r="O115" i="98"/>
  <c r="N115" i="98"/>
  <c r="M115" i="98"/>
  <c r="L115" i="98"/>
  <c r="K115" i="98"/>
  <c r="J115" i="98"/>
  <c r="I115" i="98"/>
  <c r="H115" i="98"/>
  <c r="G115" i="98"/>
  <c r="F115" i="98"/>
  <c r="E115" i="98"/>
  <c r="D115" i="98"/>
  <c r="O114" i="98"/>
  <c r="O116" i="98" s="1"/>
  <c r="O117" i="98" s="1"/>
  <c r="N114" i="98"/>
  <c r="N116" i="98" s="1"/>
  <c r="N117" i="98" s="1"/>
  <c r="M114" i="98"/>
  <c r="M116" i="98" s="1"/>
  <c r="M117" i="98" s="1"/>
  <c r="L114" i="98"/>
  <c r="L116" i="98" s="1"/>
  <c r="L117" i="98" s="1"/>
  <c r="K114" i="98"/>
  <c r="K116" i="98" s="1"/>
  <c r="K117" i="98" s="1"/>
  <c r="J114" i="98"/>
  <c r="J116" i="98" s="1"/>
  <c r="J117" i="98" s="1"/>
  <c r="I114" i="98"/>
  <c r="I116" i="98" s="1"/>
  <c r="I117" i="98" s="1"/>
  <c r="H114" i="98"/>
  <c r="H116" i="98" s="1"/>
  <c r="H117" i="98" s="1"/>
  <c r="G114" i="98"/>
  <c r="G116" i="98" s="1"/>
  <c r="G117" i="98" s="1"/>
  <c r="F114" i="98"/>
  <c r="F116" i="98" s="1"/>
  <c r="F117" i="98" s="1"/>
  <c r="E114" i="98"/>
  <c r="E116" i="98" s="1"/>
  <c r="E117" i="98" s="1"/>
  <c r="D114" i="98"/>
  <c r="D116" i="98" s="1"/>
  <c r="D117" i="98" s="1"/>
  <c r="O109" i="98"/>
  <c r="N109" i="98"/>
  <c r="M109" i="98"/>
  <c r="L109" i="98"/>
  <c r="K109" i="98"/>
  <c r="J109" i="98"/>
  <c r="I109" i="98"/>
  <c r="H109" i="98"/>
  <c r="G109" i="98"/>
  <c r="F108" i="98"/>
  <c r="D108" i="98"/>
  <c r="E108" i="98" s="1"/>
  <c r="C103" i="98"/>
  <c r="G96" i="98"/>
  <c r="E96" i="98"/>
  <c r="D96" i="98"/>
  <c r="C96" i="98"/>
  <c r="G95" i="98"/>
  <c r="E95" i="98"/>
  <c r="D95" i="98"/>
  <c r="C95" i="98"/>
  <c r="G94" i="98"/>
  <c r="E94" i="98"/>
  <c r="D94" i="98"/>
  <c r="C94" i="98"/>
  <c r="E93" i="98"/>
  <c r="D93" i="98"/>
  <c r="C93" i="98"/>
  <c r="C92" i="98"/>
  <c r="O88" i="98"/>
  <c r="N88" i="98"/>
  <c r="M88" i="98"/>
  <c r="L88" i="98"/>
  <c r="K88" i="98"/>
  <c r="J88" i="98"/>
  <c r="I88" i="98"/>
  <c r="H88" i="98"/>
  <c r="G88" i="98"/>
  <c r="F88" i="98"/>
  <c r="E88" i="98"/>
  <c r="D88" i="98"/>
  <c r="I80" i="98"/>
  <c r="H80" i="98"/>
  <c r="G80" i="98"/>
  <c r="O79" i="98"/>
  <c r="I79" i="98"/>
  <c r="H79" i="98"/>
  <c r="G79" i="98"/>
  <c r="D79" i="98"/>
  <c r="O78" i="98"/>
  <c r="N78" i="98"/>
  <c r="M78" i="98"/>
  <c r="L78" i="98"/>
  <c r="K78" i="98"/>
  <c r="J78" i="98"/>
  <c r="I78" i="98"/>
  <c r="H78" i="98"/>
  <c r="G78" i="98"/>
  <c r="D78" i="98"/>
  <c r="O77" i="98"/>
  <c r="N77" i="98"/>
  <c r="M77" i="98"/>
  <c r="L77" i="98"/>
  <c r="K77" i="98"/>
  <c r="J77" i="98"/>
  <c r="I77" i="98"/>
  <c r="H77" i="98"/>
  <c r="G77" i="98"/>
  <c r="D77" i="98"/>
  <c r="O76" i="98"/>
  <c r="O81" i="98" s="1"/>
  <c r="N76" i="98"/>
  <c r="N81" i="98" s="1"/>
  <c r="M76" i="98"/>
  <c r="M81" i="98" s="1"/>
  <c r="L76" i="98"/>
  <c r="L81" i="98" s="1"/>
  <c r="K76" i="98"/>
  <c r="K81" i="98" s="1"/>
  <c r="J76" i="98"/>
  <c r="J81" i="98" s="1"/>
  <c r="I76" i="98"/>
  <c r="H76" i="98"/>
  <c r="G76" i="98"/>
  <c r="F76" i="98"/>
  <c r="E76" i="98"/>
  <c r="E81" i="98" s="1"/>
  <c r="D76" i="98"/>
  <c r="D81" i="98" s="1"/>
  <c r="C76" i="98"/>
  <c r="B76" i="98"/>
  <c r="O73" i="98"/>
  <c r="N73" i="98"/>
  <c r="M73" i="98"/>
  <c r="L73" i="98"/>
  <c r="K73" i="98"/>
  <c r="J73" i="98"/>
  <c r="I73" i="98"/>
  <c r="H73" i="98"/>
  <c r="G73" i="98"/>
  <c r="E73" i="98"/>
  <c r="D73" i="98"/>
  <c r="C73" i="98"/>
  <c r="B73" i="98"/>
  <c r="O72" i="98"/>
  <c r="N72" i="98"/>
  <c r="M72" i="98"/>
  <c r="L72" i="98"/>
  <c r="K72" i="98"/>
  <c r="J72" i="98"/>
  <c r="I72" i="98"/>
  <c r="H72" i="98"/>
  <c r="G72" i="98"/>
  <c r="E72" i="98"/>
  <c r="D72" i="98"/>
  <c r="C72" i="98"/>
  <c r="B72" i="98"/>
  <c r="O71" i="98"/>
  <c r="N71" i="98"/>
  <c r="M71" i="98"/>
  <c r="L71" i="98"/>
  <c r="J71" i="98"/>
  <c r="I71" i="98"/>
  <c r="H71" i="98"/>
  <c r="G71" i="98"/>
  <c r="E71" i="98"/>
  <c r="D71" i="98"/>
  <c r="O70" i="98"/>
  <c r="N70" i="98"/>
  <c r="M70" i="98"/>
  <c r="L70" i="98"/>
  <c r="K70" i="98"/>
  <c r="J70" i="98"/>
  <c r="I70" i="98"/>
  <c r="H70" i="98"/>
  <c r="G70" i="98"/>
  <c r="E70" i="98"/>
  <c r="D70" i="98"/>
  <c r="O69" i="98"/>
  <c r="N69" i="98"/>
  <c r="M69" i="98"/>
  <c r="L69" i="98"/>
  <c r="K69" i="98"/>
  <c r="D69" i="98"/>
  <c r="C69" i="98"/>
  <c r="B69" i="98"/>
  <c r="O68" i="98"/>
  <c r="N68" i="98"/>
  <c r="M68" i="98"/>
  <c r="L68" i="98"/>
  <c r="K68" i="98"/>
  <c r="J68" i="98"/>
  <c r="I68" i="98"/>
  <c r="H68" i="98"/>
  <c r="G68" i="98"/>
  <c r="E68" i="98"/>
  <c r="D68" i="98"/>
  <c r="O67" i="98"/>
  <c r="N67" i="98"/>
  <c r="M67" i="98"/>
  <c r="L67" i="98"/>
  <c r="K67" i="98"/>
  <c r="J67" i="98"/>
  <c r="I67" i="98"/>
  <c r="H67" i="98"/>
  <c r="G67" i="98"/>
  <c r="E67" i="98"/>
  <c r="D67" i="98"/>
  <c r="O66" i="98"/>
  <c r="N66" i="98"/>
  <c r="M66" i="98"/>
  <c r="L66" i="98"/>
  <c r="K66" i="98"/>
  <c r="J66" i="98"/>
  <c r="I66" i="98"/>
  <c r="H66" i="98"/>
  <c r="G66" i="98"/>
  <c r="E66" i="98"/>
  <c r="D66" i="98"/>
  <c r="O65" i="98"/>
  <c r="N65" i="98"/>
  <c r="M65" i="98"/>
  <c r="L65" i="98"/>
  <c r="K65" i="98"/>
  <c r="J65" i="98"/>
  <c r="I65" i="98"/>
  <c r="H65" i="98"/>
  <c r="G65" i="98"/>
  <c r="E65" i="98"/>
  <c r="D65" i="98"/>
  <c r="O64" i="98"/>
  <c r="O96" i="98" s="1"/>
  <c r="N64" i="98"/>
  <c r="N96" i="98" s="1"/>
  <c r="M64" i="98"/>
  <c r="M96" i="98" s="1"/>
  <c r="L64" i="98"/>
  <c r="L96" i="98" s="1"/>
  <c r="K64" i="98"/>
  <c r="K96" i="98" s="1"/>
  <c r="J64" i="98"/>
  <c r="J96" i="98" s="1"/>
  <c r="I64" i="98"/>
  <c r="I96" i="98" s="1"/>
  <c r="H64" i="98"/>
  <c r="H96" i="98" s="1"/>
  <c r="G64" i="98"/>
  <c r="E64" i="98"/>
  <c r="D64" i="98"/>
  <c r="O63" i="98"/>
  <c r="N63" i="98"/>
  <c r="M63" i="98"/>
  <c r="L63" i="98"/>
  <c r="K63" i="98"/>
  <c r="J63" i="98"/>
  <c r="I63" i="98"/>
  <c r="I95" i="98" s="1"/>
  <c r="H63" i="98"/>
  <c r="H95" i="98" s="1"/>
  <c r="G63" i="98"/>
  <c r="E63" i="98"/>
  <c r="D63" i="98"/>
  <c r="O62" i="98"/>
  <c r="N62" i="98"/>
  <c r="M62" i="98"/>
  <c r="L62" i="98"/>
  <c r="K62" i="98"/>
  <c r="J62" i="98"/>
  <c r="I62" i="98"/>
  <c r="H62" i="98"/>
  <c r="G62" i="98"/>
  <c r="E62" i="98"/>
  <c r="D62" i="98"/>
  <c r="O61" i="98"/>
  <c r="O95" i="98" s="1"/>
  <c r="N61" i="98"/>
  <c r="N95" i="98" s="1"/>
  <c r="M61" i="98"/>
  <c r="M95" i="98" s="1"/>
  <c r="L61" i="98"/>
  <c r="L95" i="98" s="1"/>
  <c r="K61" i="98"/>
  <c r="K95" i="98" s="1"/>
  <c r="J61" i="98"/>
  <c r="J95" i="98" s="1"/>
  <c r="I61" i="98"/>
  <c r="H61" i="98"/>
  <c r="G61" i="98"/>
  <c r="E61" i="98"/>
  <c r="D61" i="98"/>
  <c r="O60" i="98"/>
  <c r="O94" i="98" s="1"/>
  <c r="N60" i="98"/>
  <c r="N94" i="98" s="1"/>
  <c r="M60" i="98"/>
  <c r="M94" i="98" s="1"/>
  <c r="L60" i="98"/>
  <c r="L94" i="98" s="1"/>
  <c r="K60" i="98"/>
  <c r="K94" i="98" s="1"/>
  <c r="J60" i="98"/>
  <c r="J94" i="98" s="1"/>
  <c r="I60" i="98"/>
  <c r="I94" i="98" s="1"/>
  <c r="H60" i="98"/>
  <c r="H94" i="98" s="1"/>
  <c r="G60" i="98"/>
  <c r="E60" i="98"/>
  <c r="D60" i="98"/>
  <c r="O59" i="98"/>
  <c r="O93" i="98" s="1"/>
  <c r="N59" i="98"/>
  <c r="N74" i="98" s="1"/>
  <c r="M59" i="98"/>
  <c r="M74" i="98" s="1"/>
  <c r="L59" i="98"/>
  <c r="L93" i="98" s="1"/>
  <c r="K59" i="98"/>
  <c r="J59" i="98"/>
  <c r="I59" i="98"/>
  <c r="I93" i="98" s="1"/>
  <c r="H59" i="98"/>
  <c r="G59" i="98"/>
  <c r="G74" i="98" s="1"/>
  <c r="E59" i="98"/>
  <c r="E74" i="98" s="1"/>
  <c r="D59" i="98"/>
  <c r="D74" i="98" s="1"/>
  <c r="N56" i="98"/>
  <c r="M56" i="98"/>
  <c r="K56" i="98"/>
  <c r="J56" i="98"/>
  <c r="H56" i="98"/>
  <c r="G56" i="98"/>
  <c r="E56" i="98"/>
  <c r="D56" i="98"/>
  <c r="O54" i="98"/>
  <c r="N54" i="98"/>
  <c r="M54" i="98"/>
  <c r="L54" i="98"/>
  <c r="K54" i="98"/>
  <c r="J54" i="98"/>
  <c r="I54" i="98"/>
  <c r="H54" i="98"/>
  <c r="G54" i="98"/>
  <c r="E54" i="98"/>
  <c r="D54" i="98"/>
  <c r="O53" i="98"/>
  <c r="O55" i="98" s="1"/>
  <c r="N53" i="98"/>
  <c r="N55" i="98" s="1"/>
  <c r="N57" i="98" s="1"/>
  <c r="M53" i="98"/>
  <c r="M55" i="98" s="1"/>
  <c r="M57" i="98" s="1"/>
  <c r="L53" i="98"/>
  <c r="L55" i="98" s="1"/>
  <c r="K53" i="98"/>
  <c r="K55" i="98" s="1"/>
  <c r="K57" i="98" s="1"/>
  <c r="J53" i="98"/>
  <c r="J55" i="98" s="1"/>
  <c r="J57" i="98" s="1"/>
  <c r="I53" i="98"/>
  <c r="I55" i="98" s="1"/>
  <c r="H53" i="98"/>
  <c r="H55" i="98" s="1"/>
  <c r="H57" i="98" s="1"/>
  <c r="G53" i="98"/>
  <c r="G55" i="98" s="1"/>
  <c r="G57" i="98" s="1"/>
  <c r="E53" i="98"/>
  <c r="E55" i="98" s="1"/>
  <c r="E57" i="98" s="1"/>
  <c r="E83" i="98" s="1"/>
  <c r="D53" i="98"/>
  <c r="D55" i="98" s="1"/>
  <c r="D57" i="98" s="1"/>
  <c r="D45" i="98"/>
  <c r="C45" i="98"/>
  <c r="C39" i="98"/>
  <c r="O35" i="98"/>
  <c r="N35" i="98"/>
  <c r="M35" i="98"/>
  <c r="L35" i="98"/>
  <c r="K35" i="98"/>
  <c r="J35" i="98"/>
  <c r="I35" i="98"/>
  <c r="P35" i="98" s="1"/>
  <c r="H35" i="98"/>
  <c r="G35" i="98"/>
  <c r="E35" i="98"/>
  <c r="D35" i="98"/>
  <c r="F34" i="98"/>
  <c r="F80" i="98" s="1"/>
  <c r="F33" i="98"/>
  <c r="F79" i="98" s="1"/>
  <c r="F32" i="98"/>
  <c r="F78" i="98" s="1"/>
  <c r="F31" i="98"/>
  <c r="O28" i="98"/>
  <c r="N28" i="98"/>
  <c r="M28" i="98"/>
  <c r="L28" i="98"/>
  <c r="K28" i="98"/>
  <c r="J28" i="98"/>
  <c r="I28" i="98"/>
  <c r="P28" i="98" s="1"/>
  <c r="H28" i="98"/>
  <c r="G28" i="98"/>
  <c r="E28" i="98"/>
  <c r="D28" i="98"/>
  <c r="F27" i="98"/>
  <c r="F73" i="98" s="1"/>
  <c r="F26" i="98"/>
  <c r="F72" i="98" s="1"/>
  <c r="F25" i="98"/>
  <c r="F71" i="98" s="1"/>
  <c r="F24" i="98"/>
  <c r="F70" i="98" s="1"/>
  <c r="F23" i="98"/>
  <c r="F69" i="98" s="1"/>
  <c r="F22" i="98"/>
  <c r="F68" i="98" s="1"/>
  <c r="F21" i="98"/>
  <c r="F67" i="98" s="1"/>
  <c r="F20" i="98"/>
  <c r="F66" i="98" s="1"/>
  <c r="F19" i="98"/>
  <c r="F65" i="98" s="1"/>
  <c r="F18" i="98"/>
  <c r="F64" i="98" s="1"/>
  <c r="F96" i="98" s="1"/>
  <c r="F17" i="98"/>
  <c r="F63" i="98" s="1"/>
  <c r="F95" i="98" s="1"/>
  <c r="F16" i="98"/>
  <c r="F62" i="98" s="1"/>
  <c r="F15" i="98"/>
  <c r="F61" i="98" s="1"/>
  <c r="F14" i="98"/>
  <c r="F60" i="98" s="1"/>
  <c r="F94" i="98" s="1"/>
  <c r="F13" i="98"/>
  <c r="F28" i="98" s="1"/>
  <c r="O10" i="98"/>
  <c r="O56" i="98" s="1"/>
  <c r="L10" i="98"/>
  <c r="L56" i="98" s="1"/>
  <c r="I56" i="98"/>
  <c r="F10" i="98"/>
  <c r="F56" i="98" s="1"/>
  <c r="O9" i="98"/>
  <c r="N9" i="98"/>
  <c r="N11" i="98" s="1"/>
  <c r="N36" i="98" s="1"/>
  <c r="N38" i="98" s="1"/>
  <c r="N39" i="98" s="1"/>
  <c r="M9" i="98"/>
  <c r="M11" i="98" s="1"/>
  <c r="M36" i="98" s="1"/>
  <c r="M38" i="98" s="1"/>
  <c r="M39" i="98" s="1"/>
  <c r="L9" i="98"/>
  <c r="L11" i="98" s="1"/>
  <c r="L36" i="98" s="1"/>
  <c r="L38" i="98" s="1"/>
  <c r="L39" i="98" s="1"/>
  <c r="K9" i="98"/>
  <c r="K11" i="98" s="1"/>
  <c r="K36" i="98" s="1"/>
  <c r="K38" i="98" s="1"/>
  <c r="K39" i="98" s="1"/>
  <c r="J9" i="98"/>
  <c r="J11" i="98" s="1"/>
  <c r="J36" i="98" s="1"/>
  <c r="J38" i="98" s="1"/>
  <c r="J39" i="98" s="1"/>
  <c r="I11" i="98"/>
  <c r="J8" i="78" s="1"/>
  <c r="J10" i="78" s="1"/>
  <c r="J26" i="78" s="1"/>
  <c r="H9" i="98"/>
  <c r="H11" i="98" s="1"/>
  <c r="H36" i="98" s="1"/>
  <c r="H38" i="98" s="1"/>
  <c r="H39" i="98" s="1"/>
  <c r="G9" i="98"/>
  <c r="G11" i="98" s="1"/>
  <c r="G36" i="98" s="1"/>
  <c r="G38" i="98" s="1"/>
  <c r="G39" i="98" s="1"/>
  <c r="E9" i="98"/>
  <c r="E11" i="98" s="1"/>
  <c r="E36" i="98" s="1"/>
  <c r="D9" i="98"/>
  <c r="D11" i="98" s="1"/>
  <c r="D36" i="98" s="1"/>
  <c r="F8" i="98"/>
  <c r="F54" i="98" s="1"/>
  <c r="F7" i="98"/>
  <c r="F53" i="98" l="1"/>
  <c r="F55" i="98" s="1"/>
  <c r="F9" i="98"/>
  <c r="F11" i="98" s="1"/>
  <c r="F77" i="98"/>
  <c r="F81" i="98" s="1"/>
  <c r="F35" i="98"/>
  <c r="L57" i="98"/>
  <c r="O57" i="98"/>
  <c r="H74" i="98"/>
  <c r="H93" i="98"/>
  <c r="J74" i="98"/>
  <c r="J93" i="98"/>
  <c r="K74" i="98"/>
  <c r="K93" i="98"/>
  <c r="G81" i="98"/>
  <c r="H81" i="98"/>
  <c r="C97" i="98"/>
  <c r="C99" i="98" s="1"/>
  <c r="C105" i="98" s="1"/>
  <c r="D101" i="98" s="1"/>
  <c r="D103" i="98" s="1"/>
  <c r="L19" i="78"/>
  <c r="L14" i="78"/>
  <c r="I57" i="98"/>
  <c r="I81" i="98"/>
  <c r="I74" i="98"/>
  <c r="I36" i="98"/>
  <c r="P11" i="98"/>
  <c r="E110" i="98"/>
  <c r="E84" i="98"/>
  <c r="E109" i="98" s="1"/>
  <c r="H83" i="98"/>
  <c r="M83" i="98"/>
  <c r="M85" i="98" s="1"/>
  <c r="N83" i="98"/>
  <c r="N85" i="98" s="1"/>
  <c r="P57" i="98"/>
  <c r="G83" i="98"/>
  <c r="K83" i="98"/>
  <c r="K85" i="98" s="1"/>
  <c r="F57" i="98"/>
  <c r="P55" i="98"/>
  <c r="E37" i="98"/>
  <c r="E38" i="98"/>
  <c r="E39" i="98" s="1"/>
  <c r="F36" i="98"/>
  <c r="D83" i="98"/>
  <c r="J83" i="98"/>
  <c r="J85" i="98" s="1"/>
  <c r="D37" i="98"/>
  <c r="D38" i="98" s="1"/>
  <c r="D39" i="98" s="1"/>
  <c r="D47" i="98" s="1"/>
  <c r="E42" i="98" s="1"/>
  <c r="F59" i="98"/>
  <c r="N93" i="98"/>
  <c r="L74" i="98"/>
  <c r="L83" i="98" s="1"/>
  <c r="L85" i="98" s="1"/>
  <c r="O74" i="98"/>
  <c r="O83" i="98" s="1"/>
  <c r="O85" i="98" s="1"/>
  <c r="M93" i="98"/>
  <c r="O11" i="98"/>
  <c r="O36" i="98" s="1"/>
  <c r="O38" i="98" s="1"/>
  <c r="O39" i="98" s="1"/>
  <c r="P81" i="98" l="1"/>
  <c r="I83" i="98"/>
  <c r="I85" i="98" s="1"/>
  <c r="I38" i="98"/>
  <c r="P36" i="98"/>
  <c r="O87" i="98"/>
  <c r="O86" i="98"/>
  <c r="L87" i="98"/>
  <c r="L86" i="98"/>
  <c r="E45" i="98"/>
  <c r="F42" i="98"/>
  <c r="D84" i="98"/>
  <c r="D109" i="98" s="1"/>
  <c r="D85" i="98"/>
  <c r="D110" i="98"/>
  <c r="E47" i="98"/>
  <c r="J87" i="98"/>
  <c r="J86" i="98"/>
  <c r="F37" i="98"/>
  <c r="F38" i="98"/>
  <c r="F39" i="98" s="1"/>
  <c r="M87" i="98"/>
  <c r="M86" i="98"/>
  <c r="F93" i="98"/>
  <c r="F74" i="98"/>
  <c r="P74" i="98" s="1"/>
  <c r="H85" i="98"/>
  <c r="F83" i="98"/>
  <c r="K87" i="98"/>
  <c r="K86" i="98"/>
  <c r="N86" i="98"/>
  <c r="N87" i="98"/>
  <c r="G85" i="98"/>
  <c r="G108" i="98"/>
  <c r="E85" i="98"/>
  <c r="G110" i="98" l="1"/>
  <c r="H108" i="98"/>
  <c r="I39" i="98"/>
  <c r="P39" i="98" s="1"/>
  <c r="P38" i="98"/>
  <c r="I87" i="98"/>
  <c r="I86" i="98"/>
  <c r="E87" i="98"/>
  <c r="E86" i="98"/>
  <c r="J89" i="98"/>
  <c r="J118" i="98"/>
  <c r="P83" i="98"/>
  <c r="F84" i="98"/>
  <c r="F85" i="98" s="1"/>
  <c r="H86" i="98"/>
  <c r="H87" i="98"/>
  <c r="D87" i="98"/>
  <c r="D86" i="98"/>
  <c r="F45" i="98"/>
  <c r="G42" i="98"/>
  <c r="G87" i="98"/>
  <c r="G86" i="98"/>
  <c r="M118" i="98"/>
  <c r="M89" i="98"/>
  <c r="L118" i="98"/>
  <c r="L89" i="98"/>
  <c r="N118" i="98"/>
  <c r="N89" i="98"/>
  <c r="K89" i="98"/>
  <c r="K118" i="98"/>
  <c r="F47" i="98"/>
  <c r="O118" i="98"/>
  <c r="O89" i="98"/>
  <c r="F87" i="98" l="1"/>
  <c r="F86" i="98"/>
  <c r="F89" i="98" s="1"/>
  <c r="H110" i="98"/>
  <c r="I108" i="98"/>
  <c r="F109" i="98"/>
  <c r="F110" i="98" s="1"/>
  <c r="P84" i="98"/>
  <c r="G89" i="98"/>
  <c r="G118" i="98"/>
  <c r="H89" i="98"/>
  <c r="H118" i="98"/>
  <c r="L120" i="98"/>
  <c r="L92" i="98"/>
  <c r="L97" i="98" s="1"/>
  <c r="L99" i="98" s="1"/>
  <c r="N120" i="98"/>
  <c r="N92" i="98"/>
  <c r="N97" i="98" s="1"/>
  <c r="N99" i="98" s="1"/>
  <c r="O120" i="98"/>
  <c r="O92" i="98"/>
  <c r="O97" i="98" s="1"/>
  <c r="O99" i="98" s="1"/>
  <c r="G45" i="98"/>
  <c r="G47" i="98" s="1"/>
  <c r="H42" i="98"/>
  <c r="H45" i="98" s="1"/>
  <c r="J92" i="98"/>
  <c r="J97" i="98" s="1"/>
  <c r="J120" i="98"/>
  <c r="M120" i="98"/>
  <c r="M92" i="98"/>
  <c r="M97" i="98" s="1"/>
  <c r="M99" i="98" s="1"/>
  <c r="J99" i="98"/>
  <c r="I118" i="98"/>
  <c r="I89" i="98"/>
  <c r="K120" i="98"/>
  <c r="K92" i="98"/>
  <c r="K97" i="98" s="1"/>
  <c r="K99" i="98" s="1"/>
  <c r="D89" i="98"/>
  <c r="D118" i="98"/>
  <c r="E89" i="98"/>
  <c r="E118" i="98"/>
  <c r="J108" i="98" l="1"/>
  <c r="I110" i="98"/>
  <c r="H120" i="98"/>
  <c r="H92" i="98"/>
  <c r="H97" i="98" s="1"/>
  <c r="E92" i="98"/>
  <c r="E97" i="98" s="1"/>
  <c r="E99" i="98" s="1"/>
  <c r="E120" i="98"/>
  <c r="I42" i="98"/>
  <c r="I45" i="98" s="1"/>
  <c r="H47" i="98"/>
  <c r="H99" i="98"/>
  <c r="P85" i="98"/>
  <c r="G92" i="98"/>
  <c r="G97" i="98" s="1"/>
  <c r="G120" i="98"/>
  <c r="D92" i="98"/>
  <c r="D97" i="98" s="1"/>
  <c r="D99" i="98" s="1"/>
  <c r="D105" i="98" s="1"/>
  <c r="E101" i="98" s="1"/>
  <c r="D120" i="98"/>
  <c r="G99" i="98"/>
  <c r="I92" i="98"/>
  <c r="I97" i="98" s="1"/>
  <c r="I120" i="98"/>
  <c r="K108" i="98" l="1"/>
  <c r="J110" i="98"/>
  <c r="I99" i="98"/>
  <c r="J28" i="78"/>
  <c r="E103" i="98"/>
  <c r="E105" i="98" s="1"/>
  <c r="F101" i="98"/>
  <c r="F103" i="98" s="1"/>
  <c r="G101" i="98" s="1"/>
  <c r="G103" i="98" s="1"/>
  <c r="H101" i="98" s="1"/>
  <c r="H103" i="98" s="1"/>
  <c r="I101" i="98" s="1"/>
  <c r="I103" i="98" s="1"/>
  <c r="J101" i="98" s="1"/>
  <c r="J103" i="98" s="1"/>
  <c r="J42" i="98"/>
  <c r="J45" i="98" s="1"/>
  <c r="I47" i="98"/>
  <c r="F118" i="98"/>
  <c r="L108" i="98" l="1"/>
  <c r="K110" i="98"/>
  <c r="K101" i="98"/>
  <c r="K103" i="98" s="1"/>
  <c r="J105" i="98"/>
  <c r="G105" i="98"/>
  <c r="F92" i="98"/>
  <c r="F97" i="98" s="1"/>
  <c r="J30" i="78" s="1"/>
  <c r="F120" i="98"/>
  <c r="K42" i="98"/>
  <c r="K45" i="98" s="1"/>
  <c r="J47" i="98"/>
  <c r="F99" i="98"/>
  <c r="F105" i="98" s="1"/>
  <c r="H105" i="98"/>
  <c r="I105" i="98"/>
  <c r="M108" i="98" l="1"/>
  <c r="L110" i="98"/>
  <c r="J32" i="78"/>
  <c r="N30" i="78"/>
  <c r="L101" i="98"/>
  <c r="L103" i="98" s="1"/>
  <c r="K105" i="98"/>
  <c r="L42" i="98"/>
  <c r="L45" i="98" s="1"/>
  <c r="K47" i="98"/>
  <c r="N108" i="98" l="1"/>
  <c r="M110" i="98"/>
  <c r="M42" i="98"/>
  <c r="L47" i="98"/>
  <c r="M101" i="98"/>
  <c r="L105" i="98"/>
  <c r="O108" i="98" l="1"/>
  <c r="N110" i="98"/>
  <c r="O110" i="98" s="1"/>
  <c r="M45" i="98"/>
  <c r="M47" i="98" s="1"/>
  <c r="N42" i="98"/>
  <c r="M103" i="98"/>
  <c r="M105" i="98" s="1"/>
  <c r="N101" i="98"/>
  <c r="N103" i="98" l="1"/>
  <c r="N105" i="98" s="1"/>
  <c r="O101" i="98"/>
  <c r="O103" i="98" s="1"/>
  <c r="O105" i="98" s="1"/>
  <c r="N45" i="98"/>
  <c r="N47" i="98" s="1"/>
  <c r="O42" i="98"/>
  <c r="O45" i="98" s="1"/>
  <c r="O47" i="98" s="1"/>
  <c r="C266" i="60" l="1"/>
  <c r="C63" i="60" l="1"/>
  <c r="D206" i="95" l="1"/>
  <c r="E46" i="96"/>
  <c r="E49" i="96" s="1"/>
  <c r="I2" i="92"/>
  <c r="H2" i="92"/>
  <c r="G2" i="92"/>
  <c r="F2" i="92"/>
  <c r="E2" i="92"/>
  <c r="C34" i="60"/>
  <c r="C87" i="60" l="1"/>
  <c r="C33" i="60"/>
  <c r="C28" i="60"/>
  <c r="C35" i="60"/>
  <c r="C85" i="60"/>
  <c r="C44" i="60"/>
  <c r="C64" i="60"/>
  <c r="F64" i="60" l="1"/>
  <c r="G157" i="60"/>
  <c r="E32" i="60"/>
  <c r="E31" i="60"/>
  <c r="D16" i="40" l="1"/>
  <c r="F24" i="40"/>
  <c r="F23" i="40"/>
  <c r="D17" i="40"/>
  <c r="K2087" i="65"/>
  <c r="M442" i="92" s="1"/>
  <c r="I2087" i="65"/>
  <c r="L442" i="92" s="1"/>
  <c r="K1924" i="65"/>
  <c r="M361" i="92" s="1"/>
  <c r="I1924" i="65"/>
  <c r="L361" i="92" s="1"/>
  <c r="K1578" i="65"/>
  <c r="M251" i="92" s="1"/>
  <c r="I1578" i="65"/>
  <c r="L251" i="92" s="1"/>
  <c r="D15" i="40" l="1"/>
  <c r="C104" i="60"/>
  <c r="C243" i="60"/>
  <c r="C88" i="60" l="1"/>
  <c r="C32" i="60"/>
  <c r="C68" i="60"/>
  <c r="F34" i="1"/>
  <c r="F68" i="60" l="1"/>
  <c r="F69" i="60"/>
  <c r="F85" i="60"/>
  <c r="F67" i="60"/>
  <c r="F87" i="60"/>
  <c r="F88" i="60"/>
  <c r="E62" i="60"/>
  <c r="E64" i="60"/>
  <c r="E43" i="60"/>
  <c r="E46" i="60"/>
  <c r="E42" i="60"/>
  <c r="E41" i="60"/>
  <c r="E40" i="60"/>
  <c r="E39" i="60"/>
  <c r="E38" i="60"/>
  <c r="E37" i="60"/>
  <c r="E34" i="60"/>
  <c r="E33" i="60"/>
  <c r="E28" i="60"/>
  <c r="B302" i="60"/>
  <c r="E242" i="60"/>
  <c r="C180" i="60"/>
  <c r="C174" i="60"/>
  <c r="C178" i="60" s="1"/>
  <c r="C149" i="60"/>
  <c r="G145" i="60"/>
  <c r="B145" i="60"/>
  <c r="E124" i="60"/>
  <c r="E20" i="60"/>
  <c r="D50" i="20"/>
  <c r="C65" i="60"/>
  <c r="E139" i="60"/>
  <c r="Q12" i="79" l="1"/>
  <c r="Q13" i="79"/>
  <c r="Q14" i="79"/>
  <c r="Q15" i="79"/>
  <c r="Q16" i="79"/>
  <c r="Q17" i="79"/>
  <c r="Q18" i="79"/>
  <c r="Q19" i="79"/>
  <c r="Q20" i="79"/>
  <c r="Q21" i="79"/>
  <c r="Q22" i="79"/>
  <c r="Q23" i="79"/>
  <c r="Q24" i="79"/>
  <c r="Q25" i="79"/>
  <c r="Q26" i="79"/>
  <c r="Q27" i="79"/>
  <c r="Q28" i="79"/>
  <c r="Q30" i="79"/>
  <c r="Q31" i="79"/>
  <c r="Q32" i="79"/>
  <c r="Q33" i="79"/>
  <c r="Q34" i="79"/>
  <c r="Q35" i="79"/>
  <c r="Q41" i="79"/>
  <c r="Q42" i="79"/>
  <c r="Q44" i="79"/>
  <c r="Q45" i="79"/>
  <c r="Q47" i="79"/>
  <c r="Q49" i="79"/>
  <c r="Q50" i="79"/>
  <c r="Q51" i="79"/>
  <c r="Q52" i="79"/>
  <c r="Q53" i="79"/>
  <c r="Q59" i="79"/>
  <c r="Q77" i="79"/>
  <c r="Q84" i="79"/>
  <c r="Q92" i="79"/>
  <c r="Q93" i="79"/>
  <c r="Q94" i="79"/>
  <c r="Q95" i="79"/>
  <c r="Q96" i="79"/>
  <c r="Q97" i="79"/>
  <c r="Q98" i="79"/>
  <c r="Q100" i="79"/>
  <c r="Q102" i="79"/>
  <c r="Q104" i="79"/>
  <c r="Q106" i="79"/>
  <c r="Q108" i="79"/>
  <c r="Q109" i="79"/>
  <c r="Q113" i="79"/>
  <c r="Q114" i="79"/>
  <c r="Q115" i="79"/>
  <c r="Q116" i="79"/>
  <c r="Q117" i="79"/>
  <c r="Q118" i="79"/>
  <c r="Q121" i="79"/>
  <c r="Q123" i="79"/>
  <c r="P12" i="79"/>
  <c r="P13" i="79"/>
  <c r="P14" i="79"/>
  <c r="P15" i="79"/>
  <c r="P16" i="79"/>
  <c r="P17" i="79"/>
  <c r="P18" i="79"/>
  <c r="P19" i="79"/>
  <c r="P20" i="79"/>
  <c r="P21" i="79"/>
  <c r="P22" i="79"/>
  <c r="P23" i="79"/>
  <c r="P24" i="79"/>
  <c r="P25" i="79"/>
  <c r="P26" i="79"/>
  <c r="P27" i="79"/>
  <c r="P28" i="79"/>
  <c r="P30" i="79"/>
  <c r="P31" i="79"/>
  <c r="P32" i="79"/>
  <c r="P33" i="79"/>
  <c r="P34" i="79"/>
  <c r="P35" i="79"/>
  <c r="P41" i="79"/>
  <c r="P42" i="79"/>
  <c r="P44" i="79"/>
  <c r="P45" i="79"/>
  <c r="P47" i="79"/>
  <c r="P49" i="79"/>
  <c r="P50" i="79"/>
  <c r="P51" i="79"/>
  <c r="P52" i="79"/>
  <c r="P53" i="79"/>
  <c r="P59" i="79"/>
  <c r="P77" i="79"/>
  <c r="N79" i="79"/>
  <c r="N80" i="79"/>
  <c r="N81" i="79"/>
  <c r="N82" i="79"/>
  <c r="Q82" i="79" s="1"/>
  <c r="N78" i="79"/>
  <c r="N61" i="79"/>
  <c r="N62" i="79"/>
  <c r="N63" i="79"/>
  <c r="N64" i="79"/>
  <c r="N65" i="79"/>
  <c r="N66" i="79"/>
  <c r="N67" i="79"/>
  <c r="N68" i="79"/>
  <c r="N69" i="79"/>
  <c r="N70" i="79"/>
  <c r="N71" i="79"/>
  <c r="N72" i="79"/>
  <c r="N73" i="79"/>
  <c r="N74" i="79"/>
  <c r="N75" i="79"/>
  <c r="Q75" i="79" l="1"/>
  <c r="P75" i="79"/>
  <c r="Q74" i="79"/>
  <c r="P74" i="79"/>
  <c r="Q73" i="79"/>
  <c r="P73" i="79"/>
  <c r="Q72" i="79"/>
  <c r="P72" i="79"/>
  <c r="Q71" i="79"/>
  <c r="P71" i="79"/>
  <c r="Q70" i="79"/>
  <c r="P70" i="79"/>
  <c r="Q69" i="79"/>
  <c r="P69" i="79"/>
  <c r="Q68" i="79"/>
  <c r="P68" i="79"/>
  <c r="Q67" i="79"/>
  <c r="P67" i="79"/>
  <c r="Q66" i="79"/>
  <c r="P66" i="79"/>
  <c r="Q65" i="79"/>
  <c r="P65" i="79"/>
  <c r="Q64" i="79"/>
  <c r="P64" i="79"/>
  <c r="Q63" i="79"/>
  <c r="P63" i="79"/>
  <c r="Q62" i="79"/>
  <c r="P62" i="79"/>
  <c r="Q61" i="79"/>
  <c r="P61" i="79"/>
  <c r="Q78" i="79"/>
  <c r="P78" i="79"/>
  <c r="N83" i="79"/>
  <c r="Q83" i="79" s="1"/>
  <c r="Q81" i="79"/>
  <c r="P81" i="79"/>
  <c r="Q80" i="79"/>
  <c r="P80" i="79"/>
  <c r="Q79" i="79"/>
  <c r="P79" i="79"/>
  <c r="C245" i="60"/>
  <c r="E149" i="60"/>
  <c r="C148" i="60"/>
  <c r="G79" i="86" l="1"/>
  <c r="G77" i="86"/>
  <c r="F257" i="87"/>
  <c r="F256" i="87"/>
  <c r="C61" i="60" l="1"/>
  <c r="C237" i="60"/>
  <c r="F5" i="40"/>
  <c r="M99" i="79" l="1"/>
  <c r="M61" i="79"/>
  <c r="M62" i="79"/>
  <c r="M63" i="79"/>
  <c r="M64" i="79"/>
  <c r="M65" i="79"/>
  <c r="M66" i="79"/>
  <c r="M67" i="79"/>
  <c r="M68" i="79"/>
  <c r="M69" i="79"/>
  <c r="M70" i="79"/>
  <c r="M71" i="79"/>
  <c r="M72" i="79"/>
  <c r="M73" i="79"/>
  <c r="M74" i="79"/>
  <c r="M75" i="79"/>
  <c r="M60" i="79"/>
  <c r="M76" i="79" s="1"/>
  <c r="M79" i="79"/>
  <c r="M80" i="79"/>
  <c r="M81" i="79"/>
  <c r="M82" i="79"/>
  <c r="M78" i="79"/>
  <c r="M83" i="79" s="1"/>
  <c r="M36" i="79"/>
  <c r="G80" i="86" l="1"/>
  <c r="G81" i="86"/>
  <c r="C108" i="60"/>
  <c r="C139" i="60"/>
  <c r="C36" i="60" l="1"/>
  <c r="C86" i="60"/>
  <c r="P15" i="78"/>
  <c r="F86" i="60" l="1"/>
  <c r="I33" i="37" l="1"/>
  <c r="C109" i="60"/>
  <c r="J8" i="92"/>
  <c r="J2" i="92" s="1"/>
  <c r="C326" i="60" l="1"/>
  <c r="G33" i="37"/>
  <c r="L99" i="79" l="1"/>
  <c r="L29" i="79"/>
  <c r="F326" i="60" l="1"/>
  <c r="E326" i="60" s="1"/>
  <c r="F322" i="60"/>
  <c r="E150" i="60" l="1"/>
  <c r="E148" i="60"/>
  <c r="K34" i="37" l="1"/>
  <c r="M34" i="37"/>
  <c r="H144" i="87" l="1"/>
  <c r="D61" i="20" l="1"/>
  <c r="H7" i="32"/>
  <c r="C125" i="60" l="1"/>
  <c r="C137" i="60"/>
  <c r="C225" i="60"/>
  <c r="J61" i="20"/>
  <c r="C43" i="60"/>
  <c r="C80" i="60"/>
  <c r="F80" i="60" l="1"/>
  <c r="E147" i="60"/>
  <c r="C58" i="60" l="1"/>
  <c r="C76" i="60"/>
  <c r="C78" i="60"/>
  <c r="C77" i="60"/>
  <c r="C79" i="60"/>
  <c r="C81" i="60"/>
  <c r="C84" i="60"/>
  <c r="C83" i="60"/>
  <c r="C89" i="60" l="1"/>
  <c r="K41" i="37"/>
  <c r="C90" i="60" l="1"/>
  <c r="J6" i="78"/>
  <c r="G138" i="60" l="1"/>
  <c r="G139" i="60"/>
  <c r="G137" i="60"/>
  <c r="K7" i="38"/>
  <c r="G7" i="38"/>
  <c r="M7" i="38"/>
  <c r="L6" i="78" l="1"/>
  <c r="D282" i="93"/>
  <c r="C282" i="93"/>
  <c r="B282" i="93"/>
  <c r="D275" i="93"/>
  <c r="C275" i="93"/>
  <c r="B275" i="93"/>
  <c r="D271" i="93"/>
  <c r="C271" i="93"/>
  <c r="B271" i="93"/>
  <c r="G242" i="93"/>
  <c r="F242" i="93"/>
  <c r="E229" i="93"/>
  <c r="D229" i="93"/>
  <c r="C229" i="93"/>
  <c r="B229" i="93"/>
  <c r="E218" i="93"/>
  <c r="E220" i="93" s="1"/>
  <c r="C218" i="93"/>
  <c r="C220" i="93" s="1"/>
  <c r="E207" i="93"/>
  <c r="C207" i="93"/>
  <c r="E199" i="93"/>
  <c r="C199" i="93"/>
  <c r="B191" i="93"/>
  <c r="A185" i="93"/>
  <c r="C176" i="93"/>
  <c r="B176" i="93"/>
  <c r="F169" i="93"/>
  <c r="E169" i="93"/>
  <c r="D169" i="93"/>
  <c r="C169" i="93"/>
  <c r="B169" i="93"/>
  <c r="F161" i="93"/>
  <c r="E161" i="93"/>
  <c r="C161" i="93"/>
  <c r="B161" i="93"/>
  <c r="D154" i="93"/>
  <c r="C154" i="93"/>
  <c r="D144" i="93"/>
  <c r="C144" i="93"/>
  <c r="E134" i="93"/>
  <c r="C134" i="93"/>
  <c r="A114" i="93"/>
  <c r="A109" i="93"/>
  <c r="E101" i="93"/>
  <c r="C101" i="93"/>
  <c r="G88" i="93"/>
  <c r="E88" i="93"/>
  <c r="D88" i="93"/>
  <c r="B88" i="93"/>
  <c r="I78" i="93"/>
  <c r="G78" i="93"/>
  <c r="E78" i="93"/>
  <c r="C78" i="93"/>
  <c r="D68" i="93"/>
  <c r="C68" i="93"/>
  <c r="D60" i="93"/>
  <c r="C60" i="93"/>
  <c r="D50" i="93"/>
  <c r="C50" i="93"/>
  <c r="D43" i="93"/>
  <c r="C43" i="93"/>
  <c r="D33" i="93"/>
  <c r="C33" i="93"/>
  <c r="D25" i="93"/>
  <c r="C25" i="93"/>
  <c r="D4" i="93"/>
  <c r="C4" i="93"/>
  <c r="A8" i="92"/>
  <c r="K8" i="92"/>
  <c r="K2" i="92" s="1"/>
  <c r="L8" i="92"/>
  <c r="M8" i="92"/>
  <c r="O20" i="32" l="1"/>
  <c r="D118" i="90" l="1"/>
  <c r="F368" i="60"/>
  <c r="P14" i="78" l="1"/>
  <c r="C22" i="60" l="1"/>
  <c r="I7" i="54"/>
  <c r="M20" i="37"/>
  <c r="F313" i="60"/>
  <c r="G313" i="60" s="1"/>
  <c r="C37" i="60" l="1"/>
  <c r="F84" i="60" s="1"/>
  <c r="C41" i="60"/>
  <c r="F83" i="60" l="1"/>
  <c r="F58" i="60"/>
  <c r="F12" i="1"/>
  <c r="C425" i="60" s="1"/>
  <c r="B56" i="91"/>
  <c r="M48" i="91"/>
  <c r="K48" i="91"/>
  <c r="G46" i="91"/>
  <c r="N46" i="91" s="1"/>
  <c r="K41" i="91"/>
  <c r="M40" i="91"/>
  <c r="M41" i="91" s="1"/>
  <c r="I40" i="91"/>
  <c r="G40" i="91"/>
  <c r="N40" i="91" s="1"/>
  <c r="I38" i="91"/>
  <c r="G38" i="91"/>
  <c r="N38" i="91" s="1"/>
  <c r="G33" i="91"/>
  <c r="N33" i="91" s="1"/>
  <c r="G32" i="91"/>
  <c r="N32" i="91" s="1"/>
  <c r="M31" i="91"/>
  <c r="M34" i="91" s="1"/>
  <c r="N27" i="91"/>
  <c r="N26" i="91"/>
  <c r="K25" i="91"/>
  <c r="K34" i="91" s="1"/>
  <c r="M17" i="91"/>
  <c r="M20" i="91" s="1"/>
  <c r="M22" i="91" s="1"/>
  <c r="N15" i="91"/>
  <c r="I15" i="91"/>
  <c r="N14" i="91"/>
  <c r="N13" i="91"/>
  <c r="K12" i="91"/>
  <c r="K20" i="91" s="1"/>
  <c r="K22" i="91" s="1"/>
  <c r="I9" i="91"/>
  <c r="B5" i="91"/>
  <c r="B3" i="91"/>
  <c r="B2" i="91"/>
  <c r="D32" i="1"/>
  <c r="K43" i="91" l="1"/>
  <c r="K50" i="91" s="1"/>
  <c r="K54" i="91" s="1"/>
  <c r="K57" i="91" s="1"/>
  <c r="M43" i="91"/>
  <c r="M50" i="91" s="1"/>
  <c r="M54" i="91" s="1"/>
  <c r="M57" i="91" s="1"/>
  <c r="G37" i="91"/>
  <c r="N37" i="91" s="1"/>
  <c r="G45" i="91"/>
  <c r="G39" i="91"/>
  <c r="N39" i="91" s="1"/>
  <c r="G19" i="91"/>
  <c r="N19" i="91" s="1"/>
  <c r="G17" i="91"/>
  <c r="N17" i="91" s="1"/>
  <c r="G18" i="91"/>
  <c r="N18" i="91" s="1"/>
  <c r="G25" i="91"/>
  <c r="N25" i="91" s="1"/>
  <c r="G28" i="91"/>
  <c r="N28" i="91" s="1"/>
  <c r="G29" i="91"/>
  <c r="N29" i="91" s="1"/>
  <c r="G30" i="91"/>
  <c r="N30" i="91" s="1"/>
  <c r="G31" i="91"/>
  <c r="N31" i="91" s="1"/>
  <c r="N45" i="91" l="1"/>
  <c r="G48" i="91"/>
  <c r="G16" i="91"/>
  <c r="N16" i="91" s="1"/>
  <c r="G52" i="91"/>
  <c r="G41" i="91"/>
  <c r="G12" i="91"/>
  <c r="G34" i="91"/>
  <c r="G20" i="91" l="1"/>
  <c r="G22" i="91" s="1"/>
  <c r="G43" i="91" s="1"/>
  <c r="G50" i="91" s="1"/>
  <c r="G54" i="91" s="1"/>
  <c r="G57" i="91" s="1"/>
  <c r="N12" i="91"/>
  <c r="G399" i="60" l="1"/>
  <c r="B368" i="60"/>
  <c r="G264" i="60" l="1"/>
  <c r="E199" i="60" l="1"/>
  <c r="E47" i="60"/>
  <c r="E69" i="60"/>
  <c r="I1761" i="65"/>
  <c r="I1760" i="65"/>
  <c r="L304" i="92" s="1"/>
  <c r="I1759" i="65"/>
  <c r="I1758" i="65"/>
  <c r="L303" i="92" s="1"/>
  <c r="C66" i="60" l="1"/>
  <c r="J50" i="20"/>
  <c r="G25" i="37" l="1"/>
  <c r="G12" i="37"/>
  <c r="I366" i="60" l="1"/>
  <c r="E368" i="60"/>
  <c r="C368" i="60"/>
  <c r="I368" i="60" l="1"/>
  <c r="F158" i="60" l="1"/>
  <c r="G257" i="87"/>
  <c r="H257" i="87" s="1"/>
  <c r="N56" i="20"/>
  <c r="N57" i="20"/>
  <c r="C226" i="60"/>
  <c r="R12" i="90" l="1"/>
  <c r="R17" i="90"/>
  <c r="R18" i="90"/>
  <c r="R19" i="90"/>
  <c r="R20" i="90"/>
  <c r="R30" i="90"/>
  <c r="R31" i="90"/>
  <c r="R8" i="90"/>
  <c r="E9" i="90"/>
  <c r="E11" i="90" s="1"/>
  <c r="F9" i="90"/>
  <c r="G9" i="90"/>
  <c r="G11" i="90" s="1"/>
  <c r="H9" i="90"/>
  <c r="H11" i="90" s="1"/>
  <c r="I9" i="90"/>
  <c r="J9" i="90"/>
  <c r="J11" i="90" s="1"/>
  <c r="K9" i="90"/>
  <c r="K11" i="90" s="1"/>
  <c r="L9" i="90"/>
  <c r="M9" i="90"/>
  <c r="M11" i="90" s="1"/>
  <c r="N9" i="90"/>
  <c r="N11" i="90" s="1"/>
  <c r="O9" i="90"/>
  <c r="O11" i="90" s="1"/>
  <c r="D64" i="90"/>
  <c r="D65" i="90"/>
  <c r="D66" i="90"/>
  <c r="D67" i="90"/>
  <c r="D68" i="90"/>
  <c r="D69" i="90"/>
  <c r="D70" i="90"/>
  <c r="D71" i="90"/>
  <c r="D75" i="90"/>
  <c r="E29" i="90"/>
  <c r="F29" i="90"/>
  <c r="G29" i="90"/>
  <c r="H29" i="90"/>
  <c r="I29" i="90"/>
  <c r="J29" i="90"/>
  <c r="K29" i="90"/>
  <c r="L29" i="90"/>
  <c r="M29" i="90"/>
  <c r="N29" i="90"/>
  <c r="O29" i="90"/>
  <c r="D80" i="90"/>
  <c r="D81" i="90"/>
  <c r="R35" i="90"/>
  <c r="E36" i="90"/>
  <c r="F36" i="90"/>
  <c r="G36" i="90"/>
  <c r="H36" i="90"/>
  <c r="I36" i="90"/>
  <c r="J36" i="90"/>
  <c r="K36" i="90"/>
  <c r="L36" i="90"/>
  <c r="M36" i="90"/>
  <c r="N36" i="90"/>
  <c r="O36" i="90"/>
  <c r="C40" i="90"/>
  <c r="C46" i="90"/>
  <c r="D46" i="90"/>
  <c r="E54" i="90"/>
  <c r="F54" i="90"/>
  <c r="G54" i="90"/>
  <c r="H54" i="90"/>
  <c r="I54" i="90"/>
  <c r="J54" i="90"/>
  <c r="K54" i="90"/>
  <c r="L54" i="90"/>
  <c r="M54" i="90"/>
  <c r="N54" i="90"/>
  <c r="O54" i="90"/>
  <c r="E55" i="90"/>
  <c r="F55" i="90"/>
  <c r="G55" i="90"/>
  <c r="H55" i="90"/>
  <c r="I55" i="90"/>
  <c r="J55" i="90"/>
  <c r="K55" i="90"/>
  <c r="L55" i="90"/>
  <c r="M55" i="90"/>
  <c r="N55" i="90"/>
  <c r="O55" i="90"/>
  <c r="E57" i="90"/>
  <c r="F57" i="90"/>
  <c r="G57" i="90"/>
  <c r="H57" i="90"/>
  <c r="I57" i="90"/>
  <c r="J57" i="90"/>
  <c r="K57" i="90"/>
  <c r="L57" i="90"/>
  <c r="M57" i="90"/>
  <c r="N57" i="90"/>
  <c r="O57" i="90"/>
  <c r="E60" i="90"/>
  <c r="F60" i="90"/>
  <c r="G60" i="90"/>
  <c r="H60" i="90"/>
  <c r="I60" i="90"/>
  <c r="J60" i="90"/>
  <c r="K60" i="90"/>
  <c r="L60" i="90"/>
  <c r="L95" i="90" s="1"/>
  <c r="M60" i="90"/>
  <c r="M95" i="90" s="1"/>
  <c r="N60" i="90"/>
  <c r="N95" i="90" s="1"/>
  <c r="O60" i="90"/>
  <c r="O95" i="90" s="1"/>
  <c r="E61" i="90"/>
  <c r="F61" i="90"/>
  <c r="G61" i="90"/>
  <c r="H61" i="90"/>
  <c r="I61" i="90"/>
  <c r="J61" i="90"/>
  <c r="K61" i="90"/>
  <c r="L61" i="90"/>
  <c r="L96" i="90" s="1"/>
  <c r="M61" i="90"/>
  <c r="M96" i="90" s="1"/>
  <c r="N61" i="90"/>
  <c r="N96" i="90" s="1"/>
  <c r="O61" i="90"/>
  <c r="O96" i="90" s="1"/>
  <c r="E62" i="90"/>
  <c r="F62" i="90"/>
  <c r="G62" i="90"/>
  <c r="H62" i="90"/>
  <c r="I62" i="90"/>
  <c r="J62" i="90"/>
  <c r="K62" i="90"/>
  <c r="L62" i="90"/>
  <c r="L97" i="90" s="1"/>
  <c r="M62" i="90"/>
  <c r="M97" i="90" s="1"/>
  <c r="N62" i="90"/>
  <c r="N97" i="90" s="1"/>
  <c r="O62" i="90"/>
  <c r="O97" i="90" s="1"/>
  <c r="E63" i="90"/>
  <c r="F63" i="90"/>
  <c r="G63" i="90"/>
  <c r="H63" i="90"/>
  <c r="I63" i="90"/>
  <c r="J63" i="90"/>
  <c r="J98" i="90" s="1"/>
  <c r="K63" i="90"/>
  <c r="K98" i="90" s="1"/>
  <c r="L63" i="90"/>
  <c r="L98" i="90" s="1"/>
  <c r="M63" i="90"/>
  <c r="M98" i="90" s="1"/>
  <c r="N63" i="90"/>
  <c r="N98" i="90" s="1"/>
  <c r="O63" i="90"/>
  <c r="O98" i="90" s="1"/>
  <c r="E64" i="90"/>
  <c r="F64" i="90"/>
  <c r="G64" i="90"/>
  <c r="H64" i="90"/>
  <c r="I64" i="90"/>
  <c r="J64" i="90"/>
  <c r="K64" i="90"/>
  <c r="L64" i="90"/>
  <c r="M64" i="90"/>
  <c r="N64" i="90"/>
  <c r="O64" i="90"/>
  <c r="E65" i="90"/>
  <c r="F65" i="90"/>
  <c r="G65" i="90"/>
  <c r="H65" i="90"/>
  <c r="I65" i="90"/>
  <c r="J65" i="90"/>
  <c r="K65" i="90"/>
  <c r="L65" i="90"/>
  <c r="M65" i="90"/>
  <c r="N65" i="90"/>
  <c r="O65" i="90"/>
  <c r="E66" i="90"/>
  <c r="F66" i="90"/>
  <c r="G66" i="90"/>
  <c r="H66" i="90"/>
  <c r="I66" i="90"/>
  <c r="J66" i="90"/>
  <c r="K66" i="90"/>
  <c r="L66" i="90"/>
  <c r="M66" i="90"/>
  <c r="N66" i="90"/>
  <c r="O66" i="90"/>
  <c r="E67" i="90"/>
  <c r="F67" i="90"/>
  <c r="G67" i="90"/>
  <c r="H67" i="90"/>
  <c r="I67" i="90"/>
  <c r="J67" i="90"/>
  <c r="K67" i="90"/>
  <c r="L67" i="90"/>
  <c r="M67" i="90"/>
  <c r="N67" i="90"/>
  <c r="O67" i="90"/>
  <c r="E68" i="90"/>
  <c r="F68" i="90"/>
  <c r="G68" i="90"/>
  <c r="H68" i="90"/>
  <c r="I68" i="90"/>
  <c r="J68" i="90"/>
  <c r="K68" i="90"/>
  <c r="L68" i="90"/>
  <c r="M68" i="90"/>
  <c r="N68" i="90"/>
  <c r="O68" i="90"/>
  <c r="E69" i="90"/>
  <c r="F69" i="90"/>
  <c r="G69" i="90"/>
  <c r="H69" i="90"/>
  <c r="I69" i="90"/>
  <c r="J69" i="90"/>
  <c r="K69" i="90"/>
  <c r="L69" i="90"/>
  <c r="M69" i="90"/>
  <c r="N69" i="90"/>
  <c r="O69" i="90"/>
  <c r="B70" i="90"/>
  <c r="C70" i="90"/>
  <c r="F70" i="90"/>
  <c r="K70" i="90"/>
  <c r="L70" i="90"/>
  <c r="M70" i="90"/>
  <c r="N70" i="90"/>
  <c r="O70" i="90"/>
  <c r="E71" i="90"/>
  <c r="F71" i="90"/>
  <c r="G71" i="90"/>
  <c r="H71" i="90"/>
  <c r="I71" i="90"/>
  <c r="J71" i="90"/>
  <c r="K71" i="90"/>
  <c r="L71" i="90"/>
  <c r="M71" i="90"/>
  <c r="N71" i="90"/>
  <c r="O71" i="90"/>
  <c r="E72" i="90"/>
  <c r="F72" i="90"/>
  <c r="G72" i="90"/>
  <c r="H72" i="90"/>
  <c r="I72" i="90"/>
  <c r="J72" i="90"/>
  <c r="L72" i="90"/>
  <c r="M72" i="90"/>
  <c r="N72" i="90"/>
  <c r="O72" i="90"/>
  <c r="B73" i="90"/>
  <c r="C73" i="90"/>
  <c r="H73" i="90"/>
  <c r="I73" i="90"/>
  <c r="J73" i="90"/>
  <c r="K73" i="90"/>
  <c r="L73" i="90"/>
  <c r="M73" i="90"/>
  <c r="N73" i="90"/>
  <c r="O73" i="90"/>
  <c r="B74" i="90"/>
  <c r="C74" i="90"/>
  <c r="E74" i="90"/>
  <c r="F74" i="90"/>
  <c r="G74" i="90"/>
  <c r="H74" i="90"/>
  <c r="I74" i="90"/>
  <c r="J74" i="90"/>
  <c r="K74" i="90"/>
  <c r="L74" i="90"/>
  <c r="M74" i="90"/>
  <c r="N74" i="90"/>
  <c r="O74" i="90"/>
  <c r="B75" i="90"/>
  <c r="C75" i="90"/>
  <c r="E75" i="90"/>
  <c r="F75" i="90"/>
  <c r="G75" i="90"/>
  <c r="H75" i="90"/>
  <c r="I75" i="90"/>
  <c r="J75" i="90"/>
  <c r="K75" i="90"/>
  <c r="L75" i="90"/>
  <c r="M75" i="90"/>
  <c r="N75" i="90"/>
  <c r="O75" i="90"/>
  <c r="B78" i="90"/>
  <c r="C78" i="90"/>
  <c r="D78" i="90"/>
  <c r="E78" i="90"/>
  <c r="E83" i="90" s="1"/>
  <c r="F78" i="90"/>
  <c r="G78" i="90"/>
  <c r="H78" i="90"/>
  <c r="I78" i="90"/>
  <c r="J78" i="90"/>
  <c r="K78" i="90"/>
  <c r="L78" i="90"/>
  <c r="M78" i="90"/>
  <c r="N78" i="90"/>
  <c r="O78" i="90"/>
  <c r="F79" i="90"/>
  <c r="G79" i="90"/>
  <c r="H79" i="90"/>
  <c r="I79" i="90"/>
  <c r="J79" i="90"/>
  <c r="K79" i="90"/>
  <c r="L79" i="90"/>
  <c r="M79" i="90"/>
  <c r="N79" i="90"/>
  <c r="O79" i="90"/>
  <c r="F80" i="90"/>
  <c r="G80" i="90"/>
  <c r="H80" i="90"/>
  <c r="I80" i="90"/>
  <c r="J80" i="90"/>
  <c r="K80" i="90"/>
  <c r="L80" i="90"/>
  <c r="M80" i="90"/>
  <c r="N80" i="90"/>
  <c r="O80" i="90"/>
  <c r="F81" i="90"/>
  <c r="G81" i="90"/>
  <c r="H81" i="90"/>
  <c r="I81" i="90"/>
  <c r="O81" i="90"/>
  <c r="F82" i="90"/>
  <c r="G82" i="90"/>
  <c r="H82" i="90"/>
  <c r="I82" i="90"/>
  <c r="D90" i="90"/>
  <c r="E90" i="90"/>
  <c r="F90" i="90"/>
  <c r="G90" i="90"/>
  <c r="H90" i="90"/>
  <c r="I90" i="90"/>
  <c r="J90" i="90"/>
  <c r="K90" i="90"/>
  <c r="L90" i="90"/>
  <c r="M90" i="90"/>
  <c r="N90" i="90"/>
  <c r="O90" i="90"/>
  <c r="C94" i="90"/>
  <c r="C95" i="90"/>
  <c r="C96" i="90"/>
  <c r="C97" i="90"/>
  <c r="C98" i="90"/>
  <c r="C105" i="90"/>
  <c r="D110" i="90"/>
  <c r="E110" i="90" s="1"/>
  <c r="F110" i="90" s="1"/>
  <c r="D119" i="90"/>
  <c r="E118" i="90"/>
  <c r="E119" i="90" s="1"/>
  <c r="F118" i="90"/>
  <c r="F119" i="90" s="1"/>
  <c r="G118" i="90"/>
  <c r="G119" i="90" s="1"/>
  <c r="H118" i="90"/>
  <c r="H119" i="90" s="1"/>
  <c r="I118" i="90"/>
  <c r="I119" i="90" s="1"/>
  <c r="J118" i="90"/>
  <c r="J119" i="90" s="1"/>
  <c r="K118" i="90"/>
  <c r="K119" i="90" s="1"/>
  <c r="L118" i="90"/>
  <c r="L119" i="90" s="1"/>
  <c r="M118" i="90"/>
  <c r="M119" i="90" s="1"/>
  <c r="N118" i="90"/>
  <c r="N119" i="90" s="1"/>
  <c r="O118" i="90"/>
  <c r="O119" i="90" s="1"/>
  <c r="C140" i="90"/>
  <c r="C144" i="90" s="1"/>
  <c r="Q36" i="90" l="1"/>
  <c r="P36" i="90"/>
  <c r="Q29" i="90"/>
  <c r="P29" i="90"/>
  <c r="Q9" i="90"/>
  <c r="P9" i="90"/>
  <c r="L11" i="90"/>
  <c r="I56" i="90"/>
  <c r="I58" i="90" s="1"/>
  <c r="L56" i="90"/>
  <c r="L58" i="90" s="1"/>
  <c r="M56" i="90"/>
  <c r="M58" i="90" s="1"/>
  <c r="O56" i="90"/>
  <c r="O58" i="90" s="1"/>
  <c r="K56" i="90"/>
  <c r="K58" i="90" s="1"/>
  <c r="G83" i="90"/>
  <c r="O37" i="90"/>
  <c r="O38" i="90" s="1"/>
  <c r="O39" i="90" s="1"/>
  <c r="O40" i="90" s="1"/>
  <c r="G56" i="90"/>
  <c r="G58" i="90" s="1"/>
  <c r="L37" i="90"/>
  <c r="H83" i="90"/>
  <c r="K37" i="90"/>
  <c r="N56" i="90"/>
  <c r="N58" i="90" s="1"/>
  <c r="J56" i="90"/>
  <c r="J58" i="90" s="1"/>
  <c r="P58" i="90" s="1"/>
  <c r="E56" i="90"/>
  <c r="E58" i="90" s="1"/>
  <c r="I11" i="90"/>
  <c r="I37" i="90" s="1"/>
  <c r="K83" i="90"/>
  <c r="I83" i="90"/>
  <c r="M76" i="90"/>
  <c r="G37" i="90"/>
  <c r="G39" i="90" s="1"/>
  <c r="G40" i="90" s="1"/>
  <c r="G76" i="90"/>
  <c r="F76" i="90"/>
  <c r="H56" i="90"/>
  <c r="H58" i="90" s="1"/>
  <c r="M83" i="90"/>
  <c r="I76" i="90"/>
  <c r="N83" i="90"/>
  <c r="J83" i="90"/>
  <c r="P83" i="90" s="1"/>
  <c r="L76" i="90"/>
  <c r="H76" i="90"/>
  <c r="N37" i="90"/>
  <c r="N38" i="90" s="1"/>
  <c r="N39" i="90" s="1"/>
  <c r="N40" i="90" s="1"/>
  <c r="M37" i="90"/>
  <c r="C99" i="90"/>
  <c r="C101" i="90" s="1"/>
  <c r="C107" i="90" s="1"/>
  <c r="D103" i="90" s="1"/>
  <c r="D105" i="90" s="1"/>
  <c r="L83" i="90"/>
  <c r="O76" i="90"/>
  <c r="K76" i="90"/>
  <c r="F56" i="90"/>
  <c r="F58" i="90" s="1"/>
  <c r="J37" i="90"/>
  <c r="H37" i="90"/>
  <c r="H39" i="90" s="1"/>
  <c r="H40" i="90" s="1"/>
  <c r="O83" i="90"/>
  <c r="N76" i="90"/>
  <c r="J76" i="90"/>
  <c r="P76" i="90" s="1"/>
  <c r="F11" i="90"/>
  <c r="F83" i="90"/>
  <c r="E37" i="90"/>
  <c r="E38" i="90" s="1"/>
  <c r="E39" i="90" s="1"/>
  <c r="E40" i="90" s="1"/>
  <c r="R34" i="90"/>
  <c r="R33" i="90"/>
  <c r="R22" i="90"/>
  <c r="D72" i="90"/>
  <c r="D36" i="90"/>
  <c r="R21" i="90"/>
  <c r="D57" i="90"/>
  <c r="R27" i="90"/>
  <c r="R15" i="90"/>
  <c r="R10" i="90"/>
  <c r="D9" i="90"/>
  <c r="D55" i="90"/>
  <c r="D63" i="90"/>
  <c r="D62" i="90"/>
  <c r="D61" i="90"/>
  <c r="D60" i="90"/>
  <c r="D74" i="90"/>
  <c r="R28" i="90"/>
  <c r="R16" i="90"/>
  <c r="R26" i="90"/>
  <c r="R14" i="90"/>
  <c r="D79" i="90"/>
  <c r="D83" i="90" s="1"/>
  <c r="R25" i="90"/>
  <c r="R24" i="90"/>
  <c r="R32" i="90"/>
  <c r="R7" i="90"/>
  <c r="D29" i="90"/>
  <c r="R23" i="90"/>
  <c r="F111" i="90"/>
  <c r="E76" i="90"/>
  <c r="D54" i="90"/>
  <c r="L8" i="78" l="1"/>
  <c r="L10" i="78" s="1"/>
  <c r="Q11" i="90"/>
  <c r="P11" i="90"/>
  <c r="R36" i="90"/>
  <c r="I85" i="90"/>
  <c r="I111" i="90" s="1"/>
  <c r="M85" i="90"/>
  <c r="M111" i="90" s="1"/>
  <c r="L39" i="90"/>
  <c r="N85" i="90"/>
  <c r="N86" i="90" s="1"/>
  <c r="K85" i="90"/>
  <c r="K111" i="90" s="1"/>
  <c r="F85" i="90"/>
  <c r="F87" i="90" s="1"/>
  <c r="I39" i="90"/>
  <c r="M39" i="90"/>
  <c r="G85" i="90"/>
  <c r="G110" i="90" s="1"/>
  <c r="L85" i="90"/>
  <c r="L86" i="90" s="1"/>
  <c r="L111" i="90" s="1"/>
  <c r="G111" i="90"/>
  <c r="H85" i="90"/>
  <c r="H111" i="90" s="1"/>
  <c r="E85" i="90"/>
  <c r="E86" i="90" s="1"/>
  <c r="E111" i="90" s="1"/>
  <c r="E112" i="90" s="1"/>
  <c r="I87" i="90"/>
  <c r="I88" i="90" s="1"/>
  <c r="D56" i="90"/>
  <c r="D58" i="90" s="1"/>
  <c r="J39" i="90"/>
  <c r="J40" i="90" s="1"/>
  <c r="J85" i="90"/>
  <c r="O85" i="90"/>
  <c r="F37" i="90"/>
  <c r="D76" i="90"/>
  <c r="R29" i="90"/>
  <c r="R13" i="90"/>
  <c r="D11" i="90"/>
  <c r="R9" i="90"/>
  <c r="Q37" i="90" l="1"/>
  <c r="P37" i="90"/>
  <c r="L26" i="78"/>
  <c r="M40" i="90"/>
  <c r="M87" i="90"/>
  <c r="M88" i="90" s="1"/>
  <c r="M120" i="90" s="1"/>
  <c r="L40" i="90"/>
  <c r="K39" i="90"/>
  <c r="D85" i="90"/>
  <c r="N111" i="90"/>
  <c r="N87" i="90"/>
  <c r="N88" i="90" s="1"/>
  <c r="F112" i="90"/>
  <c r="I40" i="90"/>
  <c r="I89" i="90"/>
  <c r="I91" i="90" s="1"/>
  <c r="H87" i="90"/>
  <c r="G87" i="90"/>
  <c r="G112" i="90"/>
  <c r="H110" i="90" s="1"/>
  <c r="H112" i="90" s="1"/>
  <c r="O86" i="90"/>
  <c r="O111" i="90" s="1"/>
  <c r="K87" i="90"/>
  <c r="K88" i="90" s="1"/>
  <c r="L87" i="90"/>
  <c r="L89" i="90" s="1"/>
  <c r="J111" i="90"/>
  <c r="F39" i="90"/>
  <c r="D37" i="90"/>
  <c r="R11" i="90"/>
  <c r="N89" i="90"/>
  <c r="I120" i="90"/>
  <c r="D86" i="90"/>
  <c r="F88" i="90"/>
  <c r="F89" i="90"/>
  <c r="E87" i="90"/>
  <c r="Q39" i="90" l="1"/>
  <c r="P39" i="90"/>
  <c r="M89" i="90"/>
  <c r="M91" i="90" s="1"/>
  <c r="K40" i="90"/>
  <c r="P85" i="90"/>
  <c r="L88" i="90"/>
  <c r="L91" i="90" s="1"/>
  <c r="J87" i="90"/>
  <c r="J88" i="90" s="1"/>
  <c r="I110" i="90"/>
  <c r="J110" i="90" s="1"/>
  <c r="J112" i="90" s="1"/>
  <c r="G88" i="90"/>
  <c r="G89" i="90"/>
  <c r="H89" i="90"/>
  <c r="H88" i="90"/>
  <c r="K89" i="90"/>
  <c r="K91" i="90" s="1"/>
  <c r="O87" i="90"/>
  <c r="F40" i="90"/>
  <c r="R37" i="90"/>
  <c r="D38" i="90"/>
  <c r="N91" i="90"/>
  <c r="N120" i="90"/>
  <c r="F91" i="90"/>
  <c r="F120" i="90"/>
  <c r="D111" i="90"/>
  <c r="D112" i="90" s="1"/>
  <c r="D87" i="90"/>
  <c r="I122" i="90"/>
  <c r="I99" i="90"/>
  <c r="K120" i="90"/>
  <c r="E88" i="90"/>
  <c r="E89" i="90"/>
  <c r="M94" i="90"/>
  <c r="M99" i="90" s="1"/>
  <c r="M122" i="90"/>
  <c r="Q40" i="90" l="1"/>
  <c r="P40" i="90"/>
  <c r="M101" i="90"/>
  <c r="J89" i="90"/>
  <c r="L120" i="90"/>
  <c r="L94" i="90" s="1"/>
  <c r="L99" i="90" s="1"/>
  <c r="L101" i="90" s="1"/>
  <c r="I101" i="90"/>
  <c r="K110" i="90"/>
  <c r="K112" i="90" s="1"/>
  <c r="I112" i="90"/>
  <c r="H91" i="90"/>
  <c r="H120" i="90"/>
  <c r="G91" i="90"/>
  <c r="G120" i="90"/>
  <c r="J91" i="90"/>
  <c r="J120" i="90"/>
  <c r="O89" i="90"/>
  <c r="O88" i="90"/>
  <c r="R38" i="90"/>
  <c r="D39" i="90"/>
  <c r="P87" i="90" s="1"/>
  <c r="P86" i="90"/>
  <c r="N94" i="90"/>
  <c r="N99" i="90" s="1"/>
  <c r="N101" i="90" s="1"/>
  <c r="N122" i="90"/>
  <c r="E91" i="90"/>
  <c r="E120" i="90"/>
  <c r="K122" i="90"/>
  <c r="K94" i="90"/>
  <c r="K99" i="90" s="1"/>
  <c r="K101" i="90" s="1"/>
  <c r="D88" i="90"/>
  <c r="D89" i="90"/>
  <c r="L122" i="90"/>
  <c r="F99" i="90"/>
  <c r="F122" i="90"/>
  <c r="F101" i="90" l="1"/>
  <c r="L28" i="78"/>
  <c r="L30" i="78" s="1"/>
  <c r="L110" i="90"/>
  <c r="L112" i="90" s="1"/>
  <c r="G122" i="90"/>
  <c r="G99" i="90"/>
  <c r="G101" i="90" s="1"/>
  <c r="H122" i="90"/>
  <c r="H99" i="90"/>
  <c r="H101" i="90" s="1"/>
  <c r="O120" i="90"/>
  <c r="O91" i="90"/>
  <c r="J122" i="90"/>
  <c r="J94" i="90"/>
  <c r="J99" i="90" s="1"/>
  <c r="J101" i="90" s="1"/>
  <c r="D40" i="90"/>
  <c r="R39" i="90"/>
  <c r="D91" i="90"/>
  <c r="D120" i="90"/>
  <c r="E99" i="90"/>
  <c r="E101" i="90" s="1"/>
  <c r="E122" i="90"/>
  <c r="M110" i="90" l="1"/>
  <c r="N110" i="90" s="1"/>
  <c r="O94" i="90"/>
  <c r="O99" i="90" s="1"/>
  <c r="O101" i="90" s="1"/>
  <c r="O122" i="90"/>
  <c r="D48" i="90"/>
  <c r="E43" i="90" s="1"/>
  <c r="R40" i="90"/>
  <c r="D99" i="90"/>
  <c r="D122" i="90"/>
  <c r="M112" i="90" l="1"/>
  <c r="F43" i="90"/>
  <c r="E46" i="90"/>
  <c r="E48" i="90" s="1"/>
  <c r="D101" i="90"/>
  <c r="D107" i="90" s="1"/>
  <c r="E103" i="90" s="1"/>
  <c r="N112" i="90"/>
  <c r="O112" i="90" s="1"/>
  <c r="O110" i="90"/>
  <c r="F46" i="90" l="1"/>
  <c r="E105" i="90"/>
  <c r="E107" i="90" s="1"/>
  <c r="F103" i="90"/>
  <c r="F48" i="90" l="1"/>
  <c r="G43" i="90"/>
  <c r="F105" i="90"/>
  <c r="G46" i="90" l="1"/>
  <c r="G48" i="90" s="1"/>
  <c r="F107" i="90"/>
  <c r="G103" i="90"/>
  <c r="G105" i="90" l="1"/>
  <c r="G107" i="90" s="1"/>
  <c r="H43" i="90"/>
  <c r="H46" i="90" s="1"/>
  <c r="I43" i="90" s="1"/>
  <c r="I46" i="90" l="1"/>
  <c r="I48" i="90" s="1"/>
  <c r="J43" i="90"/>
  <c r="H103" i="90"/>
  <c r="H105" i="90" s="1"/>
  <c r="H48" i="90"/>
  <c r="J46" i="90" l="1"/>
  <c r="J48" i="90" s="1"/>
  <c r="K46" i="90" s="1"/>
  <c r="I103" i="90"/>
  <c r="H107" i="90"/>
  <c r="I105" i="90" l="1"/>
  <c r="I107" i="90" s="1"/>
  <c r="J103" i="90"/>
  <c r="L43" i="90"/>
  <c r="K48" i="90"/>
  <c r="M43" i="90" l="1"/>
  <c r="L46" i="90"/>
  <c r="L48" i="90" s="1"/>
  <c r="J105" i="90"/>
  <c r="J107" i="90" s="1"/>
  <c r="K105" i="90" s="1"/>
  <c r="L103" i="90" l="1"/>
  <c r="L105" i="90" s="1"/>
  <c r="K107" i="90"/>
  <c r="M46" i="90"/>
  <c r="M48" i="90" s="1"/>
  <c r="N43" i="90"/>
  <c r="N46" i="90" s="1"/>
  <c r="N48" i="90" s="1"/>
  <c r="O43" i="90" s="1"/>
  <c r="O46" i="90" s="1"/>
  <c r="O48" i="90" s="1"/>
  <c r="M103" i="90" l="1"/>
  <c r="L107" i="90"/>
  <c r="E229" i="60"/>
  <c r="E230" i="60"/>
  <c r="N103" i="90" l="1"/>
  <c r="M105" i="90"/>
  <c r="M107" i="90" s="1"/>
  <c r="D178" i="60"/>
  <c r="E84" i="60"/>
  <c r="E83" i="60"/>
  <c r="E82" i="60"/>
  <c r="E80" i="60"/>
  <c r="E81" i="60"/>
  <c r="E79" i="60"/>
  <c r="E66" i="60"/>
  <c r="E65" i="60"/>
  <c r="O103" i="90" l="1"/>
  <c r="O105" i="90" s="1"/>
  <c r="O107" i="90" s="1"/>
  <c r="N105" i="90"/>
  <c r="N107" i="90" s="1"/>
  <c r="G256" i="87"/>
  <c r="H256" i="87" s="1"/>
  <c r="G87" i="86"/>
  <c r="I87" i="86" s="1"/>
  <c r="J87" i="86" s="1"/>
  <c r="G86" i="86"/>
  <c r="I86" i="86" s="1"/>
  <c r="J86" i="86" s="1"/>
  <c r="G85" i="86"/>
  <c r="I85" i="86" s="1"/>
  <c r="J85" i="86" s="1"/>
  <c r="I77" i="86"/>
  <c r="J77" i="86" s="1"/>
  <c r="I80" i="86"/>
  <c r="J80" i="86" s="1"/>
  <c r="F31" i="40"/>
  <c r="F25" i="40"/>
  <c r="F52" i="40"/>
  <c r="J82" i="40"/>
  <c r="M82" i="40" s="1"/>
  <c r="J94" i="40"/>
  <c r="J93" i="40"/>
  <c r="J91" i="40"/>
  <c r="J88" i="40"/>
  <c r="J87" i="40"/>
  <c r="M83" i="40" s="1"/>
  <c r="J86" i="40"/>
  <c r="J85" i="40"/>
  <c r="M85" i="40" s="1"/>
  <c r="J84" i="40"/>
  <c r="M84" i="40" s="1"/>
  <c r="J81" i="40"/>
  <c r="M81" i="40" s="1"/>
  <c r="J80" i="40"/>
  <c r="M80" i="40" s="1"/>
  <c r="J77" i="40"/>
  <c r="J76" i="40"/>
  <c r="J75" i="40"/>
  <c r="J73" i="40"/>
  <c r="J72" i="40"/>
  <c r="J71" i="40"/>
  <c r="J70" i="40"/>
  <c r="J69" i="40"/>
  <c r="M69" i="40" s="1"/>
  <c r="J68" i="40"/>
  <c r="J67" i="40"/>
  <c r="J74" i="40"/>
  <c r="O48" i="1"/>
  <c r="O49" i="1"/>
  <c r="O50" i="1"/>
  <c r="O47" i="1"/>
  <c r="O43" i="1"/>
  <c r="O42" i="1"/>
  <c r="O33" i="1"/>
  <c r="O34" i="1"/>
  <c r="O35" i="1"/>
  <c r="O36" i="1"/>
  <c r="O37" i="1"/>
  <c r="O38" i="1"/>
  <c r="O32" i="1"/>
  <c r="O20" i="1"/>
  <c r="O21" i="1"/>
  <c r="O22" i="1"/>
  <c r="O23" i="1"/>
  <c r="O24" i="1"/>
  <c r="O19" i="1"/>
  <c r="O12" i="1"/>
  <c r="O13" i="1"/>
  <c r="O14" i="1"/>
  <c r="O11" i="1"/>
  <c r="L25" i="1"/>
  <c r="N59" i="20"/>
  <c r="F58" i="20"/>
  <c r="E138" i="60"/>
  <c r="C229" i="60"/>
  <c r="C246" i="60"/>
  <c r="B272" i="60"/>
  <c r="M75" i="40" l="1"/>
  <c r="M86" i="40"/>
  <c r="M68" i="40"/>
  <c r="M70" i="40"/>
  <c r="F77" i="60"/>
  <c r="I79" i="86"/>
  <c r="J79" i="86" s="1"/>
  <c r="B454" i="60"/>
  <c r="E447" i="60"/>
  <c r="B448" i="60"/>
  <c r="B449" i="60" s="1"/>
  <c r="B437" i="60"/>
  <c r="B438" i="60" s="1"/>
  <c r="B427" i="60"/>
  <c r="B428" i="60" l="1"/>
  <c r="O86" i="79"/>
  <c r="O81" i="79"/>
  <c r="O75" i="79"/>
  <c r="O73" i="79"/>
  <c r="O36" i="79"/>
  <c r="P14" i="48"/>
  <c r="P15" i="48"/>
  <c r="P16" i="48"/>
  <c r="P17" i="48"/>
  <c r="P18" i="48"/>
  <c r="P19" i="48"/>
  <c r="P20" i="48"/>
  <c r="P21" i="48"/>
  <c r="P22" i="48"/>
  <c r="P23" i="48"/>
  <c r="P24" i="48"/>
  <c r="P25" i="48"/>
  <c r="P26" i="48"/>
  <c r="P27" i="48"/>
  <c r="P29" i="48"/>
  <c r="P30" i="48"/>
  <c r="P31" i="48"/>
  <c r="P32" i="48"/>
  <c r="P33" i="48"/>
  <c r="P13" i="48"/>
  <c r="G241" i="51" l="1"/>
  <c r="G240" i="51"/>
  <c r="G81" i="52"/>
  <c r="G78" i="52"/>
  <c r="G77" i="52"/>
  <c r="I77" i="52" s="1"/>
  <c r="E137" i="60" l="1"/>
  <c r="C228" i="60"/>
  <c r="C138" i="60" l="1"/>
  <c r="E54" i="60" l="1"/>
  <c r="V6" i="78" l="1"/>
  <c r="T6" i="78"/>
  <c r="L79" i="48" l="1"/>
  <c r="L73" i="48"/>
  <c r="L72" i="48"/>
  <c r="L8" i="48"/>
  <c r="L7" i="48"/>
  <c r="C70" i="79" l="1"/>
  <c r="L28" i="48"/>
  <c r="L81" i="79"/>
  <c r="L73" i="79"/>
  <c r="L75" i="79"/>
  <c r="L36" i="79"/>
  <c r="F157" i="60" l="1"/>
  <c r="E53" i="60" l="1"/>
  <c r="E60" i="60"/>
  <c r="L38" i="32" l="1"/>
  <c r="G37" i="32"/>
  <c r="H37" i="32" s="1"/>
  <c r="G87" i="52"/>
  <c r="G86" i="52"/>
  <c r="G85" i="52"/>
  <c r="G82" i="52"/>
  <c r="G83" i="52" s="1"/>
  <c r="G79" i="52"/>
  <c r="G80" i="52" s="1"/>
  <c r="I1617" i="65"/>
  <c r="L254" i="92" s="1"/>
  <c r="K1617" i="65"/>
  <c r="M254" i="92" s="1"/>
  <c r="I37" i="91"/>
  <c r="I41" i="91" s="1"/>
  <c r="I45" i="91"/>
  <c r="I13" i="91"/>
  <c r="I14" i="91"/>
  <c r="I19" i="91"/>
  <c r="I17" i="91"/>
  <c r="I18" i="91"/>
  <c r="I27" i="91"/>
  <c r="I28" i="91"/>
  <c r="I30" i="91"/>
  <c r="I31" i="91"/>
  <c r="I32" i="91"/>
  <c r="I46" i="91"/>
  <c r="I52" i="91"/>
  <c r="I26" i="91" l="1"/>
  <c r="I33" i="91"/>
  <c r="I29" i="91"/>
  <c r="I12" i="37"/>
  <c r="I12" i="91"/>
  <c r="I25" i="37"/>
  <c r="I25" i="91"/>
  <c r="I31" i="37"/>
  <c r="I16" i="91"/>
  <c r="I48" i="91"/>
  <c r="C107" i="60"/>
  <c r="G32" i="37"/>
  <c r="G31" i="37"/>
  <c r="I20" i="91" l="1"/>
  <c r="I22" i="91" s="1"/>
  <c r="I34" i="91"/>
  <c r="C325" i="60"/>
  <c r="C42" i="60"/>
  <c r="F81" i="60" s="1"/>
  <c r="D13" i="60"/>
  <c r="I364" i="60"/>
  <c r="K81" i="79"/>
  <c r="K79" i="79"/>
  <c r="K79" i="48"/>
  <c r="K73" i="48"/>
  <c r="K72" i="48"/>
  <c r="K28" i="48"/>
  <c r="K8" i="48"/>
  <c r="K7" i="48"/>
  <c r="I43" i="91" l="1"/>
  <c r="I50" i="91" s="1"/>
  <c r="I54" i="91" s="1"/>
  <c r="I57" i="91" s="1"/>
  <c r="R28" i="79"/>
  <c r="R84" i="79"/>
  <c r="R104" i="79"/>
  <c r="R118" i="79"/>
  <c r="R59" i="79"/>
  <c r="R77" i="79"/>
  <c r="R92" i="79"/>
  <c r="R93" i="79"/>
  <c r="R94" i="79"/>
  <c r="R95" i="79"/>
  <c r="R96" i="79"/>
  <c r="R97" i="79"/>
  <c r="R98" i="79"/>
  <c r="R100" i="79"/>
  <c r="R102" i="79"/>
  <c r="R106" i="79"/>
  <c r="R108" i="79"/>
  <c r="R109" i="79"/>
  <c r="R113" i="79"/>
  <c r="R114" i="79"/>
  <c r="R115" i="79"/>
  <c r="R116" i="79"/>
  <c r="R117" i="79"/>
  <c r="R121" i="79"/>
  <c r="R123" i="79"/>
  <c r="R12" i="79"/>
  <c r="R13" i="79"/>
  <c r="R14" i="79"/>
  <c r="R15" i="79"/>
  <c r="R16" i="79"/>
  <c r="R17" i="79"/>
  <c r="R18" i="79"/>
  <c r="R19" i="79"/>
  <c r="R20" i="79"/>
  <c r="R21" i="79"/>
  <c r="R22" i="79"/>
  <c r="R24" i="79"/>
  <c r="R25" i="79"/>
  <c r="R26" i="79"/>
  <c r="R27" i="79"/>
  <c r="R30" i="79"/>
  <c r="R31" i="79"/>
  <c r="R32" i="79"/>
  <c r="R33" i="79"/>
  <c r="R34" i="79"/>
  <c r="R35" i="79"/>
  <c r="R41" i="79"/>
  <c r="R42" i="79"/>
  <c r="R44" i="79"/>
  <c r="R45" i="79"/>
  <c r="R47" i="79"/>
  <c r="R49" i="79"/>
  <c r="R50" i="79"/>
  <c r="R51" i="79"/>
  <c r="R52" i="79"/>
  <c r="K70" i="79"/>
  <c r="K73" i="79"/>
  <c r="R73" i="79" s="1"/>
  <c r="K75" i="79"/>
  <c r="J29" i="79"/>
  <c r="K36" i="79"/>
  <c r="K29" i="79"/>
  <c r="R23" i="79" l="1"/>
  <c r="L30" i="20" l="1"/>
  <c r="A401" i="83" l="1"/>
  <c r="A402" i="83"/>
  <c r="A403" i="83"/>
  <c r="A404" i="83"/>
  <c r="A405" i="83"/>
  <c r="A406" i="83"/>
  <c r="A407" i="83"/>
  <c r="A408" i="83"/>
  <c r="A409" i="83"/>
  <c r="A410" i="83"/>
  <c r="A411" i="83"/>
  <c r="A412" i="83"/>
  <c r="A413" i="83"/>
  <c r="A414" i="83"/>
  <c r="A415" i="83"/>
  <c r="A416" i="83"/>
  <c r="A417" i="83"/>
  <c r="A418" i="83"/>
  <c r="A419" i="83"/>
  <c r="A420" i="83"/>
  <c r="A421" i="83"/>
  <c r="A422" i="83"/>
  <c r="A423" i="83"/>
  <c r="A424" i="83"/>
  <c r="A425" i="83"/>
  <c r="A426" i="83"/>
  <c r="A427" i="83"/>
  <c r="A428" i="83"/>
  <c r="A429" i="83"/>
  <c r="A430" i="83"/>
  <c r="A431" i="83"/>
  <c r="A432" i="83"/>
  <c r="A433" i="83"/>
  <c r="A434" i="83"/>
  <c r="A435" i="83"/>
  <c r="A436" i="83"/>
  <c r="A437" i="83"/>
  <c r="A438" i="83"/>
  <c r="J425" i="83"/>
  <c r="K425" i="83" s="1"/>
  <c r="L425" i="83"/>
  <c r="M425" i="83"/>
  <c r="N425" i="83" s="1"/>
  <c r="O425" i="83" s="1"/>
  <c r="J426" i="83"/>
  <c r="K426" i="83" s="1"/>
  <c r="L426" i="83"/>
  <c r="M426" i="83"/>
  <c r="N426" i="83" s="1"/>
  <c r="O426" i="83" s="1"/>
  <c r="J427" i="83"/>
  <c r="K427" i="83" s="1"/>
  <c r="L427" i="83"/>
  <c r="M427" i="83"/>
  <c r="N427" i="83" s="1"/>
  <c r="O427" i="83" s="1"/>
  <c r="J428" i="83"/>
  <c r="K428" i="83" s="1"/>
  <c r="L428" i="83"/>
  <c r="M428" i="83"/>
  <c r="N428" i="83" s="1"/>
  <c r="O428" i="83" s="1"/>
  <c r="J429" i="83"/>
  <c r="K429" i="83" s="1"/>
  <c r="L429" i="83"/>
  <c r="M429" i="83"/>
  <c r="N429" i="83" s="1"/>
  <c r="O429" i="83" s="1"/>
  <c r="J430" i="83"/>
  <c r="K430" i="83" s="1"/>
  <c r="L430" i="83"/>
  <c r="M430" i="83"/>
  <c r="N430" i="83" s="1"/>
  <c r="O430" i="83" s="1"/>
  <c r="J431" i="83"/>
  <c r="K431" i="83" s="1"/>
  <c r="L431" i="83"/>
  <c r="M431" i="83"/>
  <c r="N431" i="83" s="1"/>
  <c r="O431" i="83" s="1"/>
  <c r="J432" i="83"/>
  <c r="K432" i="83" s="1"/>
  <c r="L432" i="83"/>
  <c r="M432" i="83"/>
  <c r="N432" i="83" s="1"/>
  <c r="O432" i="83" s="1"/>
  <c r="J433" i="83"/>
  <c r="K433" i="83" s="1"/>
  <c r="L433" i="83"/>
  <c r="M433" i="83"/>
  <c r="N433" i="83" s="1"/>
  <c r="O433" i="83" s="1"/>
  <c r="J434" i="83"/>
  <c r="K434" i="83" s="1"/>
  <c r="L434" i="83"/>
  <c r="M434" i="83"/>
  <c r="N434" i="83" s="1"/>
  <c r="O434" i="83" s="1"/>
  <c r="J435" i="83"/>
  <c r="K435" i="83" s="1"/>
  <c r="L435" i="83"/>
  <c r="M435" i="83"/>
  <c r="N435" i="83" s="1"/>
  <c r="O435" i="83" s="1"/>
  <c r="J436" i="83"/>
  <c r="K436" i="83" s="1"/>
  <c r="L436" i="83"/>
  <c r="M436" i="83"/>
  <c r="N436" i="83" s="1"/>
  <c r="O436" i="83" s="1"/>
  <c r="J437" i="83"/>
  <c r="K437" i="83" s="1"/>
  <c r="L437" i="83"/>
  <c r="M437" i="83"/>
  <c r="N437" i="83" s="1"/>
  <c r="O437" i="83" s="1"/>
  <c r="J438" i="83"/>
  <c r="K438" i="83" s="1"/>
  <c r="L438" i="83"/>
  <c r="M438" i="83"/>
  <c r="N438" i="83" s="1"/>
  <c r="O438" i="83" s="1"/>
  <c r="I9" i="84"/>
  <c r="J9" i="84" s="1"/>
  <c r="I10" i="84"/>
  <c r="J10" i="84" s="1"/>
  <c r="I11" i="84"/>
  <c r="J11" i="84" s="1"/>
  <c r="I12" i="84"/>
  <c r="J12" i="84" s="1"/>
  <c r="I13" i="84"/>
  <c r="J13" i="84" s="1"/>
  <c r="I14" i="84"/>
  <c r="J14" i="84" s="1"/>
  <c r="I15" i="84"/>
  <c r="J15" i="84" s="1"/>
  <c r="I16" i="84"/>
  <c r="J16" i="84" s="1"/>
  <c r="I17" i="84"/>
  <c r="J17" i="84" s="1"/>
  <c r="I18" i="84"/>
  <c r="J18" i="84" s="1"/>
  <c r="I19" i="84"/>
  <c r="J19" i="84" s="1"/>
  <c r="I20" i="84"/>
  <c r="J20" i="84" s="1"/>
  <c r="I21" i="84"/>
  <c r="J21" i="84" s="1"/>
  <c r="I22" i="84"/>
  <c r="J22" i="84" s="1"/>
  <c r="I23" i="84"/>
  <c r="J23" i="84" s="1"/>
  <c r="I24" i="84"/>
  <c r="J24" i="84" s="1"/>
  <c r="I25" i="84"/>
  <c r="J25" i="84" s="1"/>
  <c r="I26" i="84"/>
  <c r="J26" i="84" s="1"/>
  <c r="I27" i="84"/>
  <c r="J27" i="84" s="1"/>
  <c r="I28" i="84"/>
  <c r="J28" i="84" s="1"/>
  <c r="I29" i="84"/>
  <c r="J29" i="84" s="1"/>
  <c r="I30" i="84"/>
  <c r="J30" i="84" s="1"/>
  <c r="I31" i="84"/>
  <c r="J31" i="84" s="1"/>
  <c r="I32" i="84"/>
  <c r="J32" i="84" s="1"/>
  <c r="I33" i="84"/>
  <c r="J33" i="84" s="1"/>
  <c r="I34" i="84"/>
  <c r="J34" i="84" s="1"/>
  <c r="I35" i="84"/>
  <c r="J35" i="84" s="1"/>
  <c r="I36" i="84"/>
  <c r="J36" i="84" s="1"/>
  <c r="I37" i="84"/>
  <c r="J37" i="84" s="1"/>
  <c r="I38" i="84"/>
  <c r="J38" i="84" s="1"/>
  <c r="I39" i="84"/>
  <c r="J39" i="84" s="1"/>
  <c r="I40" i="84"/>
  <c r="J40" i="84" s="1"/>
  <c r="I41" i="84"/>
  <c r="J41" i="84" s="1"/>
  <c r="I42" i="84"/>
  <c r="J42" i="84" s="1"/>
  <c r="I43" i="84"/>
  <c r="J43" i="84" s="1"/>
  <c r="I44" i="84"/>
  <c r="J44" i="84" s="1"/>
  <c r="I45" i="84"/>
  <c r="J45" i="84" s="1"/>
  <c r="I46" i="84"/>
  <c r="J46" i="84" s="1"/>
  <c r="I47" i="84"/>
  <c r="J47" i="84" s="1"/>
  <c r="I48" i="84"/>
  <c r="J48" i="84" s="1"/>
  <c r="I49" i="84"/>
  <c r="J49" i="84" s="1"/>
  <c r="I50" i="84"/>
  <c r="J50" i="84" s="1"/>
  <c r="I51" i="84"/>
  <c r="J51" i="84" s="1"/>
  <c r="I52" i="84"/>
  <c r="J52" i="84" s="1"/>
  <c r="I53" i="84"/>
  <c r="J53" i="84" s="1"/>
  <c r="I54" i="84"/>
  <c r="J54" i="84" s="1"/>
  <c r="I55" i="84"/>
  <c r="J55" i="84" s="1"/>
  <c r="I56" i="84"/>
  <c r="J56" i="84" s="1"/>
  <c r="I57" i="84"/>
  <c r="J57" i="84" s="1"/>
  <c r="I58" i="84"/>
  <c r="J58" i="84" s="1"/>
  <c r="I59" i="84"/>
  <c r="J59" i="84" s="1"/>
  <c r="I60" i="84"/>
  <c r="J60" i="84" s="1"/>
  <c r="I61" i="84"/>
  <c r="J61" i="84" s="1"/>
  <c r="I62" i="84"/>
  <c r="J62" i="84" s="1"/>
  <c r="I63" i="84"/>
  <c r="J63" i="84" s="1"/>
  <c r="I64" i="84"/>
  <c r="J64" i="84" s="1"/>
  <c r="I65" i="84"/>
  <c r="J65" i="84" s="1"/>
  <c r="I66" i="84"/>
  <c r="J66" i="84" s="1"/>
  <c r="I67" i="84"/>
  <c r="J67" i="84" s="1"/>
  <c r="I68" i="84"/>
  <c r="J68" i="84" s="1"/>
  <c r="I69" i="84"/>
  <c r="J69" i="84" s="1"/>
  <c r="I70" i="84"/>
  <c r="J70" i="84" s="1"/>
  <c r="I71" i="84"/>
  <c r="J71" i="84" s="1"/>
  <c r="I72" i="84"/>
  <c r="J72" i="84" s="1"/>
  <c r="I73" i="84"/>
  <c r="J73" i="84" s="1"/>
  <c r="I74" i="84"/>
  <c r="J74" i="84" s="1"/>
  <c r="I75" i="84"/>
  <c r="J75" i="84" s="1"/>
  <c r="I76" i="84"/>
  <c r="J76" i="84" s="1"/>
  <c r="I77" i="84"/>
  <c r="J77" i="84" s="1"/>
  <c r="I78" i="84"/>
  <c r="J78" i="84" s="1"/>
  <c r="I79" i="84"/>
  <c r="J79" i="84" s="1"/>
  <c r="I80" i="84"/>
  <c r="J80" i="84" s="1"/>
  <c r="I81" i="84"/>
  <c r="J81" i="84" s="1"/>
  <c r="I82" i="84"/>
  <c r="J82" i="84" s="1"/>
  <c r="I83" i="84"/>
  <c r="J83" i="84" s="1"/>
  <c r="I84" i="84"/>
  <c r="J84" i="84" s="1"/>
  <c r="I85" i="84"/>
  <c r="J85" i="84" s="1"/>
  <c r="I86" i="84"/>
  <c r="J86" i="84" s="1"/>
  <c r="I87" i="84"/>
  <c r="J87" i="84" s="1"/>
  <c r="I88" i="84"/>
  <c r="J88" i="84" s="1"/>
  <c r="I89" i="84"/>
  <c r="J89" i="84" s="1"/>
  <c r="I90" i="84"/>
  <c r="J90" i="84" s="1"/>
  <c r="I91" i="84"/>
  <c r="J91" i="84" s="1"/>
  <c r="I92" i="84"/>
  <c r="J92" i="84" s="1"/>
  <c r="I93" i="84"/>
  <c r="J93" i="84" s="1"/>
  <c r="I94" i="84"/>
  <c r="J94" i="84" s="1"/>
  <c r="I95" i="84"/>
  <c r="J95" i="84" s="1"/>
  <c r="I96" i="84"/>
  <c r="J96" i="84" s="1"/>
  <c r="I97" i="84"/>
  <c r="J97" i="84" s="1"/>
  <c r="I98" i="84"/>
  <c r="J98" i="84" s="1"/>
  <c r="I99" i="84"/>
  <c r="J99" i="84" s="1"/>
  <c r="I100" i="84"/>
  <c r="J100" i="84" s="1"/>
  <c r="I101" i="84"/>
  <c r="J101" i="84" s="1"/>
  <c r="I102" i="84"/>
  <c r="J102" i="84" s="1"/>
  <c r="I103" i="84"/>
  <c r="J103" i="84" s="1"/>
  <c r="I104" i="84"/>
  <c r="J104" i="84" s="1"/>
  <c r="I105" i="84"/>
  <c r="J105" i="84" s="1"/>
  <c r="I106" i="84"/>
  <c r="J106" i="84" s="1"/>
  <c r="I107" i="84"/>
  <c r="J107" i="84" s="1"/>
  <c r="I108" i="84"/>
  <c r="J108" i="84" s="1"/>
  <c r="I109" i="84"/>
  <c r="J109" i="84" s="1"/>
  <c r="I110" i="84"/>
  <c r="J110" i="84" s="1"/>
  <c r="I111" i="84"/>
  <c r="J111" i="84" s="1"/>
  <c r="I112" i="84"/>
  <c r="J112" i="84" s="1"/>
  <c r="I113" i="84"/>
  <c r="J113" i="84" s="1"/>
  <c r="I114" i="84"/>
  <c r="J114" i="84" s="1"/>
  <c r="I115" i="84"/>
  <c r="J115" i="84" s="1"/>
  <c r="I116" i="84"/>
  <c r="J116" i="84" s="1"/>
  <c r="I117" i="84"/>
  <c r="J117" i="84" s="1"/>
  <c r="I118" i="84"/>
  <c r="J118" i="84" s="1"/>
  <c r="I119" i="84"/>
  <c r="J119" i="84" s="1"/>
  <c r="I120" i="84"/>
  <c r="J120" i="84" s="1"/>
  <c r="I121" i="84"/>
  <c r="J121" i="84" s="1"/>
  <c r="I122" i="84"/>
  <c r="J122" i="84" s="1"/>
  <c r="I123" i="84"/>
  <c r="J123" i="84" s="1"/>
  <c r="I124" i="84"/>
  <c r="J124" i="84" s="1"/>
  <c r="I125" i="84"/>
  <c r="J125" i="84" s="1"/>
  <c r="I126" i="84"/>
  <c r="J126" i="84" s="1"/>
  <c r="I127" i="84"/>
  <c r="J127" i="84" s="1"/>
  <c r="I128" i="84"/>
  <c r="J128" i="84" s="1"/>
  <c r="I129" i="84"/>
  <c r="J129" i="84" s="1"/>
  <c r="I130" i="84"/>
  <c r="J130" i="84" s="1"/>
  <c r="I131" i="84"/>
  <c r="J131" i="84" s="1"/>
  <c r="I132" i="84"/>
  <c r="J132" i="84" s="1"/>
  <c r="I133" i="84"/>
  <c r="J133" i="84" s="1"/>
  <c r="I134" i="84"/>
  <c r="J134" i="84" s="1"/>
  <c r="I135" i="84"/>
  <c r="J135" i="84" s="1"/>
  <c r="I136" i="84"/>
  <c r="J136" i="84" s="1"/>
  <c r="I137" i="84"/>
  <c r="J137" i="84" s="1"/>
  <c r="I138" i="84"/>
  <c r="J138" i="84" s="1"/>
  <c r="I139" i="84"/>
  <c r="J139" i="84" s="1"/>
  <c r="I140" i="84"/>
  <c r="J140" i="84" s="1"/>
  <c r="I141" i="84"/>
  <c r="J141" i="84" s="1"/>
  <c r="I142" i="84"/>
  <c r="J142" i="84" s="1"/>
  <c r="I143" i="84"/>
  <c r="J143" i="84" s="1"/>
  <c r="I144" i="84"/>
  <c r="J144" i="84" s="1"/>
  <c r="I145" i="84"/>
  <c r="J145" i="84" s="1"/>
  <c r="I146" i="84"/>
  <c r="J146" i="84" s="1"/>
  <c r="I147" i="84"/>
  <c r="J147" i="84" s="1"/>
  <c r="I148" i="84"/>
  <c r="J148" i="84" s="1"/>
  <c r="I149" i="84"/>
  <c r="J149" i="84" s="1"/>
  <c r="I150" i="84"/>
  <c r="J150" i="84" s="1"/>
  <c r="I151" i="84"/>
  <c r="J151" i="84" s="1"/>
  <c r="I152" i="84"/>
  <c r="J152" i="84" s="1"/>
  <c r="I153" i="84"/>
  <c r="J153" i="84" s="1"/>
  <c r="I154" i="84"/>
  <c r="J154" i="84" s="1"/>
  <c r="I155" i="84"/>
  <c r="J155" i="84" s="1"/>
  <c r="I156" i="84"/>
  <c r="J156" i="84" s="1"/>
  <c r="I157" i="84"/>
  <c r="J157" i="84" s="1"/>
  <c r="I158" i="84"/>
  <c r="J158" i="84" s="1"/>
  <c r="I159" i="84"/>
  <c r="J159" i="84" s="1"/>
  <c r="I160" i="84"/>
  <c r="J160" i="84" s="1"/>
  <c r="I161" i="84"/>
  <c r="J161" i="84" s="1"/>
  <c r="I162" i="84"/>
  <c r="J162" i="84" s="1"/>
  <c r="I163" i="84"/>
  <c r="J163" i="84" s="1"/>
  <c r="I164" i="84"/>
  <c r="J164" i="84" s="1"/>
  <c r="I165" i="84"/>
  <c r="J165" i="84" s="1"/>
  <c r="I166" i="84"/>
  <c r="J166" i="84" s="1"/>
  <c r="I167" i="84"/>
  <c r="J167" i="84" s="1"/>
  <c r="I168" i="84"/>
  <c r="J168" i="84" s="1"/>
  <c r="I169" i="84"/>
  <c r="J169" i="84" s="1"/>
  <c r="I170" i="84"/>
  <c r="J170" i="84" s="1"/>
  <c r="I171" i="84"/>
  <c r="J171" i="84" s="1"/>
  <c r="I172" i="84"/>
  <c r="J172" i="84" s="1"/>
  <c r="I173" i="84"/>
  <c r="J173" i="84" s="1"/>
  <c r="I174" i="84"/>
  <c r="J174" i="84" s="1"/>
  <c r="I175" i="84"/>
  <c r="J175" i="84" s="1"/>
  <c r="I176" i="84"/>
  <c r="J176" i="84" s="1"/>
  <c r="I177" i="84"/>
  <c r="J177" i="84" s="1"/>
  <c r="I178" i="84"/>
  <c r="J178" i="84" s="1"/>
  <c r="I179" i="84"/>
  <c r="J179" i="84" s="1"/>
  <c r="I180" i="84"/>
  <c r="J180" i="84" s="1"/>
  <c r="I181" i="84"/>
  <c r="J181" i="84" s="1"/>
  <c r="I182" i="84"/>
  <c r="J182" i="84" s="1"/>
  <c r="I183" i="84"/>
  <c r="J183" i="84" s="1"/>
  <c r="I184" i="84"/>
  <c r="J184" i="84" s="1"/>
  <c r="I185" i="84"/>
  <c r="J185" i="84" s="1"/>
  <c r="I186" i="84"/>
  <c r="J186" i="84" s="1"/>
  <c r="I187" i="84"/>
  <c r="J187" i="84" s="1"/>
  <c r="I188" i="84"/>
  <c r="J188" i="84" s="1"/>
  <c r="I189" i="84"/>
  <c r="J189" i="84" s="1"/>
  <c r="I190" i="84"/>
  <c r="J190" i="84" s="1"/>
  <c r="I191" i="84"/>
  <c r="J191" i="84" s="1"/>
  <c r="I192" i="84"/>
  <c r="J192" i="84" s="1"/>
  <c r="I193" i="84"/>
  <c r="J193" i="84" s="1"/>
  <c r="I194" i="84"/>
  <c r="J194" i="84" s="1"/>
  <c r="I195" i="84"/>
  <c r="J195" i="84" s="1"/>
  <c r="I196" i="84"/>
  <c r="J196" i="84" s="1"/>
  <c r="I197" i="84"/>
  <c r="J197" i="84" s="1"/>
  <c r="I198" i="84"/>
  <c r="J198" i="84" s="1"/>
  <c r="I199" i="84"/>
  <c r="J199" i="84" s="1"/>
  <c r="I200" i="84"/>
  <c r="J200" i="84" s="1"/>
  <c r="I201" i="84"/>
  <c r="J201" i="84" s="1"/>
  <c r="I202" i="84"/>
  <c r="J202" i="84" s="1"/>
  <c r="I203" i="84"/>
  <c r="J203" i="84" s="1"/>
  <c r="I204" i="84"/>
  <c r="J204" i="84" s="1"/>
  <c r="I205" i="84"/>
  <c r="J205" i="84" s="1"/>
  <c r="I206" i="84"/>
  <c r="J206" i="84" s="1"/>
  <c r="I207" i="84"/>
  <c r="J207" i="84" s="1"/>
  <c r="I208" i="84"/>
  <c r="J208" i="84" s="1"/>
  <c r="I209" i="84"/>
  <c r="J209" i="84" s="1"/>
  <c r="I210" i="84"/>
  <c r="J210" i="84" s="1"/>
  <c r="I211" i="84"/>
  <c r="J211" i="84" s="1"/>
  <c r="I212" i="84"/>
  <c r="J212" i="84" s="1"/>
  <c r="I213" i="84"/>
  <c r="J213" i="84" s="1"/>
  <c r="I214" i="84"/>
  <c r="J214" i="84" s="1"/>
  <c r="I215" i="84"/>
  <c r="J215" i="84" s="1"/>
  <c r="I216" i="84"/>
  <c r="J216" i="84" s="1"/>
  <c r="I217" i="84"/>
  <c r="J217" i="84" s="1"/>
  <c r="I218" i="84"/>
  <c r="J218" i="84" s="1"/>
  <c r="I219" i="84"/>
  <c r="J219" i="84" s="1"/>
  <c r="I220" i="84"/>
  <c r="J220" i="84" s="1"/>
  <c r="I221" i="84"/>
  <c r="J221" i="84" s="1"/>
  <c r="I222" i="84"/>
  <c r="J222" i="84" s="1"/>
  <c r="I223" i="84"/>
  <c r="J223" i="84" s="1"/>
  <c r="I224" i="84"/>
  <c r="J224" i="84" s="1"/>
  <c r="I225" i="84"/>
  <c r="J225" i="84" s="1"/>
  <c r="I226" i="84"/>
  <c r="J226" i="84" s="1"/>
  <c r="I227" i="84"/>
  <c r="J227" i="84" s="1"/>
  <c r="I228" i="84"/>
  <c r="J228" i="84" s="1"/>
  <c r="I229" i="84"/>
  <c r="J229" i="84" s="1"/>
  <c r="I230" i="84"/>
  <c r="J230" i="84" s="1"/>
  <c r="I231" i="84"/>
  <c r="J231" i="84" s="1"/>
  <c r="I232" i="84"/>
  <c r="J232" i="84" s="1"/>
  <c r="I233" i="84"/>
  <c r="J233" i="84" s="1"/>
  <c r="I234" i="84"/>
  <c r="J234" i="84" s="1"/>
  <c r="I235" i="84"/>
  <c r="J235" i="84" s="1"/>
  <c r="I236" i="84"/>
  <c r="J236" i="84" s="1"/>
  <c r="I237" i="84"/>
  <c r="J237" i="84" s="1"/>
  <c r="I238" i="84"/>
  <c r="J238" i="84" s="1"/>
  <c r="I239" i="84"/>
  <c r="J239" i="84" s="1"/>
  <c r="I240" i="84"/>
  <c r="J240" i="84" s="1"/>
  <c r="I241" i="84"/>
  <c r="J241" i="84" s="1"/>
  <c r="I242" i="84"/>
  <c r="J242" i="84" s="1"/>
  <c r="I243" i="84"/>
  <c r="J243" i="84" s="1"/>
  <c r="I244" i="84"/>
  <c r="J244" i="84" s="1"/>
  <c r="I245" i="84"/>
  <c r="J245" i="84" s="1"/>
  <c r="I246" i="84"/>
  <c r="J246" i="84" s="1"/>
  <c r="I247" i="84"/>
  <c r="J247" i="84" s="1"/>
  <c r="I248" i="84"/>
  <c r="J248" i="84" s="1"/>
  <c r="I249" i="84"/>
  <c r="J249" i="84" s="1"/>
  <c r="I250" i="84"/>
  <c r="J250" i="84" s="1"/>
  <c r="I251" i="84"/>
  <c r="J251" i="84" s="1"/>
  <c r="I252" i="84"/>
  <c r="J252" i="84" s="1"/>
  <c r="I253" i="84"/>
  <c r="J253" i="84" s="1"/>
  <c r="I254" i="84"/>
  <c r="J254" i="84" s="1"/>
  <c r="I255" i="84"/>
  <c r="J255" i="84" s="1"/>
  <c r="I256" i="84"/>
  <c r="J256" i="84" s="1"/>
  <c r="I257" i="84"/>
  <c r="J257" i="84" s="1"/>
  <c r="I258" i="84"/>
  <c r="J258" i="84" s="1"/>
  <c r="I259" i="84"/>
  <c r="J259" i="84" s="1"/>
  <c r="I260" i="84"/>
  <c r="J260" i="84" s="1"/>
  <c r="I261" i="84"/>
  <c r="J261" i="84" s="1"/>
  <c r="I262" i="84"/>
  <c r="J262" i="84" s="1"/>
  <c r="I263" i="84"/>
  <c r="J263" i="84" s="1"/>
  <c r="I264" i="84"/>
  <c r="J264" i="84" s="1"/>
  <c r="I265" i="84"/>
  <c r="J265" i="84" s="1"/>
  <c r="I266" i="84"/>
  <c r="J266" i="84" s="1"/>
  <c r="I267" i="84"/>
  <c r="J267" i="84" s="1"/>
  <c r="I268" i="84"/>
  <c r="J268" i="84" s="1"/>
  <c r="I269" i="84"/>
  <c r="J269" i="84" s="1"/>
  <c r="I270" i="84"/>
  <c r="J270" i="84" s="1"/>
  <c r="I271" i="84"/>
  <c r="J271" i="84" s="1"/>
  <c r="I272" i="84"/>
  <c r="J272" i="84" s="1"/>
  <c r="I273" i="84"/>
  <c r="J273" i="84" s="1"/>
  <c r="I274" i="84"/>
  <c r="J274" i="84" s="1"/>
  <c r="I275" i="84"/>
  <c r="J275" i="84"/>
  <c r="I276" i="84"/>
  <c r="J276" i="84" s="1"/>
  <c r="I277" i="84"/>
  <c r="J277" i="84" s="1"/>
  <c r="I278" i="84"/>
  <c r="J278" i="84" s="1"/>
  <c r="I279" i="84"/>
  <c r="J279" i="84" s="1"/>
  <c r="I280" i="84"/>
  <c r="J280" i="84" s="1"/>
  <c r="I281" i="84"/>
  <c r="J281" i="84" s="1"/>
  <c r="I282" i="84"/>
  <c r="J282" i="84" s="1"/>
  <c r="I283" i="84"/>
  <c r="J283" i="84" s="1"/>
  <c r="I284" i="84"/>
  <c r="J284" i="84" s="1"/>
  <c r="I285" i="84"/>
  <c r="J285" i="84" s="1"/>
  <c r="I286" i="84"/>
  <c r="J286" i="84" s="1"/>
  <c r="I287" i="84"/>
  <c r="J287" i="84" s="1"/>
  <c r="I288" i="84"/>
  <c r="J288" i="84" s="1"/>
  <c r="I289" i="84"/>
  <c r="J289" i="84" s="1"/>
  <c r="I290" i="84"/>
  <c r="J290" i="84" s="1"/>
  <c r="I291" i="84"/>
  <c r="J291" i="84" s="1"/>
  <c r="I292" i="84"/>
  <c r="J292" i="84" s="1"/>
  <c r="I293" i="84"/>
  <c r="J293" i="84" s="1"/>
  <c r="I294" i="84"/>
  <c r="J294" i="84" s="1"/>
  <c r="I295" i="84"/>
  <c r="J295" i="84" s="1"/>
  <c r="I296" i="84"/>
  <c r="J296" i="84" s="1"/>
  <c r="I297" i="84"/>
  <c r="J297" i="84" s="1"/>
  <c r="I298" i="84"/>
  <c r="J298" i="84" s="1"/>
  <c r="I299" i="84"/>
  <c r="J299" i="84" s="1"/>
  <c r="I300" i="84"/>
  <c r="J300" i="84" s="1"/>
  <c r="I301" i="84"/>
  <c r="J301" i="84" s="1"/>
  <c r="I302" i="84"/>
  <c r="J302" i="84" s="1"/>
  <c r="I303" i="84"/>
  <c r="J303" i="84" s="1"/>
  <c r="I304" i="84"/>
  <c r="J304" i="84" s="1"/>
  <c r="I305" i="84"/>
  <c r="J305" i="84" s="1"/>
  <c r="I306" i="84"/>
  <c r="J306" i="84" s="1"/>
  <c r="I307" i="84"/>
  <c r="J307" i="84" s="1"/>
  <c r="I308" i="84"/>
  <c r="J308" i="84" s="1"/>
  <c r="I309" i="84"/>
  <c r="J309" i="84" s="1"/>
  <c r="I310" i="84"/>
  <c r="J310" i="84" s="1"/>
  <c r="I311" i="84"/>
  <c r="J311" i="84" s="1"/>
  <c r="I312" i="84"/>
  <c r="J312" i="84" s="1"/>
  <c r="I313" i="84"/>
  <c r="J313" i="84" s="1"/>
  <c r="I314" i="84"/>
  <c r="J314" i="84" s="1"/>
  <c r="I315" i="84"/>
  <c r="J315" i="84" s="1"/>
  <c r="I316" i="84"/>
  <c r="J316" i="84" s="1"/>
  <c r="I317" i="84"/>
  <c r="J317" i="84" s="1"/>
  <c r="I318" i="84"/>
  <c r="J318" i="84" s="1"/>
  <c r="I319" i="84"/>
  <c r="J319" i="84" s="1"/>
  <c r="I320" i="84"/>
  <c r="J320" i="84" s="1"/>
  <c r="I321" i="84"/>
  <c r="J321" i="84" s="1"/>
  <c r="I322" i="84"/>
  <c r="J322" i="84" s="1"/>
  <c r="I323" i="84"/>
  <c r="J323" i="84" s="1"/>
  <c r="I324" i="84"/>
  <c r="J324" i="84" s="1"/>
  <c r="I325" i="84"/>
  <c r="J325" i="84" s="1"/>
  <c r="I326" i="84"/>
  <c r="J326" i="84" s="1"/>
  <c r="I327" i="84"/>
  <c r="J327" i="84" s="1"/>
  <c r="I328" i="84"/>
  <c r="J328" i="84" s="1"/>
  <c r="I329" i="84"/>
  <c r="J329" i="84" s="1"/>
  <c r="I330" i="84"/>
  <c r="J330" i="84"/>
  <c r="I331" i="84"/>
  <c r="J331" i="84" s="1"/>
  <c r="I332" i="84"/>
  <c r="J332" i="84" s="1"/>
  <c r="I333" i="84"/>
  <c r="J333" i="84" s="1"/>
  <c r="I334" i="84"/>
  <c r="J334" i="84" s="1"/>
  <c r="I335" i="84"/>
  <c r="J335" i="84" s="1"/>
  <c r="I336" i="84"/>
  <c r="J336" i="84" s="1"/>
  <c r="I337" i="84"/>
  <c r="J337" i="84" s="1"/>
  <c r="I338" i="84"/>
  <c r="J338" i="84" s="1"/>
  <c r="I339" i="84"/>
  <c r="J339" i="84" s="1"/>
  <c r="I340" i="84"/>
  <c r="J340" i="84" s="1"/>
  <c r="I341" i="84"/>
  <c r="J341" i="84" s="1"/>
  <c r="I342" i="84"/>
  <c r="J342" i="84" s="1"/>
  <c r="I343" i="84"/>
  <c r="J343" i="84" s="1"/>
  <c r="I344" i="84"/>
  <c r="J344" i="84" s="1"/>
  <c r="I345" i="84"/>
  <c r="J345" i="84" s="1"/>
  <c r="I346" i="84"/>
  <c r="J346" i="84" s="1"/>
  <c r="I347" i="84"/>
  <c r="J347" i="84" s="1"/>
  <c r="I348" i="84"/>
  <c r="J348" i="84" s="1"/>
  <c r="I349" i="84"/>
  <c r="J349" i="84" s="1"/>
  <c r="I350" i="84"/>
  <c r="J350" i="84" s="1"/>
  <c r="I351" i="84"/>
  <c r="J351" i="84" s="1"/>
  <c r="I352" i="84"/>
  <c r="J352" i="84" s="1"/>
  <c r="I353" i="84"/>
  <c r="J353" i="84" s="1"/>
  <c r="I354" i="84"/>
  <c r="J354" i="84" s="1"/>
  <c r="I355" i="84"/>
  <c r="J355" i="84" s="1"/>
  <c r="I356" i="84"/>
  <c r="J356" i="84" s="1"/>
  <c r="I357" i="84"/>
  <c r="J357" i="84" s="1"/>
  <c r="I358" i="84"/>
  <c r="J358" i="84" s="1"/>
  <c r="I359" i="84"/>
  <c r="J359" i="84" s="1"/>
  <c r="I360" i="84"/>
  <c r="J360" i="84" s="1"/>
  <c r="I361" i="84"/>
  <c r="J361" i="84" s="1"/>
  <c r="I362" i="84"/>
  <c r="J362" i="84" s="1"/>
  <c r="I363" i="84"/>
  <c r="J363" i="84" s="1"/>
  <c r="I364" i="84"/>
  <c r="J364" i="84" s="1"/>
  <c r="I365" i="84"/>
  <c r="J365" i="84" s="1"/>
  <c r="I366" i="84"/>
  <c r="J366" i="84" s="1"/>
  <c r="I367" i="84"/>
  <c r="J367" i="84" s="1"/>
  <c r="I368" i="84"/>
  <c r="J368" i="84" s="1"/>
  <c r="I369" i="84"/>
  <c r="J369" i="84" s="1"/>
  <c r="I370" i="84"/>
  <c r="J370" i="84" s="1"/>
  <c r="I371" i="84"/>
  <c r="J371" i="84" s="1"/>
  <c r="I372" i="84"/>
  <c r="J372" i="84" s="1"/>
  <c r="I373" i="84"/>
  <c r="J373" i="84" s="1"/>
  <c r="I374" i="84"/>
  <c r="J374" i="84" s="1"/>
  <c r="I375" i="84"/>
  <c r="J375" i="84" s="1"/>
  <c r="I376" i="84"/>
  <c r="J376" i="84" s="1"/>
  <c r="I377" i="84"/>
  <c r="J377" i="84" s="1"/>
  <c r="I378" i="84"/>
  <c r="J378" i="84" s="1"/>
  <c r="I379" i="84"/>
  <c r="J379" i="84" s="1"/>
  <c r="I380" i="84"/>
  <c r="J380" i="84" s="1"/>
  <c r="I381" i="84"/>
  <c r="J381" i="84" s="1"/>
  <c r="A7" i="83"/>
  <c r="A8" i="83"/>
  <c r="A9" i="83"/>
  <c r="A10" i="83"/>
  <c r="A11" i="83"/>
  <c r="A12" i="83"/>
  <c r="A13" i="83"/>
  <c r="A14" i="83"/>
  <c r="A15" i="83"/>
  <c r="A16" i="83"/>
  <c r="A17" i="83"/>
  <c r="A18" i="83"/>
  <c r="A19" i="83"/>
  <c r="A20" i="83"/>
  <c r="A21" i="83"/>
  <c r="A22" i="83"/>
  <c r="A23" i="83"/>
  <c r="A24" i="83"/>
  <c r="A25" i="83"/>
  <c r="A26" i="83"/>
  <c r="A27" i="83"/>
  <c r="A28" i="83"/>
  <c r="A29" i="83"/>
  <c r="A30" i="83"/>
  <c r="A31" i="83"/>
  <c r="A32" i="83"/>
  <c r="A33" i="83"/>
  <c r="A34" i="83"/>
  <c r="A35" i="83"/>
  <c r="A36" i="83"/>
  <c r="A37" i="83"/>
  <c r="A38" i="83"/>
  <c r="A39" i="83"/>
  <c r="A40" i="83"/>
  <c r="A41" i="83"/>
  <c r="A42" i="83"/>
  <c r="A43" i="83"/>
  <c r="A44" i="83"/>
  <c r="A45" i="83"/>
  <c r="A46" i="83"/>
  <c r="A47" i="83"/>
  <c r="A48" i="83"/>
  <c r="A49" i="83"/>
  <c r="A50" i="83"/>
  <c r="A51" i="83"/>
  <c r="A52" i="83"/>
  <c r="A53" i="83"/>
  <c r="A54" i="83"/>
  <c r="A55" i="83"/>
  <c r="A56" i="83"/>
  <c r="A57" i="83"/>
  <c r="A58" i="83"/>
  <c r="A59" i="83"/>
  <c r="A60" i="83"/>
  <c r="A61" i="83"/>
  <c r="A62" i="83"/>
  <c r="A63" i="83"/>
  <c r="A64" i="83"/>
  <c r="A65" i="83"/>
  <c r="A66" i="83"/>
  <c r="A67" i="83"/>
  <c r="A68" i="83"/>
  <c r="A69" i="83"/>
  <c r="A70" i="83"/>
  <c r="A71" i="83"/>
  <c r="A72" i="83"/>
  <c r="A73" i="83"/>
  <c r="A74" i="83"/>
  <c r="A75" i="83"/>
  <c r="A76" i="83"/>
  <c r="A77" i="83"/>
  <c r="A78" i="83"/>
  <c r="A79" i="83"/>
  <c r="A80" i="83"/>
  <c r="A81" i="83"/>
  <c r="A82" i="83"/>
  <c r="A83" i="83"/>
  <c r="A84" i="83"/>
  <c r="A85" i="83"/>
  <c r="A86" i="83"/>
  <c r="A87" i="83"/>
  <c r="A88" i="83"/>
  <c r="A89" i="83"/>
  <c r="A90" i="83"/>
  <c r="A91" i="83"/>
  <c r="A92" i="83"/>
  <c r="A93" i="83"/>
  <c r="A94" i="83"/>
  <c r="A95" i="83"/>
  <c r="A96" i="83"/>
  <c r="A97" i="83"/>
  <c r="A98" i="83"/>
  <c r="A99" i="83"/>
  <c r="A100" i="83"/>
  <c r="A101" i="83"/>
  <c r="A102" i="83"/>
  <c r="A103" i="83"/>
  <c r="A104" i="83"/>
  <c r="A105" i="83"/>
  <c r="A106" i="83"/>
  <c r="A107" i="83"/>
  <c r="A108" i="83"/>
  <c r="A109" i="83"/>
  <c r="A110" i="83"/>
  <c r="A111" i="83"/>
  <c r="A112" i="83"/>
  <c r="A113" i="83"/>
  <c r="A114" i="83"/>
  <c r="A115" i="83"/>
  <c r="A116" i="83"/>
  <c r="A117" i="83"/>
  <c r="A118" i="83"/>
  <c r="A119" i="83"/>
  <c r="A120" i="83"/>
  <c r="A121" i="83"/>
  <c r="A122" i="83"/>
  <c r="A123" i="83"/>
  <c r="A124" i="83"/>
  <c r="A125" i="83"/>
  <c r="A126" i="83"/>
  <c r="A127" i="83"/>
  <c r="A128" i="83"/>
  <c r="A129" i="83"/>
  <c r="A130" i="83"/>
  <c r="A131" i="83"/>
  <c r="A132" i="83"/>
  <c r="A133" i="83"/>
  <c r="A134" i="83"/>
  <c r="A135" i="83"/>
  <c r="A136" i="83"/>
  <c r="A137" i="83"/>
  <c r="A138" i="83"/>
  <c r="A139" i="83"/>
  <c r="A140" i="83"/>
  <c r="A141" i="83"/>
  <c r="A142" i="83"/>
  <c r="A143" i="83"/>
  <c r="A144" i="83"/>
  <c r="A145" i="83"/>
  <c r="A146" i="83"/>
  <c r="A147" i="83"/>
  <c r="A148" i="83"/>
  <c r="A149" i="83"/>
  <c r="A150" i="83"/>
  <c r="A151" i="83"/>
  <c r="A152" i="83"/>
  <c r="A153" i="83"/>
  <c r="A154" i="83"/>
  <c r="A155" i="83"/>
  <c r="A156" i="83"/>
  <c r="A157" i="83"/>
  <c r="A158" i="83"/>
  <c r="A159" i="83"/>
  <c r="A160" i="83"/>
  <c r="A161" i="83"/>
  <c r="A162" i="83"/>
  <c r="A163" i="83"/>
  <c r="A164" i="83"/>
  <c r="A165" i="83"/>
  <c r="A166" i="83"/>
  <c r="A167" i="83"/>
  <c r="A168" i="83"/>
  <c r="A169" i="83"/>
  <c r="A170" i="83"/>
  <c r="A171" i="83"/>
  <c r="A172" i="83"/>
  <c r="A173" i="83"/>
  <c r="A174" i="83"/>
  <c r="A175" i="83"/>
  <c r="A176" i="83"/>
  <c r="A177" i="83"/>
  <c r="A178" i="83"/>
  <c r="A179" i="83"/>
  <c r="A180" i="83"/>
  <c r="A181" i="83"/>
  <c r="A182" i="83"/>
  <c r="A183" i="83"/>
  <c r="A184" i="83"/>
  <c r="A185" i="83"/>
  <c r="A186" i="83"/>
  <c r="A187" i="83"/>
  <c r="A188" i="83"/>
  <c r="A189" i="83"/>
  <c r="A190" i="83"/>
  <c r="A191" i="83"/>
  <c r="A192" i="83"/>
  <c r="A193" i="83"/>
  <c r="A194" i="83"/>
  <c r="A195" i="83"/>
  <c r="A196" i="83"/>
  <c r="A197" i="83"/>
  <c r="A198" i="83"/>
  <c r="A199" i="83"/>
  <c r="A200" i="83"/>
  <c r="A201" i="83"/>
  <c r="A202" i="83"/>
  <c r="A203" i="83"/>
  <c r="A204" i="83"/>
  <c r="A205" i="83"/>
  <c r="A206" i="83"/>
  <c r="A207" i="83"/>
  <c r="A208" i="83"/>
  <c r="A209" i="83"/>
  <c r="A210" i="83"/>
  <c r="A211" i="83"/>
  <c r="A212" i="83"/>
  <c r="A213" i="83"/>
  <c r="A214" i="83"/>
  <c r="A215" i="83"/>
  <c r="A216" i="83"/>
  <c r="A217" i="83"/>
  <c r="A218" i="83"/>
  <c r="A219" i="83"/>
  <c r="A220" i="83"/>
  <c r="A221" i="83"/>
  <c r="A222" i="83"/>
  <c r="A223" i="83"/>
  <c r="A224" i="83"/>
  <c r="A225" i="83"/>
  <c r="A226" i="83"/>
  <c r="A227" i="83"/>
  <c r="A228" i="83"/>
  <c r="A229" i="83"/>
  <c r="A230" i="83"/>
  <c r="A231" i="83"/>
  <c r="A232" i="83"/>
  <c r="A233" i="83"/>
  <c r="A234" i="83"/>
  <c r="A235" i="83"/>
  <c r="A236" i="83"/>
  <c r="A237" i="83"/>
  <c r="A238" i="83"/>
  <c r="A239" i="83"/>
  <c r="A240" i="83"/>
  <c r="A241" i="83"/>
  <c r="A242" i="83"/>
  <c r="A243" i="83"/>
  <c r="A244" i="83"/>
  <c r="A245" i="83"/>
  <c r="A246" i="83"/>
  <c r="A247" i="83"/>
  <c r="A248" i="83"/>
  <c r="A249" i="83"/>
  <c r="A250" i="83"/>
  <c r="A251" i="83"/>
  <c r="A252" i="83"/>
  <c r="A253" i="83"/>
  <c r="A254" i="83"/>
  <c r="A255" i="83"/>
  <c r="A256" i="83"/>
  <c r="A257" i="83"/>
  <c r="A258" i="83"/>
  <c r="A259" i="83"/>
  <c r="A260" i="83"/>
  <c r="A261" i="83"/>
  <c r="A262" i="83"/>
  <c r="A263" i="83"/>
  <c r="A264" i="83"/>
  <c r="A265" i="83"/>
  <c r="A266" i="83"/>
  <c r="A267" i="83"/>
  <c r="A268" i="83"/>
  <c r="A269" i="83"/>
  <c r="A270" i="83"/>
  <c r="A271" i="83"/>
  <c r="A272" i="83"/>
  <c r="A273" i="83"/>
  <c r="A274" i="83"/>
  <c r="A275" i="83"/>
  <c r="A276" i="83"/>
  <c r="A277" i="83"/>
  <c r="A278" i="83"/>
  <c r="A279" i="83"/>
  <c r="A280" i="83"/>
  <c r="A281" i="83"/>
  <c r="A282" i="83"/>
  <c r="A283" i="83"/>
  <c r="A284" i="83"/>
  <c r="A285" i="83"/>
  <c r="A286" i="83"/>
  <c r="A287" i="83"/>
  <c r="A288" i="83"/>
  <c r="A289" i="83"/>
  <c r="A290" i="83"/>
  <c r="A291" i="83"/>
  <c r="A292" i="83"/>
  <c r="A293" i="83"/>
  <c r="A294" i="83"/>
  <c r="A295" i="83"/>
  <c r="A296" i="83"/>
  <c r="A297" i="83"/>
  <c r="A298" i="83"/>
  <c r="A299" i="83"/>
  <c r="A300" i="83"/>
  <c r="A301" i="83"/>
  <c r="A302" i="83"/>
  <c r="A303" i="83"/>
  <c r="A304" i="83"/>
  <c r="A305" i="83"/>
  <c r="A306" i="83"/>
  <c r="A307" i="83"/>
  <c r="A308" i="83"/>
  <c r="A309" i="83"/>
  <c r="A310" i="83"/>
  <c r="A311" i="83"/>
  <c r="A312" i="83"/>
  <c r="A313" i="83"/>
  <c r="A314" i="83"/>
  <c r="A315" i="83"/>
  <c r="A316" i="83"/>
  <c r="A317" i="83"/>
  <c r="A318" i="83"/>
  <c r="A319" i="83"/>
  <c r="A320" i="83"/>
  <c r="A321" i="83"/>
  <c r="A322" i="83"/>
  <c r="A323" i="83"/>
  <c r="A324" i="83"/>
  <c r="A325" i="83"/>
  <c r="A326" i="83"/>
  <c r="A327" i="83"/>
  <c r="A328" i="83"/>
  <c r="A329" i="83"/>
  <c r="A330" i="83"/>
  <c r="A331" i="83"/>
  <c r="A332" i="83"/>
  <c r="A333" i="83"/>
  <c r="A334" i="83"/>
  <c r="A335" i="83"/>
  <c r="A336" i="83"/>
  <c r="A337" i="83"/>
  <c r="A338" i="83"/>
  <c r="A339" i="83"/>
  <c r="A340" i="83"/>
  <c r="A341" i="83"/>
  <c r="A342" i="83"/>
  <c r="A343" i="83"/>
  <c r="A344" i="83"/>
  <c r="A345" i="83"/>
  <c r="A346" i="83"/>
  <c r="A347" i="83"/>
  <c r="A348" i="83"/>
  <c r="A349" i="83"/>
  <c r="A350" i="83"/>
  <c r="A351" i="83"/>
  <c r="A352" i="83"/>
  <c r="A353" i="83"/>
  <c r="A354" i="83"/>
  <c r="A355" i="83"/>
  <c r="A356" i="83"/>
  <c r="A357" i="83"/>
  <c r="A358" i="83"/>
  <c r="A359" i="83"/>
  <c r="A360" i="83"/>
  <c r="A361" i="83"/>
  <c r="A362" i="83"/>
  <c r="A363" i="83"/>
  <c r="A364" i="83"/>
  <c r="A365" i="83"/>
  <c r="A366" i="83"/>
  <c r="A367" i="83"/>
  <c r="A368" i="83"/>
  <c r="A369" i="83"/>
  <c r="A370" i="83"/>
  <c r="A371" i="83"/>
  <c r="A372" i="83"/>
  <c r="A373" i="83"/>
  <c r="A374" i="83"/>
  <c r="A375" i="83"/>
  <c r="A376" i="83"/>
  <c r="A377" i="83"/>
  <c r="A378" i="83"/>
  <c r="A379" i="83"/>
  <c r="A380" i="83"/>
  <c r="I30" i="37" l="1"/>
  <c r="K2130" i="65" l="1"/>
  <c r="K2131" i="65"/>
  <c r="K2132" i="65"/>
  <c r="M450" i="92" s="1"/>
  <c r="K2133" i="65"/>
  <c r="K2134" i="65"/>
  <c r="K2135" i="65"/>
  <c r="K2136" i="65"/>
  <c r="K2129" i="65"/>
  <c r="K1610" i="65" l="1"/>
  <c r="B460" i="60" l="1"/>
  <c r="B461" i="60" s="1"/>
  <c r="M40" i="37" l="1"/>
  <c r="M41" i="37" s="1"/>
  <c r="I8" i="84"/>
  <c r="J8" i="84" s="1"/>
  <c r="J7" i="54"/>
  <c r="I46" i="37"/>
  <c r="I32" i="37"/>
  <c r="J72" i="48" l="1"/>
  <c r="J79" i="48"/>
  <c r="J28" i="48"/>
  <c r="J8" i="48"/>
  <c r="J7" i="48"/>
  <c r="J73" i="79" l="1"/>
  <c r="J75" i="79"/>
  <c r="D177" i="60" l="1"/>
  <c r="F17" i="64" l="1"/>
  <c r="G17" i="64" s="1"/>
  <c r="F18" i="64"/>
  <c r="G18" i="64" s="1"/>
  <c r="F16" i="64"/>
  <c r="G16" i="64" s="1"/>
  <c r="J401" i="83"/>
  <c r="K401" i="83" s="1"/>
  <c r="L401" i="83"/>
  <c r="M401" i="83"/>
  <c r="N401" i="83" s="1"/>
  <c r="O401" i="83" s="1"/>
  <c r="J402" i="83"/>
  <c r="K402" i="83" s="1"/>
  <c r="L402" i="83"/>
  <c r="M402" i="83"/>
  <c r="N402" i="83" s="1"/>
  <c r="O402" i="83" s="1"/>
  <c r="J403" i="83"/>
  <c r="K403" i="83" s="1"/>
  <c r="L403" i="83"/>
  <c r="M403" i="83"/>
  <c r="N403" i="83" s="1"/>
  <c r="O403" i="83" s="1"/>
  <c r="J404" i="83"/>
  <c r="K404" i="83" s="1"/>
  <c r="L404" i="83"/>
  <c r="M404" i="83"/>
  <c r="N404" i="83" s="1"/>
  <c r="O404" i="83" s="1"/>
  <c r="J405" i="83"/>
  <c r="K405" i="83" s="1"/>
  <c r="L405" i="83"/>
  <c r="M405" i="83"/>
  <c r="N405" i="83" s="1"/>
  <c r="O405" i="83" s="1"/>
  <c r="J406" i="83"/>
  <c r="K406" i="83" s="1"/>
  <c r="L406" i="83"/>
  <c r="M406" i="83"/>
  <c r="N406" i="83" s="1"/>
  <c r="O406" i="83" s="1"/>
  <c r="J407" i="83"/>
  <c r="K407" i="83" s="1"/>
  <c r="L407" i="83"/>
  <c r="M407" i="83"/>
  <c r="N407" i="83" s="1"/>
  <c r="O407" i="83" s="1"/>
  <c r="J408" i="83"/>
  <c r="K408" i="83" s="1"/>
  <c r="L408" i="83"/>
  <c r="M408" i="83"/>
  <c r="N408" i="83" s="1"/>
  <c r="O408" i="83" s="1"/>
  <c r="J409" i="83"/>
  <c r="K409" i="83" s="1"/>
  <c r="L409" i="83"/>
  <c r="M409" i="83"/>
  <c r="N409" i="83" s="1"/>
  <c r="O409" i="83" s="1"/>
  <c r="J410" i="83"/>
  <c r="K410" i="83" s="1"/>
  <c r="L410" i="83"/>
  <c r="M410" i="83"/>
  <c r="N410" i="83" s="1"/>
  <c r="O410" i="83" s="1"/>
  <c r="J411" i="83"/>
  <c r="K411" i="83" s="1"/>
  <c r="L411" i="83"/>
  <c r="M411" i="83"/>
  <c r="N411" i="83" s="1"/>
  <c r="O411" i="83" s="1"/>
  <c r="J412" i="83"/>
  <c r="K412" i="83" s="1"/>
  <c r="L412" i="83"/>
  <c r="M412" i="83"/>
  <c r="N412" i="83" s="1"/>
  <c r="O412" i="83" s="1"/>
  <c r="J413" i="83"/>
  <c r="K413" i="83" s="1"/>
  <c r="L413" i="83"/>
  <c r="M413" i="83"/>
  <c r="N413" i="83" s="1"/>
  <c r="O413" i="83" s="1"/>
  <c r="J414" i="83"/>
  <c r="K414" i="83" s="1"/>
  <c r="L414" i="83"/>
  <c r="M414" i="83"/>
  <c r="N414" i="83" s="1"/>
  <c r="O414" i="83" s="1"/>
  <c r="J415" i="83"/>
  <c r="K415" i="83" s="1"/>
  <c r="L415" i="83"/>
  <c r="M415" i="83"/>
  <c r="N415" i="83" s="1"/>
  <c r="O415" i="83" s="1"/>
  <c r="J416" i="83"/>
  <c r="K416" i="83" s="1"/>
  <c r="L416" i="83"/>
  <c r="M416" i="83"/>
  <c r="N416" i="83" s="1"/>
  <c r="O416" i="83" s="1"/>
  <c r="J417" i="83"/>
  <c r="K417" i="83" s="1"/>
  <c r="L417" i="83"/>
  <c r="M417" i="83"/>
  <c r="N417" i="83" s="1"/>
  <c r="O417" i="83" s="1"/>
  <c r="J418" i="83"/>
  <c r="K418" i="83" s="1"/>
  <c r="L418" i="83"/>
  <c r="M418" i="83"/>
  <c r="N418" i="83" s="1"/>
  <c r="O418" i="83" s="1"/>
  <c r="J419" i="83"/>
  <c r="K419" i="83" s="1"/>
  <c r="L419" i="83"/>
  <c r="M419" i="83"/>
  <c r="N419" i="83" s="1"/>
  <c r="O419" i="83" s="1"/>
  <c r="J420" i="83"/>
  <c r="K420" i="83" s="1"/>
  <c r="L420" i="83"/>
  <c r="M420" i="83"/>
  <c r="N420" i="83" s="1"/>
  <c r="O420" i="83" s="1"/>
  <c r="J421" i="83"/>
  <c r="K421" i="83" s="1"/>
  <c r="L421" i="83"/>
  <c r="M421" i="83"/>
  <c r="N421" i="83" s="1"/>
  <c r="O421" i="83" s="1"/>
  <c r="J422" i="83"/>
  <c r="K422" i="83" s="1"/>
  <c r="L422" i="83"/>
  <c r="M422" i="83"/>
  <c r="N422" i="83" s="1"/>
  <c r="O422" i="83" s="1"/>
  <c r="J423" i="83"/>
  <c r="K423" i="83" s="1"/>
  <c r="L423" i="83"/>
  <c r="M423" i="83"/>
  <c r="N423" i="83" s="1"/>
  <c r="O423" i="83" s="1"/>
  <c r="J424" i="83"/>
  <c r="K424" i="83" s="1"/>
  <c r="L424" i="83"/>
  <c r="M424" i="83"/>
  <c r="N424" i="83" s="1"/>
  <c r="O424" i="83" s="1"/>
  <c r="L8" i="83"/>
  <c r="M8" i="83"/>
  <c r="N8" i="83" s="1"/>
  <c r="O8" i="83" s="1"/>
  <c r="L9" i="83"/>
  <c r="M9" i="83"/>
  <c r="N9" i="83" s="1"/>
  <c r="O9" i="83" s="1"/>
  <c r="L10" i="83"/>
  <c r="M10" i="83"/>
  <c r="N10" i="83" s="1"/>
  <c r="O10" i="83" s="1"/>
  <c r="L11" i="83"/>
  <c r="M11" i="83"/>
  <c r="N11" i="83" s="1"/>
  <c r="O11" i="83" s="1"/>
  <c r="L12" i="83"/>
  <c r="M12" i="83"/>
  <c r="N12" i="83" s="1"/>
  <c r="O12" i="83" s="1"/>
  <c r="L13" i="83"/>
  <c r="M13" i="83"/>
  <c r="N13" i="83" s="1"/>
  <c r="O13" i="83" s="1"/>
  <c r="L14" i="83"/>
  <c r="M14" i="83"/>
  <c r="N14" i="83" s="1"/>
  <c r="O14" i="83" s="1"/>
  <c r="L15" i="83"/>
  <c r="M15" i="83"/>
  <c r="N15" i="83" s="1"/>
  <c r="O15" i="83" s="1"/>
  <c r="L16" i="83"/>
  <c r="M16" i="83"/>
  <c r="N16" i="83" s="1"/>
  <c r="O16" i="83" s="1"/>
  <c r="L17" i="83"/>
  <c r="M17" i="83"/>
  <c r="N17" i="83" s="1"/>
  <c r="O17" i="83" s="1"/>
  <c r="L18" i="83"/>
  <c r="M18" i="83"/>
  <c r="N18" i="83" s="1"/>
  <c r="O18" i="83" s="1"/>
  <c r="L19" i="83"/>
  <c r="M19" i="83"/>
  <c r="N19" i="83" s="1"/>
  <c r="O19" i="83" s="1"/>
  <c r="L20" i="83"/>
  <c r="M20" i="83"/>
  <c r="N20" i="83" s="1"/>
  <c r="O20" i="83" s="1"/>
  <c r="L21" i="83"/>
  <c r="M21" i="83"/>
  <c r="N21" i="83" s="1"/>
  <c r="O21" i="83" s="1"/>
  <c r="L22" i="83"/>
  <c r="M22" i="83"/>
  <c r="N22" i="83" s="1"/>
  <c r="O22" i="83" s="1"/>
  <c r="L23" i="83"/>
  <c r="M23" i="83"/>
  <c r="N23" i="83" s="1"/>
  <c r="O23" i="83" s="1"/>
  <c r="L24" i="83"/>
  <c r="M24" i="83"/>
  <c r="N24" i="83" s="1"/>
  <c r="O24" i="83" s="1"/>
  <c r="L25" i="83"/>
  <c r="M25" i="83"/>
  <c r="N25" i="83" s="1"/>
  <c r="O25" i="83" s="1"/>
  <c r="L26" i="83"/>
  <c r="M26" i="83"/>
  <c r="N26" i="83" s="1"/>
  <c r="O26" i="83" s="1"/>
  <c r="L27" i="83"/>
  <c r="M27" i="83"/>
  <c r="N27" i="83" s="1"/>
  <c r="O27" i="83" s="1"/>
  <c r="L28" i="83"/>
  <c r="M28" i="83"/>
  <c r="N28" i="83" s="1"/>
  <c r="O28" i="83" s="1"/>
  <c r="L29" i="83"/>
  <c r="M29" i="83"/>
  <c r="N29" i="83" s="1"/>
  <c r="O29" i="83" s="1"/>
  <c r="L30" i="83"/>
  <c r="M30" i="83"/>
  <c r="N30" i="83" s="1"/>
  <c r="O30" i="83" s="1"/>
  <c r="L31" i="83"/>
  <c r="M31" i="83"/>
  <c r="N31" i="83" s="1"/>
  <c r="O31" i="83" s="1"/>
  <c r="L32" i="83"/>
  <c r="M32" i="83"/>
  <c r="N32" i="83" s="1"/>
  <c r="O32" i="83" s="1"/>
  <c r="L33" i="83"/>
  <c r="M33" i="83"/>
  <c r="N33" i="83" s="1"/>
  <c r="O33" i="83" s="1"/>
  <c r="L34" i="83"/>
  <c r="M34" i="83"/>
  <c r="N34" i="83" s="1"/>
  <c r="O34" i="83" s="1"/>
  <c r="L35" i="83"/>
  <c r="M35" i="83"/>
  <c r="N35" i="83" s="1"/>
  <c r="O35" i="83" s="1"/>
  <c r="L36" i="83"/>
  <c r="M36" i="83"/>
  <c r="N36" i="83" s="1"/>
  <c r="O36" i="83" s="1"/>
  <c r="L37" i="83"/>
  <c r="M37" i="83"/>
  <c r="N37" i="83" s="1"/>
  <c r="O37" i="83" s="1"/>
  <c r="L38" i="83"/>
  <c r="M38" i="83"/>
  <c r="N38" i="83" s="1"/>
  <c r="O38" i="83" s="1"/>
  <c r="L39" i="83"/>
  <c r="M39" i="83"/>
  <c r="N39" i="83" s="1"/>
  <c r="O39" i="83" s="1"/>
  <c r="L40" i="83"/>
  <c r="M40" i="83"/>
  <c r="N40" i="83" s="1"/>
  <c r="O40" i="83" s="1"/>
  <c r="L41" i="83"/>
  <c r="M41" i="83"/>
  <c r="N41" i="83" s="1"/>
  <c r="O41" i="83" s="1"/>
  <c r="L42" i="83"/>
  <c r="M42" i="83"/>
  <c r="N42" i="83" s="1"/>
  <c r="O42" i="83" s="1"/>
  <c r="L43" i="83"/>
  <c r="M43" i="83"/>
  <c r="N43" i="83" s="1"/>
  <c r="O43" i="83" s="1"/>
  <c r="L44" i="83"/>
  <c r="M44" i="83"/>
  <c r="N44" i="83" s="1"/>
  <c r="O44" i="83" s="1"/>
  <c r="L45" i="83"/>
  <c r="M45" i="83"/>
  <c r="N45" i="83" s="1"/>
  <c r="O45" i="83" s="1"/>
  <c r="L46" i="83"/>
  <c r="M46" i="83"/>
  <c r="N46" i="83" s="1"/>
  <c r="O46" i="83" s="1"/>
  <c r="L47" i="83"/>
  <c r="M47" i="83"/>
  <c r="N47" i="83" s="1"/>
  <c r="O47" i="83" s="1"/>
  <c r="L48" i="83"/>
  <c r="M48" i="83"/>
  <c r="N48" i="83" s="1"/>
  <c r="O48" i="83" s="1"/>
  <c r="L49" i="83"/>
  <c r="M49" i="83"/>
  <c r="N49" i="83" s="1"/>
  <c r="O49" i="83" s="1"/>
  <c r="L50" i="83"/>
  <c r="M50" i="83"/>
  <c r="N50" i="83" s="1"/>
  <c r="O50" i="83" s="1"/>
  <c r="L51" i="83"/>
  <c r="M51" i="83"/>
  <c r="N51" i="83" s="1"/>
  <c r="O51" i="83" s="1"/>
  <c r="L52" i="83"/>
  <c r="M52" i="83"/>
  <c r="N52" i="83" s="1"/>
  <c r="O52" i="83" s="1"/>
  <c r="L53" i="83"/>
  <c r="M53" i="83"/>
  <c r="N53" i="83" s="1"/>
  <c r="O53" i="83" s="1"/>
  <c r="L54" i="83"/>
  <c r="M54" i="83"/>
  <c r="N54" i="83" s="1"/>
  <c r="O54" i="83" s="1"/>
  <c r="L55" i="83"/>
  <c r="M55" i="83"/>
  <c r="N55" i="83" s="1"/>
  <c r="O55" i="83" s="1"/>
  <c r="L56" i="83"/>
  <c r="M56" i="83"/>
  <c r="N56" i="83" s="1"/>
  <c r="O56" i="83" s="1"/>
  <c r="L57" i="83"/>
  <c r="M57" i="83"/>
  <c r="N57" i="83" s="1"/>
  <c r="O57" i="83" s="1"/>
  <c r="L58" i="83"/>
  <c r="M58" i="83"/>
  <c r="N58" i="83" s="1"/>
  <c r="O58" i="83" s="1"/>
  <c r="L59" i="83"/>
  <c r="M59" i="83"/>
  <c r="N59" i="83" s="1"/>
  <c r="O59" i="83" s="1"/>
  <c r="L60" i="83"/>
  <c r="M60" i="83"/>
  <c r="N60" i="83" s="1"/>
  <c r="O60" i="83" s="1"/>
  <c r="L61" i="83"/>
  <c r="M61" i="83"/>
  <c r="N61" i="83" s="1"/>
  <c r="O61" i="83" s="1"/>
  <c r="L62" i="83"/>
  <c r="M62" i="83"/>
  <c r="N62" i="83" s="1"/>
  <c r="O62" i="83" s="1"/>
  <c r="L63" i="83"/>
  <c r="M63" i="83"/>
  <c r="N63" i="83" s="1"/>
  <c r="O63" i="83" s="1"/>
  <c r="L64" i="83"/>
  <c r="M64" i="83"/>
  <c r="N64" i="83" s="1"/>
  <c r="O64" i="83" s="1"/>
  <c r="L65" i="83"/>
  <c r="M65" i="83"/>
  <c r="N65" i="83" s="1"/>
  <c r="O65" i="83" s="1"/>
  <c r="L66" i="83"/>
  <c r="M66" i="83"/>
  <c r="N66" i="83" s="1"/>
  <c r="O66" i="83" s="1"/>
  <c r="L67" i="83"/>
  <c r="M67" i="83"/>
  <c r="N67" i="83" s="1"/>
  <c r="O67" i="83" s="1"/>
  <c r="L68" i="83"/>
  <c r="M68" i="83"/>
  <c r="N68" i="83" s="1"/>
  <c r="O68" i="83" s="1"/>
  <c r="L69" i="83"/>
  <c r="M69" i="83"/>
  <c r="N69" i="83" s="1"/>
  <c r="O69" i="83" s="1"/>
  <c r="L70" i="83"/>
  <c r="M70" i="83"/>
  <c r="N70" i="83" s="1"/>
  <c r="O70" i="83" s="1"/>
  <c r="L71" i="83"/>
  <c r="M71" i="83"/>
  <c r="N71" i="83" s="1"/>
  <c r="O71" i="83" s="1"/>
  <c r="L72" i="83"/>
  <c r="M72" i="83"/>
  <c r="N72" i="83" s="1"/>
  <c r="O72" i="83" s="1"/>
  <c r="L73" i="83"/>
  <c r="M73" i="83"/>
  <c r="N73" i="83" s="1"/>
  <c r="O73" i="83" s="1"/>
  <c r="L74" i="83"/>
  <c r="M74" i="83"/>
  <c r="N74" i="83" s="1"/>
  <c r="O74" i="83" s="1"/>
  <c r="L75" i="83"/>
  <c r="M75" i="83"/>
  <c r="N75" i="83" s="1"/>
  <c r="O75" i="83" s="1"/>
  <c r="L76" i="83"/>
  <c r="M76" i="83"/>
  <c r="N76" i="83" s="1"/>
  <c r="O76" i="83" s="1"/>
  <c r="L77" i="83"/>
  <c r="M77" i="83"/>
  <c r="N77" i="83" s="1"/>
  <c r="O77" i="83" s="1"/>
  <c r="L78" i="83"/>
  <c r="M78" i="83"/>
  <c r="N78" i="83" s="1"/>
  <c r="O78" i="83" s="1"/>
  <c r="L79" i="83"/>
  <c r="M79" i="83"/>
  <c r="N79" i="83" s="1"/>
  <c r="O79" i="83" s="1"/>
  <c r="L80" i="83"/>
  <c r="M80" i="83"/>
  <c r="N80" i="83" s="1"/>
  <c r="O80" i="83" s="1"/>
  <c r="L81" i="83"/>
  <c r="M81" i="83"/>
  <c r="N81" i="83" s="1"/>
  <c r="O81" i="83" s="1"/>
  <c r="L82" i="83"/>
  <c r="M82" i="83"/>
  <c r="N82" i="83" s="1"/>
  <c r="O82" i="83" s="1"/>
  <c r="L83" i="83"/>
  <c r="M83" i="83"/>
  <c r="N83" i="83" s="1"/>
  <c r="O83" i="83" s="1"/>
  <c r="L84" i="83"/>
  <c r="M84" i="83"/>
  <c r="N84" i="83" s="1"/>
  <c r="O84" i="83" s="1"/>
  <c r="L85" i="83"/>
  <c r="M85" i="83"/>
  <c r="N85" i="83" s="1"/>
  <c r="O85" i="83" s="1"/>
  <c r="L86" i="83"/>
  <c r="M86" i="83"/>
  <c r="N86" i="83" s="1"/>
  <c r="O86" i="83" s="1"/>
  <c r="L87" i="83"/>
  <c r="M87" i="83"/>
  <c r="N87" i="83" s="1"/>
  <c r="O87" i="83" s="1"/>
  <c r="L88" i="83"/>
  <c r="M88" i="83"/>
  <c r="N88" i="83" s="1"/>
  <c r="O88" i="83" s="1"/>
  <c r="L89" i="83"/>
  <c r="M89" i="83"/>
  <c r="N89" i="83" s="1"/>
  <c r="O89" i="83" s="1"/>
  <c r="L90" i="83"/>
  <c r="M90" i="83"/>
  <c r="N90" i="83" s="1"/>
  <c r="O90" i="83" s="1"/>
  <c r="L91" i="83"/>
  <c r="M91" i="83"/>
  <c r="N91" i="83" s="1"/>
  <c r="O91" i="83" s="1"/>
  <c r="L92" i="83"/>
  <c r="M92" i="83"/>
  <c r="N92" i="83" s="1"/>
  <c r="O92" i="83" s="1"/>
  <c r="L93" i="83"/>
  <c r="M93" i="83"/>
  <c r="N93" i="83" s="1"/>
  <c r="O93" i="83" s="1"/>
  <c r="L94" i="83"/>
  <c r="M94" i="83"/>
  <c r="N94" i="83" s="1"/>
  <c r="O94" i="83" s="1"/>
  <c r="L95" i="83"/>
  <c r="M95" i="83"/>
  <c r="N95" i="83" s="1"/>
  <c r="O95" i="83" s="1"/>
  <c r="L96" i="83"/>
  <c r="M96" i="83"/>
  <c r="N96" i="83" s="1"/>
  <c r="O96" i="83" s="1"/>
  <c r="L97" i="83"/>
  <c r="M97" i="83"/>
  <c r="N97" i="83" s="1"/>
  <c r="O97" i="83" s="1"/>
  <c r="L98" i="83"/>
  <c r="M98" i="83"/>
  <c r="N98" i="83" s="1"/>
  <c r="O98" i="83" s="1"/>
  <c r="L99" i="83"/>
  <c r="M99" i="83"/>
  <c r="N99" i="83" s="1"/>
  <c r="O99" i="83" s="1"/>
  <c r="L100" i="83"/>
  <c r="M100" i="83"/>
  <c r="N100" i="83" s="1"/>
  <c r="O100" i="83" s="1"/>
  <c r="L101" i="83"/>
  <c r="M101" i="83"/>
  <c r="N101" i="83" s="1"/>
  <c r="O101" i="83" s="1"/>
  <c r="L102" i="83"/>
  <c r="M102" i="83"/>
  <c r="N102" i="83" s="1"/>
  <c r="O102" i="83" s="1"/>
  <c r="L103" i="83"/>
  <c r="M103" i="83"/>
  <c r="N103" i="83" s="1"/>
  <c r="O103" i="83" s="1"/>
  <c r="L104" i="83"/>
  <c r="M104" i="83"/>
  <c r="N104" i="83" s="1"/>
  <c r="O104" i="83" s="1"/>
  <c r="L105" i="83"/>
  <c r="M105" i="83"/>
  <c r="N105" i="83" s="1"/>
  <c r="O105" i="83" s="1"/>
  <c r="L106" i="83"/>
  <c r="M106" i="83"/>
  <c r="N106" i="83" s="1"/>
  <c r="O106" i="83" s="1"/>
  <c r="L107" i="83"/>
  <c r="M107" i="83"/>
  <c r="N107" i="83" s="1"/>
  <c r="O107" i="83" s="1"/>
  <c r="L108" i="83"/>
  <c r="M108" i="83"/>
  <c r="N108" i="83" s="1"/>
  <c r="O108" i="83" s="1"/>
  <c r="L109" i="83"/>
  <c r="M109" i="83"/>
  <c r="N109" i="83" s="1"/>
  <c r="O109" i="83" s="1"/>
  <c r="L110" i="83"/>
  <c r="M110" i="83"/>
  <c r="N110" i="83" s="1"/>
  <c r="O110" i="83" s="1"/>
  <c r="L111" i="83"/>
  <c r="M111" i="83"/>
  <c r="N111" i="83" s="1"/>
  <c r="O111" i="83" s="1"/>
  <c r="L112" i="83"/>
  <c r="M112" i="83"/>
  <c r="N112" i="83" s="1"/>
  <c r="O112" i="83" s="1"/>
  <c r="L113" i="83"/>
  <c r="M113" i="83"/>
  <c r="N113" i="83" s="1"/>
  <c r="O113" i="83" s="1"/>
  <c r="L114" i="83"/>
  <c r="M114" i="83"/>
  <c r="N114" i="83" s="1"/>
  <c r="O114" i="83" s="1"/>
  <c r="L115" i="83"/>
  <c r="M115" i="83"/>
  <c r="N115" i="83" s="1"/>
  <c r="O115" i="83" s="1"/>
  <c r="L116" i="83"/>
  <c r="M116" i="83"/>
  <c r="N116" i="83" s="1"/>
  <c r="O116" i="83" s="1"/>
  <c r="L117" i="83"/>
  <c r="M117" i="83"/>
  <c r="N117" i="83" s="1"/>
  <c r="O117" i="83" s="1"/>
  <c r="L118" i="83"/>
  <c r="M118" i="83"/>
  <c r="N118" i="83" s="1"/>
  <c r="O118" i="83" s="1"/>
  <c r="L119" i="83"/>
  <c r="M119" i="83"/>
  <c r="N119" i="83" s="1"/>
  <c r="O119" i="83" s="1"/>
  <c r="L120" i="83"/>
  <c r="M120" i="83"/>
  <c r="N120" i="83" s="1"/>
  <c r="O120" i="83" s="1"/>
  <c r="L121" i="83"/>
  <c r="M121" i="83"/>
  <c r="N121" i="83" s="1"/>
  <c r="O121" i="83" s="1"/>
  <c r="L122" i="83"/>
  <c r="M122" i="83"/>
  <c r="N122" i="83" s="1"/>
  <c r="O122" i="83" s="1"/>
  <c r="L123" i="83"/>
  <c r="M123" i="83"/>
  <c r="N123" i="83" s="1"/>
  <c r="O123" i="83" s="1"/>
  <c r="L124" i="83"/>
  <c r="M124" i="83"/>
  <c r="N124" i="83" s="1"/>
  <c r="O124" i="83" s="1"/>
  <c r="L125" i="83"/>
  <c r="M125" i="83"/>
  <c r="N125" i="83" s="1"/>
  <c r="O125" i="83" s="1"/>
  <c r="L126" i="83"/>
  <c r="M126" i="83"/>
  <c r="N126" i="83" s="1"/>
  <c r="O126" i="83" s="1"/>
  <c r="L127" i="83"/>
  <c r="M127" i="83"/>
  <c r="N127" i="83" s="1"/>
  <c r="O127" i="83" s="1"/>
  <c r="L128" i="83"/>
  <c r="M128" i="83"/>
  <c r="N128" i="83" s="1"/>
  <c r="O128" i="83" s="1"/>
  <c r="L129" i="83"/>
  <c r="M129" i="83"/>
  <c r="N129" i="83" s="1"/>
  <c r="O129" i="83" s="1"/>
  <c r="L130" i="83"/>
  <c r="M130" i="83"/>
  <c r="N130" i="83" s="1"/>
  <c r="O130" i="83" s="1"/>
  <c r="L131" i="83"/>
  <c r="M131" i="83"/>
  <c r="N131" i="83" s="1"/>
  <c r="O131" i="83" s="1"/>
  <c r="L132" i="83"/>
  <c r="M132" i="83"/>
  <c r="N132" i="83" s="1"/>
  <c r="O132" i="83" s="1"/>
  <c r="L133" i="83"/>
  <c r="M133" i="83"/>
  <c r="N133" i="83" s="1"/>
  <c r="O133" i="83" s="1"/>
  <c r="L134" i="83"/>
  <c r="M134" i="83"/>
  <c r="N134" i="83" s="1"/>
  <c r="O134" i="83" s="1"/>
  <c r="L135" i="83"/>
  <c r="M135" i="83"/>
  <c r="N135" i="83" s="1"/>
  <c r="O135" i="83" s="1"/>
  <c r="L136" i="83"/>
  <c r="M136" i="83"/>
  <c r="N136" i="83" s="1"/>
  <c r="O136" i="83" s="1"/>
  <c r="L137" i="83"/>
  <c r="M137" i="83"/>
  <c r="N137" i="83" s="1"/>
  <c r="O137" i="83" s="1"/>
  <c r="L138" i="83"/>
  <c r="M138" i="83"/>
  <c r="N138" i="83" s="1"/>
  <c r="O138" i="83" s="1"/>
  <c r="L139" i="83"/>
  <c r="M139" i="83"/>
  <c r="N139" i="83" s="1"/>
  <c r="O139" i="83" s="1"/>
  <c r="L140" i="83"/>
  <c r="M140" i="83"/>
  <c r="N140" i="83" s="1"/>
  <c r="O140" i="83" s="1"/>
  <c r="L141" i="83"/>
  <c r="M141" i="83"/>
  <c r="N141" i="83" s="1"/>
  <c r="O141" i="83" s="1"/>
  <c r="L142" i="83"/>
  <c r="M142" i="83"/>
  <c r="N142" i="83" s="1"/>
  <c r="O142" i="83" s="1"/>
  <c r="L143" i="83"/>
  <c r="M143" i="83"/>
  <c r="N143" i="83" s="1"/>
  <c r="O143" i="83" s="1"/>
  <c r="L144" i="83"/>
  <c r="M144" i="83"/>
  <c r="N144" i="83" s="1"/>
  <c r="O144" i="83" s="1"/>
  <c r="L145" i="83"/>
  <c r="M145" i="83"/>
  <c r="N145" i="83" s="1"/>
  <c r="O145" i="83" s="1"/>
  <c r="L146" i="83"/>
  <c r="M146" i="83"/>
  <c r="N146" i="83" s="1"/>
  <c r="O146" i="83" s="1"/>
  <c r="L147" i="83"/>
  <c r="M147" i="83"/>
  <c r="N147" i="83" s="1"/>
  <c r="O147" i="83" s="1"/>
  <c r="L148" i="83"/>
  <c r="M148" i="83"/>
  <c r="N148" i="83" s="1"/>
  <c r="O148" i="83" s="1"/>
  <c r="L149" i="83"/>
  <c r="M149" i="83"/>
  <c r="N149" i="83" s="1"/>
  <c r="O149" i="83" s="1"/>
  <c r="L150" i="83"/>
  <c r="M150" i="83"/>
  <c r="N150" i="83" s="1"/>
  <c r="O150" i="83" s="1"/>
  <c r="L151" i="83"/>
  <c r="M151" i="83"/>
  <c r="N151" i="83" s="1"/>
  <c r="O151" i="83" s="1"/>
  <c r="L152" i="83"/>
  <c r="M152" i="83"/>
  <c r="N152" i="83" s="1"/>
  <c r="O152" i="83" s="1"/>
  <c r="L153" i="83"/>
  <c r="M153" i="83"/>
  <c r="N153" i="83" s="1"/>
  <c r="O153" i="83" s="1"/>
  <c r="L154" i="83"/>
  <c r="M154" i="83"/>
  <c r="N154" i="83" s="1"/>
  <c r="O154" i="83" s="1"/>
  <c r="L155" i="83"/>
  <c r="M155" i="83"/>
  <c r="N155" i="83" s="1"/>
  <c r="O155" i="83" s="1"/>
  <c r="L156" i="83"/>
  <c r="M156" i="83"/>
  <c r="N156" i="83" s="1"/>
  <c r="O156" i="83" s="1"/>
  <c r="L157" i="83"/>
  <c r="M157" i="83"/>
  <c r="N157" i="83" s="1"/>
  <c r="O157" i="83" s="1"/>
  <c r="L158" i="83"/>
  <c r="M158" i="83"/>
  <c r="N158" i="83" s="1"/>
  <c r="O158" i="83" s="1"/>
  <c r="L159" i="83"/>
  <c r="M159" i="83"/>
  <c r="N159" i="83" s="1"/>
  <c r="O159" i="83" s="1"/>
  <c r="L160" i="83"/>
  <c r="M160" i="83"/>
  <c r="N160" i="83" s="1"/>
  <c r="O160" i="83" s="1"/>
  <c r="L161" i="83"/>
  <c r="M161" i="83"/>
  <c r="N161" i="83" s="1"/>
  <c r="O161" i="83" s="1"/>
  <c r="L162" i="83"/>
  <c r="M162" i="83"/>
  <c r="N162" i="83" s="1"/>
  <c r="O162" i="83" s="1"/>
  <c r="L163" i="83"/>
  <c r="M163" i="83"/>
  <c r="N163" i="83" s="1"/>
  <c r="O163" i="83" s="1"/>
  <c r="L164" i="83"/>
  <c r="M164" i="83"/>
  <c r="N164" i="83" s="1"/>
  <c r="O164" i="83" s="1"/>
  <c r="L165" i="83"/>
  <c r="M165" i="83"/>
  <c r="N165" i="83" s="1"/>
  <c r="O165" i="83" s="1"/>
  <c r="L166" i="83"/>
  <c r="M166" i="83"/>
  <c r="N166" i="83" s="1"/>
  <c r="O166" i="83" s="1"/>
  <c r="L167" i="83"/>
  <c r="M167" i="83"/>
  <c r="N167" i="83" s="1"/>
  <c r="O167" i="83" s="1"/>
  <c r="L168" i="83"/>
  <c r="M168" i="83"/>
  <c r="N168" i="83" s="1"/>
  <c r="O168" i="83" s="1"/>
  <c r="L169" i="83"/>
  <c r="M169" i="83"/>
  <c r="N169" i="83" s="1"/>
  <c r="O169" i="83" s="1"/>
  <c r="L170" i="83"/>
  <c r="M170" i="83"/>
  <c r="N170" i="83" s="1"/>
  <c r="O170" i="83" s="1"/>
  <c r="L171" i="83"/>
  <c r="M171" i="83"/>
  <c r="N171" i="83" s="1"/>
  <c r="O171" i="83" s="1"/>
  <c r="L172" i="83"/>
  <c r="M172" i="83"/>
  <c r="N172" i="83" s="1"/>
  <c r="O172" i="83" s="1"/>
  <c r="L173" i="83"/>
  <c r="M173" i="83"/>
  <c r="N173" i="83" s="1"/>
  <c r="O173" i="83" s="1"/>
  <c r="L174" i="83"/>
  <c r="M174" i="83"/>
  <c r="N174" i="83" s="1"/>
  <c r="O174" i="83" s="1"/>
  <c r="L175" i="83"/>
  <c r="M175" i="83"/>
  <c r="N175" i="83" s="1"/>
  <c r="O175" i="83" s="1"/>
  <c r="L176" i="83"/>
  <c r="M176" i="83"/>
  <c r="N176" i="83" s="1"/>
  <c r="O176" i="83" s="1"/>
  <c r="L177" i="83"/>
  <c r="M177" i="83"/>
  <c r="N177" i="83" s="1"/>
  <c r="O177" i="83" s="1"/>
  <c r="L178" i="83"/>
  <c r="M178" i="83"/>
  <c r="N178" i="83" s="1"/>
  <c r="O178" i="83" s="1"/>
  <c r="L179" i="83"/>
  <c r="M179" i="83"/>
  <c r="N179" i="83" s="1"/>
  <c r="O179" i="83" s="1"/>
  <c r="L180" i="83"/>
  <c r="M180" i="83"/>
  <c r="N180" i="83" s="1"/>
  <c r="O180" i="83" s="1"/>
  <c r="L181" i="83"/>
  <c r="M181" i="83"/>
  <c r="N181" i="83" s="1"/>
  <c r="O181" i="83" s="1"/>
  <c r="L182" i="83"/>
  <c r="M182" i="83"/>
  <c r="N182" i="83" s="1"/>
  <c r="O182" i="83" s="1"/>
  <c r="L183" i="83"/>
  <c r="M183" i="83"/>
  <c r="N183" i="83" s="1"/>
  <c r="O183" i="83" s="1"/>
  <c r="L184" i="83"/>
  <c r="M184" i="83"/>
  <c r="N184" i="83" s="1"/>
  <c r="O184" i="83" s="1"/>
  <c r="L185" i="83"/>
  <c r="M185" i="83"/>
  <c r="N185" i="83" s="1"/>
  <c r="O185" i="83" s="1"/>
  <c r="L186" i="83"/>
  <c r="M186" i="83"/>
  <c r="N186" i="83" s="1"/>
  <c r="O186" i="83" s="1"/>
  <c r="L187" i="83"/>
  <c r="M187" i="83"/>
  <c r="N187" i="83" s="1"/>
  <c r="O187" i="83" s="1"/>
  <c r="L188" i="83"/>
  <c r="M188" i="83"/>
  <c r="N188" i="83" s="1"/>
  <c r="O188" i="83" s="1"/>
  <c r="L189" i="83"/>
  <c r="M189" i="83"/>
  <c r="N189" i="83" s="1"/>
  <c r="O189" i="83" s="1"/>
  <c r="L190" i="83"/>
  <c r="M190" i="83"/>
  <c r="N190" i="83" s="1"/>
  <c r="O190" i="83" s="1"/>
  <c r="L191" i="83"/>
  <c r="M191" i="83"/>
  <c r="N191" i="83" s="1"/>
  <c r="O191" i="83" s="1"/>
  <c r="L192" i="83"/>
  <c r="M192" i="83"/>
  <c r="N192" i="83" s="1"/>
  <c r="O192" i="83" s="1"/>
  <c r="L193" i="83"/>
  <c r="M193" i="83"/>
  <c r="N193" i="83" s="1"/>
  <c r="O193" i="83" s="1"/>
  <c r="L194" i="83"/>
  <c r="M194" i="83"/>
  <c r="N194" i="83" s="1"/>
  <c r="O194" i="83" s="1"/>
  <c r="L195" i="83"/>
  <c r="M195" i="83"/>
  <c r="N195" i="83" s="1"/>
  <c r="O195" i="83" s="1"/>
  <c r="L196" i="83"/>
  <c r="M196" i="83"/>
  <c r="N196" i="83" s="1"/>
  <c r="O196" i="83" s="1"/>
  <c r="L197" i="83"/>
  <c r="M197" i="83"/>
  <c r="N197" i="83" s="1"/>
  <c r="O197" i="83" s="1"/>
  <c r="L198" i="83"/>
  <c r="M198" i="83"/>
  <c r="N198" i="83" s="1"/>
  <c r="O198" i="83" s="1"/>
  <c r="L199" i="83"/>
  <c r="M199" i="83"/>
  <c r="N199" i="83" s="1"/>
  <c r="O199" i="83" s="1"/>
  <c r="L200" i="83"/>
  <c r="M200" i="83"/>
  <c r="N200" i="83" s="1"/>
  <c r="O200" i="83" s="1"/>
  <c r="L201" i="83"/>
  <c r="M201" i="83"/>
  <c r="N201" i="83" s="1"/>
  <c r="O201" i="83" s="1"/>
  <c r="L202" i="83"/>
  <c r="M202" i="83"/>
  <c r="N202" i="83" s="1"/>
  <c r="O202" i="83" s="1"/>
  <c r="L203" i="83"/>
  <c r="M203" i="83"/>
  <c r="N203" i="83" s="1"/>
  <c r="O203" i="83" s="1"/>
  <c r="L204" i="83"/>
  <c r="M204" i="83"/>
  <c r="N204" i="83" s="1"/>
  <c r="O204" i="83" s="1"/>
  <c r="L205" i="83"/>
  <c r="M205" i="83"/>
  <c r="N205" i="83" s="1"/>
  <c r="O205" i="83" s="1"/>
  <c r="L206" i="83"/>
  <c r="M206" i="83"/>
  <c r="N206" i="83" s="1"/>
  <c r="O206" i="83" s="1"/>
  <c r="L207" i="83"/>
  <c r="M207" i="83"/>
  <c r="N207" i="83" s="1"/>
  <c r="O207" i="83" s="1"/>
  <c r="L208" i="83"/>
  <c r="M208" i="83"/>
  <c r="N208" i="83" s="1"/>
  <c r="O208" i="83" s="1"/>
  <c r="L209" i="83"/>
  <c r="M209" i="83"/>
  <c r="N209" i="83" s="1"/>
  <c r="O209" i="83" s="1"/>
  <c r="L210" i="83"/>
  <c r="M210" i="83"/>
  <c r="N210" i="83" s="1"/>
  <c r="O210" i="83" s="1"/>
  <c r="L211" i="83"/>
  <c r="M211" i="83"/>
  <c r="N211" i="83" s="1"/>
  <c r="O211" i="83" s="1"/>
  <c r="L212" i="83"/>
  <c r="M212" i="83"/>
  <c r="N212" i="83" s="1"/>
  <c r="O212" i="83" s="1"/>
  <c r="L213" i="83"/>
  <c r="M213" i="83"/>
  <c r="N213" i="83" s="1"/>
  <c r="O213" i="83" s="1"/>
  <c r="L214" i="83"/>
  <c r="M214" i="83"/>
  <c r="N214" i="83" s="1"/>
  <c r="O214" i="83" s="1"/>
  <c r="L215" i="83"/>
  <c r="M215" i="83"/>
  <c r="N215" i="83" s="1"/>
  <c r="O215" i="83" s="1"/>
  <c r="L216" i="83"/>
  <c r="M216" i="83"/>
  <c r="N216" i="83" s="1"/>
  <c r="O216" i="83" s="1"/>
  <c r="L217" i="83"/>
  <c r="M217" i="83"/>
  <c r="N217" i="83" s="1"/>
  <c r="O217" i="83" s="1"/>
  <c r="L218" i="83"/>
  <c r="M218" i="83"/>
  <c r="N218" i="83" s="1"/>
  <c r="O218" i="83" s="1"/>
  <c r="L219" i="83"/>
  <c r="M219" i="83"/>
  <c r="N219" i="83" s="1"/>
  <c r="O219" i="83" s="1"/>
  <c r="L220" i="83"/>
  <c r="M220" i="83"/>
  <c r="N220" i="83" s="1"/>
  <c r="O220" i="83" s="1"/>
  <c r="L221" i="83"/>
  <c r="M221" i="83"/>
  <c r="N221" i="83" s="1"/>
  <c r="O221" i="83" s="1"/>
  <c r="L222" i="83"/>
  <c r="M222" i="83"/>
  <c r="N222" i="83" s="1"/>
  <c r="O222" i="83" s="1"/>
  <c r="L223" i="83"/>
  <c r="M223" i="83"/>
  <c r="N223" i="83" s="1"/>
  <c r="O223" i="83" s="1"/>
  <c r="L224" i="83"/>
  <c r="M224" i="83"/>
  <c r="N224" i="83" s="1"/>
  <c r="O224" i="83" s="1"/>
  <c r="L225" i="83"/>
  <c r="M225" i="83"/>
  <c r="N225" i="83" s="1"/>
  <c r="O225" i="83" s="1"/>
  <c r="L226" i="83"/>
  <c r="M226" i="83"/>
  <c r="N226" i="83" s="1"/>
  <c r="O226" i="83" s="1"/>
  <c r="L227" i="83"/>
  <c r="M227" i="83"/>
  <c r="N227" i="83" s="1"/>
  <c r="O227" i="83" s="1"/>
  <c r="L228" i="83"/>
  <c r="M228" i="83"/>
  <c r="N228" i="83" s="1"/>
  <c r="O228" i="83" s="1"/>
  <c r="L229" i="83"/>
  <c r="M229" i="83"/>
  <c r="N229" i="83" s="1"/>
  <c r="O229" i="83" s="1"/>
  <c r="L230" i="83"/>
  <c r="M230" i="83"/>
  <c r="N230" i="83" s="1"/>
  <c r="O230" i="83" s="1"/>
  <c r="L231" i="83"/>
  <c r="M231" i="83"/>
  <c r="N231" i="83" s="1"/>
  <c r="O231" i="83" s="1"/>
  <c r="L232" i="83"/>
  <c r="M232" i="83"/>
  <c r="N232" i="83" s="1"/>
  <c r="O232" i="83" s="1"/>
  <c r="L233" i="83"/>
  <c r="M233" i="83"/>
  <c r="N233" i="83" s="1"/>
  <c r="O233" i="83" s="1"/>
  <c r="L234" i="83"/>
  <c r="M234" i="83"/>
  <c r="N234" i="83" s="1"/>
  <c r="O234" i="83" s="1"/>
  <c r="L235" i="83"/>
  <c r="M235" i="83"/>
  <c r="N235" i="83" s="1"/>
  <c r="O235" i="83" s="1"/>
  <c r="L236" i="83"/>
  <c r="M236" i="83"/>
  <c r="N236" i="83" s="1"/>
  <c r="O236" i="83" s="1"/>
  <c r="L237" i="83"/>
  <c r="M237" i="83"/>
  <c r="N237" i="83" s="1"/>
  <c r="O237" i="83" s="1"/>
  <c r="L238" i="83"/>
  <c r="M238" i="83"/>
  <c r="N238" i="83" s="1"/>
  <c r="O238" i="83" s="1"/>
  <c r="L239" i="83"/>
  <c r="M239" i="83"/>
  <c r="N239" i="83" s="1"/>
  <c r="O239" i="83" s="1"/>
  <c r="L240" i="83"/>
  <c r="M240" i="83"/>
  <c r="N240" i="83" s="1"/>
  <c r="O240" i="83" s="1"/>
  <c r="L241" i="83"/>
  <c r="M241" i="83"/>
  <c r="N241" i="83" s="1"/>
  <c r="O241" i="83" s="1"/>
  <c r="L242" i="83"/>
  <c r="M242" i="83"/>
  <c r="N242" i="83" s="1"/>
  <c r="O242" i="83" s="1"/>
  <c r="L243" i="83"/>
  <c r="M243" i="83"/>
  <c r="N243" i="83" s="1"/>
  <c r="O243" i="83" s="1"/>
  <c r="L244" i="83"/>
  <c r="M244" i="83"/>
  <c r="N244" i="83" s="1"/>
  <c r="O244" i="83" s="1"/>
  <c r="L245" i="83"/>
  <c r="M245" i="83"/>
  <c r="N245" i="83" s="1"/>
  <c r="O245" i="83" s="1"/>
  <c r="L246" i="83"/>
  <c r="M246" i="83"/>
  <c r="N246" i="83" s="1"/>
  <c r="O246" i="83" s="1"/>
  <c r="L247" i="83"/>
  <c r="M247" i="83"/>
  <c r="N247" i="83" s="1"/>
  <c r="O247" i="83" s="1"/>
  <c r="L248" i="83"/>
  <c r="M248" i="83"/>
  <c r="N248" i="83" s="1"/>
  <c r="O248" i="83" s="1"/>
  <c r="L249" i="83"/>
  <c r="M249" i="83"/>
  <c r="N249" i="83" s="1"/>
  <c r="O249" i="83" s="1"/>
  <c r="L250" i="83"/>
  <c r="M250" i="83"/>
  <c r="N250" i="83" s="1"/>
  <c r="O250" i="83" s="1"/>
  <c r="L251" i="83"/>
  <c r="M251" i="83"/>
  <c r="N251" i="83" s="1"/>
  <c r="O251" i="83" s="1"/>
  <c r="L252" i="83"/>
  <c r="M252" i="83"/>
  <c r="N252" i="83" s="1"/>
  <c r="O252" i="83" s="1"/>
  <c r="L253" i="83"/>
  <c r="M253" i="83"/>
  <c r="N253" i="83" s="1"/>
  <c r="O253" i="83" s="1"/>
  <c r="L254" i="83"/>
  <c r="M254" i="83"/>
  <c r="N254" i="83" s="1"/>
  <c r="O254" i="83" s="1"/>
  <c r="L255" i="83"/>
  <c r="M255" i="83"/>
  <c r="N255" i="83" s="1"/>
  <c r="O255" i="83" s="1"/>
  <c r="L256" i="83"/>
  <c r="M256" i="83"/>
  <c r="N256" i="83" s="1"/>
  <c r="O256" i="83" s="1"/>
  <c r="L257" i="83"/>
  <c r="M257" i="83"/>
  <c r="N257" i="83" s="1"/>
  <c r="O257" i="83" s="1"/>
  <c r="L258" i="83"/>
  <c r="M258" i="83"/>
  <c r="N258" i="83" s="1"/>
  <c r="O258" i="83" s="1"/>
  <c r="L259" i="83"/>
  <c r="M259" i="83"/>
  <c r="N259" i="83" s="1"/>
  <c r="O259" i="83" s="1"/>
  <c r="L260" i="83"/>
  <c r="M260" i="83"/>
  <c r="N260" i="83" s="1"/>
  <c r="O260" i="83" s="1"/>
  <c r="L261" i="83"/>
  <c r="M261" i="83"/>
  <c r="N261" i="83" s="1"/>
  <c r="O261" i="83" s="1"/>
  <c r="L262" i="83"/>
  <c r="M262" i="83"/>
  <c r="N262" i="83" s="1"/>
  <c r="O262" i="83" s="1"/>
  <c r="L263" i="83"/>
  <c r="M263" i="83"/>
  <c r="N263" i="83" s="1"/>
  <c r="O263" i="83" s="1"/>
  <c r="L264" i="83"/>
  <c r="M264" i="83"/>
  <c r="N264" i="83" s="1"/>
  <c r="O264" i="83" s="1"/>
  <c r="L265" i="83"/>
  <c r="M265" i="83"/>
  <c r="N265" i="83" s="1"/>
  <c r="O265" i="83" s="1"/>
  <c r="L266" i="83"/>
  <c r="M266" i="83"/>
  <c r="N266" i="83" s="1"/>
  <c r="O266" i="83" s="1"/>
  <c r="L267" i="83"/>
  <c r="M267" i="83"/>
  <c r="N267" i="83" s="1"/>
  <c r="O267" i="83" s="1"/>
  <c r="L268" i="83"/>
  <c r="M268" i="83"/>
  <c r="N268" i="83" s="1"/>
  <c r="O268" i="83" s="1"/>
  <c r="L269" i="83"/>
  <c r="M269" i="83"/>
  <c r="N269" i="83" s="1"/>
  <c r="O269" i="83" s="1"/>
  <c r="L270" i="83"/>
  <c r="M270" i="83"/>
  <c r="N270" i="83" s="1"/>
  <c r="O270" i="83" s="1"/>
  <c r="L271" i="83"/>
  <c r="M271" i="83"/>
  <c r="N271" i="83" s="1"/>
  <c r="O271" i="83" s="1"/>
  <c r="L272" i="83"/>
  <c r="M272" i="83"/>
  <c r="N272" i="83" s="1"/>
  <c r="O272" i="83" s="1"/>
  <c r="L273" i="83"/>
  <c r="M273" i="83"/>
  <c r="N273" i="83" s="1"/>
  <c r="O273" i="83" s="1"/>
  <c r="L274" i="83"/>
  <c r="M274" i="83"/>
  <c r="N274" i="83" s="1"/>
  <c r="O274" i="83" s="1"/>
  <c r="L275" i="83"/>
  <c r="M275" i="83"/>
  <c r="N275" i="83" s="1"/>
  <c r="O275" i="83" s="1"/>
  <c r="L276" i="83"/>
  <c r="M276" i="83"/>
  <c r="N276" i="83" s="1"/>
  <c r="O276" i="83" s="1"/>
  <c r="L277" i="83"/>
  <c r="M277" i="83"/>
  <c r="N277" i="83" s="1"/>
  <c r="O277" i="83" s="1"/>
  <c r="L278" i="83"/>
  <c r="M278" i="83"/>
  <c r="N278" i="83" s="1"/>
  <c r="O278" i="83" s="1"/>
  <c r="L279" i="83"/>
  <c r="M279" i="83"/>
  <c r="N279" i="83" s="1"/>
  <c r="O279" i="83" s="1"/>
  <c r="L280" i="83"/>
  <c r="M280" i="83"/>
  <c r="N280" i="83" s="1"/>
  <c r="O280" i="83" s="1"/>
  <c r="L281" i="83"/>
  <c r="M281" i="83"/>
  <c r="N281" i="83" s="1"/>
  <c r="O281" i="83" s="1"/>
  <c r="L282" i="83"/>
  <c r="M282" i="83"/>
  <c r="N282" i="83" s="1"/>
  <c r="O282" i="83" s="1"/>
  <c r="L283" i="83"/>
  <c r="M283" i="83"/>
  <c r="N283" i="83" s="1"/>
  <c r="O283" i="83" s="1"/>
  <c r="L284" i="83"/>
  <c r="M284" i="83"/>
  <c r="N284" i="83" s="1"/>
  <c r="O284" i="83" s="1"/>
  <c r="L285" i="83"/>
  <c r="M285" i="83"/>
  <c r="N285" i="83" s="1"/>
  <c r="O285" i="83" s="1"/>
  <c r="L286" i="83"/>
  <c r="M286" i="83"/>
  <c r="N286" i="83" s="1"/>
  <c r="O286" i="83" s="1"/>
  <c r="L287" i="83"/>
  <c r="M287" i="83"/>
  <c r="N287" i="83" s="1"/>
  <c r="O287" i="83" s="1"/>
  <c r="L288" i="83"/>
  <c r="M288" i="83"/>
  <c r="N288" i="83" s="1"/>
  <c r="O288" i="83" s="1"/>
  <c r="L289" i="83"/>
  <c r="M289" i="83"/>
  <c r="N289" i="83" s="1"/>
  <c r="O289" i="83" s="1"/>
  <c r="L290" i="83"/>
  <c r="M290" i="83"/>
  <c r="N290" i="83" s="1"/>
  <c r="O290" i="83" s="1"/>
  <c r="L291" i="83"/>
  <c r="M291" i="83"/>
  <c r="N291" i="83" s="1"/>
  <c r="O291" i="83" s="1"/>
  <c r="L292" i="83"/>
  <c r="M292" i="83"/>
  <c r="N292" i="83" s="1"/>
  <c r="O292" i="83" s="1"/>
  <c r="L293" i="83"/>
  <c r="M293" i="83"/>
  <c r="N293" i="83" s="1"/>
  <c r="O293" i="83" s="1"/>
  <c r="L294" i="83"/>
  <c r="M294" i="83"/>
  <c r="N294" i="83" s="1"/>
  <c r="O294" i="83" s="1"/>
  <c r="L295" i="83"/>
  <c r="M295" i="83"/>
  <c r="N295" i="83" s="1"/>
  <c r="O295" i="83" s="1"/>
  <c r="L296" i="83"/>
  <c r="M296" i="83"/>
  <c r="N296" i="83" s="1"/>
  <c r="O296" i="83" s="1"/>
  <c r="L297" i="83"/>
  <c r="M297" i="83"/>
  <c r="N297" i="83" s="1"/>
  <c r="O297" i="83" s="1"/>
  <c r="L298" i="83"/>
  <c r="M298" i="83"/>
  <c r="N298" i="83" s="1"/>
  <c r="O298" i="83" s="1"/>
  <c r="L299" i="83"/>
  <c r="M299" i="83"/>
  <c r="N299" i="83" s="1"/>
  <c r="O299" i="83" s="1"/>
  <c r="L300" i="83"/>
  <c r="M300" i="83"/>
  <c r="N300" i="83" s="1"/>
  <c r="O300" i="83" s="1"/>
  <c r="L301" i="83"/>
  <c r="M301" i="83"/>
  <c r="N301" i="83" s="1"/>
  <c r="O301" i="83" s="1"/>
  <c r="L302" i="83"/>
  <c r="M302" i="83"/>
  <c r="N302" i="83" s="1"/>
  <c r="O302" i="83" s="1"/>
  <c r="L303" i="83"/>
  <c r="M303" i="83"/>
  <c r="N303" i="83" s="1"/>
  <c r="O303" i="83" s="1"/>
  <c r="L304" i="83"/>
  <c r="M304" i="83"/>
  <c r="N304" i="83" s="1"/>
  <c r="O304" i="83" s="1"/>
  <c r="L305" i="83"/>
  <c r="M305" i="83"/>
  <c r="N305" i="83" s="1"/>
  <c r="O305" i="83" s="1"/>
  <c r="L306" i="83"/>
  <c r="M306" i="83"/>
  <c r="N306" i="83" s="1"/>
  <c r="O306" i="83" s="1"/>
  <c r="L307" i="83"/>
  <c r="M307" i="83"/>
  <c r="N307" i="83" s="1"/>
  <c r="O307" i="83" s="1"/>
  <c r="L308" i="83"/>
  <c r="M308" i="83"/>
  <c r="N308" i="83" s="1"/>
  <c r="O308" i="83" s="1"/>
  <c r="L309" i="83"/>
  <c r="M309" i="83"/>
  <c r="N309" i="83" s="1"/>
  <c r="O309" i="83" s="1"/>
  <c r="L310" i="83"/>
  <c r="M310" i="83"/>
  <c r="N310" i="83" s="1"/>
  <c r="O310" i="83" s="1"/>
  <c r="L311" i="83"/>
  <c r="M311" i="83"/>
  <c r="N311" i="83" s="1"/>
  <c r="O311" i="83" s="1"/>
  <c r="L312" i="83"/>
  <c r="M312" i="83"/>
  <c r="N312" i="83" s="1"/>
  <c r="O312" i="83" s="1"/>
  <c r="L313" i="83"/>
  <c r="M313" i="83"/>
  <c r="N313" i="83" s="1"/>
  <c r="O313" i="83" s="1"/>
  <c r="L314" i="83"/>
  <c r="M314" i="83"/>
  <c r="N314" i="83" s="1"/>
  <c r="O314" i="83" s="1"/>
  <c r="L315" i="83"/>
  <c r="M315" i="83"/>
  <c r="N315" i="83" s="1"/>
  <c r="O315" i="83" s="1"/>
  <c r="L316" i="83"/>
  <c r="M316" i="83"/>
  <c r="N316" i="83" s="1"/>
  <c r="O316" i="83" s="1"/>
  <c r="L317" i="83"/>
  <c r="M317" i="83"/>
  <c r="N317" i="83" s="1"/>
  <c r="O317" i="83" s="1"/>
  <c r="L318" i="83"/>
  <c r="M318" i="83"/>
  <c r="N318" i="83" s="1"/>
  <c r="O318" i="83" s="1"/>
  <c r="L319" i="83"/>
  <c r="M319" i="83"/>
  <c r="N319" i="83" s="1"/>
  <c r="O319" i="83" s="1"/>
  <c r="L320" i="83"/>
  <c r="M320" i="83"/>
  <c r="N320" i="83" s="1"/>
  <c r="O320" i="83" s="1"/>
  <c r="L321" i="83"/>
  <c r="M321" i="83"/>
  <c r="N321" i="83" s="1"/>
  <c r="O321" i="83" s="1"/>
  <c r="L322" i="83"/>
  <c r="M322" i="83"/>
  <c r="N322" i="83" s="1"/>
  <c r="O322" i="83" s="1"/>
  <c r="L323" i="83"/>
  <c r="M323" i="83"/>
  <c r="N323" i="83" s="1"/>
  <c r="O323" i="83" s="1"/>
  <c r="L324" i="83"/>
  <c r="M324" i="83"/>
  <c r="N324" i="83" s="1"/>
  <c r="O324" i="83" s="1"/>
  <c r="L325" i="83"/>
  <c r="M325" i="83"/>
  <c r="N325" i="83" s="1"/>
  <c r="O325" i="83" s="1"/>
  <c r="L326" i="83"/>
  <c r="M326" i="83"/>
  <c r="N326" i="83" s="1"/>
  <c r="O326" i="83" s="1"/>
  <c r="L327" i="83"/>
  <c r="M327" i="83"/>
  <c r="N327" i="83" s="1"/>
  <c r="O327" i="83" s="1"/>
  <c r="L328" i="83"/>
  <c r="M328" i="83"/>
  <c r="N328" i="83" s="1"/>
  <c r="O328" i="83" s="1"/>
  <c r="L329" i="83"/>
  <c r="M329" i="83"/>
  <c r="N329" i="83" s="1"/>
  <c r="O329" i="83" s="1"/>
  <c r="L330" i="83"/>
  <c r="M330" i="83"/>
  <c r="N330" i="83" s="1"/>
  <c r="O330" i="83" s="1"/>
  <c r="L331" i="83"/>
  <c r="M331" i="83"/>
  <c r="N331" i="83" s="1"/>
  <c r="O331" i="83" s="1"/>
  <c r="L332" i="83"/>
  <c r="M332" i="83"/>
  <c r="N332" i="83" s="1"/>
  <c r="O332" i="83" s="1"/>
  <c r="L333" i="83"/>
  <c r="M333" i="83"/>
  <c r="N333" i="83" s="1"/>
  <c r="O333" i="83" s="1"/>
  <c r="L334" i="83"/>
  <c r="M334" i="83"/>
  <c r="N334" i="83" s="1"/>
  <c r="O334" i="83" s="1"/>
  <c r="L335" i="83"/>
  <c r="M335" i="83"/>
  <c r="N335" i="83" s="1"/>
  <c r="O335" i="83" s="1"/>
  <c r="L336" i="83"/>
  <c r="M336" i="83"/>
  <c r="N336" i="83" s="1"/>
  <c r="O336" i="83" s="1"/>
  <c r="L337" i="83"/>
  <c r="M337" i="83"/>
  <c r="N337" i="83" s="1"/>
  <c r="O337" i="83" s="1"/>
  <c r="L338" i="83"/>
  <c r="M338" i="83"/>
  <c r="N338" i="83" s="1"/>
  <c r="O338" i="83" s="1"/>
  <c r="L339" i="83"/>
  <c r="M339" i="83"/>
  <c r="N339" i="83" s="1"/>
  <c r="O339" i="83" s="1"/>
  <c r="L340" i="83"/>
  <c r="M340" i="83"/>
  <c r="N340" i="83" s="1"/>
  <c r="O340" i="83" s="1"/>
  <c r="L341" i="83"/>
  <c r="M341" i="83"/>
  <c r="N341" i="83" s="1"/>
  <c r="O341" i="83" s="1"/>
  <c r="L342" i="83"/>
  <c r="M342" i="83"/>
  <c r="N342" i="83" s="1"/>
  <c r="O342" i="83" s="1"/>
  <c r="L343" i="83"/>
  <c r="M343" i="83"/>
  <c r="N343" i="83" s="1"/>
  <c r="O343" i="83" s="1"/>
  <c r="L344" i="83"/>
  <c r="M344" i="83"/>
  <c r="N344" i="83" s="1"/>
  <c r="O344" i="83" s="1"/>
  <c r="L345" i="83"/>
  <c r="M345" i="83"/>
  <c r="N345" i="83" s="1"/>
  <c r="O345" i="83" s="1"/>
  <c r="L346" i="83"/>
  <c r="M346" i="83"/>
  <c r="N346" i="83" s="1"/>
  <c r="O346" i="83" s="1"/>
  <c r="L347" i="83"/>
  <c r="M347" i="83"/>
  <c r="N347" i="83" s="1"/>
  <c r="O347" i="83" s="1"/>
  <c r="L348" i="83"/>
  <c r="M348" i="83"/>
  <c r="N348" i="83" s="1"/>
  <c r="O348" i="83" s="1"/>
  <c r="L349" i="83"/>
  <c r="M349" i="83"/>
  <c r="N349" i="83" s="1"/>
  <c r="O349" i="83" s="1"/>
  <c r="L350" i="83"/>
  <c r="M350" i="83"/>
  <c r="N350" i="83" s="1"/>
  <c r="O350" i="83" s="1"/>
  <c r="L351" i="83"/>
  <c r="M351" i="83"/>
  <c r="N351" i="83" s="1"/>
  <c r="O351" i="83" s="1"/>
  <c r="L352" i="83"/>
  <c r="M352" i="83"/>
  <c r="N352" i="83" s="1"/>
  <c r="O352" i="83" s="1"/>
  <c r="L353" i="83"/>
  <c r="M353" i="83"/>
  <c r="N353" i="83" s="1"/>
  <c r="O353" i="83" s="1"/>
  <c r="L354" i="83"/>
  <c r="M354" i="83"/>
  <c r="N354" i="83" s="1"/>
  <c r="O354" i="83" s="1"/>
  <c r="L355" i="83"/>
  <c r="M355" i="83"/>
  <c r="N355" i="83" s="1"/>
  <c r="O355" i="83" s="1"/>
  <c r="L356" i="83"/>
  <c r="M356" i="83"/>
  <c r="N356" i="83" s="1"/>
  <c r="O356" i="83" s="1"/>
  <c r="L357" i="83"/>
  <c r="M357" i="83"/>
  <c r="N357" i="83" s="1"/>
  <c r="O357" i="83" s="1"/>
  <c r="L358" i="83"/>
  <c r="M358" i="83"/>
  <c r="N358" i="83" s="1"/>
  <c r="O358" i="83" s="1"/>
  <c r="L359" i="83"/>
  <c r="M359" i="83"/>
  <c r="N359" i="83" s="1"/>
  <c r="O359" i="83" s="1"/>
  <c r="L360" i="83"/>
  <c r="M360" i="83"/>
  <c r="N360" i="83" s="1"/>
  <c r="O360" i="83" s="1"/>
  <c r="L361" i="83"/>
  <c r="M361" i="83"/>
  <c r="N361" i="83" s="1"/>
  <c r="O361" i="83" s="1"/>
  <c r="L362" i="83"/>
  <c r="M362" i="83"/>
  <c r="N362" i="83" s="1"/>
  <c r="O362" i="83" s="1"/>
  <c r="L363" i="83"/>
  <c r="M363" i="83"/>
  <c r="N363" i="83" s="1"/>
  <c r="O363" i="83" s="1"/>
  <c r="L364" i="83"/>
  <c r="M364" i="83"/>
  <c r="N364" i="83" s="1"/>
  <c r="O364" i="83" s="1"/>
  <c r="L365" i="83"/>
  <c r="M365" i="83"/>
  <c r="N365" i="83" s="1"/>
  <c r="O365" i="83" s="1"/>
  <c r="L366" i="83"/>
  <c r="M366" i="83"/>
  <c r="N366" i="83" s="1"/>
  <c r="O366" i="83" s="1"/>
  <c r="L367" i="83"/>
  <c r="M367" i="83"/>
  <c r="N367" i="83" s="1"/>
  <c r="O367" i="83" s="1"/>
  <c r="L368" i="83"/>
  <c r="M368" i="83"/>
  <c r="N368" i="83" s="1"/>
  <c r="O368" i="83" s="1"/>
  <c r="L369" i="83"/>
  <c r="M369" i="83"/>
  <c r="N369" i="83" s="1"/>
  <c r="O369" i="83" s="1"/>
  <c r="L370" i="83"/>
  <c r="M370" i="83"/>
  <c r="N370" i="83" s="1"/>
  <c r="O370" i="83" s="1"/>
  <c r="L371" i="83"/>
  <c r="M371" i="83"/>
  <c r="N371" i="83" s="1"/>
  <c r="O371" i="83" s="1"/>
  <c r="L372" i="83"/>
  <c r="M372" i="83"/>
  <c r="N372" i="83" s="1"/>
  <c r="O372" i="83" s="1"/>
  <c r="L373" i="83"/>
  <c r="M373" i="83"/>
  <c r="N373" i="83" s="1"/>
  <c r="O373" i="83" s="1"/>
  <c r="L374" i="83"/>
  <c r="M374" i="83"/>
  <c r="N374" i="83" s="1"/>
  <c r="O374" i="83" s="1"/>
  <c r="L375" i="83"/>
  <c r="M375" i="83"/>
  <c r="N375" i="83" s="1"/>
  <c r="O375" i="83" s="1"/>
  <c r="L376" i="83"/>
  <c r="M376" i="83"/>
  <c r="N376" i="83" s="1"/>
  <c r="O376" i="83" s="1"/>
  <c r="L377" i="83"/>
  <c r="M377" i="83"/>
  <c r="N377" i="83" s="1"/>
  <c r="O377" i="83" s="1"/>
  <c r="L378" i="83"/>
  <c r="M378" i="83"/>
  <c r="N378" i="83" s="1"/>
  <c r="O378" i="83" s="1"/>
  <c r="L379" i="83"/>
  <c r="M379" i="83"/>
  <c r="N379" i="83" s="1"/>
  <c r="O379" i="83" s="1"/>
  <c r="L380" i="83"/>
  <c r="M380" i="83"/>
  <c r="N380" i="83" s="1"/>
  <c r="O380" i="83" s="1"/>
  <c r="L381" i="83"/>
  <c r="M381" i="83"/>
  <c r="N381" i="83" s="1"/>
  <c r="O381" i="83" s="1"/>
  <c r="L382" i="83"/>
  <c r="M382" i="83"/>
  <c r="N382" i="83" s="1"/>
  <c r="O382" i="83" s="1"/>
  <c r="L383" i="83"/>
  <c r="M383" i="83"/>
  <c r="N383" i="83" s="1"/>
  <c r="O383" i="83" s="1"/>
  <c r="L384" i="83"/>
  <c r="M384" i="83"/>
  <c r="N384" i="83" s="1"/>
  <c r="O384" i="83" s="1"/>
  <c r="L385" i="83"/>
  <c r="M385" i="83"/>
  <c r="N385" i="83" s="1"/>
  <c r="O385" i="83" s="1"/>
  <c r="L386" i="83"/>
  <c r="M386" i="83"/>
  <c r="N386" i="83" s="1"/>
  <c r="O386" i="83" s="1"/>
  <c r="L387" i="83"/>
  <c r="M387" i="83"/>
  <c r="N387" i="83" s="1"/>
  <c r="O387" i="83" s="1"/>
  <c r="L388" i="83"/>
  <c r="M388" i="83"/>
  <c r="N388" i="83" s="1"/>
  <c r="O388" i="83" s="1"/>
  <c r="L389" i="83"/>
  <c r="M389" i="83"/>
  <c r="N389" i="83" s="1"/>
  <c r="O389" i="83" s="1"/>
  <c r="L390" i="83"/>
  <c r="M390" i="83"/>
  <c r="N390" i="83" s="1"/>
  <c r="O390" i="83" s="1"/>
  <c r="L391" i="83"/>
  <c r="M391" i="83"/>
  <c r="N391" i="83" s="1"/>
  <c r="O391" i="83" s="1"/>
  <c r="L392" i="83"/>
  <c r="M392" i="83"/>
  <c r="N392" i="83" s="1"/>
  <c r="O392" i="83" s="1"/>
  <c r="L393" i="83"/>
  <c r="M393" i="83"/>
  <c r="N393" i="83" s="1"/>
  <c r="O393" i="83" s="1"/>
  <c r="L394" i="83"/>
  <c r="M394" i="83"/>
  <c r="N394" i="83" s="1"/>
  <c r="O394" i="83" s="1"/>
  <c r="L395" i="83"/>
  <c r="M395" i="83"/>
  <c r="N395" i="83" s="1"/>
  <c r="O395" i="83" s="1"/>
  <c r="L396" i="83"/>
  <c r="M396" i="83"/>
  <c r="N396" i="83" s="1"/>
  <c r="O396" i="83" s="1"/>
  <c r="L397" i="83"/>
  <c r="M397" i="83"/>
  <c r="N397" i="83" s="1"/>
  <c r="O397" i="83" s="1"/>
  <c r="L398" i="83"/>
  <c r="M398" i="83"/>
  <c r="N398" i="83" s="1"/>
  <c r="O398" i="83" s="1"/>
  <c r="L399" i="83"/>
  <c r="M399" i="83"/>
  <c r="N399" i="83" s="1"/>
  <c r="O399" i="83" s="1"/>
  <c r="L400" i="83"/>
  <c r="M400" i="83"/>
  <c r="N400" i="83" s="1"/>
  <c r="O400" i="83" s="1"/>
  <c r="J8" i="83"/>
  <c r="K8" i="83" s="1"/>
  <c r="J9" i="83"/>
  <c r="K9" i="83" s="1"/>
  <c r="J10" i="83"/>
  <c r="K10" i="83" s="1"/>
  <c r="J11" i="83"/>
  <c r="K11" i="83" s="1"/>
  <c r="J12" i="83"/>
  <c r="K12" i="83" s="1"/>
  <c r="J13" i="83"/>
  <c r="K13" i="83" s="1"/>
  <c r="J14" i="83"/>
  <c r="K14" i="83" s="1"/>
  <c r="J15" i="83"/>
  <c r="K15" i="83" s="1"/>
  <c r="J16" i="83"/>
  <c r="K16" i="83" s="1"/>
  <c r="J17" i="83"/>
  <c r="K17" i="83" s="1"/>
  <c r="J18" i="83"/>
  <c r="K18" i="83" s="1"/>
  <c r="J19" i="83"/>
  <c r="K19" i="83" s="1"/>
  <c r="J20" i="83"/>
  <c r="K20" i="83" s="1"/>
  <c r="J21" i="83"/>
  <c r="K21" i="83" s="1"/>
  <c r="J22" i="83"/>
  <c r="K22" i="83" s="1"/>
  <c r="J23" i="83"/>
  <c r="K23" i="83" s="1"/>
  <c r="J24" i="83"/>
  <c r="K24" i="83" s="1"/>
  <c r="J25" i="83"/>
  <c r="K25" i="83" s="1"/>
  <c r="J26" i="83"/>
  <c r="K26" i="83" s="1"/>
  <c r="J27" i="83"/>
  <c r="K27" i="83" s="1"/>
  <c r="J28" i="83"/>
  <c r="K28" i="83" s="1"/>
  <c r="J29" i="83"/>
  <c r="K29" i="83" s="1"/>
  <c r="J30" i="83"/>
  <c r="K30" i="83" s="1"/>
  <c r="J31" i="83"/>
  <c r="K31" i="83" s="1"/>
  <c r="J32" i="83"/>
  <c r="K32" i="83" s="1"/>
  <c r="J33" i="83"/>
  <c r="K33" i="83" s="1"/>
  <c r="J34" i="83"/>
  <c r="K34" i="83" s="1"/>
  <c r="J35" i="83"/>
  <c r="K35" i="83" s="1"/>
  <c r="J36" i="83"/>
  <c r="K36" i="83" s="1"/>
  <c r="J37" i="83"/>
  <c r="K37" i="83" s="1"/>
  <c r="J38" i="83"/>
  <c r="K38" i="83" s="1"/>
  <c r="J39" i="83"/>
  <c r="K39" i="83" s="1"/>
  <c r="J40" i="83"/>
  <c r="K40" i="83" s="1"/>
  <c r="J41" i="83"/>
  <c r="K41" i="83" s="1"/>
  <c r="J42" i="83"/>
  <c r="K42" i="83" s="1"/>
  <c r="J43" i="83"/>
  <c r="K43" i="83" s="1"/>
  <c r="J44" i="83"/>
  <c r="K44" i="83" s="1"/>
  <c r="J45" i="83"/>
  <c r="K45" i="83" s="1"/>
  <c r="J46" i="83"/>
  <c r="K46" i="83" s="1"/>
  <c r="J47" i="83"/>
  <c r="K47" i="83" s="1"/>
  <c r="J48" i="83"/>
  <c r="K48" i="83" s="1"/>
  <c r="J49" i="83"/>
  <c r="K49" i="83" s="1"/>
  <c r="J50" i="83"/>
  <c r="K50" i="83" s="1"/>
  <c r="J51" i="83"/>
  <c r="K51" i="83" s="1"/>
  <c r="J52" i="83"/>
  <c r="K52" i="83" s="1"/>
  <c r="J53" i="83"/>
  <c r="K53" i="83" s="1"/>
  <c r="J54" i="83"/>
  <c r="K54" i="83" s="1"/>
  <c r="J55" i="83"/>
  <c r="K55" i="83" s="1"/>
  <c r="J56" i="83"/>
  <c r="K56" i="83" s="1"/>
  <c r="J57" i="83"/>
  <c r="K57" i="83" s="1"/>
  <c r="J58" i="83"/>
  <c r="K58" i="83" s="1"/>
  <c r="J59" i="83"/>
  <c r="K59" i="83" s="1"/>
  <c r="J60" i="83"/>
  <c r="K60" i="83" s="1"/>
  <c r="J61" i="83"/>
  <c r="K61" i="83" s="1"/>
  <c r="J62" i="83"/>
  <c r="K62" i="83" s="1"/>
  <c r="J63" i="83"/>
  <c r="K63" i="83" s="1"/>
  <c r="J64" i="83"/>
  <c r="K64" i="83" s="1"/>
  <c r="J65" i="83"/>
  <c r="K65" i="83" s="1"/>
  <c r="J66" i="83"/>
  <c r="K66" i="83" s="1"/>
  <c r="J67" i="83"/>
  <c r="K67" i="83" s="1"/>
  <c r="J68" i="83"/>
  <c r="K68" i="83" s="1"/>
  <c r="J69" i="83"/>
  <c r="K69" i="83" s="1"/>
  <c r="J70" i="83"/>
  <c r="K70" i="83" s="1"/>
  <c r="J71" i="83"/>
  <c r="K71" i="83" s="1"/>
  <c r="J72" i="83"/>
  <c r="K72" i="83" s="1"/>
  <c r="J73" i="83"/>
  <c r="K73" i="83" s="1"/>
  <c r="J74" i="83"/>
  <c r="K74" i="83" s="1"/>
  <c r="J75" i="83"/>
  <c r="K75" i="83" s="1"/>
  <c r="J76" i="83"/>
  <c r="K76" i="83" s="1"/>
  <c r="J77" i="83"/>
  <c r="K77" i="83" s="1"/>
  <c r="J78" i="83"/>
  <c r="K78" i="83" s="1"/>
  <c r="J79" i="83"/>
  <c r="K79" i="83" s="1"/>
  <c r="J80" i="83"/>
  <c r="K80" i="83" s="1"/>
  <c r="J81" i="83"/>
  <c r="K81" i="83" s="1"/>
  <c r="J82" i="83"/>
  <c r="K82" i="83" s="1"/>
  <c r="J83" i="83"/>
  <c r="K83" i="83" s="1"/>
  <c r="J84" i="83"/>
  <c r="K84" i="83" s="1"/>
  <c r="J85" i="83"/>
  <c r="K85" i="83" s="1"/>
  <c r="J86" i="83"/>
  <c r="K86" i="83" s="1"/>
  <c r="J87" i="83"/>
  <c r="K87" i="83" s="1"/>
  <c r="J88" i="83"/>
  <c r="K88" i="83" s="1"/>
  <c r="J89" i="83"/>
  <c r="K89" i="83" s="1"/>
  <c r="J90" i="83"/>
  <c r="K90" i="83" s="1"/>
  <c r="J91" i="83"/>
  <c r="K91" i="83" s="1"/>
  <c r="J92" i="83"/>
  <c r="K92" i="83" s="1"/>
  <c r="J93" i="83"/>
  <c r="K93" i="83" s="1"/>
  <c r="J94" i="83"/>
  <c r="K94" i="83" s="1"/>
  <c r="J95" i="83"/>
  <c r="K95" i="83" s="1"/>
  <c r="J96" i="83"/>
  <c r="K96" i="83" s="1"/>
  <c r="J97" i="83"/>
  <c r="K97" i="83" s="1"/>
  <c r="J98" i="83"/>
  <c r="K98" i="83" s="1"/>
  <c r="J99" i="83"/>
  <c r="K99" i="83" s="1"/>
  <c r="J100" i="83"/>
  <c r="K100" i="83" s="1"/>
  <c r="J101" i="83"/>
  <c r="K101" i="83" s="1"/>
  <c r="J102" i="83"/>
  <c r="K102" i="83" s="1"/>
  <c r="J103" i="83"/>
  <c r="K103" i="83" s="1"/>
  <c r="J104" i="83"/>
  <c r="K104" i="83" s="1"/>
  <c r="J105" i="83"/>
  <c r="K105" i="83" s="1"/>
  <c r="J106" i="83"/>
  <c r="K106" i="83" s="1"/>
  <c r="J107" i="83"/>
  <c r="K107" i="83" s="1"/>
  <c r="J108" i="83"/>
  <c r="K108" i="83" s="1"/>
  <c r="J109" i="83"/>
  <c r="K109" i="83" s="1"/>
  <c r="J110" i="83"/>
  <c r="K110" i="83" s="1"/>
  <c r="J111" i="83"/>
  <c r="K111" i="83" s="1"/>
  <c r="J112" i="83"/>
  <c r="K112" i="83" s="1"/>
  <c r="J113" i="83"/>
  <c r="K113" i="83" s="1"/>
  <c r="J114" i="83"/>
  <c r="K114" i="83" s="1"/>
  <c r="J115" i="83"/>
  <c r="K115" i="83" s="1"/>
  <c r="J116" i="83"/>
  <c r="K116" i="83" s="1"/>
  <c r="J117" i="83"/>
  <c r="K117" i="83" s="1"/>
  <c r="J118" i="83"/>
  <c r="K118" i="83" s="1"/>
  <c r="J119" i="83"/>
  <c r="K119" i="83" s="1"/>
  <c r="J120" i="83"/>
  <c r="K120" i="83" s="1"/>
  <c r="J121" i="83"/>
  <c r="K121" i="83" s="1"/>
  <c r="J122" i="83"/>
  <c r="K122" i="83" s="1"/>
  <c r="J123" i="83"/>
  <c r="K123" i="83" s="1"/>
  <c r="J124" i="83"/>
  <c r="K124" i="83" s="1"/>
  <c r="J125" i="83"/>
  <c r="K125" i="83" s="1"/>
  <c r="J126" i="83"/>
  <c r="K126" i="83" s="1"/>
  <c r="J127" i="83"/>
  <c r="K127" i="83" s="1"/>
  <c r="J128" i="83"/>
  <c r="K128" i="83" s="1"/>
  <c r="J129" i="83"/>
  <c r="K129" i="83" s="1"/>
  <c r="J130" i="83"/>
  <c r="K130" i="83" s="1"/>
  <c r="J131" i="83"/>
  <c r="K131" i="83" s="1"/>
  <c r="J132" i="83"/>
  <c r="K132" i="83" s="1"/>
  <c r="J133" i="83"/>
  <c r="K133" i="83" s="1"/>
  <c r="J134" i="83"/>
  <c r="K134" i="83" s="1"/>
  <c r="J135" i="83"/>
  <c r="K135" i="83" s="1"/>
  <c r="J136" i="83"/>
  <c r="K136" i="83" s="1"/>
  <c r="J137" i="83"/>
  <c r="K137" i="83" s="1"/>
  <c r="J138" i="83"/>
  <c r="K138" i="83" s="1"/>
  <c r="J139" i="83"/>
  <c r="K139" i="83" s="1"/>
  <c r="J140" i="83"/>
  <c r="K140" i="83" s="1"/>
  <c r="J141" i="83"/>
  <c r="K141" i="83" s="1"/>
  <c r="J142" i="83"/>
  <c r="K142" i="83" s="1"/>
  <c r="J143" i="83"/>
  <c r="K143" i="83" s="1"/>
  <c r="J144" i="83"/>
  <c r="K144" i="83" s="1"/>
  <c r="J145" i="83"/>
  <c r="K145" i="83" s="1"/>
  <c r="J146" i="83"/>
  <c r="K146" i="83" s="1"/>
  <c r="J147" i="83"/>
  <c r="K147" i="83" s="1"/>
  <c r="J148" i="83"/>
  <c r="K148" i="83" s="1"/>
  <c r="J149" i="83"/>
  <c r="K149" i="83" s="1"/>
  <c r="J150" i="83"/>
  <c r="K150" i="83" s="1"/>
  <c r="J151" i="83"/>
  <c r="K151" i="83" s="1"/>
  <c r="J152" i="83"/>
  <c r="K152" i="83" s="1"/>
  <c r="J153" i="83"/>
  <c r="K153" i="83" s="1"/>
  <c r="J154" i="83"/>
  <c r="K154" i="83" s="1"/>
  <c r="J155" i="83"/>
  <c r="K155" i="83" s="1"/>
  <c r="J156" i="83"/>
  <c r="K156" i="83" s="1"/>
  <c r="J157" i="83"/>
  <c r="K157" i="83" s="1"/>
  <c r="J158" i="83"/>
  <c r="K158" i="83" s="1"/>
  <c r="J159" i="83"/>
  <c r="K159" i="83" s="1"/>
  <c r="J160" i="83"/>
  <c r="K160" i="83" s="1"/>
  <c r="J161" i="83"/>
  <c r="K161" i="83" s="1"/>
  <c r="J162" i="83"/>
  <c r="K162" i="83" s="1"/>
  <c r="J163" i="83"/>
  <c r="K163" i="83" s="1"/>
  <c r="J164" i="83"/>
  <c r="K164" i="83" s="1"/>
  <c r="J165" i="83"/>
  <c r="K165" i="83" s="1"/>
  <c r="J166" i="83"/>
  <c r="K166" i="83" s="1"/>
  <c r="J167" i="83"/>
  <c r="K167" i="83" s="1"/>
  <c r="J168" i="83"/>
  <c r="K168" i="83" s="1"/>
  <c r="J169" i="83"/>
  <c r="K169" i="83" s="1"/>
  <c r="J170" i="83"/>
  <c r="K170" i="83" s="1"/>
  <c r="J171" i="83"/>
  <c r="K171" i="83" s="1"/>
  <c r="J172" i="83"/>
  <c r="K172" i="83" s="1"/>
  <c r="J173" i="83"/>
  <c r="K173" i="83" s="1"/>
  <c r="J174" i="83"/>
  <c r="K174" i="83" s="1"/>
  <c r="J175" i="83"/>
  <c r="K175" i="83" s="1"/>
  <c r="J176" i="83"/>
  <c r="K176" i="83" s="1"/>
  <c r="J177" i="83"/>
  <c r="K177" i="83" s="1"/>
  <c r="J178" i="83"/>
  <c r="K178" i="83" s="1"/>
  <c r="J179" i="83"/>
  <c r="K179" i="83" s="1"/>
  <c r="J180" i="83"/>
  <c r="K180" i="83" s="1"/>
  <c r="J181" i="83"/>
  <c r="K181" i="83" s="1"/>
  <c r="J182" i="83"/>
  <c r="K182" i="83" s="1"/>
  <c r="J183" i="83"/>
  <c r="K183" i="83" s="1"/>
  <c r="J184" i="83"/>
  <c r="K184" i="83" s="1"/>
  <c r="J185" i="83"/>
  <c r="K185" i="83" s="1"/>
  <c r="J186" i="83"/>
  <c r="K186" i="83" s="1"/>
  <c r="J187" i="83"/>
  <c r="K187" i="83" s="1"/>
  <c r="J188" i="83"/>
  <c r="K188" i="83" s="1"/>
  <c r="J189" i="83"/>
  <c r="K189" i="83" s="1"/>
  <c r="J190" i="83"/>
  <c r="K190" i="83" s="1"/>
  <c r="J191" i="83"/>
  <c r="K191" i="83" s="1"/>
  <c r="J192" i="83"/>
  <c r="K192" i="83" s="1"/>
  <c r="J193" i="83"/>
  <c r="K193" i="83" s="1"/>
  <c r="J194" i="83"/>
  <c r="K194" i="83" s="1"/>
  <c r="J195" i="83"/>
  <c r="K195" i="83" s="1"/>
  <c r="J196" i="83"/>
  <c r="K196" i="83" s="1"/>
  <c r="J197" i="83"/>
  <c r="K197" i="83" s="1"/>
  <c r="J198" i="83"/>
  <c r="K198" i="83" s="1"/>
  <c r="J199" i="83"/>
  <c r="K199" i="83" s="1"/>
  <c r="J200" i="83"/>
  <c r="K200" i="83" s="1"/>
  <c r="J201" i="83"/>
  <c r="K201" i="83" s="1"/>
  <c r="J202" i="83"/>
  <c r="K202" i="83" s="1"/>
  <c r="J203" i="83"/>
  <c r="K203" i="83" s="1"/>
  <c r="J204" i="83"/>
  <c r="K204" i="83" s="1"/>
  <c r="J205" i="83"/>
  <c r="K205" i="83" s="1"/>
  <c r="J206" i="83"/>
  <c r="K206" i="83" s="1"/>
  <c r="J207" i="83"/>
  <c r="K207" i="83" s="1"/>
  <c r="J208" i="83"/>
  <c r="K208" i="83" s="1"/>
  <c r="J209" i="83"/>
  <c r="K209" i="83" s="1"/>
  <c r="J210" i="83"/>
  <c r="K210" i="83" s="1"/>
  <c r="J211" i="83"/>
  <c r="K211" i="83" s="1"/>
  <c r="J212" i="83"/>
  <c r="K212" i="83" s="1"/>
  <c r="J213" i="83"/>
  <c r="K213" i="83" s="1"/>
  <c r="J214" i="83"/>
  <c r="K214" i="83" s="1"/>
  <c r="J215" i="83"/>
  <c r="K215" i="83" s="1"/>
  <c r="J216" i="83"/>
  <c r="K216" i="83" s="1"/>
  <c r="J217" i="83"/>
  <c r="K217" i="83" s="1"/>
  <c r="J218" i="83"/>
  <c r="K218" i="83" s="1"/>
  <c r="J219" i="83"/>
  <c r="K219" i="83" s="1"/>
  <c r="J220" i="83"/>
  <c r="K220" i="83" s="1"/>
  <c r="J221" i="83"/>
  <c r="K221" i="83" s="1"/>
  <c r="J222" i="83"/>
  <c r="K222" i="83" s="1"/>
  <c r="J223" i="83"/>
  <c r="K223" i="83" s="1"/>
  <c r="J224" i="83"/>
  <c r="K224" i="83" s="1"/>
  <c r="J225" i="83"/>
  <c r="K225" i="83" s="1"/>
  <c r="J226" i="83"/>
  <c r="K226" i="83" s="1"/>
  <c r="J227" i="83"/>
  <c r="K227" i="83" s="1"/>
  <c r="J228" i="83"/>
  <c r="K228" i="83" s="1"/>
  <c r="J229" i="83"/>
  <c r="K229" i="83" s="1"/>
  <c r="J230" i="83"/>
  <c r="K230" i="83" s="1"/>
  <c r="J231" i="83"/>
  <c r="K231" i="83" s="1"/>
  <c r="J232" i="83"/>
  <c r="K232" i="83" s="1"/>
  <c r="J233" i="83"/>
  <c r="K233" i="83" s="1"/>
  <c r="J234" i="83"/>
  <c r="K234" i="83" s="1"/>
  <c r="J235" i="83"/>
  <c r="K235" i="83" s="1"/>
  <c r="J236" i="83"/>
  <c r="K236" i="83" s="1"/>
  <c r="J237" i="83"/>
  <c r="K237" i="83" s="1"/>
  <c r="J238" i="83"/>
  <c r="K238" i="83" s="1"/>
  <c r="J239" i="83"/>
  <c r="K239" i="83" s="1"/>
  <c r="J240" i="83"/>
  <c r="K240" i="83" s="1"/>
  <c r="J241" i="83"/>
  <c r="K241" i="83" s="1"/>
  <c r="J242" i="83"/>
  <c r="K242" i="83" s="1"/>
  <c r="J243" i="83"/>
  <c r="K243" i="83" s="1"/>
  <c r="J244" i="83"/>
  <c r="K244" i="83" s="1"/>
  <c r="J245" i="83"/>
  <c r="K245" i="83" s="1"/>
  <c r="J246" i="83"/>
  <c r="K246" i="83" s="1"/>
  <c r="J247" i="83"/>
  <c r="K247" i="83" s="1"/>
  <c r="J248" i="83"/>
  <c r="K248" i="83" s="1"/>
  <c r="J249" i="83"/>
  <c r="K249" i="83" s="1"/>
  <c r="J250" i="83"/>
  <c r="K250" i="83" s="1"/>
  <c r="J251" i="83"/>
  <c r="K251" i="83" s="1"/>
  <c r="J252" i="83"/>
  <c r="K252" i="83" s="1"/>
  <c r="J253" i="83"/>
  <c r="K253" i="83" s="1"/>
  <c r="J254" i="83"/>
  <c r="K254" i="83" s="1"/>
  <c r="J255" i="83"/>
  <c r="K255" i="83" s="1"/>
  <c r="J256" i="83"/>
  <c r="K256" i="83" s="1"/>
  <c r="J257" i="83"/>
  <c r="K257" i="83" s="1"/>
  <c r="J258" i="83"/>
  <c r="K258" i="83" s="1"/>
  <c r="J259" i="83"/>
  <c r="K259" i="83" s="1"/>
  <c r="J260" i="83"/>
  <c r="K260" i="83" s="1"/>
  <c r="J261" i="83"/>
  <c r="K261" i="83" s="1"/>
  <c r="J262" i="83"/>
  <c r="K262" i="83" s="1"/>
  <c r="J263" i="83"/>
  <c r="K263" i="83" s="1"/>
  <c r="J264" i="83"/>
  <c r="K264" i="83" s="1"/>
  <c r="J265" i="83"/>
  <c r="K265" i="83" s="1"/>
  <c r="J266" i="83"/>
  <c r="K266" i="83" s="1"/>
  <c r="J267" i="83"/>
  <c r="K267" i="83" s="1"/>
  <c r="J268" i="83"/>
  <c r="K268" i="83" s="1"/>
  <c r="J269" i="83"/>
  <c r="K269" i="83" s="1"/>
  <c r="J270" i="83"/>
  <c r="K270" i="83" s="1"/>
  <c r="J271" i="83"/>
  <c r="K271" i="83" s="1"/>
  <c r="J272" i="83"/>
  <c r="K272" i="83" s="1"/>
  <c r="J273" i="83"/>
  <c r="K273" i="83" s="1"/>
  <c r="J274" i="83"/>
  <c r="K274" i="83" s="1"/>
  <c r="J275" i="83"/>
  <c r="K275" i="83" s="1"/>
  <c r="J276" i="83"/>
  <c r="K276" i="83" s="1"/>
  <c r="J277" i="83"/>
  <c r="K277" i="83" s="1"/>
  <c r="J278" i="83"/>
  <c r="K278" i="83" s="1"/>
  <c r="J279" i="83"/>
  <c r="K279" i="83" s="1"/>
  <c r="J280" i="83"/>
  <c r="K280" i="83" s="1"/>
  <c r="J281" i="83"/>
  <c r="K281" i="83" s="1"/>
  <c r="J282" i="83"/>
  <c r="K282" i="83" s="1"/>
  <c r="J283" i="83"/>
  <c r="K283" i="83" s="1"/>
  <c r="J284" i="83"/>
  <c r="K284" i="83" s="1"/>
  <c r="J285" i="83"/>
  <c r="K285" i="83" s="1"/>
  <c r="J286" i="83"/>
  <c r="K286" i="83" s="1"/>
  <c r="J287" i="83"/>
  <c r="K287" i="83" s="1"/>
  <c r="J288" i="83"/>
  <c r="K288" i="83" s="1"/>
  <c r="J289" i="83"/>
  <c r="K289" i="83" s="1"/>
  <c r="J290" i="83"/>
  <c r="K290" i="83" s="1"/>
  <c r="J291" i="83"/>
  <c r="K291" i="83" s="1"/>
  <c r="J292" i="83"/>
  <c r="K292" i="83" s="1"/>
  <c r="J293" i="83"/>
  <c r="K293" i="83" s="1"/>
  <c r="J294" i="83"/>
  <c r="K294" i="83" s="1"/>
  <c r="J295" i="83"/>
  <c r="K295" i="83" s="1"/>
  <c r="J296" i="83"/>
  <c r="K296" i="83" s="1"/>
  <c r="J297" i="83"/>
  <c r="K297" i="83" s="1"/>
  <c r="J298" i="83"/>
  <c r="K298" i="83" s="1"/>
  <c r="J299" i="83"/>
  <c r="K299" i="83" s="1"/>
  <c r="J300" i="83"/>
  <c r="K300" i="83" s="1"/>
  <c r="J301" i="83"/>
  <c r="K301" i="83" s="1"/>
  <c r="J302" i="83"/>
  <c r="K302" i="83" s="1"/>
  <c r="J303" i="83"/>
  <c r="K303" i="83" s="1"/>
  <c r="J304" i="83"/>
  <c r="K304" i="83" s="1"/>
  <c r="J305" i="83"/>
  <c r="K305" i="83" s="1"/>
  <c r="J306" i="83"/>
  <c r="K306" i="83" s="1"/>
  <c r="J307" i="83"/>
  <c r="K307" i="83" s="1"/>
  <c r="J308" i="83"/>
  <c r="K308" i="83" s="1"/>
  <c r="J309" i="83"/>
  <c r="K309" i="83" s="1"/>
  <c r="J310" i="83"/>
  <c r="K310" i="83" s="1"/>
  <c r="J311" i="83"/>
  <c r="K311" i="83" s="1"/>
  <c r="J312" i="83"/>
  <c r="K312" i="83" s="1"/>
  <c r="J313" i="83"/>
  <c r="K313" i="83" s="1"/>
  <c r="J314" i="83"/>
  <c r="K314" i="83" s="1"/>
  <c r="J315" i="83"/>
  <c r="K315" i="83" s="1"/>
  <c r="J316" i="83"/>
  <c r="K316" i="83" s="1"/>
  <c r="J317" i="83"/>
  <c r="K317" i="83" s="1"/>
  <c r="J318" i="83"/>
  <c r="K318" i="83" s="1"/>
  <c r="J319" i="83"/>
  <c r="K319" i="83" s="1"/>
  <c r="J320" i="83"/>
  <c r="K320" i="83" s="1"/>
  <c r="J321" i="83"/>
  <c r="K321" i="83" s="1"/>
  <c r="J322" i="83"/>
  <c r="K322" i="83" s="1"/>
  <c r="J323" i="83"/>
  <c r="K323" i="83" s="1"/>
  <c r="J324" i="83"/>
  <c r="K324" i="83" s="1"/>
  <c r="J325" i="83"/>
  <c r="K325" i="83" s="1"/>
  <c r="J326" i="83"/>
  <c r="K326" i="83" s="1"/>
  <c r="J327" i="83"/>
  <c r="K327" i="83" s="1"/>
  <c r="J328" i="83"/>
  <c r="K328" i="83" s="1"/>
  <c r="J329" i="83"/>
  <c r="K329" i="83" s="1"/>
  <c r="J330" i="83"/>
  <c r="K330" i="83" s="1"/>
  <c r="J331" i="83"/>
  <c r="K331" i="83" s="1"/>
  <c r="J332" i="83"/>
  <c r="K332" i="83" s="1"/>
  <c r="J333" i="83"/>
  <c r="K333" i="83" s="1"/>
  <c r="J334" i="83"/>
  <c r="K334" i="83" s="1"/>
  <c r="J335" i="83"/>
  <c r="K335" i="83" s="1"/>
  <c r="J336" i="83"/>
  <c r="K336" i="83" s="1"/>
  <c r="J337" i="83"/>
  <c r="K337" i="83" s="1"/>
  <c r="J338" i="83"/>
  <c r="K338" i="83" s="1"/>
  <c r="J339" i="83"/>
  <c r="K339" i="83" s="1"/>
  <c r="J340" i="83"/>
  <c r="K340" i="83" s="1"/>
  <c r="J341" i="83"/>
  <c r="K341" i="83" s="1"/>
  <c r="J342" i="83"/>
  <c r="K342" i="83" s="1"/>
  <c r="J343" i="83"/>
  <c r="K343" i="83" s="1"/>
  <c r="J344" i="83"/>
  <c r="K344" i="83" s="1"/>
  <c r="J345" i="83"/>
  <c r="K345" i="83" s="1"/>
  <c r="J346" i="83"/>
  <c r="K346" i="83" s="1"/>
  <c r="J347" i="83"/>
  <c r="K347" i="83" s="1"/>
  <c r="J348" i="83"/>
  <c r="K348" i="83" s="1"/>
  <c r="J349" i="83"/>
  <c r="K349" i="83" s="1"/>
  <c r="J350" i="83"/>
  <c r="K350" i="83" s="1"/>
  <c r="J351" i="83"/>
  <c r="K351" i="83" s="1"/>
  <c r="J352" i="83"/>
  <c r="K352" i="83" s="1"/>
  <c r="J353" i="83"/>
  <c r="K353" i="83" s="1"/>
  <c r="J354" i="83"/>
  <c r="K354" i="83" s="1"/>
  <c r="J355" i="83"/>
  <c r="K355" i="83" s="1"/>
  <c r="J356" i="83"/>
  <c r="K356" i="83" s="1"/>
  <c r="J357" i="83"/>
  <c r="K357" i="83" s="1"/>
  <c r="J358" i="83"/>
  <c r="K358" i="83" s="1"/>
  <c r="J359" i="83"/>
  <c r="K359" i="83" s="1"/>
  <c r="J360" i="83"/>
  <c r="K360" i="83" s="1"/>
  <c r="J361" i="83"/>
  <c r="K361" i="83" s="1"/>
  <c r="J362" i="83"/>
  <c r="K362" i="83" s="1"/>
  <c r="J363" i="83"/>
  <c r="K363" i="83" s="1"/>
  <c r="J364" i="83"/>
  <c r="K364" i="83" s="1"/>
  <c r="J365" i="83"/>
  <c r="K365" i="83" s="1"/>
  <c r="J366" i="83"/>
  <c r="K366" i="83" s="1"/>
  <c r="J367" i="83"/>
  <c r="K367" i="83" s="1"/>
  <c r="J368" i="83"/>
  <c r="K368" i="83" s="1"/>
  <c r="J369" i="83"/>
  <c r="K369" i="83" s="1"/>
  <c r="J370" i="83"/>
  <c r="K370" i="83" s="1"/>
  <c r="J371" i="83"/>
  <c r="K371" i="83" s="1"/>
  <c r="J372" i="83"/>
  <c r="K372" i="83" s="1"/>
  <c r="J373" i="83"/>
  <c r="K373" i="83" s="1"/>
  <c r="J374" i="83"/>
  <c r="K374" i="83" s="1"/>
  <c r="J375" i="83"/>
  <c r="K375" i="83" s="1"/>
  <c r="J376" i="83"/>
  <c r="K376" i="83" s="1"/>
  <c r="J377" i="83"/>
  <c r="K377" i="83" s="1"/>
  <c r="J378" i="83"/>
  <c r="K378" i="83" s="1"/>
  <c r="J379" i="83"/>
  <c r="K379" i="83" s="1"/>
  <c r="J380" i="83"/>
  <c r="K380" i="83" s="1"/>
  <c r="J381" i="83"/>
  <c r="K381" i="83" s="1"/>
  <c r="J382" i="83"/>
  <c r="K382" i="83" s="1"/>
  <c r="J383" i="83"/>
  <c r="K383" i="83" s="1"/>
  <c r="J384" i="83"/>
  <c r="K384" i="83" s="1"/>
  <c r="J385" i="83"/>
  <c r="K385" i="83" s="1"/>
  <c r="J386" i="83"/>
  <c r="K386" i="83" s="1"/>
  <c r="J387" i="83"/>
  <c r="K387" i="83" s="1"/>
  <c r="J388" i="83"/>
  <c r="K388" i="83" s="1"/>
  <c r="J389" i="83"/>
  <c r="K389" i="83" s="1"/>
  <c r="J390" i="83"/>
  <c r="K390" i="83" s="1"/>
  <c r="J391" i="83"/>
  <c r="K391" i="83" s="1"/>
  <c r="J392" i="83"/>
  <c r="K392" i="83" s="1"/>
  <c r="J393" i="83"/>
  <c r="K393" i="83" s="1"/>
  <c r="J394" i="83"/>
  <c r="K394" i="83" s="1"/>
  <c r="J395" i="83"/>
  <c r="K395" i="83" s="1"/>
  <c r="J396" i="83"/>
  <c r="K396" i="83" s="1"/>
  <c r="J397" i="83"/>
  <c r="K397" i="83" s="1"/>
  <c r="J398" i="83"/>
  <c r="K398" i="83" s="1"/>
  <c r="J399" i="83"/>
  <c r="K399" i="83" s="1"/>
  <c r="J400" i="83"/>
  <c r="K400" i="83" s="1"/>
  <c r="A400" i="83"/>
  <c r="A399" i="83"/>
  <c r="A398" i="83"/>
  <c r="A397" i="83"/>
  <c r="A396" i="83"/>
  <c r="A395" i="83"/>
  <c r="A394" i="83"/>
  <c r="A393" i="83"/>
  <c r="A392" i="83"/>
  <c r="A391" i="83"/>
  <c r="A390" i="83"/>
  <c r="A389" i="83"/>
  <c r="A388" i="83"/>
  <c r="A387" i="83"/>
  <c r="A386" i="83"/>
  <c r="A385" i="83"/>
  <c r="A384" i="83"/>
  <c r="A383" i="83"/>
  <c r="A382" i="83"/>
  <c r="A381" i="83"/>
  <c r="M7" i="83"/>
  <c r="N7" i="83" s="1"/>
  <c r="O7" i="83" s="1"/>
  <c r="L7" i="83"/>
  <c r="J7" i="83"/>
  <c r="K7" i="83" s="1"/>
  <c r="C323" i="60" l="1"/>
  <c r="B13" i="60" l="1"/>
  <c r="M66" i="40"/>
  <c r="K66" i="40"/>
  <c r="G245" i="51"/>
  <c r="C26" i="40"/>
  <c r="G21" i="61"/>
  <c r="G25" i="61"/>
  <c r="F15" i="1"/>
  <c r="F14" i="1"/>
  <c r="G30" i="37"/>
  <c r="E426" i="60" l="1"/>
  <c r="C424" i="60"/>
  <c r="D424" i="60" s="1"/>
  <c r="F74" i="40"/>
  <c r="E36" i="32"/>
  <c r="I36" i="32" s="1"/>
  <c r="J36" i="32" s="1"/>
  <c r="E44" i="32"/>
  <c r="E45" i="32"/>
  <c r="E46" i="32"/>
  <c r="E47" i="32"/>
  <c r="E48" i="32"/>
  <c r="I48" i="32" s="1"/>
  <c r="J48" i="32" s="1"/>
  <c r="E49" i="32"/>
  <c r="I49" i="32" s="1"/>
  <c r="J49" i="32" s="1"/>
  <c r="E50" i="32"/>
  <c r="E51" i="32"/>
  <c r="E52" i="32"/>
  <c r="E53" i="32"/>
  <c r="E54" i="32"/>
  <c r="I54" i="32" s="1"/>
  <c r="J54" i="32" s="1"/>
  <c r="E55" i="32"/>
  <c r="E56" i="32"/>
  <c r="E57" i="32"/>
  <c r="I44" i="32" l="1"/>
  <c r="J44" i="32" s="1"/>
  <c r="I36" i="79" l="1"/>
  <c r="G46" i="37" l="1"/>
  <c r="I34" i="48" l="1"/>
  <c r="N39" i="37" l="1"/>
  <c r="N15" i="37"/>
  <c r="E538" i="82" l="1"/>
  <c r="C538" i="82"/>
  <c r="E125" i="60" l="1"/>
  <c r="F310" i="82" s="1"/>
  <c r="E590" i="82"/>
  <c r="E589" i="82"/>
  <c r="E588" i="82"/>
  <c r="E587" i="82"/>
  <c r="E582" i="82"/>
  <c r="E577" i="82"/>
  <c r="E571" i="82"/>
  <c r="E572" i="82"/>
  <c r="E570" i="82"/>
  <c r="E568" i="82"/>
  <c r="E567" i="82"/>
  <c r="I532" i="82"/>
  <c r="I530" i="82"/>
  <c r="I528" i="82"/>
  <c r="H532" i="82"/>
  <c r="H530" i="82"/>
  <c r="H528" i="82"/>
  <c r="H526" i="82"/>
  <c r="H521" i="82"/>
  <c r="H522" i="82"/>
  <c r="G530" i="82"/>
  <c r="G528" i="82"/>
  <c r="F530" i="82"/>
  <c r="F528" i="82"/>
  <c r="F526" i="82"/>
  <c r="F521" i="82"/>
  <c r="F522" i="82"/>
  <c r="E488" i="82"/>
  <c r="E487" i="82"/>
  <c r="F484" i="82"/>
  <c r="F483" i="82"/>
  <c r="C458" i="82"/>
  <c r="G453" i="82"/>
  <c r="G452" i="82"/>
  <c r="J438" i="82"/>
  <c r="J439" i="82"/>
  <c r="I436" i="82"/>
  <c r="H436" i="82"/>
  <c r="G437" i="82"/>
  <c r="G438" i="82"/>
  <c r="G439" i="82"/>
  <c r="G436" i="82"/>
  <c r="G427" i="82"/>
  <c r="G428" i="82"/>
  <c r="G426" i="82"/>
  <c r="F409" i="82"/>
  <c r="E397" i="82"/>
  <c r="E393" i="82"/>
  <c r="E392" i="82"/>
  <c r="E391" i="82"/>
  <c r="E390" i="82"/>
  <c r="E389" i="82"/>
  <c r="E388" i="82"/>
  <c r="E386" i="82"/>
  <c r="E384" i="82"/>
  <c r="E383" i="82"/>
  <c r="E382" i="82"/>
  <c r="F364" i="82"/>
  <c r="F358" i="82"/>
  <c r="F357" i="82"/>
  <c r="F342" i="82"/>
  <c r="F277" i="82"/>
  <c r="F261" i="82"/>
  <c r="E236" i="82"/>
  <c r="G215" i="82"/>
  <c r="G214" i="82"/>
  <c r="G211" i="82"/>
  <c r="G210" i="82"/>
  <c r="G209" i="82"/>
  <c r="G208" i="82"/>
  <c r="G205" i="82"/>
  <c r="G204" i="82"/>
  <c r="G203" i="82"/>
  <c r="G196" i="82"/>
  <c r="G191" i="82"/>
  <c r="E172" i="82"/>
  <c r="E171" i="82"/>
  <c r="E166" i="82"/>
  <c r="E165" i="82"/>
  <c r="E164" i="82"/>
  <c r="E160" i="82"/>
  <c r="E156" i="82"/>
  <c r="E154" i="82"/>
  <c r="E152" i="82"/>
  <c r="E151" i="82"/>
  <c r="E150" i="82"/>
  <c r="E149" i="82"/>
  <c r="E148" i="82"/>
  <c r="E147" i="82"/>
  <c r="E146" i="82"/>
  <c r="E143" i="82"/>
  <c r="E142" i="82"/>
  <c r="E141" i="82"/>
  <c r="E140" i="82"/>
  <c r="E139" i="82"/>
  <c r="C171" i="82"/>
  <c r="C156" i="82"/>
  <c r="H118" i="82"/>
  <c r="F129" i="82"/>
  <c r="F128" i="82"/>
  <c r="F121" i="82"/>
  <c r="F120" i="82"/>
  <c r="D128" i="82"/>
  <c r="D124" i="82"/>
  <c r="D120" i="82"/>
  <c r="H94" i="82"/>
  <c r="H88" i="82"/>
  <c r="H87" i="82"/>
  <c r="H80" i="82"/>
  <c r="H79" i="82"/>
  <c r="H69" i="82"/>
  <c r="H70" i="82"/>
  <c r="H73" i="82"/>
  <c r="H74" i="82"/>
  <c r="H75" i="82"/>
  <c r="H68" i="82"/>
  <c r="H67" i="82"/>
  <c r="H59" i="82"/>
  <c r="H60" i="82"/>
  <c r="H61" i="82"/>
  <c r="H58" i="82"/>
  <c r="H56" i="82"/>
  <c r="H57" i="82"/>
  <c r="H55" i="82"/>
  <c r="G42" i="82"/>
  <c r="G41" i="82"/>
  <c r="G40" i="82"/>
  <c r="G36" i="82"/>
  <c r="G35" i="82"/>
  <c r="G30" i="82"/>
  <c r="G31" i="82"/>
  <c r="G29" i="82"/>
  <c r="G27" i="82"/>
  <c r="G28" i="82"/>
  <c r="G26" i="82"/>
  <c r="G17" i="82"/>
  <c r="G18" i="82"/>
  <c r="G16" i="82"/>
  <c r="G15" i="82"/>
  <c r="G14" i="82"/>
  <c r="G8" i="82"/>
  <c r="G9" i="82"/>
  <c r="G10" i="82"/>
  <c r="G7" i="82"/>
  <c r="E424" i="60" l="1"/>
  <c r="F532" i="82"/>
  <c r="F577" i="82" l="1"/>
  <c r="T33" i="48"/>
  <c r="T27" i="48"/>
  <c r="T26" i="48"/>
  <c r="T24" i="48"/>
  <c r="T20" i="48"/>
  <c r="T19" i="48"/>
  <c r="T18" i="48"/>
  <c r="T17" i="48"/>
  <c r="T15" i="48"/>
  <c r="T14" i="48"/>
  <c r="T45" i="48"/>
  <c r="I77" i="48"/>
  <c r="I78" i="48"/>
  <c r="I79" i="48"/>
  <c r="I76" i="48"/>
  <c r="I59" i="48"/>
  <c r="I60" i="48"/>
  <c r="I61" i="48"/>
  <c r="I62" i="48"/>
  <c r="I63" i="48"/>
  <c r="I64" i="48"/>
  <c r="I65" i="48"/>
  <c r="I66" i="48"/>
  <c r="I67" i="48"/>
  <c r="I68" i="48"/>
  <c r="I69" i="48"/>
  <c r="I70" i="48"/>
  <c r="I71" i="48"/>
  <c r="I72" i="48"/>
  <c r="I58" i="48"/>
  <c r="I8" i="48"/>
  <c r="I7" i="48"/>
  <c r="I28" i="48"/>
  <c r="I73" i="48" s="1"/>
  <c r="T34" i="48"/>
  <c r="I80" i="48" l="1"/>
  <c r="T28" i="48"/>
  <c r="I9" i="48"/>
  <c r="F36" i="79"/>
  <c r="F82" i="79"/>
  <c r="I81" i="79"/>
  <c r="I78" i="79"/>
  <c r="H78" i="79"/>
  <c r="G78" i="79"/>
  <c r="H72" i="79"/>
  <c r="H73" i="79"/>
  <c r="G73" i="79"/>
  <c r="C73" i="79"/>
  <c r="B73" i="79"/>
  <c r="H82" i="79"/>
  <c r="G82" i="79"/>
  <c r="H81" i="79"/>
  <c r="G81" i="79"/>
  <c r="H80" i="79"/>
  <c r="G80" i="79"/>
  <c r="H79" i="79"/>
  <c r="G79" i="79"/>
  <c r="H75" i="79"/>
  <c r="G75" i="79"/>
  <c r="H74" i="79"/>
  <c r="G74" i="79"/>
  <c r="I73" i="79"/>
  <c r="G72" i="79"/>
  <c r="H71" i="79"/>
  <c r="G71" i="79"/>
  <c r="I70" i="79"/>
  <c r="H70" i="79"/>
  <c r="G70" i="79"/>
  <c r="H69" i="79"/>
  <c r="G69" i="79"/>
  <c r="H68" i="79"/>
  <c r="G68" i="79"/>
  <c r="H67" i="79"/>
  <c r="G67" i="79"/>
  <c r="I66" i="79"/>
  <c r="H66" i="79"/>
  <c r="G66" i="79"/>
  <c r="H65" i="79"/>
  <c r="G65" i="79"/>
  <c r="H64" i="79"/>
  <c r="G64" i="79"/>
  <c r="H63" i="79"/>
  <c r="G63" i="79"/>
  <c r="I62" i="79"/>
  <c r="H62" i="79"/>
  <c r="G62" i="79"/>
  <c r="H61" i="79"/>
  <c r="G61" i="79"/>
  <c r="G60" i="79"/>
  <c r="R82" i="79" l="1"/>
  <c r="G83" i="79"/>
  <c r="G76" i="79"/>
  <c r="H29" i="79"/>
  <c r="I74" i="79"/>
  <c r="I80" i="79"/>
  <c r="I69" i="79"/>
  <c r="I65" i="79"/>
  <c r="I61" i="79"/>
  <c r="I79" i="79"/>
  <c r="H60" i="79"/>
  <c r="H76" i="79" s="1"/>
  <c r="I60" i="79"/>
  <c r="I72" i="79"/>
  <c r="I68" i="79"/>
  <c r="I64" i="79"/>
  <c r="I82" i="79"/>
  <c r="I75" i="79"/>
  <c r="I71" i="79"/>
  <c r="I67" i="79"/>
  <c r="I63" i="79"/>
  <c r="H83" i="79"/>
  <c r="G36" i="79"/>
  <c r="H36" i="79"/>
  <c r="I29" i="79"/>
  <c r="G29" i="79"/>
  <c r="I83" i="79" l="1"/>
  <c r="I76" i="79"/>
  <c r="H438" i="82" l="1"/>
  <c r="K437" i="82"/>
  <c r="K438" i="82"/>
  <c r="H440" i="82" l="1"/>
  <c r="H439" i="82"/>
  <c r="G265" i="60"/>
  <c r="K439" i="82" s="1"/>
  <c r="H264" i="60"/>
  <c r="J436" i="82" l="1"/>
  <c r="G263" i="60"/>
  <c r="K436" i="82" s="1"/>
  <c r="J427" i="82"/>
  <c r="I426" i="82"/>
  <c r="H427" i="82"/>
  <c r="H426" i="82"/>
  <c r="G58" i="75"/>
  <c r="H58" i="75" s="1"/>
  <c r="I58" i="75" s="1"/>
  <c r="H60" i="75"/>
  <c r="I60" i="75" s="1"/>
  <c r="H59" i="75"/>
  <c r="I59" i="75" s="1"/>
  <c r="G55" i="75"/>
  <c r="G54" i="75"/>
  <c r="G53" i="75"/>
  <c r="G48" i="75"/>
  <c r="G44" i="75"/>
  <c r="G43" i="75"/>
  <c r="G42" i="75"/>
  <c r="I61" i="75" l="1"/>
  <c r="G266" i="60"/>
  <c r="F477" i="82"/>
  <c r="H72" i="82"/>
  <c r="G21" i="76"/>
  <c r="H71" i="82"/>
  <c r="H15" i="76"/>
  <c r="K440" i="82" l="1"/>
  <c r="D176" i="60"/>
  <c r="G342" i="82"/>
  <c r="G22" i="61"/>
  <c r="H329" i="82" l="1"/>
  <c r="E151" i="60"/>
  <c r="E36" i="64"/>
  <c r="E38" i="64"/>
  <c r="F38" i="64" s="1"/>
  <c r="G38" i="64" s="1"/>
  <c r="E39" i="64"/>
  <c r="F39" i="64" s="1"/>
  <c r="G39" i="64" s="1"/>
  <c r="E152" i="60" l="1"/>
  <c r="E244" i="82"/>
  <c r="E40" i="64"/>
  <c r="E41" i="64" s="1"/>
  <c r="E245" i="82" l="1"/>
  <c r="E243" i="82"/>
  <c r="M91" i="40" l="1"/>
  <c r="J66" i="40" l="1"/>
  <c r="F124" i="82" l="1"/>
  <c r="N34" i="20"/>
  <c r="J121" i="82" s="1"/>
  <c r="N35" i="20"/>
  <c r="N33" i="20"/>
  <c r="I37" i="37"/>
  <c r="I45" i="37"/>
  <c r="I17" i="37"/>
  <c r="I18" i="37"/>
  <c r="G26" i="61"/>
  <c r="G27" i="61" s="1"/>
  <c r="H15" i="61"/>
  <c r="H16" i="61" s="1"/>
  <c r="H17" i="61" s="1"/>
  <c r="C230" i="82"/>
  <c r="B12" i="60"/>
  <c r="B14" i="60" s="1"/>
  <c r="B15" i="60" s="1"/>
  <c r="G38" i="37"/>
  <c r="J39" i="1"/>
  <c r="M48" i="37"/>
  <c r="M22" i="37"/>
  <c r="I15" i="37"/>
  <c r="M43" i="37" l="1"/>
  <c r="M50" i="37" s="1"/>
  <c r="M54" i="37" s="1"/>
  <c r="M57" i="37" s="1"/>
  <c r="N38" i="37"/>
  <c r="I16" i="37"/>
  <c r="I19" i="37"/>
  <c r="I28" i="37"/>
  <c r="I34" i="37" s="1"/>
  <c r="E82" i="82"/>
  <c r="E72" i="82"/>
  <c r="C166" i="60"/>
  <c r="F350" i="82" s="1"/>
  <c r="G37" i="37"/>
  <c r="G41" i="37" s="1"/>
  <c r="D477" i="82"/>
  <c r="E73" i="82"/>
  <c r="I52" i="37"/>
  <c r="E81" i="82"/>
  <c r="I48" i="37"/>
  <c r="D476" i="82"/>
  <c r="D467" i="82"/>
  <c r="D471" i="82"/>
  <c r="C235" i="82"/>
  <c r="H498" i="82"/>
  <c r="D488" i="82"/>
  <c r="D487" i="82"/>
  <c r="E80" i="82"/>
  <c r="I41" i="37" l="1"/>
  <c r="I20" i="37"/>
  <c r="I22" i="37" s="1"/>
  <c r="N40" i="37"/>
  <c r="E79" i="82"/>
  <c r="E483" i="82"/>
  <c r="E484" i="82"/>
  <c r="E75" i="82"/>
  <c r="N30" i="37"/>
  <c r="N32" i="37"/>
  <c r="M9" i="38"/>
  <c r="M13" i="38" s="1"/>
  <c r="M21" i="38" s="1"/>
  <c r="E67" i="82"/>
  <c r="N25" i="37"/>
  <c r="E74" i="82"/>
  <c r="N31" i="37"/>
  <c r="I43" i="37" l="1"/>
  <c r="K1619" i="65" l="1"/>
  <c r="M256" i="92" s="1"/>
  <c r="K1562" i="65"/>
  <c r="M243" i="92" s="1"/>
  <c r="K1657" i="65" l="1"/>
  <c r="K1656" i="65"/>
  <c r="K1552" i="65"/>
  <c r="K1551" i="65"/>
  <c r="K1550" i="65"/>
  <c r="K1549" i="65"/>
  <c r="K1548" i="65"/>
  <c r="K1547" i="65"/>
  <c r="K1546" i="65"/>
  <c r="K1545" i="65"/>
  <c r="K1544" i="65"/>
  <c r="K1543" i="65"/>
  <c r="K1542" i="65"/>
  <c r="K1541" i="65"/>
  <c r="K1540" i="65"/>
  <c r="K1539" i="65"/>
  <c r="K1538" i="65"/>
  <c r="K1537" i="65"/>
  <c r="K1536" i="65"/>
  <c r="K1535" i="65"/>
  <c r="K1534" i="65"/>
  <c r="K1533" i="65"/>
  <c r="K1532" i="65"/>
  <c r="K1531" i="65"/>
  <c r="K1530" i="65"/>
  <c r="K1529" i="65"/>
  <c r="K1528" i="65"/>
  <c r="K1527" i="65"/>
  <c r="K1526" i="65"/>
  <c r="K1525" i="65"/>
  <c r="K1524" i="65"/>
  <c r="K1523" i="65"/>
  <c r="K1522" i="65"/>
  <c r="K1521" i="65"/>
  <c r="K1520" i="65"/>
  <c r="K1519" i="65"/>
  <c r="K1518" i="65"/>
  <c r="K1517" i="65"/>
  <c r="K1516" i="65"/>
  <c r="K1515" i="65"/>
  <c r="K1514" i="65"/>
  <c r="K1513" i="65"/>
  <c r="K1512" i="65"/>
  <c r="K1511" i="65"/>
  <c r="K1510" i="65"/>
  <c r="K1509" i="65"/>
  <c r="K1508" i="65"/>
  <c r="K1507" i="65"/>
  <c r="K1506" i="65"/>
  <c r="K1505" i="65"/>
  <c r="K1504" i="65"/>
  <c r="K1503" i="65"/>
  <c r="K1502" i="65"/>
  <c r="K1501" i="65"/>
  <c r="K1500" i="65"/>
  <c r="K1499" i="65"/>
  <c r="K1498" i="65"/>
  <c r="K1497" i="65"/>
  <c r="K1496" i="65"/>
  <c r="K1495" i="65"/>
  <c r="K1494" i="65"/>
  <c r="K1493" i="65"/>
  <c r="K1492" i="65"/>
  <c r="K1491" i="65"/>
  <c r="K1490" i="65"/>
  <c r="K1489" i="65"/>
  <c r="K1488" i="65"/>
  <c r="K1487" i="65"/>
  <c r="K1486" i="65"/>
  <c r="K1485" i="65"/>
  <c r="M233" i="92" s="1"/>
  <c r="K1484" i="65"/>
  <c r="M232" i="92" s="1"/>
  <c r="K1483" i="65"/>
  <c r="M231" i="92" s="1"/>
  <c r="K1482" i="65"/>
  <c r="K1481" i="65"/>
  <c r="K1480" i="65"/>
  <c r="K1479" i="65"/>
  <c r="K1478" i="65"/>
  <c r="M230" i="92" s="1"/>
  <c r="K1477" i="65"/>
  <c r="K1476" i="65"/>
  <c r="M229" i="92" s="1"/>
  <c r="K1474" i="65"/>
  <c r="K1473" i="65"/>
  <c r="K1472" i="65"/>
  <c r="M227" i="92" s="1"/>
  <c r="K1471" i="65"/>
  <c r="K1470" i="65"/>
  <c r="K1469" i="65"/>
  <c r="K1468" i="65"/>
  <c r="M226" i="92" s="1"/>
  <c r="K1467" i="65"/>
  <c r="M225" i="92" s="1"/>
  <c r="K1466" i="65"/>
  <c r="F8" i="48" l="1"/>
  <c r="A399" i="60"/>
  <c r="A395" i="60"/>
  <c r="A394" i="60"/>
  <c r="G532" i="82"/>
  <c r="C357" i="60" l="1"/>
  <c r="G522" i="82" s="1"/>
  <c r="C356" i="60"/>
  <c r="G521" i="82" s="1"/>
  <c r="P29" i="78" l="1"/>
  <c r="P27" i="78"/>
  <c r="F78" i="79"/>
  <c r="F81" i="79"/>
  <c r="F75" i="79"/>
  <c r="R75" i="79" s="1"/>
  <c r="E36" i="79"/>
  <c r="F29" i="79"/>
  <c r="R81" i="79" l="1"/>
  <c r="R78" i="79"/>
  <c r="P25" i="78"/>
  <c r="P123" i="79" l="1"/>
  <c r="P121" i="79"/>
  <c r="N119" i="79"/>
  <c r="Q119" i="79" s="1"/>
  <c r="M119" i="79"/>
  <c r="L119" i="79"/>
  <c r="K119" i="79"/>
  <c r="J119" i="79"/>
  <c r="I119" i="79"/>
  <c r="H119" i="79"/>
  <c r="G119" i="79"/>
  <c r="F119" i="79"/>
  <c r="E119" i="79"/>
  <c r="D118" i="79"/>
  <c r="P118" i="79" s="1"/>
  <c r="P117" i="79"/>
  <c r="O117" i="79"/>
  <c r="P116" i="79"/>
  <c r="O116" i="79"/>
  <c r="P114" i="79"/>
  <c r="P113" i="79"/>
  <c r="P110" i="79"/>
  <c r="L110" i="79"/>
  <c r="K110" i="79"/>
  <c r="J110" i="79"/>
  <c r="P108" i="79"/>
  <c r="P106" i="79"/>
  <c r="C105" i="79"/>
  <c r="P104" i="79"/>
  <c r="P102" i="79"/>
  <c r="P100" i="79"/>
  <c r="O99" i="79"/>
  <c r="N99" i="79"/>
  <c r="Q99" i="79" s="1"/>
  <c r="K99" i="79"/>
  <c r="J99" i="79"/>
  <c r="I99" i="79"/>
  <c r="H99" i="79"/>
  <c r="G99" i="79"/>
  <c r="F99" i="79"/>
  <c r="E99" i="79"/>
  <c r="P99" i="79" s="1"/>
  <c r="D99" i="79"/>
  <c r="P98" i="79"/>
  <c r="C98" i="79"/>
  <c r="P97" i="79"/>
  <c r="C97" i="79"/>
  <c r="P96" i="79"/>
  <c r="C96" i="79"/>
  <c r="P95" i="79"/>
  <c r="C95" i="79"/>
  <c r="P94" i="79"/>
  <c r="C94" i="79"/>
  <c r="P93" i="79"/>
  <c r="P92" i="79"/>
  <c r="O90" i="79"/>
  <c r="N90" i="79"/>
  <c r="Q90" i="79" s="1"/>
  <c r="M90" i="79"/>
  <c r="L90" i="79"/>
  <c r="K90" i="79"/>
  <c r="J90" i="79"/>
  <c r="I90" i="79"/>
  <c r="H90" i="79"/>
  <c r="G90" i="79"/>
  <c r="F90" i="79"/>
  <c r="E90" i="79"/>
  <c r="D90" i="79"/>
  <c r="P90" i="79" s="1"/>
  <c r="P84" i="79"/>
  <c r="E81" i="79"/>
  <c r="E83" i="79" s="1"/>
  <c r="P83" i="79" s="1"/>
  <c r="D81" i="79"/>
  <c r="O80" i="79"/>
  <c r="L80" i="79"/>
  <c r="F80" i="79"/>
  <c r="O79" i="79"/>
  <c r="L79" i="79"/>
  <c r="F79" i="79"/>
  <c r="L78" i="79"/>
  <c r="E75" i="79"/>
  <c r="D75" i="79"/>
  <c r="O74" i="79"/>
  <c r="L74" i="79"/>
  <c r="K74" i="79"/>
  <c r="J74" i="79"/>
  <c r="F74" i="79"/>
  <c r="E74" i="79"/>
  <c r="D74" i="79"/>
  <c r="O72" i="79"/>
  <c r="L72" i="79"/>
  <c r="K72" i="79"/>
  <c r="J72" i="79"/>
  <c r="F72" i="79"/>
  <c r="E72" i="79"/>
  <c r="D72" i="79"/>
  <c r="O71" i="79"/>
  <c r="L71" i="79"/>
  <c r="K71" i="79"/>
  <c r="J71" i="79"/>
  <c r="F71" i="79"/>
  <c r="E71" i="79"/>
  <c r="D71" i="79"/>
  <c r="O70" i="79"/>
  <c r="L70" i="79"/>
  <c r="F70" i="79"/>
  <c r="D70" i="79"/>
  <c r="O69" i="79"/>
  <c r="L69" i="79"/>
  <c r="K69" i="79"/>
  <c r="J69" i="79"/>
  <c r="F69" i="79"/>
  <c r="E69" i="79"/>
  <c r="D69" i="79"/>
  <c r="O68" i="79"/>
  <c r="L68" i="79"/>
  <c r="K68" i="79"/>
  <c r="J68" i="79"/>
  <c r="F68" i="79"/>
  <c r="E68" i="79"/>
  <c r="D68" i="79"/>
  <c r="O67" i="79"/>
  <c r="L67" i="79"/>
  <c r="K67" i="79"/>
  <c r="J67" i="79"/>
  <c r="F67" i="79"/>
  <c r="E67" i="79"/>
  <c r="D67" i="79"/>
  <c r="O66" i="79"/>
  <c r="L66" i="79"/>
  <c r="K66" i="79"/>
  <c r="J66" i="79"/>
  <c r="F66" i="79"/>
  <c r="E66" i="79"/>
  <c r="D66" i="79"/>
  <c r="O65" i="79"/>
  <c r="L65" i="79"/>
  <c r="K65" i="79"/>
  <c r="J65" i="79"/>
  <c r="F65" i="79"/>
  <c r="E65" i="79"/>
  <c r="D65" i="79"/>
  <c r="O64" i="79"/>
  <c r="L64" i="79"/>
  <c r="K64" i="79"/>
  <c r="J64" i="79"/>
  <c r="F64" i="79"/>
  <c r="E64" i="79"/>
  <c r="D64" i="79"/>
  <c r="O63" i="79"/>
  <c r="L63" i="79"/>
  <c r="K63" i="79"/>
  <c r="J63" i="79"/>
  <c r="F63" i="79"/>
  <c r="E63" i="79"/>
  <c r="D63" i="79"/>
  <c r="O62" i="79"/>
  <c r="L62" i="79"/>
  <c r="K62" i="79"/>
  <c r="J62" i="79"/>
  <c r="F62" i="79"/>
  <c r="E62" i="79"/>
  <c r="D62" i="79"/>
  <c r="O61" i="79"/>
  <c r="L61" i="79"/>
  <c r="K61" i="79"/>
  <c r="J61" i="79"/>
  <c r="F61" i="79"/>
  <c r="E61" i="79"/>
  <c r="D61" i="79"/>
  <c r="O60" i="79"/>
  <c r="N60" i="79"/>
  <c r="L60" i="79"/>
  <c r="K60" i="79"/>
  <c r="J60" i="79"/>
  <c r="F60" i="79"/>
  <c r="E60" i="79"/>
  <c r="D60" i="79"/>
  <c r="O57" i="79"/>
  <c r="N57" i="79"/>
  <c r="M57" i="79"/>
  <c r="L57" i="79"/>
  <c r="K57" i="79"/>
  <c r="J57" i="79"/>
  <c r="I57" i="79"/>
  <c r="H57" i="79"/>
  <c r="G57" i="79"/>
  <c r="F57" i="79"/>
  <c r="E57" i="79"/>
  <c r="D57" i="79"/>
  <c r="O55" i="79"/>
  <c r="N55" i="79"/>
  <c r="M55" i="79"/>
  <c r="L55" i="79"/>
  <c r="K55" i="79"/>
  <c r="J55" i="79"/>
  <c r="I55" i="79"/>
  <c r="H55" i="79"/>
  <c r="G55" i="79"/>
  <c r="F55" i="79"/>
  <c r="E55" i="79"/>
  <c r="D55" i="79"/>
  <c r="O54" i="79"/>
  <c r="N54" i="79"/>
  <c r="M54" i="79"/>
  <c r="L54" i="79"/>
  <c r="K54" i="79"/>
  <c r="J54" i="79"/>
  <c r="I54" i="79"/>
  <c r="H54" i="79"/>
  <c r="G54" i="79"/>
  <c r="F54" i="79"/>
  <c r="E54" i="79"/>
  <c r="D54" i="79"/>
  <c r="O46" i="79"/>
  <c r="C46" i="79"/>
  <c r="D43" i="79"/>
  <c r="C40" i="79"/>
  <c r="N36" i="79"/>
  <c r="J33" i="79"/>
  <c r="D33" i="79"/>
  <c r="D80" i="79" s="1"/>
  <c r="J79" i="79"/>
  <c r="J83" i="79" s="1"/>
  <c r="D32" i="79"/>
  <c r="D79" i="79" s="1"/>
  <c r="J31" i="79"/>
  <c r="D31" i="79"/>
  <c r="O29" i="79"/>
  <c r="N29" i="79"/>
  <c r="M29" i="79"/>
  <c r="E29" i="79"/>
  <c r="D29" i="79"/>
  <c r="F135" i="79"/>
  <c r="O9" i="79"/>
  <c r="O11" i="79" s="1"/>
  <c r="N9" i="79"/>
  <c r="N11" i="79" s="1"/>
  <c r="M9" i="79"/>
  <c r="M11" i="79" s="1"/>
  <c r="L9" i="79"/>
  <c r="L11" i="79" s="1"/>
  <c r="K9" i="79"/>
  <c r="K11" i="79" s="1"/>
  <c r="J9" i="79"/>
  <c r="J11" i="79" s="1"/>
  <c r="I9" i="79"/>
  <c r="I11" i="79" s="1"/>
  <c r="H9" i="79"/>
  <c r="H11" i="79" s="1"/>
  <c r="G9" i="79"/>
  <c r="G11" i="79" s="1"/>
  <c r="F9" i="79"/>
  <c r="F11" i="79" s="1"/>
  <c r="E9" i="79"/>
  <c r="E11" i="79" s="1"/>
  <c r="D9" i="79"/>
  <c r="D11" i="79" s="1"/>
  <c r="V35" i="78"/>
  <c r="T35" i="78"/>
  <c r="V34" i="78"/>
  <c r="T34" i="78"/>
  <c r="T29" i="78"/>
  <c r="R29" i="78"/>
  <c r="V29" i="78" s="1"/>
  <c r="F28" i="78"/>
  <c r="R27" i="78"/>
  <c r="V27" i="78" s="1"/>
  <c r="F394" i="60" s="1"/>
  <c r="E557" i="82" s="1"/>
  <c r="T27" i="78"/>
  <c r="C557" i="82" s="1"/>
  <c r="F27" i="78"/>
  <c r="I26" i="78"/>
  <c r="G26" i="78"/>
  <c r="R25" i="78"/>
  <c r="V25" i="78" s="1"/>
  <c r="F392" i="60" s="1"/>
  <c r="T25" i="78"/>
  <c r="C392" i="60" s="1"/>
  <c r="C552" i="82" s="1"/>
  <c r="H25" i="78"/>
  <c r="P24" i="78"/>
  <c r="T24" i="78" s="1"/>
  <c r="C391" i="60" s="1"/>
  <c r="C551" i="82" s="1"/>
  <c r="H24" i="78"/>
  <c r="P23" i="78"/>
  <c r="T23" i="78" s="1"/>
  <c r="C390" i="60" s="1"/>
  <c r="C550" i="82" s="1"/>
  <c r="H23" i="78"/>
  <c r="R22" i="78"/>
  <c r="V22" i="78" s="1"/>
  <c r="P22" i="78"/>
  <c r="T22" i="78" s="1"/>
  <c r="P21" i="78"/>
  <c r="T21" i="78" s="1"/>
  <c r="C388" i="60" s="1"/>
  <c r="C548" i="82" s="1"/>
  <c r="P20" i="78"/>
  <c r="T20" i="78" s="1"/>
  <c r="C387" i="60" s="1"/>
  <c r="C547" i="82" s="1"/>
  <c r="P19" i="78"/>
  <c r="T19" i="78" s="1"/>
  <c r="C385" i="60" s="1"/>
  <c r="C546" i="82" s="1"/>
  <c r="H19" i="78"/>
  <c r="F19" i="78"/>
  <c r="P18" i="78"/>
  <c r="T18" i="78" s="1"/>
  <c r="H18" i="78"/>
  <c r="F18" i="78"/>
  <c r="R17" i="78"/>
  <c r="V17" i="78" s="1"/>
  <c r="F384" i="60" s="1"/>
  <c r="P17" i="78"/>
  <c r="T17" i="78" s="1"/>
  <c r="C384" i="60" s="1"/>
  <c r="R16" i="78"/>
  <c r="V16" i="78" s="1"/>
  <c r="P16" i="78"/>
  <c r="T16" i="78" s="1"/>
  <c r="R15" i="78"/>
  <c r="V15" i="78" s="1"/>
  <c r="F383" i="60" s="1"/>
  <c r="E544" i="82" s="1"/>
  <c r="H15" i="78"/>
  <c r="F15" i="78"/>
  <c r="Q14" i="78"/>
  <c r="T14" i="78"/>
  <c r="C382" i="60" s="1"/>
  <c r="H14" i="78"/>
  <c r="F14" i="78"/>
  <c r="V9" i="78"/>
  <c r="T9" i="78"/>
  <c r="H8" i="78"/>
  <c r="H10" i="78" s="1"/>
  <c r="F8" i="78"/>
  <c r="F10" i="78" s="1"/>
  <c r="Q11" i="79" l="1"/>
  <c r="P11" i="79"/>
  <c r="Q29" i="79"/>
  <c r="R29" i="79" s="1"/>
  <c r="P29" i="79"/>
  <c r="Q36" i="79"/>
  <c r="R36" i="79" s="1"/>
  <c r="P36" i="79"/>
  <c r="Q54" i="79"/>
  <c r="P54" i="79"/>
  <c r="Q55" i="79"/>
  <c r="P55" i="79"/>
  <c r="Q57" i="79"/>
  <c r="P57" i="79"/>
  <c r="Q60" i="79"/>
  <c r="P60" i="79"/>
  <c r="N76" i="79"/>
  <c r="C545" i="82"/>
  <c r="R80" i="79"/>
  <c r="H56" i="79"/>
  <c r="H58" i="79" s="1"/>
  <c r="H85" i="79" s="1"/>
  <c r="D56" i="79"/>
  <c r="D58" i="79" s="1"/>
  <c r="O76" i="79"/>
  <c r="R11" i="79"/>
  <c r="L76" i="79"/>
  <c r="R63" i="79"/>
  <c r="R67" i="79"/>
  <c r="R90" i="79"/>
  <c r="R99" i="79"/>
  <c r="R119" i="79"/>
  <c r="R54" i="79"/>
  <c r="R55" i="79"/>
  <c r="R57" i="79"/>
  <c r="R60" i="79"/>
  <c r="R64" i="79"/>
  <c r="R68" i="79"/>
  <c r="R71" i="79"/>
  <c r="R74" i="79"/>
  <c r="L83" i="79"/>
  <c r="R62" i="79"/>
  <c r="R66" i="79"/>
  <c r="J76" i="79"/>
  <c r="R61" i="79"/>
  <c r="R65" i="79"/>
  <c r="R69" i="79"/>
  <c r="R70" i="79"/>
  <c r="R72" i="79"/>
  <c r="O83" i="79"/>
  <c r="J36" i="79"/>
  <c r="L56" i="79"/>
  <c r="L58" i="79" s="1"/>
  <c r="R79" i="79"/>
  <c r="K83" i="79"/>
  <c r="K76" i="79"/>
  <c r="N37" i="79"/>
  <c r="J56" i="79"/>
  <c r="J58" i="79" s="1"/>
  <c r="D119" i="79"/>
  <c r="P119" i="79" s="1"/>
  <c r="F76" i="79"/>
  <c r="I56" i="79"/>
  <c r="I58" i="79" s="1"/>
  <c r="M56" i="79"/>
  <c r="M58" i="79" s="1"/>
  <c r="P28" i="78"/>
  <c r="T28" i="78" s="1"/>
  <c r="C395" i="60" s="1"/>
  <c r="F83" i="79"/>
  <c r="F30" i="78"/>
  <c r="F36" i="78" s="1"/>
  <c r="G37" i="79"/>
  <c r="G38" i="79" s="1"/>
  <c r="G39" i="79" s="1"/>
  <c r="G40" i="79" s="1"/>
  <c r="H37" i="79"/>
  <c r="H38" i="79" s="1"/>
  <c r="D36" i="79"/>
  <c r="C99" i="79"/>
  <c r="C101" i="79" s="1"/>
  <c r="C107" i="79" s="1"/>
  <c r="D103" i="79" s="1"/>
  <c r="P103" i="79" s="1"/>
  <c r="D46" i="79"/>
  <c r="D76" i="79"/>
  <c r="L37" i="79"/>
  <c r="O37" i="79"/>
  <c r="M37" i="79"/>
  <c r="M38" i="79" s="1"/>
  <c r="M39" i="79" s="1"/>
  <c r="M40" i="79" s="1"/>
  <c r="O118" i="79"/>
  <c r="O119" i="79" s="1"/>
  <c r="I37" i="79"/>
  <c r="K37" i="79"/>
  <c r="F56" i="79"/>
  <c r="N56" i="79"/>
  <c r="E37" i="79"/>
  <c r="D78" i="79"/>
  <c r="E56" i="79"/>
  <c r="E76" i="79"/>
  <c r="J37" i="79"/>
  <c r="G56" i="79"/>
  <c r="G58" i="79" s="1"/>
  <c r="K56" i="79"/>
  <c r="O56" i="79"/>
  <c r="O58" i="79" s="1"/>
  <c r="H26" i="78"/>
  <c r="H30" i="78" s="1"/>
  <c r="H36" i="78" s="1"/>
  <c r="F26" i="78"/>
  <c r="P8" i="78"/>
  <c r="T8" i="78" s="1"/>
  <c r="C375" i="60" s="1"/>
  <c r="N58" i="79" l="1"/>
  <c r="Q56" i="79"/>
  <c r="P56" i="79"/>
  <c r="N38" i="79"/>
  <c r="Q37" i="79"/>
  <c r="P37" i="79"/>
  <c r="Q76" i="79"/>
  <c r="P76" i="79"/>
  <c r="L85" i="79"/>
  <c r="R56" i="79"/>
  <c r="R76" i="79"/>
  <c r="D105" i="79"/>
  <c r="R83" i="79"/>
  <c r="O39" i="79"/>
  <c r="L38" i="79"/>
  <c r="C558" i="82"/>
  <c r="C543" i="82"/>
  <c r="P26" i="78"/>
  <c r="T26" i="78" s="1"/>
  <c r="K58" i="79"/>
  <c r="M85" i="79"/>
  <c r="M86" i="79" s="1"/>
  <c r="M87" i="79" s="1"/>
  <c r="I38" i="79"/>
  <c r="J85" i="79"/>
  <c r="J86" i="79" s="1"/>
  <c r="J111" i="79" s="1"/>
  <c r="J112" i="79" s="1"/>
  <c r="F58" i="79"/>
  <c r="I85" i="79"/>
  <c r="I86" i="79" s="1"/>
  <c r="I111" i="79" s="1"/>
  <c r="D37" i="79"/>
  <c r="D38" i="79" s="1"/>
  <c r="D39" i="79" s="1"/>
  <c r="D40" i="79" s="1"/>
  <c r="D48" i="79" s="1"/>
  <c r="E43" i="79" s="1"/>
  <c r="E46" i="79" s="1"/>
  <c r="T15" i="78"/>
  <c r="F37" i="79"/>
  <c r="H39" i="79"/>
  <c r="H40" i="79" s="1"/>
  <c r="N85" i="79"/>
  <c r="H86" i="79"/>
  <c r="H111" i="79" s="1"/>
  <c r="K38" i="79"/>
  <c r="G85" i="79"/>
  <c r="G86" i="79" s="1"/>
  <c r="G111" i="79" s="1"/>
  <c r="J38" i="79"/>
  <c r="L86" i="79"/>
  <c r="L111" i="79" s="1"/>
  <c r="M110" i="79"/>
  <c r="O85" i="79"/>
  <c r="D83" i="79"/>
  <c r="D85" i="79" s="1"/>
  <c r="E58" i="79"/>
  <c r="E38" i="79"/>
  <c r="P10" i="78"/>
  <c r="V33" i="78"/>
  <c r="N86" i="79" l="1"/>
  <c r="Q86" i="79" s="1"/>
  <c r="Q85" i="79"/>
  <c r="N87" i="79"/>
  <c r="N39" i="79"/>
  <c r="Q38" i="79"/>
  <c r="P38" i="79"/>
  <c r="Q58" i="79"/>
  <c r="P58" i="79"/>
  <c r="C383" i="60"/>
  <c r="C544" i="82" s="1"/>
  <c r="N110" i="79"/>
  <c r="K85" i="79"/>
  <c r="K86" i="79" s="1"/>
  <c r="R37" i="79"/>
  <c r="R58" i="79"/>
  <c r="O87" i="79"/>
  <c r="O89" i="79" s="1"/>
  <c r="O40" i="79"/>
  <c r="L39" i="79"/>
  <c r="L87" i="79"/>
  <c r="L89" i="79" s="1"/>
  <c r="K39" i="79"/>
  <c r="J39" i="79"/>
  <c r="J87" i="79"/>
  <c r="J89" i="79" s="1"/>
  <c r="P30" i="78"/>
  <c r="P32" i="78" s="1"/>
  <c r="T32" i="78" s="1"/>
  <c r="T10" i="78"/>
  <c r="I39" i="79"/>
  <c r="F85" i="79"/>
  <c r="R85" i="79" s="1"/>
  <c r="C393" i="60"/>
  <c r="F38" i="79"/>
  <c r="E39" i="79"/>
  <c r="H87" i="79"/>
  <c r="M88" i="79"/>
  <c r="M89" i="79"/>
  <c r="I87" i="79"/>
  <c r="M111" i="79"/>
  <c r="N111" i="79" s="1"/>
  <c r="L112" i="79"/>
  <c r="D86" i="79"/>
  <c r="D111" i="79" s="1"/>
  <c r="E85" i="79"/>
  <c r="G87" i="79"/>
  <c r="T33" i="78"/>
  <c r="O111" i="79" l="1"/>
  <c r="Q111" i="79"/>
  <c r="O110" i="79"/>
  <c r="Q110" i="79"/>
  <c r="N40" i="79"/>
  <c r="Q39" i="79"/>
  <c r="P39" i="79"/>
  <c r="Q87" i="79"/>
  <c r="N89" i="79"/>
  <c r="Q89" i="79" s="1"/>
  <c r="N88" i="79"/>
  <c r="J88" i="79"/>
  <c r="O88" i="79"/>
  <c r="O91" i="79" s="1"/>
  <c r="L88" i="79"/>
  <c r="L120" i="79" s="1"/>
  <c r="L122" i="79" s="1"/>
  <c r="R38" i="79"/>
  <c r="J36" i="78"/>
  <c r="O48" i="79"/>
  <c r="L40" i="79"/>
  <c r="M112" i="79"/>
  <c r="N112" i="79" s="1"/>
  <c r="T30" i="78"/>
  <c r="T36" i="78" s="1"/>
  <c r="C377" i="60"/>
  <c r="E377" i="60" s="1"/>
  <c r="K111" i="79"/>
  <c r="K40" i="79"/>
  <c r="J40" i="79"/>
  <c r="C555" i="82"/>
  <c r="I40" i="79"/>
  <c r="F86" i="79"/>
  <c r="R86" i="79" s="1"/>
  <c r="E40" i="79"/>
  <c r="E48" i="79" s="1"/>
  <c r="F39" i="79"/>
  <c r="H88" i="79"/>
  <c r="H89" i="79"/>
  <c r="D87" i="79"/>
  <c r="D88" i="79" s="1"/>
  <c r="I88" i="79"/>
  <c r="I89" i="79"/>
  <c r="J120" i="79"/>
  <c r="J122" i="79" s="1"/>
  <c r="J91" i="79"/>
  <c r="J101" i="79" s="1"/>
  <c r="G89" i="79"/>
  <c r="G88" i="79"/>
  <c r="M91" i="79"/>
  <c r="M101" i="79" s="1"/>
  <c r="M120" i="79"/>
  <c r="M122" i="79" s="1"/>
  <c r="E110" i="79"/>
  <c r="E86" i="79"/>
  <c r="E87" i="79" s="1"/>
  <c r="P85" i="79"/>
  <c r="K87" i="79"/>
  <c r="P111" i="79"/>
  <c r="D112" i="79"/>
  <c r="P112" i="79" s="1"/>
  <c r="L91" i="79"/>
  <c r="L101" i="79" s="1"/>
  <c r="O112" i="79" l="1"/>
  <c r="Q112" i="79"/>
  <c r="Q88" i="79"/>
  <c r="N120" i="79"/>
  <c r="N91" i="79"/>
  <c r="Q40" i="79"/>
  <c r="P40" i="79"/>
  <c r="O120" i="79"/>
  <c r="R39" i="79"/>
  <c r="C403" i="60"/>
  <c r="C562" i="82" s="1"/>
  <c r="O101" i="79"/>
  <c r="O122" i="79"/>
  <c r="C396" i="60"/>
  <c r="C397" i="60" s="1"/>
  <c r="K112" i="79"/>
  <c r="C539" i="82"/>
  <c r="F87" i="79"/>
  <c r="R87" i="79" s="1"/>
  <c r="F111" i="79"/>
  <c r="R111" i="79" s="1"/>
  <c r="D89" i="79"/>
  <c r="D91" i="79" s="1"/>
  <c r="D101" i="79" s="1"/>
  <c r="D107" i="79" s="1"/>
  <c r="E103" i="79" s="1"/>
  <c r="E105" i="79" s="1"/>
  <c r="F40" i="79"/>
  <c r="F43" i="79"/>
  <c r="H120" i="79"/>
  <c r="H122" i="79" s="1"/>
  <c r="H91" i="79"/>
  <c r="H101" i="79" s="1"/>
  <c r="K89" i="79"/>
  <c r="K88" i="79"/>
  <c r="E88" i="79"/>
  <c r="P87" i="79"/>
  <c r="E89" i="79"/>
  <c r="P89" i="79" s="1"/>
  <c r="D120" i="79"/>
  <c r="F110" i="79"/>
  <c r="R110" i="79" s="1"/>
  <c r="I91" i="79"/>
  <c r="I101" i="79" s="1"/>
  <c r="I120" i="79"/>
  <c r="I122" i="79" s="1"/>
  <c r="P86" i="79"/>
  <c r="E111" i="79"/>
  <c r="E112" i="79" s="1"/>
  <c r="G91" i="79"/>
  <c r="G101" i="79" s="1"/>
  <c r="G120" i="79"/>
  <c r="G122" i="79" s="1"/>
  <c r="Q91" i="79" l="1"/>
  <c r="N101" i="79"/>
  <c r="Q120" i="79"/>
  <c r="N122" i="79"/>
  <c r="Q122" i="79" s="1"/>
  <c r="R40" i="79"/>
  <c r="C559" i="82"/>
  <c r="F89" i="79"/>
  <c r="R89" i="79" s="1"/>
  <c r="F88" i="79"/>
  <c r="R88" i="79" s="1"/>
  <c r="F46" i="79"/>
  <c r="F112" i="79"/>
  <c r="R112" i="79" s="1"/>
  <c r="G110" i="79"/>
  <c r="P105" i="79"/>
  <c r="P120" i="79"/>
  <c r="D122" i="79"/>
  <c r="P122" i="79" s="1"/>
  <c r="K120" i="79"/>
  <c r="K91" i="79"/>
  <c r="E91" i="79"/>
  <c r="E120" i="79"/>
  <c r="E122" i="79" s="1"/>
  <c r="P88" i="79"/>
  <c r="Q101" i="79" l="1"/>
  <c r="O30" i="78"/>
  <c r="F48" i="79"/>
  <c r="G43" i="79" s="1"/>
  <c r="G46" i="79" s="1"/>
  <c r="K101" i="79"/>
  <c r="K122" i="79"/>
  <c r="F120" i="79"/>
  <c r="R120" i="79" s="1"/>
  <c r="F91" i="79"/>
  <c r="R91" i="79" s="1"/>
  <c r="G112" i="79"/>
  <c r="H110" i="79"/>
  <c r="E101" i="79"/>
  <c r="P91" i="79"/>
  <c r="F122" i="79" l="1"/>
  <c r="R122" i="79" s="1"/>
  <c r="F101" i="79"/>
  <c r="R101" i="79" s="1"/>
  <c r="G48" i="79"/>
  <c r="H43" i="79" s="1"/>
  <c r="H46" i="79" s="1"/>
  <c r="I43" i="79" s="1"/>
  <c r="I110" i="79"/>
  <c r="I112" i="79" s="1"/>
  <c r="H112" i="79"/>
  <c r="P101" i="79"/>
  <c r="E107" i="79"/>
  <c r="F134" i="79" l="1"/>
  <c r="F136" i="79" s="1"/>
  <c r="H48" i="79"/>
  <c r="P107" i="79"/>
  <c r="F103" i="79"/>
  <c r="I46" i="79" l="1"/>
  <c r="F105" i="79"/>
  <c r="I48" i="79" l="1"/>
  <c r="F107" i="79"/>
  <c r="J43" i="79" l="1"/>
  <c r="G103" i="79"/>
  <c r="G105" i="79" s="1"/>
  <c r="G107" i="79" s="1"/>
  <c r="H103" i="79" s="1"/>
  <c r="H105" i="79" s="1"/>
  <c r="I103" i="79" s="1"/>
  <c r="I105" i="79" s="1"/>
  <c r="J46" i="79" l="1"/>
  <c r="J48" i="79" s="1"/>
  <c r="H107" i="79"/>
  <c r="I107" i="79"/>
  <c r="J103" i="79" s="1"/>
  <c r="J105" i="79" s="1"/>
  <c r="K43" i="79" l="1"/>
  <c r="J107" i="79"/>
  <c r="K103" i="79" s="1"/>
  <c r="K105" i="79" l="1"/>
  <c r="K46" i="79"/>
  <c r="L103" i="79" l="1"/>
  <c r="L105" i="79"/>
  <c r="K48" i="79"/>
  <c r="L43" i="79"/>
  <c r="M43" i="79" s="1"/>
  <c r="M46" i="79" s="1"/>
  <c r="K107" i="79"/>
  <c r="N43" i="79" l="1"/>
  <c r="M48" i="79"/>
  <c r="M103" i="79"/>
  <c r="M105" i="79" s="1"/>
  <c r="L107" i="79"/>
  <c r="L46" i="79"/>
  <c r="N103" i="79"/>
  <c r="M107" i="79"/>
  <c r="N105" i="79" l="1"/>
  <c r="Q105" i="79" s="1"/>
  <c r="R105" i="79" s="1"/>
  <c r="Q103" i="79"/>
  <c r="R103" i="79" s="1"/>
  <c r="P43" i="79"/>
  <c r="Q43" i="79"/>
  <c r="R43" i="79" s="1"/>
  <c r="N46" i="79"/>
  <c r="L48" i="79"/>
  <c r="O103" i="79"/>
  <c r="O105" i="79" s="1"/>
  <c r="O107" i="79" s="1"/>
  <c r="N107" i="79"/>
  <c r="Q107" i="79" s="1"/>
  <c r="R107" i="79" l="1"/>
  <c r="P46" i="79"/>
  <c r="Q46" i="79"/>
  <c r="R46" i="79" s="1"/>
  <c r="N48" i="79"/>
  <c r="E591" i="82"/>
  <c r="B411" i="60"/>
  <c r="Q48" i="79" l="1"/>
  <c r="R48" i="79" s="1"/>
  <c r="P48" i="79"/>
  <c r="B412" i="60"/>
  <c r="E569" i="82"/>
  <c r="E583" i="82"/>
  <c r="F253" i="82"/>
  <c r="E76" i="60"/>
  <c r="F283" i="82" l="1"/>
  <c r="I48" i="40"/>
  <c r="E167" i="82" s="1"/>
  <c r="I54" i="52" l="1"/>
  <c r="I55" i="52" s="1"/>
  <c r="I56" i="52" s="1"/>
  <c r="I57" i="52" s="1"/>
  <c r="I58" i="52" s="1"/>
  <c r="I59" i="52" s="1"/>
  <c r="I60" i="52" s="1"/>
  <c r="I61" i="52" s="1"/>
  <c r="I62" i="52" s="1"/>
  <c r="I63" i="52" s="1"/>
  <c r="I21" i="52"/>
  <c r="I22" i="52" s="1"/>
  <c r="I23" i="52" s="1"/>
  <c r="I24" i="52" s="1"/>
  <c r="I25" i="52" s="1"/>
  <c r="I5" i="52"/>
  <c r="I6" i="52" s="1"/>
  <c r="I7" i="52" s="1"/>
  <c r="I8" i="52" s="1"/>
  <c r="I9" i="52" s="1"/>
  <c r="F15" i="40"/>
  <c r="I240" i="51"/>
  <c r="I219" i="51"/>
  <c r="I220" i="51" s="1"/>
  <c r="I221" i="51" s="1"/>
  <c r="I222" i="51" s="1"/>
  <c r="I223" i="51" s="1"/>
  <c r="I202" i="51"/>
  <c r="I203" i="51" s="1"/>
  <c r="I204" i="51" s="1"/>
  <c r="I205" i="51" s="1"/>
  <c r="I206" i="51" s="1"/>
  <c r="I185" i="51"/>
  <c r="I186" i="51" s="1"/>
  <c r="I187" i="51" s="1"/>
  <c r="I188" i="51" s="1"/>
  <c r="I189" i="51" s="1"/>
  <c r="I165" i="51"/>
  <c r="I166" i="51" s="1"/>
  <c r="I167" i="51" s="1"/>
  <c r="I168" i="51" s="1"/>
  <c r="I169" i="51" s="1"/>
  <c r="I147" i="51"/>
  <c r="I148" i="51" s="1"/>
  <c r="I149" i="51" s="1"/>
  <c r="I150" i="51" s="1"/>
  <c r="I151" i="51" s="1"/>
  <c r="I152" i="51" s="1"/>
  <c r="I153" i="51" s="1"/>
  <c r="I128" i="51"/>
  <c r="I129" i="51" s="1"/>
  <c r="I130" i="51" s="1"/>
  <c r="I131" i="51" s="1"/>
  <c r="I132" i="51" s="1"/>
  <c r="I133" i="51" s="1"/>
  <c r="I134" i="51" s="1"/>
  <c r="I135" i="51" s="1"/>
  <c r="I111" i="51"/>
  <c r="I112" i="51" s="1"/>
  <c r="I113" i="51" s="1"/>
  <c r="I114" i="51" s="1"/>
  <c r="I115" i="51" s="1"/>
  <c r="I116" i="51" s="1"/>
  <c r="I103" i="51"/>
  <c r="I104" i="51" s="1"/>
  <c r="I105" i="51" s="1"/>
  <c r="I85" i="51"/>
  <c r="I86" i="51" s="1"/>
  <c r="I87" i="51" s="1"/>
  <c r="I88" i="51" s="1"/>
  <c r="I89" i="51" s="1"/>
  <c r="I90" i="51" s="1"/>
  <c r="I91" i="51" s="1"/>
  <c r="I69" i="51"/>
  <c r="I70" i="51" s="1"/>
  <c r="I71" i="51" s="1"/>
  <c r="I72" i="51" s="1"/>
  <c r="I73" i="51" s="1"/>
  <c r="I53" i="51"/>
  <c r="I54" i="51" s="1"/>
  <c r="I55" i="51" s="1"/>
  <c r="I56" i="51" s="1"/>
  <c r="I57" i="51" s="1"/>
  <c r="I35" i="51"/>
  <c r="I36" i="51" s="1"/>
  <c r="I37" i="51" s="1"/>
  <c r="I38" i="51" s="1"/>
  <c r="I39" i="51" s="1"/>
  <c r="I40" i="51" s="1"/>
  <c r="I5" i="51"/>
  <c r="I6" i="51" s="1"/>
  <c r="I7" i="51" s="1"/>
  <c r="I8" i="51" s="1"/>
  <c r="I9" i="51" s="1"/>
  <c r="E15" i="40" l="1"/>
  <c r="G454" i="82"/>
  <c r="C143" i="82" l="1"/>
  <c r="H50" i="75"/>
  <c r="I50" i="75" s="1"/>
  <c r="H49" i="75"/>
  <c r="I49" i="75" s="1"/>
  <c r="H48" i="75"/>
  <c r="I48" i="75" s="1"/>
  <c r="H35" i="75"/>
  <c r="H36" i="75" s="1"/>
  <c r="H37" i="75" s="1"/>
  <c r="H38" i="75" s="1"/>
  <c r="H25" i="75"/>
  <c r="H26" i="75" s="1"/>
  <c r="H27" i="75" s="1"/>
  <c r="H28" i="75" s="1"/>
  <c r="H12" i="75"/>
  <c r="H13" i="75" s="1"/>
  <c r="H14" i="75" s="1"/>
  <c r="H15" i="75" s="1"/>
  <c r="H16" i="75" s="1"/>
  <c r="H17" i="75" s="1"/>
  <c r="H18" i="75" s="1"/>
  <c r="H55" i="75"/>
  <c r="I55" i="75" s="1"/>
  <c r="H54" i="75"/>
  <c r="I54" i="75" s="1"/>
  <c r="G256" i="60" s="1"/>
  <c r="K428" i="82" s="1"/>
  <c r="H53" i="75"/>
  <c r="I53" i="75" s="1"/>
  <c r="B257" i="60"/>
  <c r="J426" i="82" l="1"/>
  <c r="I56" i="75"/>
  <c r="B258" i="60"/>
  <c r="G429" i="82"/>
  <c r="F257" i="60"/>
  <c r="E398" i="82"/>
  <c r="B259" i="60"/>
  <c r="F258" i="60" l="1"/>
  <c r="J429" i="82"/>
  <c r="C19" i="60"/>
  <c r="K2104" i="65"/>
  <c r="I2104" i="65"/>
  <c r="I1551" i="65"/>
  <c r="I1550" i="65"/>
  <c r="O15" i="1"/>
  <c r="J51" i="1"/>
  <c r="J44" i="1"/>
  <c r="G22" i="76"/>
  <c r="G18" i="76"/>
  <c r="G19" i="76" s="1"/>
  <c r="G23" i="61"/>
  <c r="E291" i="82"/>
  <c r="E292" i="82"/>
  <c r="E299" i="82"/>
  <c r="E284" i="82"/>
  <c r="E309" i="82"/>
  <c r="E310" i="82"/>
  <c r="E311" i="82"/>
  <c r="C240" i="60"/>
  <c r="G45" i="37"/>
  <c r="E418" i="82" l="1"/>
  <c r="E87" i="82"/>
  <c r="N45" i="37"/>
  <c r="D473" i="82"/>
  <c r="C241" i="60"/>
  <c r="E419" i="82" s="1"/>
  <c r="D445" i="82"/>
  <c r="C127" i="60"/>
  <c r="C97" i="60"/>
  <c r="E409" i="82"/>
  <c r="G52" i="37"/>
  <c r="I55" i="40"/>
  <c r="N37" i="20"/>
  <c r="H76" i="82"/>
  <c r="E174" i="82" l="1"/>
  <c r="E71" i="82"/>
  <c r="N29" i="37"/>
  <c r="C128" i="60"/>
  <c r="E312" i="82"/>
  <c r="E94" i="82"/>
  <c r="H364" i="60"/>
  <c r="C98" i="60"/>
  <c r="E293" i="82"/>
  <c r="F314" i="60"/>
  <c r="F467" i="82" s="1"/>
  <c r="D132" i="82" l="1"/>
  <c r="B419" i="60"/>
  <c r="E573" i="82" s="1"/>
  <c r="E578" i="82" l="1"/>
  <c r="F311" i="60" l="1"/>
  <c r="F336" i="60" s="1"/>
  <c r="E353" i="60" s="1"/>
  <c r="F373" i="60" s="1"/>
  <c r="C273" i="60"/>
  <c r="E446" i="82" s="1"/>
  <c r="C272" i="60"/>
  <c r="E445" i="82" s="1"/>
  <c r="F266" i="60"/>
  <c r="J440" i="82" s="1"/>
  <c r="E266" i="60"/>
  <c r="I440" i="82" s="1"/>
  <c r="B266" i="60"/>
  <c r="G440" i="82" s="1"/>
  <c r="H256" i="60"/>
  <c r="E257" i="60"/>
  <c r="H44" i="75"/>
  <c r="I44" i="75" s="1"/>
  <c r="H43" i="75"/>
  <c r="I43" i="75" s="1"/>
  <c r="H42" i="75"/>
  <c r="I42" i="75" s="1"/>
  <c r="I86" i="52"/>
  <c r="J86" i="52" s="1"/>
  <c r="I87" i="52"/>
  <c r="J87" i="52" s="1"/>
  <c r="I85" i="52"/>
  <c r="J85" i="52" s="1"/>
  <c r="H265" i="60"/>
  <c r="H263" i="60"/>
  <c r="F420" i="82"/>
  <c r="E241" i="60"/>
  <c r="F419" i="82" s="1"/>
  <c r="E240" i="60"/>
  <c r="F418" i="82" s="1"/>
  <c r="E239" i="60"/>
  <c r="F417" i="82" s="1"/>
  <c r="E238" i="60"/>
  <c r="F416" i="82" s="1"/>
  <c r="E237" i="60"/>
  <c r="F415" i="82" s="1"/>
  <c r="E228" i="60"/>
  <c r="F408" i="82" s="1"/>
  <c r="E227" i="60"/>
  <c r="F407" i="82" s="1"/>
  <c r="E226" i="60"/>
  <c r="F405" i="82" s="1"/>
  <c r="E225" i="60"/>
  <c r="F406" i="82" s="1"/>
  <c r="E224" i="60"/>
  <c r="E188" i="60"/>
  <c r="G197" i="60" s="1"/>
  <c r="F190" i="60"/>
  <c r="J371" i="82" s="1"/>
  <c r="B31" i="19"/>
  <c r="E25" i="19"/>
  <c r="G31" i="19" s="1"/>
  <c r="E168" i="60"/>
  <c r="E166" i="60"/>
  <c r="G158" i="60"/>
  <c r="I342" i="82" s="1"/>
  <c r="H332" i="82"/>
  <c r="H331" i="82"/>
  <c r="H330" i="82"/>
  <c r="D148" i="60"/>
  <c r="D147" i="60"/>
  <c r="E331" i="82"/>
  <c r="C147" i="60"/>
  <c r="C151" i="60" s="1"/>
  <c r="K322" i="82"/>
  <c r="K321" i="82"/>
  <c r="B148" i="60"/>
  <c r="G136" i="60"/>
  <c r="K319" i="82" s="1"/>
  <c r="H13" i="19"/>
  <c r="E1" i="19"/>
  <c r="F18" i="19"/>
  <c r="F17" i="19"/>
  <c r="F16" i="19"/>
  <c r="F15" i="19"/>
  <c r="D18" i="19"/>
  <c r="D17" i="19"/>
  <c r="D16" i="19"/>
  <c r="D15" i="19"/>
  <c r="C18" i="19"/>
  <c r="C17" i="19"/>
  <c r="E126" i="60"/>
  <c r="F311" i="82" s="1"/>
  <c r="F309" i="82"/>
  <c r="E108" i="60"/>
  <c r="F303" i="82" s="1"/>
  <c r="E107" i="60"/>
  <c r="F302" i="82" s="1"/>
  <c r="E106" i="60"/>
  <c r="F301" i="82" s="1"/>
  <c r="E105" i="60"/>
  <c r="F300" i="82" s="1"/>
  <c r="E104" i="60"/>
  <c r="F299" i="82" s="1"/>
  <c r="E96" i="60"/>
  <c r="E95" i="60"/>
  <c r="F291" i="82" s="1"/>
  <c r="E77" i="60"/>
  <c r="E78" i="60"/>
  <c r="F285" i="82" s="1"/>
  <c r="E63" i="60"/>
  <c r="F272" i="82"/>
  <c r="E59" i="60"/>
  <c r="F271" i="82" s="1"/>
  <c r="E58" i="60"/>
  <c r="F276" i="82" s="1"/>
  <c r="E57" i="60"/>
  <c r="F275" i="82" s="1"/>
  <c r="E56" i="60"/>
  <c r="F274" i="82" s="1"/>
  <c r="E55" i="60"/>
  <c r="F270" i="82"/>
  <c r="E61" i="60"/>
  <c r="F269" i="82" s="1"/>
  <c r="F268" i="82"/>
  <c r="F262" i="82"/>
  <c r="F258" i="82"/>
  <c r="F257" i="82"/>
  <c r="E45" i="60"/>
  <c r="F254" i="82" s="1"/>
  <c r="F259" i="82"/>
  <c r="E44" i="60"/>
  <c r="F255" i="82"/>
  <c r="F260" i="82"/>
  <c r="F252" i="82"/>
  <c r="F251" i="82"/>
  <c r="F250" i="82"/>
  <c r="F243" i="82"/>
  <c r="E48" i="60" l="1"/>
  <c r="E49" i="60" s="1"/>
  <c r="I45" i="75"/>
  <c r="F404" i="82"/>
  <c r="E231" i="60"/>
  <c r="E232" i="60" s="1"/>
  <c r="F284" i="82"/>
  <c r="E89" i="60"/>
  <c r="C152" i="60"/>
  <c r="F273" i="82"/>
  <c r="E70" i="60"/>
  <c r="F256" i="82"/>
  <c r="D151" i="60"/>
  <c r="K320" i="82"/>
  <c r="G148" i="60"/>
  <c r="I429" i="82"/>
  <c r="F168" i="60"/>
  <c r="G351" i="82"/>
  <c r="E200" i="60"/>
  <c r="F376" i="82"/>
  <c r="F166" i="60"/>
  <c r="G350" i="82"/>
  <c r="G255" i="60"/>
  <c r="K427" i="82" s="1"/>
  <c r="G254" i="60"/>
  <c r="K426" i="82" s="1"/>
  <c r="F244" i="82"/>
  <c r="D20" i="19"/>
  <c r="F20" i="19"/>
  <c r="E247" i="60"/>
  <c r="C274" i="60"/>
  <c r="E71" i="60" l="1"/>
  <c r="E72" i="60"/>
  <c r="E90" i="60"/>
  <c r="E91" i="60"/>
  <c r="F263" i="82"/>
  <c r="F278" i="82"/>
  <c r="F377" i="82"/>
  <c r="H333" i="82"/>
  <c r="H254" i="60"/>
  <c r="E233" i="60"/>
  <c r="F410" i="82"/>
  <c r="C276" i="60"/>
  <c r="E447" i="82"/>
  <c r="E249" i="60"/>
  <c r="F421" i="82"/>
  <c r="C257" i="60"/>
  <c r="H255" i="60"/>
  <c r="E248" i="60"/>
  <c r="C275" i="60"/>
  <c r="D12" i="60"/>
  <c r="D5" i="60"/>
  <c r="E27" i="60"/>
  <c r="C27" i="60"/>
  <c r="E19" i="60"/>
  <c r="D3" i="60"/>
  <c r="E103" i="60" s="1"/>
  <c r="B3" i="60"/>
  <c r="C52" i="60" s="1"/>
  <c r="E235" i="82" l="1"/>
  <c r="D14" i="60"/>
  <c r="G257" i="60"/>
  <c r="H429" i="82"/>
  <c r="D8" i="60"/>
  <c r="E230" i="82"/>
  <c r="C258" i="60"/>
  <c r="C23" i="60"/>
  <c r="D6" i="60"/>
  <c r="G95" i="73"/>
  <c r="H95" i="73" s="1"/>
  <c r="F27" i="74"/>
  <c r="G27" i="74" s="1"/>
  <c r="H27" i="74" s="1"/>
  <c r="F28" i="74"/>
  <c r="G28" i="74" s="1"/>
  <c r="H28" i="74" s="1"/>
  <c r="F93" i="73"/>
  <c r="G93" i="73" s="1"/>
  <c r="H93" i="73" s="1"/>
  <c r="H30" i="74" l="1"/>
  <c r="G17" i="40" s="1"/>
  <c r="H96" i="73"/>
  <c r="G16" i="40" s="1"/>
  <c r="D15" i="60"/>
  <c r="D16" i="60"/>
  <c r="K429" i="82"/>
  <c r="H257" i="60"/>
  <c r="G258" i="60"/>
  <c r="D7" i="60"/>
  <c r="E231" i="82"/>
  <c r="J89" i="1"/>
  <c r="L51" i="1" l="1"/>
  <c r="L44" i="1"/>
  <c r="L39" i="1"/>
  <c r="L16" i="1"/>
  <c r="N48" i="1"/>
  <c r="L54" i="1" l="1"/>
  <c r="D55" i="40" l="1"/>
  <c r="N46" i="37"/>
  <c r="C342" i="60"/>
  <c r="C45" i="40"/>
  <c r="G48" i="37" l="1"/>
  <c r="E90" i="82" s="1"/>
  <c r="E88" i="82"/>
  <c r="C343" i="60"/>
  <c r="D511" i="82" s="1"/>
  <c r="D508" i="82"/>
  <c r="F337" i="60"/>
  <c r="F321" i="60"/>
  <c r="F472" i="82" s="1"/>
  <c r="F324" i="60"/>
  <c r="F475" i="82" s="1"/>
  <c r="F338" i="60" l="1"/>
  <c r="F505" i="82" s="1"/>
  <c r="F504" i="82"/>
  <c r="B274" i="60"/>
  <c r="D447" i="82" s="1"/>
  <c r="D446" i="82"/>
  <c r="F325" i="60"/>
  <c r="F476" i="82" s="1"/>
  <c r="F473" i="82"/>
  <c r="K1737" i="65"/>
  <c r="M296" i="92" s="1"/>
  <c r="K1736" i="65"/>
  <c r="M295" i="92" s="1"/>
  <c r="K1735" i="65"/>
  <c r="M294" i="92" s="1"/>
  <c r="I1737" i="65"/>
  <c r="L296" i="92" s="1"/>
  <c r="I1736" i="65"/>
  <c r="L295" i="92" s="1"/>
  <c r="I1735" i="65"/>
  <c r="L294" i="92" s="1"/>
  <c r="C56" i="60"/>
  <c r="E274" i="82" s="1"/>
  <c r="C136" i="60"/>
  <c r="D319" i="82" s="1"/>
  <c r="D320" i="82"/>
  <c r="D321" i="82"/>
  <c r="D322" i="82"/>
  <c r="C190" i="60"/>
  <c r="C224" i="60"/>
  <c r="E404" i="82" s="1"/>
  <c r="E405" i="82"/>
  <c r="E408" i="82"/>
  <c r="E415" i="82"/>
  <c r="C337" i="60"/>
  <c r="D504" i="82" s="1"/>
  <c r="D466" i="82"/>
  <c r="C324" i="60"/>
  <c r="D475" i="82" s="1"/>
  <c r="C321" i="60"/>
  <c r="D472" i="82" s="1"/>
  <c r="D371" i="82" l="1"/>
  <c r="E190" i="60"/>
  <c r="C315" i="60"/>
  <c r="B275" i="60"/>
  <c r="C242" i="60"/>
  <c r="C247" i="60" s="1"/>
  <c r="E407" i="82"/>
  <c r="E416" i="82"/>
  <c r="C338" i="60"/>
  <c r="E417" i="82"/>
  <c r="E406" i="82"/>
  <c r="F320" i="60"/>
  <c r="F471" i="82" s="1"/>
  <c r="C248" i="60" l="1"/>
  <c r="E420" i="82"/>
  <c r="D468" i="82"/>
  <c r="C347" i="60"/>
  <c r="D513" i="82" s="1"/>
  <c r="D505" i="82"/>
  <c r="C327" i="60"/>
  <c r="D474" i="82"/>
  <c r="C316" i="60"/>
  <c r="C231" i="60"/>
  <c r="C339" i="60"/>
  <c r="C329" i="60" l="1"/>
  <c r="D478" i="82"/>
  <c r="C232" i="60"/>
  <c r="E410" i="82"/>
  <c r="E421" i="82"/>
  <c r="C328" i="60"/>
  <c r="K1897" i="65"/>
  <c r="M349" i="92" s="1"/>
  <c r="C8" i="40" l="1"/>
  <c r="C9" i="40"/>
  <c r="C10" i="40"/>
  <c r="C11" i="40"/>
  <c r="C12" i="40"/>
  <c r="C14" i="40"/>
  <c r="C15" i="40"/>
  <c r="C18" i="40"/>
  <c r="C19" i="40"/>
  <c r="C20" i="40"/>
  <c r="C21" i="40"/>
  <c r="C22" i="40"/>
  <c r="C23" i="40"/>
  <c r="C24" i="40"/>
  <c r="C25" i="40"/>
  <c r="C27" i="40"/>
  <c r="C28" i="40"/>
  <c r="C29" i="40"/>
  <c r="C31" i="40"/>
  <c r="C34" i="40"/>
  <c r="C37" i="40"/>
  <c r="C38" i="40"/>
  <c r="C39" i="40"/>
  <c r="C40" i="40"/>
  <c r="C41" i="40"/>
  <c r="C42" i="40"/>
  <c r="C43" i="40"/>
  <c r="C44" i="40"/>
  <c r="C46" i="40"/>
  <c r="C47" i="40"/>
  <c r="C48" i="40"/>
  <c r="C49" i="40"/>
  <c r="C50" i="40"/>
  <c r="C51" i="40"/>
  <c r="C52" i="40"/>
  <c r="C53" i="40"/>
  <c r="C54" i="40"/>
  <c r="C55" i="40"/>
  <c r="K2168" i="65"/>
  <c r="K2166" i="65"/>
  <c r="K2165" i="65"/>
  <c r="K2164" i="65"/>
  <c r="K2163" i="65"/>
  <c r="K2162" i="65"/>
  <c r="K2161" i="65"/>
  <c r="K2160" i="65"/>
  <c r="K2159" i="65"/>
  <c r="M460" i="92" s="1"/>
  <c r="K2158" i="65"/>
  <c r="M459" i="92" s="1"/>
  <c r="K2157" i="65"/>
  <c r="M458" i="92" s="1"/>
  <c r="K2156" i="65"/>
  <c r="K2155" i="65"/>
  <c r="K2153" i="65"/>
  <c r="K2152" i="65"/>
  <c r="K2151" i="65"/>
  <c r="K2150" i="65"/>
  <c r="K2149" i="65"/>
  <c r="K2148" i="65"/>
  <c r="K2147" i="65"/>
  <c r="M456" i="92" s="1"/>
  <c r="K2146" i="65"/>
  <c r="K2145" i="65"/>
  <c r="K2144" i="65"/>
  <c r="K2143" i="65"/>
  <c r="M455" i="92" s="1"/>
  <c r="K2142" i="65"/>
  <c r="M454" i="92" s="1"/>
  <c r="K2138" i="65"/>
  <c r="K2127" i="65"/>
  <c r="K2125" i="65"/>
  <c r="K2124" i="65"/>
  <c r="K2121" i="65"/>
  <c r="K2119" i="65"/>
  <c r="K2118" i="65"/>
  <c r="K2117" i="65"/>
  <c r="K2115" i="65"/>
  <c r="K2113" i="65"/>
  <c r="K2110" i="65"/>
  <c r="K2109" i="65"/>
  <c r="K2108" i="65"/>
  <c r="K2105" i="65"/>
  <c r="K2103" i="65"/>
  <c r="M447" i="92" s="1"/>
  <c r="K2102" i="65"/>
  <c r="K2101" i="65"/>
  <c r="M446" i="92" s="1"/>
  <c r="K2100" i="65"/>
  <c r="K2099" i="65"/>
  <c r="K2098" i="65"/>
  <c r="K2097" i="65"/>
  <c r="K2096" i="65"/>
  <c r="K2095" i="65"/>
  <c r="K2094" i="65"/>
  <c r="K2093" i="65"/>
  <c r="K2092" i="65"/>
  <c r="K2091" i="65"/>
  <c r="K2086" i="65"/>
  <c r="K2085" i="65"/>
  <c r="K2084" i="65"/>
  <c r="K2083" i="65"/>
  <c r="M441" i="92" s="1"/>
  <c r="K2082" i="65"/>
  <c r="M440" i="92" s="1"/>
  <c r="K2081" i="65"/>
  <c r="M439" i="92" s="1"/>
  <c r="K2080" i="65"/>
  <c r="K2079" i="65"/>
  <c r="K2078" i="65"/>
  <c r="M438" i="92" s="1"/>
  <c r="K2077" i="65"/>
  <c r="M437" i="92" s="1"/>
  <c r="K2076" i="65"/>
  <c r="K2075" i="65"/>
  <c r="M436" i="92" s="1"/>
  <c r="K2074" i="65"/>
  <c r="M435" i="92" s="1"/>
  <c r="K2073" i="65"/>
  <c r="K2072" i="65"/>
  <c r="M434" i="92" s="1"/>
  <c r="K2071" i="65"/>
  <c r="K2070" i="65"/>
  <c r="M433" i="92" s="1"/>
  <c r="K2069" i="65"/>
  <c r="M432" i="92" s="1"/>
  <c r="K2067" i="65"/>
  <c r="K2066" i="65"/>
  <c r="K2065" i="65"/>
  <c r="M430" i="92" s="1"/>
  <c r="K2064" i="65"/>
  <c r="M429" i="92" s="1"/>
  <c r="K2063" i="65"/>
  <c r="M428" i="92" s="1"/>
  <c r="K2062" i="65"/>
  <c r="K2061" i="65"/>
  <c r="M427" i="92" s="1"/>
  <c r="K2060" i="65"/>
  <c r="K2059" i="65"/>
  <c r="M426" i="92" s="1"/>
  <c r="K2058" i="65"/>
  <c r="M425" i="92" s="1"/>
  <c r="K2057" i="65"/>
  <c r="M424" i="92" s="1"/>
  <c r="K2056" i="65"/>
  <c r="K2055" i="65"/>
  <c r="K2054" i="65"/>
  <c r="M423" i="92" s="1"/>
  <c r="K2053" i="65"/>
  <c r="M422" i="92" s="1"/>
  <c r="K2052" i="65"/>
  <c r="K2051" i="65"/>
  <c r="M421" i="92" s="1"/>
  <c r="K2050" i="65"/>
  <c r="M420" i="92" s="1"/>
  <c r="K2049" i="65"/>
  <c r="K2048" i="65"/>
  <c r="K2045" i="65"/>
  <c r="K2044" i="65"/>
  <c r="K2043" i="65"/>
  <c r="K2042" i="65"/>
  <c r="M417" i="92" s="1"/>
  <c r="K2041" i="65"/>
  <c r="K2039" i="65"/>
  <c r="K2038" i="65"/>
  <c r="K2036" i="65"/>
  <c r="K2035" i="65"/>
  <c r="M415" i="92" s="1"/>
  <c r="K2033" i="65"/>
  <c r="K2032" i="65"/>
  <c r="K2029" i="65"/>
  <c r="K2028" i="65"/>
  <c r="M412" i="92" s="1"/>
  <c r="K2027" i="65"/>
  <c r="K2026" i="65"/>
  <c r="K2025" i="65"/>
  <c r="K2024" i="65"/>
  <c r="K2023" i="65"/>
  <c r="K2022" i="65"/>
  <c r="M411" i="92" s="1"/>
  <c r="K2021" i="65"/>
  <c r="M410" i="92" s="1"/>
  <c r="K2020" i="65"/>
  <c r="K2019" i="65"/>
  <c r="K2018" i="65"/>
  <c r="M409" i="92" s="1"/>
  <c r="K2017" i="65"/>
  <c r="K2014" i="65"/>
  <c r="K2013" i="65"/>
  <c r="K2012" i="65"/>
  <c r="K2010" i="65"/>
  <c r="K2009" i="65"/>
  <c r="K2008" i="65"/>
  <c r="K2007" i="65"/>
  <c r="M406" i="92" s="1"/>
  <c r="K2006" i="65"/>
  <c r="M405" i="92" s="1"/>
  <c r="K2005" i="65"/>
  <c r="M404" i="92" s="1"/>
  <c r="K2004" i="65"/>
  <c r="M403" i="92" s="1"/>
  <c r="K2003" i="65"/>
  <c r="M402" i="92" s="1"/>
  <c r="K2002" i="65"/>
  <c r="M401" i="92" s="1"/>
  <c r="K2001" i="65"/>
  <c r="K2000" i="65"/>
  <c r="K1999" i="65"/>
  <c r="K1998" i="65"/>
  <c r="K1997" i="65"/>
  <c r="M400" i="92" s="1"/>
  <c r="K1996" i="65"/>
  <c r="M399" i="92" s="1"/>
  <c r="K1995" i="65"/>
  <c r="M398" i="92" s="1"/>
  <c r="K1994" i="65"/>
  <c r="M397" i="92" s="1"/>
  <c r="K1993" i="65"/>
  <c r="K1992" i="65"/>
  <c r="M396" i="92" s="1"/>
  <c r="K1991" i="65"/>
  <c r="M395" i="92" s="1"/>
  <c r="K1990" i="65"/>
  <c r="M394" i="92" s="1"/>
  <c r="K1987" i="65"/>
  <c r="K1986" i="65"/>
  <c r="K1984" i="65"/>
  <c r="K1983" i="65"/>
  <c r="K1982" i="65"/>
  <c r="K1981" i="65"/>
  <c r="K1980" i="65"/>
  <c r="M391" i="92" s="1"/>
  <c r="K1977" i="65"/>
  <c r="K1975" i="65"/>
  <c r="K1973" i="65"/>
  <c r="K1971" i="65"/>
  <c r="M387" i="92" s="1"/>
  <c r="K1970" i="65"/>
  <c r="M386" i="92" s="1"/>
  <c r="K1969" i="65"/>
  <c r="K1968" i="65"/>
  <c r="K1967" i="65"/>
  <c r="K1966" i="65"/>
  <c r="M385" i="92" s="1"/>
  <c r="K1965" i="65"/>
  <c r="M384" i="92" s="1"/>
  <c r="K1964" i="65"/>
  <c r="M383" i="92" s="1"/>
  <c r="K1963" i="65"/>
  <c r="M382" i="92" s="1"/>
  <c r="K1962" i="65"/>
  <c r="M381" i="92" s="1"/>
  <c r="K1961" i="65"/>
  <c r="M380" i="92" s="1"/>
  <c r="K1959" i="65"/>
  <c r="K1958" i="65"/>
  <c r="M378" i="92" s="1"/>
  <c r="K1957" i="65"/>
  <c r="M377" i="92" s="1"/>
  <c r="K1956" i="65"/>
  <c r="M376" i="92" s="1"/>
  <c r="K1955" i="65"/>
  <c r="M375" i="92" s="1"/>
  <c r="K1954" i="65"/>
  <c r="K1953" i="65"/>
  <c r="M374" i="92" s="1"/>
  <c r="K1952" i="65"/>
  <c r="M373" i="92" s="1"/>
  <c r="K1950" i="65"/>
  <c r="K1949" i="65"/>
  <c r="K1948" i="65"/>
  <c r="M371" i="92" s="1"/>
  <c r="K1947" i="65"/>
  <c r="M370" i="92" s="1"/>
  <c r="K1946" i="65"/>
  <c r="K1945" i="65"/>
  <c r="M369" i="92" s="1"/>
  <c r="K1944" i="65"/>
  <c r="M368" i="92" s="1"/>
  <c r="K1943" i="65"/>
  <c r="M367" i="92" s="1"/>
  <c r="K1942" i="65"/>
  <c r="K1941" i="65"/>
  <c r="K1940" i="65"/>
  <c r="K1939" i="65"/>
  <c r="K1938" i="65"/>
  <c r="K1937" i="65"/>
  <c r="M366" i="92" s="1"/>
  <c r="K1933" i="65"/>
  <c r="K1930" i="65"/>
  <c r="K1927" i="65"/>
  <c r="K1923" i="65"/>
  <c r="K1922" i="65"/>
  <c r="K1921" i="65"/>
  <c r="K1920" i="65"/>
  <c r="M360" i="92" s="1"/>
  <c r="K1919" i="65"/>
  <c r="K1918" i="65"/>
  <c r="K1917" i="65"/>
  <c r="M359" i="92" s="1"/>
  <c r="K1916" i="65"/>
  <c r="M358" i="92" s="1"/>
  <c r="K1915" i="65"/>
  <c r="K1914" i="65"/>
  <c r="M357" i="92" s="1"/>
  <c r="K1913" i="65"/>
  <c r="K1912" i="65"/>
  <c r="M356" i="92" s="1"/>
  <c r="K1911" i="65"/>
  <c r="M355" i="92" s="1"/>
  <c r="K1909" i="65"/>
  <c r="K1908" i="65"/>
  <c r="K1907" i="65"/>
  <c r="M353" i="92" s="1"/>
  <c r="K1906" i="65"/>
  <c r="M352" i="92" s="1"/>
  <c r="K1905" i="65"/>
  <c r="M351" i="92" s="1"/>
  <c r="K1904" i="65"/>
  <c r="K1903" i="65"/>
  <c r="M350" i="92" s="1"/>
  <c r="K1902" i="65"/>
  <c r="K1901" i="65"/>
  <c r="K1900" i="65"/>
  <c r="K1899" i="65"/>
  <c r="K1898" i="65"/>
  <c r="K1896" i="65"/>
  <c r="K1895" i="65"/>
  <c r="M348" i="92" s="1"/>
  <c r="K1894" i="65"/>
  <c r="K1893" i="65"/>
  <c r="K1892" i="65"/>
  <c r="K1889" i="65"/>
  <c r="K1888" i="65"/>
  <c r="K1887" i="65"/>
  <c r="K1886" i="65"/>
  <c r="K1883" i="65"/>
  <c r="M345" i="92" s="1"/>
  <c r="K1882" i="65"/>
  <c r="K1881" i="65"/>
  <c r="K1880" i="65"/>
  <c r="K1879" i="65"/>
  <c r="K1878" i="65"/>
  <c r="K1877" i="65"/>
  <c r="M344" i="92" s="1"/>
  <c r="K1876" i="65"/>
  <c r="K1873" i="65"/>
  <c r="K1872" i="65"/>
  <c r="K1871" i="65"/>
  <c r="K1869" i="65"/>
  <c r="K1868" i="65"/>
  <c r="K1867" i="65"/>
  <c r="M341" i="92" s="1"/>
  <c r="K1866" i="65"/>
  <c r="K1865" i="65"/>
  <c r="M340" i="92" s="1"/>
  <c r="K1864" i="65"/>
  <c r="K1863" i="65"/>
  <c r="M339" i="92" s="1"/>
  <c r="K1862" i="65"/>
  <c r="K1861" i="65"/>
  <c r="K1860" i="65"/>
  <c r="K1859" i="65"/>
  <c r="K1858" i="65"/>
  <c r="K1857" i="65"/>
  <c r="K1856" i="65"/>
  <c r="K1855" i="65"/>
  <c r="K1854" i="65"/>
  <c r="M338" i="92" s="1"/>
  <c r="K1853" i="65"/>
  <c r="K1852" i="65"/>
  <c r="K1851" i="65"/>
  <c r="M337" i="92" s="1"/>
  <c r="K1850" i="65"/>
  <c r="M336" i="92" s="1"/>
  <c r="K1847" i="65"/>
  <c r="K1845" i="65"/>
  <c r="K1844" i="65"/>
  <c r="K1842" i="65"/>
  <c r="K1841" i="65"/>
  <c r="K1840" i="65"/>
  <c r="K1839" i="65"/>
  <c r="K1838" i="65"/>
  <c r="K1835" i="65"/>
  <c r="K1833" i="65"/>
  <c r="K1831" i="65"/>
  <c r="K1829" i="65"/>
  <c r="K1827" i="65"/>
  <c r="M332" i="92" s="1"/>
  <c r="K1826" i="65"/>
  <c r="M331" i="92" s="1"/>
  <c r="K1825" i="65"/>
  <c r="K1824" i="65"/>
  <c r="K1823" i="65"/>
  <c r="K1822" i="65"/>
  <c r="M330" i="92" s="1"/>
  <c r="K1821" i="65"/>
  <c r="M329" i="92" s="1"/>
  <c r="K1820" i="65"/>
  <c r="K1819" i="65"/>
  <c r="M328" i="92" s="1"/>
  <c r="K1818" i="65"/>
  <c r="M327" i="92" s="1"/>
  <c r="K1817" i="65"/>
  <c r="M326" i="92" s="1"/>
  <c r="K1815" i="65"/>
  <c r="K1814" i="65"/>
  <c r="M324" i="92" s="1"/>
  <c r="K1813" i="65"/>
  <c r="M323" i="92" s="1"/>
  <c r="K1812" i="65"/>
  <c r="M322" i="92" s="1"/>
  <c r="K1811" i="65"/>
  <c r="M321" i="92" s="1"/>
  <c r="K1810" i="65"/>
  <c r="K1809" i="65"/>
  <c r="M320" i="92" s="1"/>
  <c r="K1808" i="65"/>
  <c r="M319" i="92" s="1"/>
  <c r="K1806" i="65"/>
  <c r="K1805" i="65"/>
  <c r="M317" i="92" s="1"/>
  <c r="K1804" i="65"/>
  <c r="M316" i="92" s="1"/>
  <c r="K1803" i="65"/>
  <c r="K1802" i="65"/>
  <c r="K1801" i="65"/>
  <c r="M315" i="92" s="1"/>
  <c r="K1800" i="65"/>
  <c r="M314" i="92" s="1"/>
  <c r="K1799" i="65"/>
  <c r="M313" i="92" s="1"/>
  <c r="K1798" i="65"/>
  <c r="K1797" i="65"/>
  <c r="K1796" i="65"/>
  <c r="K1795" i="65"/>
  <c r="K1794" i="65"/>
  <c r="K1793" i="65"/>
  <c r="M312" i="92" s="1"/>
  <c r="K1787" i="65"/>
  <c r="K1786" i="65"/>
  <c r="M307" i="92" s="1"/>
  <c r="K1784" i="65"/>
  <c r="K1782" i="65"/>
  <c r="K1780" i="65"/>
  <c r="K1778" i="65"/>
  <c r="K1776" i="65"/>
  <c r="K1774" i="65"/>
  <c r="K1772" i="65"/>
  <c r="K1771" i="65"/>
  <c r="K1769" i="65"/>
  <c r="K1767" i="65"/>
  <c r="K1766" i="65"/>
  <c r="K1765" i="65"/>
  <c r="K1761" i="65"/>
  <c r="K1760" i="65"/>
  <c r="M304" i="92" s="1"/>
  <c r="K1759" i="65"/>
  <c r="K1758" i="65"/>
  <c r="M303" i="92" s="1"/>
  <c r="K1755" i="65"/>
  <c r="M300" i="92" s="1"/>
  <c r="K1754" i="65"/>
  <c r="M299" i="92" s="1"/>
  <c r="K1753" i="65"/>
  <c r="K1750" i="65"/>
  <c r="K1748" i="65"/>
  <c r="K1747" i="65"/>
  <c r="K1746" i="65"/>
  <c r="K1744" i="65"/>
  <c r="K1743" i="65"/>
  <c r="K1741" i="65"/>
  <c r="K1740" i="65"/>
  <c r="K1738" i="65"/>
  <c r="K1734" i="65"/>
  <c r="K1733" i="65"/>
  <c r="K1732" i="65"/>
  <c r="K1731" i="65"/>
  <c r="K1727" i="65"/>
  <c r="K1726" i="65"/>
  <c r="K1725" i="65"/>
  <c r="K1721" i="65"/>
  <c r="K1720" i="65"/>
  <c r="K1719" i="65"/>
  <c r="K1716" i="65"/>
  <c r="K1714" i="65"/>
  <c r="K1712" i="65"/>
  <c r="K1708" i="65"/>
  <c r="M290" i="92" s="1"/>
  <c r="K1699" i="65"/>
  <c r="M285" i="92" s="1"/>
  <c r="K1696" i="65"/>
  <c r="M282" i="92" s="1"/>
  <c r="K1694" i="65"/>
  <c r="K1693" i="65"/>
  <c r="K1691" i="65"/>
  <c r="K1690" i="65"/>
  <c r="K1689" i="65"/>
  <c r="M280" i="92" s="1"/>
  <c r="K1688" i="65"/>
  <c r="K1686" i="65"/>
  <c r="K1685" i="65"/>
  <c r="K1684" i="65"/>
  <c r="K1678" i="65"/>
  <c r="M277" i="92" s="1"/>
  <c r="K1675" i="65"/>
  <c r="K1673" i="65"/>
  <c r="K1671" i="65"/>
  <c r="K1667" i="65"/>
  <c r="K1664" i="65"/>
  <c r="K1662" i="65"/>
  <c r="M274" i="92" s="1"/>
  <c r="K1653" i="65"/>
  <c r="M270" i="92" s="1"/>
  <c r="K1652" i="65"/>
  <c r="M269" i="92" s="1"/>
  <c r="K1650" i="65"/>
  <c r="K1648" i="65"/>
  <c r="K1646" i="65"/>
  <c r="K1645" i="65"/>
  <c r="M267" i="92" s="1"/>
  <c r="K1644" i="65"/>
  <c r="M266" i="92" s="1"/>
  <c r="K1643" i="65"/>
  <c r="M265" i="92" s="1"/>
  <c r="K1640" i="65"/>
  <c r="K1639" i="65"/>
  <c r="K1637" i="65"/>
  <c r="K1636" i="65"/>
  <c r="K1631" i="65"/>
  <c r="M261" i="92" s="1"/>
  <c r="K1630" i="65"/>
  <c r="K1629" i="65"/>
  <c r="K1628" i="65"/>
  <c r="K1627" i="65"/>
  <c r="K1626" i="65"/>
  <c r="K1625" i="65"/>
  <c r="K1622" i="65"/>
  <c r="M259" i="92" s="1"/>
  <c r="K1621" i="65"/>
  <c r="M258" i="92" s="1"/>
  <c r="K1616" i="65"/>
  <c r="K1615" i="65"/>
  <c r="K1614" i="65"/>
  <c r="M253" i="92" s="1"/>
  <c r="K1613" i="65"/>
  <c r="K1612" i="65"/>
  <c r="K1611" i="65"/>
  <c r="K1608" i="65"/>
  <c r="K1607" i="65"/>
  <c r="K1605" i="65"/>
  <c r="K1604" i="65"/>
  <c r="K1603" i="65"/>
  <c r="K1602" i="65"/>
  <c r="K1601" i="65"/>
  <c r="K1600" i="65"/>
  <c r="K1599" i="65"/>
  <c r="K1598" i="65"/>
  <c r="K1597" i="65"/>
  <c r="K1596" i="65"/>
  <c r="K1595" i="65"/>
  <c r="K1594" i="65"/>
  <c r="K1593" i="65"/>
  <c r="K1592" i="65"/>
  <c r="K1591" i="65"/>
  <c r="K1590" i="65"/>
  <c r="K1589" i="65"/>
  <c r="K1588" i="65"/>
  <c r="K1586" i="65"/>
  <c r="K1585" i="65"/>
  <c r="K1584" i="65"/>
  <c r="K1582" i="65"/>
  <c r="K1581" i="65"/>
  <c r="K1580" i="65"/>
  <c r="K1577" i="65"/>
  <c r="K1576" i="65"/>
  <c r="K1575" i="65"/>
  <c r="K1574" i="65"/>
  <c r="K1573" i="65"/>
  <c r="K1572" i="65"/>
  <c r="K1570" i="65"/>
  <c r="K1569" i="65"/>
  <c r="M249" i="92" s="1"/>
  <c r="K1568" i="65"/>
  <c r="M248" i="92" s="1"/>
  <c r="K1567" i="65"/>
  <c r="K1566" i="65"/>
  <c r="M247" i="92" s="1"/>
  <c r="K1565" i="65"/>
  <c r="M246" i="92" s="1"/>
  <c r="K1564" i="65"/>
  <c r="M245" i="92" s="1"/>
  <c r="K1563" i="65"/>
  <c r="M244" i="92" s="1"/>
  <c r="K1561" i="65"/>
  <c r="M242" i="92" s="1"/>
  <c r="K1560" i="65"/>
  <c r="M241" i="92" s="1"/>
  <c r="K1559" i="65"/>
  <c r="M240" i="92" s="1"/>
  <c r="K1558" i="65"/>
  <c r="M239" i="92" s="1"/>
  <c r="K1557" i="65"/>
  <c r="M238" i="92" s="1"/>
  <c r="K1556" i="65"/>
  <c r="M237" i="92" s="1"/>
  <c r="K1555" i="65"/>
  <c r="M236" i="92" s="1"/>
  <c r="K1554" i="65"/>
  <c r="M235" i="92" s="1"/>
  <c r="K1464" i="65"/>
  <c r="K1295" i="65"/>
  <c r="K1294" i="65"/>
  <c r="M169" i="92" s="1"/>
  <c r="K1293" i="65"/>
  <c r="K1292" i="65"/>
  <c r="K1291" i="65"/>
  <c r="K1290" i="65"/>
  <c r="K1289" i="65"/>
  <c r="M168" i="92" s="1"/>
  <c r="K1288" i="65"/>
  <c r="K1287" i="65"/>
  <c r="K1286" i="65"/>
  <c r="K1285" i="65"/>
  <c r="K1284" i="65"/>
  <c r="K1283" i="65"/>
  <c r="K1282" i="65"/>
  <c r="K1281" i="65"/>
  <c r="M167" i="92" s="1"/>
  <c r="K1280" i="65"/>
  <c r="K1279" i="65"/>
  <c r="K1278" i="65"/>
  <c r="K1277" i="65"/>
  <c r="M166" i="92" s="1"/>
  <c r="K1276" i="65"/>
  <c r="K1275" i="65"/>
  <c r="K1274" i="65"/>
  <c r="K1273" i="65"/>
  <c r="K1272" i="65"/>
  <c r="K1271" i="65"/>
  <c r="K1270" i="65"/>
  <c r="K1269" i="65"/>
  <c r="M165" i="92" s="1"/>
  <c r="K1268" i="65"/>
  <c r="K1267" i="65"/>
  <c r="K1266" i="65"/>
  <c r="K1265" i="65"/>
  <c r="K1264" i="65"/>
  <c r="M164" i="92" s="1"/>
  <c r="K1263" i="65"/>
  <c r="K1262" i="65"/>
  <c r="K1261" i="65"/>
  <c r="K1260" i="65"/>
  <c r="K1259" i="65"/>
  <c r="K1258" i="65"/>
  <c r="M163" i="92" s="1"/>
  <c r="K1257" i="65"/>
  <c r="K1256" i="65"/>
  <c r="K1255" i="65"/>
  <c r="K1254" i="65"/>
  <c r="K1253" i="65"/>
  <c r="K1252" i="65"/>
  <c r="K1251" i="65"/>
  <c r="K1250" i="65"/>
  <c r="K1249" i="65"/>
  <c r="K1248" i="65"/>
  <c r="K1247" i="65"/>
  <c r="K1246" i="65"/>
  <c r="K1245" i="65"/>
  <c r="K1244" i="65"/>
  <c r="K1243" i="65"/>
  <c r="K1242" i="65"/>
  <c r="K1241" i="65"/>
  <c r="K1240" i="65"/>
  <c r="K1239" i="65"/>
  <c r="K1238" i="65"/>
  <c r="K1237" i="65"/>
  <c r="M162" i="92" s="1"/>
  <c r="K1236" i="65"/>
  <c r="K1235" i="65"/>
  <c r="K1234" i="65"/>
  <c r="K1233" i="65"/>
  <c r="K1232" i="65"/>
  <c r="K1231" i="65"/>
  <c r="K1230" i="65"/>
  <c r="K1229" i="65"/>
  <c r="K1228" i="65"/>
  <c r="K1227" i="65"/>
  <c r="M161" i="92" s="1"/>
  <c r="K1226" i="65"/>
  <c r="K1225" i="65"/>
  <c r="K1224" i="65"/>
  <c r="K1223" i="65"/>
  <c r="K1222" i="65"/>
  <c r="K1221" i="65"/>
  <c r="M160" i="92" s="1"/>
  <c r="K1220" i="65"/>
  <c r="K1219" i="65"/>
  <c r="K1218" i="65"/>
  <c r="K1217" i="65"/>
  <c r="K1216" i="65"/>
  <c r="K1215" i="65"/>
  <c r="K1214" i="65"/>
  <c r="K1213" i="65"/>
  <c r="K1212" i="65"/>
  <c r="K1211" i="65"/>
  <c r="K1210" i="65"/>
  <c r="M159" i="92" s="1"/>
  <c r="K1209" i="65"/>
  <c r="K1208" i="65"/>
  <c r="M158" i="92" s="1"/>
  <c r="K1207" i="65"/>
  <c r="M157" i="92" s="1"/>
  <c r="K1206" i="65"/>
  <c r="K1205" i="65"/>
  <c r="K1204" i="65"/>
  <c r="M156" i="92" s="1"/>
  <c r="K1203" i="65"/>
  <c r="K1202" i="65"/>
  <c r="M155" i="92" s="1"/>
  <c r="K1201" i="65"/>
  <c r="K1200" i="65"/>
  <c r="K1199" i="65"/>
  <c r="K1198" i="65"/>
  <c r="K1197" i="65"/>
  <c r="M154" i="92" s="1"/>
  <c r="K1196" i="65"/>
  <c r="K1195" i="65"/>
  <c r="K1194" i="65"/>
  <c r="K1193" i="65"/>
  <c r="M153" i="92" s="1"/>
  <c r="K1192" i="65"/>
  <c r="K1191" i="65"/>
  <c r="K1190" i="65"/>
  <c r="K1189" i="65"/>
  <c r="M152" i="92" s="1"/>
  <c r="K1188" i="65"/>
  <c r="K1187" i="65"/>
  <c r="K1186" i="65"/>
  <c r="K1185" i="65"/>
  <c r="K1184" i="65"/>
  <c r="K1183" i="65"/>
  <c r="K1182" i="65"/>
  <c r="K1181" i="65"/>
  <c r="K1180" i="65"/>
  <c r="K1179" i="65"/>
  <c r="K1178" i="65"/>
  <c r="K1177" i="65"/>
  <c r="K1176" i="65"/>
  <c r="K1175" i="65"/>
  <c r="K1174" i="65"/>
  <c r="K1173" i="65"/>
  <c r="M151" i="92" s="1"/>
  <c r="K1172" i="65"/>
  <c r="K1171" i="65"/>
  <c r="K1170" i="65"/>
  <c r="K1169" i="65"/>
  <c r="K1168" i="65"/>
  <c r="K1167" i="65"/>
  <c r="K1166" i="65"/>
  <c r="K1165" i="65"/>
  <c r="K1164" i="65"/>
  <c r="K1163" i="65"/>
  <c r="M150" i="92" s="1"/>
  <c r="K1162" i="65"/>
  <c r="K1161" i="65"/>
  <c r="K1160" i="65"/>
  <c r="K1159" i="65"/>
  <c r="K1158" i="65"/>
  <c r="M149" i="92" s="1"/>
  <c r="K1157" i="65"/>
  <c r="M148" i="92" s="1"/>
  <c r="K1156" i="65"/>
  <c r="K1155" i="65"/>
  <c r="M147" i="92" s="1"/>
  <c r="K1154" i="65"/>
  <c r="K1153" i="65"/>
  <c r="K1152" i="65"/>
  <c r="K1151" i="65"/>
  <c r="K1150" i="65"/>
  <c r="M146" i="92" s="1"/>
  <c r="K1149" i="65"/>
  <c r="K1148" i="65"/>
  <c r="K1147" i="65"/>
  <c r="K1146" i="65"/>
  <c r="K1145" i="65"/>
  <c r="K1144" i="65"/>
  <c r="M145" i="92" s="1"/>
  <c r="K1143" i="65"/>
  <c r="K1142" i="65"/>
  <c r="K1141" i="65"/>
  <c r="K1140" i="65"/>
  <c r="K1139" i="65"/>
  <c r="M144" i="92" s="1"/>
  <c r="K1138" i="65"/>
  <c r="K1137" i="65"/>
  <c r="M143" i="92" s="1"/>
  <c r="K1136" i="65"/>
  <c r="K1135" i="65"/>
  <c r="K1134" i="65"/>
  <c r="M142" i="92" s="1"/>
  <c r="K1133" i="65"/>
  <c r="M141" i="92" s="1"/>
  <c r="K1132" i="65"/>
  <c r="K1131" i="65"/>
  <c r="K1130" i="65"/>
  <c r="K1129" i="65"/>
  <c r="K1128" i="65"/>
  <c r="K1127" i="65"/>
  <c r="K1126" i="65"/>
  <c r="M140" i="92" s="1"/>
  <c r="K1125" i="65"/>
  <c r="K1124" i="65"/>
  <c r="K1123" i="65"/>
  <c r="K1122" i="65"/>
  <c r="K1121" i="65"/>
  <c r="K1120" i="65"/>
  <c r="K1119" i="65"/>
  <c r="M139" i="92" s="1"/>
  <c r="K1118" i="65"/>
  <c r="M138" i="92" s="1"/>
  <c r="K1117" i="65"/>
  <c r="K1116" i="65"/>
  <c r="K1115" i="65"/>
  <c r="M137" i="92" s="1"/>
  <c r="K1114" i="65"/>
  <c r="M136" i="92" s="1"/>
  <c r="K1113" i="65"/>
  <c r="K1112" i="65"/>
  <c r="M135" i="92" s="1"/>
  <c r="K1111" i="65"/>
  <c r="K1110" i="65"/>
  <c r="K1109" i="65"/>
  <c r="M134" i="92" s="1"/>
  <c r="K1108" i="65"/>
  <c r="K1107" i="65"/>
  <c r="K1106" i="65"/>
  <c r="K1105" i="65"/>
  <c r="K1104" i="65"/>
  <c r="K1103" i="65"/>
  <c r="K1102" i="65"/>
  <c r="K1101" i="65"/>
  <c r="K1100" i="65"/>
  <c r="M133" i="92" s="1"/>
  <c r="K1099" i="65"/>
  <c r="K1098" i="65"/>
  <c r="K1097" i="65"/>
  <c r="K1096" i="65"/>
  <c r="K1095" i="65"/>
  <c r="K1094" i="65"/>
  <c r="M132" i="92" s="1"/>
  <c r="K1093" i="65"/>
  <c r="K1092" i="65"/>
  <c r="M131" i="92" s="1"/>
  <c r="K1091" i="65"/>
  <c r="K1090" i="65"/>
  <c r="K1089" i="65"/>
  <c r="M130" i="92" s="1"/>
  <c r="K1088" i="65"/>
  <c r="K1087" i="65"/>
  <c r="K1086" i="65"/>
  <c r="M129" i="92" s="1"/>
  <c r="K1085" i="65"/>
  <c r="K1084" i="65"/>
  <c r="K1083" i="65"/>
  <c r="K1082" i="65"/>
  <c r="K1081" i="65"/>
  <c r="M128" i="92" s="1"/>
  <c r="K1080" i="65"/>
  <c r="K1079" i="65"/>
  <c r="M127" i="92" s="1"/>
  <c r="K1078" i="65"/>
  <c r="K1077" i="65"/>
  <c r="K1076" i="65"/>
  <c r="K1075" i="65"/>
  <c r="K1074" i="65"/>
  <c r="K1073" i="65"/>
  <c r="K1072" i="65"/>
  <c r="K1071" i="65"/>
  <c r="K1070" i="65"/>
  <c r="K1069" i="65"/>
  <c r="K1068" i="65"/>
  <c r="K1067" i="65"/>
  <c r="K1066" i="65"/>
  <c r="K1065" i="65"/>
  <c r="K1064" i="65"/>
  <c r="K1063" i="65"/>
  <c r="K1062" i="65"/>
  <c r="K1061" i="65"/>
  <c r="K1060" i="65"/>
  <c r="K1059" i="65"/>
  <c r="K1058" i="65"/>
  <c r="K1057" i="65"/>
  <c r="K1056" i="65"/>
  <c r="K1055" i="65"/>
  <c r="K1054" i="65"/>
  <c r="K1053" i="65"/>
  <c r="K1052" i="65"/>
  <c r="M126" i="92" s="1"/>
  <c r="K1051" i="65"/>
  <c r="K1050" i="65"/>
  <c r="K1049" i="65"/>
  <c r="M125" i="92" s="1"/>
  <c r="K1048" i="65"/>
  <c r="K1047" i="65"/>
  <c r="M124" i="92" s="1"/>
  <c r="K1046" i="65"/>
  <c r="K1045" i="65"/>
  <c r="K1044" i="65"/>
  <c r="K1043" i="65"/>
  <c r="M123" i="92" s="1"/>
  <c r="K1042" i="65"/>
  <c r="K1041" i="65"/>
  <c r="K1040" i="65"/>
  <c r="K1039" i="65"/>
  <c r="K1038" i="65"/>
  <c r="K1037" i="65"/>
  <c r="K1036" i="65"/>
  <c r="K1035" i="65"/>
  <c r="K1034" i="65"/>
  <c r="K1033" i="65"/>
  <c r="K1032" i="65"/>
  <c r="K1031" i="65"/>
  <c r="K1030" i="65"/>
  <c r="K1029" i="65"/>
  <c r="K1028" i="65"/>
  <c r="K1027" i="65"/>
  <c r="K1026" i="65"/>
  <c r="K1025" i="65"/>
  <c r="K1024" i="65"/>
  <c r="K1023" i="65"/>
  <c r="K1022" i="65"/>
  <c r="K1021" i="65"/>
  <c r="K1020" i="65"/>
  <c r="K1019" i="65"/>
  <c r="K1018" i="65"/>
  <c r="K1017" i="65"/>
  <c r="K1016" i="65"/>
  <c r="K1015" i="65"/>
  <c r="K1014" i="65"/>
  <c r="K1013" i="65"/>
  <c r="K1012" i="65"/>
  <c r="K1011" i="65"/>
  <c r="K1010" i="65"/>
  <c r="K1009" i="65"/>
  <c r="K1008" i="65"/>
  <c r="K1007" i="65"/>
  <c r="K1006" i="65"/>
  <c r="K1005" i="65"/>
  <c r="K1004" i="65"/>
  <c r="K1003" i="65"/>
  <c r="K1002" i="65"/>
  <c r="K1001" i="65"/>
  <c r="K1000" i="65"/>
  <c r="K999" i="65"/>
  <c r="K998" i="65"/>
  <c r="K997" i="65"/>
  <c r="K996" i="65"/>
  <c r="K995" i="65"/>
  <c r="K994" i="65"/>
  <c r="K993" i="65"/>
  <c r="K992" i="65"/>
  <c r="K991" i="65"/>
  <c r="K990" i="65"/>
  <c r="M122" i="92" s="1"/>
  <c r="K989" i="65"/>
  <c r="K988" i="65"/>
  <c r="K987" i="65"/>
  <c r="K986" i="65"/>
  <c r="K985" i="65"/>
  <c r="K984" i="65"/>
  <c r="K983" i="65"/>
  <c r="K982" i="65"/>
  <c r="K981" i="65"/>
  <c r="K980" i="65"/>
  <c r="K979" i="65"/>
  <c r="K978" i="65"/>
  <c r="K977" i="65"/>
  <c r="K976" i="65"/>
  <c r="K975" i="65"/>
  <c r="K974" i="65"/>
  <c r="M121" i="92" s="1"/>
  <c r="K973" i="65"/>
  <c r="K972" i="65"/>
  <c r="K971" i="65"/>
  <c r="K970" i="65"/>
  <c r="M120" i="92" s="1"/>
  <c r="K969" i="65"/>
  <c r="K968" i="65"/>
  <c r="K967" i="65"/>
  <c r="K966" i="65"/>
  <c r="K965" i="65"/>
  <c r="K964" i="65"/>
  <c r="K963" i="65"/>
  <c r="K962" i="65"/>
  <c r="K961" i="65"/>
  <c r="K960" i="65"/>
  <c r="K959" i="65"/>
  <c r="K958" i="65"/>
  <c r="K957" i="65"/>
  <c r="K956" i="65"/>
  <c r="K955" i="65"/>
  <c r="K954" i="65"/>
  <c r="K953" i="65"/>
  <c r="K952" i="65"/>
  <c r="K951" i="65"/>
  <c r="K950" i="65"/>
  <c r="K949" i="65"/>
  <c r="K948" i="65"/>
  <c r="K947" i="65"/>
  <c r="K946" i="65"/>
  <c r="K945" i="65"/>
  <c r="K944" i="65"/>
  <c r="K943" i="65"/>
  <c r="K942" i="65"/>
  <c r="K941" i="65"/>
  <c r="K940" i="65"/>
  <c r="K939" i="65"/>
  <c r="K938" i="65"/>
  <c r="K937" i="65"/>
  <c r="K936" i="65"/>
  <c r="K935" i="65"/>
  <c r="K934" i="65"/>
  <c r="K933" i="65"/>
  <c r="K932" i="65"/>
  <c r="K931" i="65"/>
  <c r="K930" i="65"/>
  <c r="K929" i="65"/>
  <c r="K928" i="65"/>
  <c r="K927" i="65"/>
  <c r="K926" i="65"/>
  <c r="K925" i="65"/>
  <c r="K924" i="65"/>
  <c r="K923" i="65"/>
  <c r="K922" i="65"/>
  <c r="K921" i="65"/>
  <c r="K920" i="65"/>
  <c r="K919" i="65"/>
  <c r="K918" i="65"/>
  <c r="K917" i="65"/>
  <c r="K916" i="65"/>
  <c r="K915" i="65"/>
  <c r="K914" i="65"/>
  <c r="K913" i="65"/>
  <c r="K912" i="65"/>
  <c r="K911" i="65"/>
  <c r="K910" i="65"/>
  <c r="K909" i="65"/>
  <c r="K908" i="65"/>
  <c r="K907" i="65"/>
  <c r="K906" i="65"/>
  <c r="K905" i="65"/>
  <c r="K904" i="65"/>
  <c r="K903" i="65"/>
  <c r="K902" i="65"/>
  <c r="K901" i="65"/>
  <c r="K900" i="65"/>
  <c r="K899" i="65"/>
  <c r="K898" i="65"/>
  <c r="K897" i="65"/>
  <c r="K896" i="65"/>
  <c r="K895" i="65"/>
  <c r="K894" i="65"/>
  <c r="K893" i="65"/>
  <c r="K892" i="65"/>
  <c r="K891" i="65"/>
  <c r="K890" i="65"/>
  <c r="K889" i="65"/>
  <c r="K888" i="65"/>
  <c r="M119" i="92" s="1"/>
  <c r="K887" i="65"/>
  <c r="K886" i="65"/>
  <c r="K885" i="65"/>
  <c r="K884" i="65"/>
  <c r="K883" i="65"/>
  <c r="K882" i="65"/>
  <c r="K881" i="65"/>
  <c r="K880" i="65"/>
  <c r="K879" i="65"/>
  <c r="K878" i="65"/>
  <c r="K877" i="65"/>
  <c r="K876" i="65"/>
  <c r="K875" i="65"/>
  <c r="K874" i="65"/>
  <c r="K873" i="65"/>
  <c r="K872" i="65"/>
  <c r="K871" i="65"/>
  <c r="K870" i="65"/>
  <c r="K869" i="65"/>
  <c r="K868" i="65"/>
  <c r="K867" i="65"/>
  <c r="K866" i="65"/>
  <c r="K865" i="65"/>
  <c r="K864" i="65"/>
  <c r="K863" i="65"/>
  <c r="K862" i="65"/>
  <c r="K861" i="65"/>
  <c r="M118" i="92" s="1"/>
  <c r="K860" i="65"/>
  <c r="K859" i="65"/>
  <c r="K858" i="65"/>
  <c r="K857" i="65"/>
  <c r="M117" i="92" s="1"/>
  <c r="K856" i="65"/>
  <c r="K855" i="65"/>
  <c r="M116" i="92" s="1"/>
  <c r="K854" i="65"/>
  <c r="K853" i="65"/>
  <c r="K852" i="65"/>
  <c r="K851" i="65"/>
  <c r="K850" i="65"/>
  <c r="K849" i="65"/>
  <c r="K848" i="65"/>
  <c r="K847" i="65"/>
  <c r="K846" i="65"/>
  <c r="K845" i="65"/>
  <c r="K844" i="65"/>
  <c r="K843" i="65"/>
  <c r="M115" i="92" s="1"/>
  <c r="K842" i="65"/>
  <c r="K841" i="65"/>
  <c r="K840" i="65"/>
  <c r="K839" i="65"/>
  <c r="K838" i="65"/>
  <c r="K837" i="65"/>
  <c r="K836" i="65"/>
  <c r="K835" i="65"/>
  <c r="K834" i="65"/>
  <c r="K833" i="65"/>
  <c r="K832" i="65"/>
  <c r="K831" i="65"/>
  <c r="K830" i="65"/>
  <c r="K829" i="65"/>
  <c r="K828" i="65"/>
  <c r="K827" i="65"/>
  <c r="M114" i="92" s="1"/>
  <c r="K826" i="65"/>
  <c r="K825" i="65"/>
  <c r="K824" i="65"/>
  <c r="K823" i="65"/>
  <c r="K822" i="65"/>
  <c r="K821" i="65"/>
  <c r="K820" i="65"/>
  <c r="K819" i="65"/>
  <c r="K818" i="65"/>
  <c r="K817" i="65"/>
  <c r="K816" i="65"/>
  <c r="K815" i="65"/>
  <c r="K814" i="65"/>
  <c r="K813" i="65"/>
  <c r="K812" i="65"/>
  <c r="K811" i="65"/>
  <c r="K810" i="65"/>
  <c r="K809" i="65"/>
  <c r="K808" i="65"/>
  <c r="K807" i="65"/>
  <c r="K806" i="65"/>
  <c r="K805" i="65"/>
  <c r="K804" i="65"/>
  <c r="K803" i="65"/>
  <c r="K802" i="65"/>
  <c r="K801" i="65"/>
  <c r="K800" i="65"/>
  <c r="M113" i="92" s="1"/>
  <c r="K799" i="65"/>
  <c r="K798" i="65"/>
  <c r="K797" i="65"/>
  <c r="K796" i="65"/>
  <c r="K795" i="65"/>
  <c r="K794" i="65"/>
  <c r="K793" i="65"/>
  <c r="K792" i="65"/>
  <c r="K791" i="65"/>
  <c r="K790" i="65"/>
  <c r="K789" i="65"/>
  <c r="K788" i="65"/>
  <c r="K787" i="65"/>
  <c r="K786" i="65"/>
  <c r="K785" i="65"/>
  <c r="K784" i="65"/>
  <c r="K783" i="65"/>
  <c r="K782" i="65"/>
  <c r="K781" i="65"/>
  <c r="K780" i="65"/>
  <c r="K779" i="65"/>
  <c r="K778" i="65"/>
  <c r="K777" i="65"/>
  <c r="M112" i="92" s="1"/>
  <c r="K776" i="65"/>
  <c r="K775" i="65"/>
  <c r="K774" i="65"/>
  <c r="K773" i="65"/>
  <c r="K772" i="65"/>
  <c r="K771" i="65"/>
  <c r="K770" i="65"/>
  <c r="K769" i="65"/>
  <c r="K768" i="65"/>
  <c r="K767" i="65"/>
  <c r="K766" i="65"/>
  <c r="K765" i="65"/>
  <c r="K764" i="65"/>
  <c r="K763" i="65"/>
  <c r="K762" i="65"/>
  <c r="K761" i="65"/>
  <c r="K760" i="65"/>
  <c r="K759" i="65"/>
  <c r="K758" i="65"/>
  <c r="K757" i="65"/>
  <c r="K756" i="65"/>
  <c r="K755" i="65"/>
  <c r="K754" i="65"/>
  <c r="K753" i="65"/>
  <c r="K752" i="65"/>
  <c r="K751" i="65"/>
  <c r="K750" i="65"/>
  <c r="K749" i="65"/>
  <c r="K748" i="65"/>
  <c r="K747" i="65"/>
  <c r="K746" i="65"/>
  <c r="M111" i="92" s="1"/>
  <c r="K745" i="65"/>
  <c r="K744" i="65"/>
  <c r="K743" i="65"/>
  <c r="K742" i="65"/>
  <c r="K741" i="65"/>
  <c r="K740" i="65"/>
  <c r="K739" i="65"/>
  <c r="K738" i="65"/>
  <c r="K737" i="65"/>
  <c r="K736" i="65"/>
  <c r="K735" i="65"/>
  <c r="K734" i="65"/>
  <c r="K733" i="65"/>
  <c r="K732" i="65"/>
  <c r="K731" i="65"/>
  <c r="K730" i="65"/>
  <c r="K729" i="65"/>
  <c r="K728" i="65"/>
  <c r="K727" i="65"/>
  <c r="K726" i="65"/>
  <c r="K725" i="65"/>
  <c r="K724" i="65"/>
  <c r="K723" i="65"/>
  <c r="K722" i="65"/>
  <c r="K721" i="65"/>
  <c r="K720" i="65"/>
  <c r="K719" i="65"/>
  <c r="K718" i="65"/>
  <c r="K717" i="65"/>
  <c r="M110" i="92" s="1"/>
  <c r="K716" i="65"/>
  <c r="K715" i="65"/>
  <c r="M109" i="92" s="1"/>
  <c r="K714" i="65"/>
  <c r="K713" i="65"/>
  <c r="K712" i="65"/>
  <c r="K711" i="65"/>
  <c r="K710" i="65"/>
  <c r="K709" i="65"/>
  <c r="K708" i="65"/>
  <c r="K707" i="65"/>
  <c r="K706" i="65"/>
  <c r="K705" i="65"/>
  <c r="K704" i="65"/>
  <c r="K703" i="65"/>
  <c r="K702" i="65"/>
  <c r="K701" i="65"/>
  <c r="K700" i="65"/>
  <c r="K699" i="65"/>
  <c r="K698" i="65"/>
  <c r="K697" i="65"/>
  <c r="K696" i="65"/>
  <c r="K695" i="65"/>
  <c r="K694" i="65"/>
  <c r="K693" i="65"/>
  <c r="K692" i="65"/>
  <c r="K691" i="65"/>
  <c r="K690" i="65"/>
  <c r="K689" i="65"/>
  <c r="K688" i="65"/>
  <c r="K687" i="65"/>
  <c r="K686" i="65"/>
  <c r="K685" i="65"/>
  <c r="K684" i="65"/>
  <c r="K683" i="65"/>
  <c r="K682" i="65"/>
  <c r="K681" i="65"/>
  <c r="K680" i="65"/>
  <c r="K679" i="65"/>
  <c r="K678" i="65"/>
  <c r="K677" i="65"/>
  <c r="K676" i="65"/>
  <c r="K675" i="65"/>
  <c r="K674" i="65"/>
  <c r="K673" i="65"/>
  <c r="K672" i="65"/>
  <c r="K671" i="65"/>
  <c r="K670" i="65"/>
  <c r="K669" i="65"/>
  <c r="K668" i="65"/>
  <c r="K667" i="65"/>
  <c r="K666" i="65"/>
  <c r="K665" i="65"/>
  <c r="K664" i="65"/>
  <c r="K663" i="65"/>
  <c r="K662" i="65"/>
  <c r="K661" i="65"/>
  <c r="K660" i="65"/>
  <c r="K659" i="65"/>
  <c r="K658" i="65"/>
  <c r="M108" i="92" s="1"/>
  <c r="K657" i="65"/>
  <c r="K656" i="65"/>
  <c r="K655" i="65"/>
  <c r="K654" i="65"/>
  <c r="K653" i="65"/>
  <c r="K652" i="65"/>
  <c r="K651" i="65"/>
  <c r="K650" i="65"/>
  <c r="K649" i="65"/>
  <c r="K648" i="65"/>
  <c r="K647" i="65"/>
  <c r="K646" i="65"/>
  <c r="K645" i="65"/>
  <c r="K644" i="65"/>
  <c r="M107" i="92" s="1"/>
  <c r="K643" i="65"/>
  <c r="K642" i="65"/>
  <c r="K641" i="65"/>
  <c r="K640" i="65"/>
  <c r="K639" i="65"/>
  <c r="K638" i="65"/>
  <c r="K637" i="65"/>
  <c r="K636" i="65"/>
  <c r="K635" i="65"/>
  <c r="K634" i="65"/>
  <c r="K633" i="65"/>
  <c r="K632" i="65"/>
  <c r="K631" i="65"/>
  <c r="K630" i="65"/>
  <c r="K629" i="65"/>
  <c r="K628" i="65"/>
  <c r="K627" i="65"/>
  <c r="K626" i="65"/>
  <c r="K625" i="65"/>
  <c r="K624" i="65"/>
  <c r="K623" i="65"/>
  <c r="K622" i="65"/>
  <c r="K621" i="65"/>
  <c r="K620" i="65"/>
  <c r="K619" i="65"/>
  <c r="K618" i="65"/>
  <c r="K617" i="65"/>
  <c r="K616" i="65"/>
  <c r="K615" i="65"/>
  <c r="K614" i="65"/>
  <c r="K613" i="65"/>
  <c r="K612" i="65"/>
  <c r="K611" i="65"/>
  <c r="K610" i="65"/>
  <c r="K609" i="65"/>
  <c r="K608" i="65"/>
  <c r="K607" i="65"/>
  <c r="K606" i="65"/>
  <c r="K605" i="65"/>
  <c r="K604" i="65"/>
  <c r="K603" i="65"/>
  <c r="K602" i="65"/>
  <c r="K601" i="65"/>
  <c r="K600" i="65"/>
  <c r="K599" i="65"/>
  <c r="K598" i="65"/>
  <c r="K597" i="65"/>
  <c r="K596" i="65"/>
  <c r="K595" i="65"/>
  <c r="K594" i="65"/>
  <c r="K593" i="65"/>
  <c r="K592" i="65"/>
  <c r="K591" i="65"/>
  <c r="K590" i="65"/>
  <c r="K589" i="65"/>
  <c r="K588" i="65"/>
  <c r="K587" i="65"/>
  <c r="K586" i="65"/>
  <c r="M106" i="92" s="1"/>
  <c r="K585" i="65"/>
  <c r="K584" i="65"/>
  <c r="K583" i="65"/>
  <c r="K582" i="65"/>
  <c r="K581" i="65"/>
  <c r="K580" i="65"/>
  <c r="K579" i="65"/>
  <c r="K578" i="65"/>
  <c r="K577" i="65"/>
  <c r="K576" i="65"/>
  <c r="M105" i="92" s="1"/>
  <c r="K575" i="65"/>
  <c r="K574" i="65"/>
  <c r="K573" i="65"/>
  <c r="K572" i="65"/>
  <c r="K571" i="65"/>
  <c r="K570" i="65"/>
  <c r="K569" i="65"/>
  <c r="K568" i="65"/>
  <c r="K567" i="65"/>
  <c r="K566" i="65"/>
  <c r="K565" i="65"/>
  <c r="K564" i="65"/>
  <c r="K563" i="65"/>
  <c r="K562" i="65"/>
  <c r="K561" i="65"/>
  <c r="K560" i="65"/>
  <c r="K559" i="65"/>
  <c r="K558" i="65"/>
  <c r="K557" i="65"/>
  <c r="K556" i="65"/>
  <c r="K555" i="65"/>
  <c r="K554" i="65"/>
  <c r="K553" i="65"/>
  <c r="K552" i="65"/>
  <c r="K551" i="65"/>
  <c r="K550" i="65"/>
  <c r="K549" i="65"/>
  <c r="K548" i="65"/>
  <c r="K547" i="65"/>
  <c r="M104" i="92" s="1"/>
  <c r="K546" i="65"/>
  <c r="K545" i="65"/>
  <c r="K544" i="65"/>
  <c r="K543" i="65"/>
  <c r="K542" i="65"/>
  <c r="K541" i="65"/>
  <c r="K540" i="65"/>
  <c r="K539" i="65"/>
  <c r="K538" i="65"/>
  <c r="K537" i="65"/>
  <c r="K536" i="65"/>
  <c r="K535" i="65"/>
  <c r="K534" i="65"/>
  <c r="K533" i="65"/>
  <c r="K532" i="65"/>
  <c r="K531" i="65"/>
  <c r="K530" i="65"/>
  <c r="K529" i="65"/>
  <c r="K528" i="65"/>
  <c r="K527" i="65"/>
  <c r="K526" i="65"/>
  <c r="K525" i="65"/>
  <c r="K524" i="65"/>
  <c r="K523" i="65"/>
  <c r="K522" i="65"/>
  <c r="K521" i="65"/>
  <c r="M103" i="92" s="1"/>
  <c r="K520" i="65"/>
  <c r="K519" i="65"/>
  <c r="K518" i="65"/>
  <c r="K517" i="65"/>
  <c r="K516" i="65"/>
  <c r="K515" i="65"/>
  <c r="K514" i="65"/>
  <c r="K513" i="65"/>
  <c r="K512" i="65"/>
  <c r="K511" i="65"/>
  <c r="K510" i="65"/>
  <c r="K509" i="65"/>
  <c r="K508" i="65"/>
  <c r="K507" i="65"/>
  <c r="K506" i="65"/>
  <c r="K505" i="65"/>
  <c r="K504" i="65"/>
  <c r="K503" i="65"/>
  <c r="K502" i="65"/>
  <c r="K501" i="65"/>
  <c r="K500" i="65"/>
  <c r="K499" i="65"/>
  <c r="K498" i="65"/>
  <c r="K497" i="65"/>
  <c r="K496" i="65"/>
  <c r="K495" i="65"/>
  <c r="K494" i="65"/>
  <c r="K493" i="65"/>
  <c r="K492" i="65"/>
  <c r="K491" i="65"/>
  <c r="K490" i="65"/>
  <c r="K489" i="65"/>
  <c r="K488" i="65"/>
  <c r="K487" i="65"/>
  <c r="K486" i="65"/>
  <c r="K485" i="65"/>
  <c r="K484" i="65"/>
  <c r="K483" i="65"/>
  <c r="K482" i="65"/>
  <c r="K481" i="65"/>
  <c r="K480" i="65"/>
  <c r="K479" i="65"/>
  <c r="K478" i="65"/>
  <c r="K477" i="65"/>
  <c r="K476" i="65"/>
  <c r="K475" i="65"/>
  <c r="K474" i="65"/>
  <c r="K473" i="65"/>
  <c r="K472" i="65"/>
  <c r="K471" i="65"/>
  <c r="K470" i="65"/>
  <c r="K469" i="65"/>
  <c r="K468" i="65"/>
  <c r="K467" i="65"/>
  <c r="K466" i="65"/>
  <c r="K465" i="65"/>
  <c r="K464" i="65"/>
  <c r="K463" i="65"/>
  <c r="K462" i="65"/>
  <c r="K461" i="65"/>
  <c r="K460" i="65"/>
  <c r="K459" i="65"/>
  <c r="K458" i="65"/>
  <c r="K457" i="65"/>
  <c r="K456" i="65"/>
  <c r="K455" i="65"/>
  <c r="K454" i="65"/>
  <c r="K453" i="65"/>
  <c r="M102" i="92" s="1"/>
  <c r="K452" i="65"/>
  <c r="K451" i="65"/>
  <c r="K450" i="65"/>
  <c r="K449" i="65"/>
  <c r="K448" i="65"/>
  <c r="K447" i="65"/>
  <c r="K446" i="65"/>
  <c r="K445" i="65"/>
  <c r="K444" i="65"/>
  <c r="K443" i="65"/>
  <c r="K442" i="65"/>
  <c r="K441" i="65"/>
  <c r="K440" i="65"/>
  <c r="K439" i="65"/>
  <c r="K438" i="65"/>
  <c r="K437" i="65"/>
  <c r="K436" i="65"/>
  <c r="K435" i="65"/>
  <c r="K434" i="65"/>
  <c r="K433" i="65"/>
  <c r="K432" i="65"/>
  <c r="K431" i="65"/>
  <c r="K430" i="65"/>
  <c r="K429" i="65"/>
  <c r="K428" i="65"/>
  <c r="K427" i="65"/>
  <c r="K426" i="65"/>
  <c r="K425" i="65"/>
  <c r="K424" i="65"/>
  <c r="K423" i="65"/>
  <c r="K422" i="65"/>
  <c r="K421" i="65"/>
  <c r="K420" i="65"/>
  <c r="K419" i="65"/>
  <c r="K418" i="65"/>
  <c r="K417" i="65"/>
  <c r="K416" i="65"/>
  <c r="K415" i="65"/>
  <c r="K414" i="65"/>
  <c r="K413" i="65"/>
  <c r="K412" i="65"/>
  <c r="K411" i="65"/>
  <c r="K410" i="65"/>
  <c r="K409" i="65"/>
  <c r="K408" i="65"/>
  <c r="K407" i="65"/>
  <c r="K406" i="65"/>
  <c r="K405" i="65"/>
  <c r="K404" i="65"/>
  <c r="K403" i="65"/>
  <c r="K402" i="65"/>
  <c r="K401" i="65"/>
  <c r="K400" i="65"/>
  <c r="K399" i="65"/>
  <c r="K398" i="65"/>
  <c r="K397" i="65"/>
  <c r="K396" i="65"/>
  <c r="K395" i="65"/>
  <c r="K394" i="65"/>
  <c r="K393" i="65"/>
  <c r="K392" i="65"/>
  <c r="K391" i="65"/>
  <c r="M101" i="92" s="1"/>
  <c r="K390" i="65"/>
  <c r="K389" i="65"/>
  <c r="K388" i="65"/>
  <c r="K387" i="65"/>
  <c r="K386" i="65"/>
  <c r="K385" i="65"/>
  <c r="K384" i="65"/>
  <c r="K383" i="65"/>
  <c r="K382" i="65"/>
  <c r="K381" i="65"/>
  <c r="M100" i="92" s="1"/>
  <c r="K380" i="65"/>
  <c r="K379" i="65"/>
  <c r="K378" i="65"/>
  <c r="K377" i="65"/>
  <c r="K376" i="65"/>
  <c r="K375" i="65"/>
  <c r="K374" i="65"/>
  <c r="K373" i="65"/>
  <c r="K372" i="65"/>
  <c r="M99" i="92" s="1"/>
  <c r="K371" i="65"/>
  <c r="K370" i="65"/>
  <c r="K369" i="65"/>
  <c r="K368" i="65"/>
  <c r="K367" i="65"/>
  <c r="K366" i="65"/>
  <c r="K365" i="65"/>
  <c r="K364" i="65"/>
  <c r="K363" i="65"/>
  <c r="K362" i="65"/>
  <c r="K361" i="65"/>
  <c r="K360" i="65"/>
  <c r="K359" i="65"/>
  <c r="K358" i="65"/>
  <c r="K357" i="65"/>
  <c r="K356" i="65"/>
  <c r="K355" i="65"/>
  <c r="K354" i="65"/>
  <c r="M98" i="92" s="1"/>
  <c r="K353" i="65"/>
  <c r="K352" i="65"/>
  <c r="K351" i="65"/>
  <c r="K350" i="65"/>
  <c r="K349" i="65"/>
  <c r="K348" i="65"/>
  <c r="K347" i="65"/>
  <c r="K346" i="65"/>
  <c r="K345" i="65"/>
  <c r="K344" i="65"/>
  <c r="K343" i="65"/>
  <c r="K342" i="65"/>
  <c r="K341" i="65"/>
  <c r="K340" i="65"/>
  <c r="K339" i="65"/>
  <c r="K338" i="65"/>
  <c r="K337" i="65"/>
  <c r="K336" i="65"/>
  <c r="K335" i="65"/>
  <c r="K334" i="65"/>
  <c r="K333" i="65"/>
  <c r="K332" i="65"/>
  <c r="K331" i="65"/>
  <c r="K330" i="65"/>
  <c r="K329" i="65"/>
  <c r="K328" i="65"/>
  <c r="K327" i="65"/>
  <c r="K326" i="65"/>
  <c r="K325" i="65"/>
  <c r="K324" i="65"/>
  <c r="K323" i="65"/>
  <c r="K322" i="65"/>
  <c r="K321" i="65"/>
  <c r="K320" i="65"/>
  <c r="K319" i="65"/>
  <c r="K318" i="65"/>
  <c r="K317" i="65"/>
  <c r="K316" i="65"/>
  <c r="K315" i="65"/>
  <c r="K314" i="65"/>
  <c r="M97" i="92" s="1"/>
  <c r="K313" i="65"/>
  <c r="K312" i="65"/>
  <c r="K311" i="65"/>
  <c r="M96" i="92" s="1"/>
  <c r="K310" i="65"/>
  <c r="K309" i="65"/>
  <c r="K308" i="65"/>
  <c r="K307" i="65"/>
  <c r="K306" i="65"/>
  <c r="K305" i="65"/>
  <c r="K304" i="65"/>
  <c r="K303" i="65"/>
  <c r="K302" i="65"/>
  <c r="K301" i="65"/>
  <c r="K300" i="65"/>
  <c r="K299" i="65"/>
  <c r="K298" i="65"/>
  <c r="K297" i="65"/>
  <c r="K296" i="65"/>
  <c r="K295" i="65"/>
  <c r="K294" i="65"/>
  <c r="K293" i="65"/>
  <c r="K292" i="65"/>
  <c r="K291" i="65"/>
  <c r="K290" i="65"/>
  <c r="K289" i="65"/>
  <c r="K288" i="65"/>
  <c r="K287" i="65"/>
  <c r="K286" i="65"/>
  <c r="K285" i="65"/>
  <c r="K284" i="65"/>
  <c r="K283" i="65"/>
  <c r="K282" i="65"/>
  <c r="K281" i="65"/>
  <c r="K280" i="65"/>
  <c r="K279" i="65"/>
  <c r="K278" i="65"/>
  <c r="K277" i="65"/>
  <c r="K276" i="65"/>
  <c r="K275" i="65"/>
  <c r="K274" i="65"/>
  <c r="K273" i="65"/>
  <c r="K272" i="65"/>
  <c r="K271" i="65"/>
  <c r="K270" i="65"/>
  <c r="K269" i="65"/>
  <c r="K268" i="65"/>
  <c r="K267" i="65"/>
  <c r="K266" i="65"/>
  <c r="K265" i="65"/>
  <c r="K264" i="65"/>
  <c r="K263" i="65"/>
  <c r="K262" i="65"/>
  <c r="K261" i="65"/>
  <c r="K260" i="65"/>
  <c r="K259" i="65"/>
  <c r="K258" i="65"/>
  <c r="K257" i="65"/>
  <c r="K256" i="65"/>
  <c r="K255" i="65"/>
  <c r="K254" i="65"/>
  <c r="M95" i="92" s="1"/>
  <c r="K253" i="65"/>
  <c r="K252" i="65"/>
  <c r="K251" i="65"/>
  <c r="K250" i="65"/>
  <c r="K249" i="65"/>
  <c r="K248" i="65"/>
  <c r="K247" i="65"/>
  <c r="K246" i="65"/>
  <c r="K245" i="65"/>
  <c r="K244" i="65"/>
  <c r="K243" i="65"/>
  <c r="K242" i="65"/>
  <c r="K241" i="65"/>
  <c r="K240" i="65"/>
  <c r="K239" i="65"/>
  <c r="K238" i="65"/>
  <c r="K237" i="65"/>
  <c r="K236" i="65"/>
  <c r="K235" i="65"/>
  <c r="K234" i="65"/>
  <c r="K233" i="65"/>
  <c r="K232" i="65"/>
  <c r="K231" i="65"/>
  <c r="K230" i="65"/>
  <c r="K229" i="65"/>
  <c r="K228" i="65"/>
  <c r="K227" i="65"/>
  <c r="K226" i="65"/>
  <c r="K225" i="65"/>
  <c r="K224" i="65"/>
  <c r="M94" i="92" s="1"/>
  <c r="K223" i="65"/>
  <c r="K222" i="65"/>
  <c r="K221" i="65"/>
  <c r="K220" i="65"/>
  <c r="K219" i="65"/>
  <c r="K218" i="65"/>
  <c r="K217" i="65"/>
  <c r="K216" i="65"/>
  <c r="M93" i="92" s="1"/>
  <c r="K215" i="65"/>
  <c r="M92" i="92" s="1"/>
  <c r="K214" i="65"/>
  <c r="M91" i="92" s="1"/>
  <c r="K212" i="65"/>
  <c r="K211" i="65"/>
  <c r="K208" i="65"/>
  <c r="K207" i="65"/>
  <c r="K202" i="65"/>
  <c r="M86" i="92" s="1"/>
  <c r="K201" i="65"/>
  <c r="M85" i="92" s="1"/>
  <c r="K198" i="65"/>
  <c r="K197" i="65"/>
  <c r="K195" i="65"/>
  <c r="K194" i="65"/>
  <c r="M82" i="92" s="1"/>
  <c r="K192" i="65"/>
  <c r="K190" i="65"/>
  <c r="K189" i="65"/>
  <c r="M80" i="92" s="1"/>
  <c r="K185" i="65"/>
  <c r="K184" i="65"/>
  <c r="K183" i="65"/>
  <c r="K182" i="65"/>
  <c r="M77" i="92" s="1"/>
  <c r="K181" i="65"/>
  <c r="K180" i="65"/>
  <c r="M76" i="92" s="1"/>
  <c r="K179" i="65"/>
  <c r="M75" i="92" s="1"/>
  <c r="K178" i="65"/>
  <c r="M74" i="92" s="1"/>
  <c r="K177" i="65"/>
  <c r="K175" i="65"/>
  <c r="K172" i="65"/>
  <c r="K171" i="65"/>
  <c r="K170" i="65"/>
  <c r="K169" i="65"/>
  <c r="K168" i="65"/>
  <c r="M72" i="92" s="1"/>
  <c r="K167" i="65"/>
  <c r="M71" i="92" s="1"/>
  <c r="K166" i="65"/>
  <c r="M70" i="92" s="1"/>
  <c r="K165" i="65"/>
  <c r="M69" i="92" s="1"/>
  <c r="K164" i="65"/>
  <c r="K163" i="65"/>
  <c r="K160" i="65"/>
  <c r="K159" i="65"/>
  <c r="K157" i="65"/>
  <c r="K156" i="65"/>
  <c r="K153" i="65"/>
  <c r="K152" i="65"/>
  <c r="K150" i="65"/>
  <c r="M66" i="92" s="1"/>
  <c r="K149" i="65"/>
  <c r="M65" i="92" s="1"/>
  <c r="K148" i="65"/>
  <c r="M64" i="92" s="1"/>
  <c r="K146" i="65"/>
  <c r="K145" i="65"/>
  <c r="M62" i="92" s="1"/>
  <c r="K143" i="65"/>
  <c r="K142" i="65"/>
  <c r="K141" i="65"/>
  <c r="K140" i="65"/>
  <c r="K139" i="65"/>
  <c r="K138" i="65"/>
  <c r="K136" i="65"/>
  <c r="K134" i="65"/>
  <c r="K132" i="65"/>
  <c r="K131" i="65"/>
  <c r="K130" i="65"/>
  <c r="M50" i="92" s="1"/>
  <c r="K129" i="65"/>
  <c r="K128" i="65"/>
  <c r="K127" i="65"/>
  <c r="K126" i="65"/>
  <c r="M49" i="92" s="1"/>
  <c r="K125" i="65"/>
  <c r="M48" i="92" s="1"/>
  <c r="K124" i="65"/>
  <c r="K123" i="65"/>
  <c r="K122" i="65"/>
  <c r="M47" i="92" s="1"/>
  <c r="K120" i="65"/>
  <c r="K119" i="65"/>
  <c r="K118" i="65"/>
  <c r="K116" i="65"/>
  <c r="K115" i="65"/>
  <c r="K114" i="65"/>
  <c r="K108" i="65"/>
  <c r="K107" i="65"/>
  <c r="M43" i="92" s="1"/>
  <c r="K106" i="65"/>
  <c r="M42" i="92" s="1"/>
  <c r="K105" i="65"/>
  <c r="K104" i="65"/>
  <c r="M41" i="92" s="1"/>
  <c r="K103" i="65"/>
  <c r="M40" i="92" s="1"/>
  <c r="K102" i="65"/>
  <c r="M39" i="92" s="1"/>
  <c r="K99" i="65"/>
  <c r="M36" i="92" s="1"/>
  <c r="K98" i="65"/>
  <c r="M35" i="92" s="1"/>
  <c r="K97" i="65"/>
  <c r="K96" i="65"/>
  <c r="K95" i="65"/>
  <c r="K94" i="65"/>
  <c r="K92" i="65"/>
  <c r="M33" i="92" s="1"/>
  <c r="K90" i="65"/>
  <c r="K89" i="65"/>
  <c r="K88" i="65"/>
  <c r="K87" i="65"/>
  <c r="K85" i="65"/>
  <c r="K84" i="65"/>
  <c r="K83" i="65"/>
  <c r="K81" i="65"/>
  <c r="K80" i="65"/>
  <c r="K78" i="65"/>
  <c r="K77" i="65"/>
  <c r="K76" i="65"/>
  <c r="K75" i="65"/>
  <c r="K73" i="65"/>
  <c r="M31" i="92" s="1"/>
  <c r="K72" i="65"/>
  <c r="M30" i="92" s="1"/>
  <c r="K71" i="65"/>
  <c r="M29" i="92" s="1"/>
  <c r="K70" i="65"/>
  <c r="K69" i="65"/>
  <c r="K68" i="65"/>
  <c r="K67" i="65"/>
  <c r="K66" i="65"/>
  <c r="M28" i="92" s="1"/>
  <c r="K65" i="65"/>
  <c r="M27" i="92" s="1"/>
  <c r="K63" i="65"/>
  <c r="K62" i="65"/>
  <c r="K61" i="65"/>
  <c r="K60" i="65"/>
  <c r="K59" i="65"/>
  <c r="K58" i="65"/>
  <c r="K57" i="65"/>
  <c r="K56" i="65"/>
  <c r="K55" i="65"/>
  <c r="K54" i="65"/>
  <c r="K53" i="65"/>
  <c r="K52" i="65"/>
  <c r="K51" i="65"/>
  <c r="K50" i="65"/>
  <c r="M21" i="92" s="1"/>
  <c r="K49" i="65"/>
  <c r="K48" i="65"/>
  <c r="K47" i="65"/>
  <c r="K46" i="65"/>
  <c r="K45" i="65"/>
  <c r="K44" i="65"/>
  <c r="K43" i="65"/>
  <c r="K42" i="65"/>
  <c r="K41" i="65"/>
  <c r="K40" i="65"/>
  <c r="M20" i="92" s="1"/>
  <c r="K39" i="65"/>
  <c r="M19" i="92" s="1"/>
  <c r="K38" i="65"/>
  <c r="K37" i="65"/>
  <c r="K36" i="65"/>
  <c r="K35" i="65"/>
  <c r="K34" i="65"/>
  <c r="K33" i="65"/>
  <c r="M18" i="92" s="1"/>
  <c r="K32" i="65"/>
  <c r="M17" i="92" s="1"/>
  <c r="K31" i="65"/>
  <c r="K30" i="65"/>
  <c r="K29" i="65"/>
  <c r="K28" i="65"/>
  <c r="K27" i="65"/>
  <c r="K26" i="65"/>
  <c r="K25" i="65"/>
  <c r="K24" i="65"/>
  <c r="K22" i="65"/>
  <c r="K21" i="65"/>
  <c r="K19" i="65"/>
  <c r="K18" i="65"/>
  <c r="K17" i="65"/>
  <c r="K16" i="65"/>
  <c r="K12" i="65"/>
  <c r="M14" i="92" s="1"/>
  <c r="K11" i="65"/>
  <c r="M13" i="92" s="1"/>
  <c r="K10" i="65"/>
  <c r="M12" i="92" s="1"/>
  <c r="K9" i="65"/>
  <c r="K7" i="65"/>
  <c r="K6" i="65"/>
  <c r="N14" i="92" l="1"/>
  <c r="O14" i="92" s="1"/>
  <c r="N76" i="92"/>
  <c r="O76" i="92" s="1"/>
  <c r="N69" i="92"/>
  <c r="O69" i="92" s="1"/>
  <c r="N50" i="92"/>
  <c r="O50" i="92" s="1"/>
  <c r="N280" i="92"/>
  <c r="O280" i="92" s="1"/>
  <c r="N352" i="92"/>
  <c r="O352" i="92" s="1"/>
  <c r="N460" i="92"/>
  <c r="O460" i="92" s="1"/>
  <c r="N35" i="92"/>
  <c r="O35" i="92" s="1"/>
  <c r="N70" i="92"/>
  <c r="O70" i="92" s="1"/>
  <c r="N145" i="92"/>
  <c r="O145" i="92" s="1"/>
  <c r="N156" i="92"/>
  <c r="O156" i="92" s="1"/>
  <c r="N164" i="92"/>
  <c r="O164" i="92" s="1"/>
  <c r="N238" i="92"/>
  <c r="O238" i="92" s="1"/>
  <c r="N253" i="92"/>
  <c r="O253" i="92" s="1"/>
  <c r="N274" i="92"/>
  <c r="O274" i="92" s="1"/>
  <c r="N307" i="92"/>
  <c r="O307" i="92" s="1"/>
  <c r="N326" i="92"/>
  <c r="O326" i="92" s="1"/>
  <c r="N337" i="92"/>
  <c r="O337" i="92" s="1"/>
  <c r="N339" i="92"/>
  <c r="O339" i="92" s="1"/>
  <c r="N353" i="92"/>
  <c r="O353" i="92" s="1"/>
  <c r="N360" i="92"/>
  <c r="O360" i="92" s="1"/>
  <c r="N375" i="92"/>
  <c r="O375" i="92" s="1"/>
  <c r="N425" i="92"/>
  <c r="O425" i="92" s="1"/>
  <c r="N441" i="92"/>
  <c r="O441" i="92" s="1"/>
  <c r="N456" i="92"/>
  <c r="O456" i="92" s="1"/>
  <c r="N147" i="92"/>
  <c r="O147" i="92" s="1"/>
  <c r="N336" i="92"/>
  <c r="O336" i="92" s="1"/>
  <c r="N433" i="92"/>
  <c r="O433" i="92" s="1"/>
  <c r="N440" i="92"/>
  <c r="O440" i="92" s="1"/>
  <c r="N64" i="92"/>
  <c r="O64" i="92" s="1"/>
  <c r="N85" i="92"/>
  <c r="O85" i="92" s="1"/>
  <c r="N17" i="92"/>
  <c r="O17" i="92" s="1"/>
  <c r="N36" i="92"/>
  <c r="O36" i="92" s="1"/>
  <c r="N65" i="92"/>
  <c r="O65" i="92" s="1"/>
  <c r="N71" i="92"/>
  <c r="O71" i="92" s="1"/>
  <c r="N77" i="92"/>
  <c r="O77" i="92" s="1"/>
  <c r="N86" i="92"/>
  <c r="O86" i="92" s="1"/>
  <c r="N103" i="92"/>
  <c r="O103" i="92" s="1"/>
  <c r="N117" i="92"/>
  <c r="O117" i="92" s="1"/>
  <c r="N125" i="92"/>
  <c r="O125" i="92" s="1"/>
  <c r="N134" i="92"/>
  <c r="O134" i="92" s="1"/>
  <c r="N141" i="92"/>
  <c r="O141" i="92" s="1"/>
  <c r="N148" i="92"/>
  <c r="O148" i="92" s="1"/>
  <c r="N153" i="92"/>
  <c r="O153" i="92" s="1"/>
  <c r="N166" i="92"/>
  <c r="O166" i="92" s="1"/>
  <c r="N168" i="92"/>
  <c r="O168" i="92" s="1"/>
  <c r="N239" i="92"/>
  <c r="O239" i="92" s="1"/>
  <c r="N316" i="92"/>
  <c r="O316" i="92" s="1"/>
  <c r="N327" i="92"/>
  <c r="O327" i="92" s="1"/>
  <c r="N348" i="92"/>
  <c r="O348" i="92" s="1"/>
  <c r="N367" i="92"/>
  <c r="O367" i="92" s="1"/>
  <c r="N376" i="92"/>
  <c r="O376" i="92" s="1"/>
  <c r="N412" i="92"/>
  <c r="O412" i="92" s="1"/>
  <c r="N426" i="92"/>
  <c r="O426" i="92" s="1"/>
  <c r="N434" i="92"/>
  <c r="O434" i="92" s="1"/>
  <c r="N270" i="92"/>
  <c r="O270" i="92" s="1"/>
  <c r="N344" i="92"/>
  <c r="O344" i="92" s="1"/>
  <c r="N72" i="92"/>
  <c r="O72" i="92" s="1"/>
  <c r="N122" i="92"/>
  <c r="O122" i="92" s="1"/>
  <c r="N129" i="92"/>
  <c r="O129" i="92" s="1"/>
  <c r="N142" i="92"/>
  <c r="O142" i="92" s="1"/>
  <c r="N149" i="92"/>
  <c r="O149" i="92" s="1"/>
  <c r="N240" i="92"/>
  <c r="O240" i="92" s="1"/>
  <c r="N312" i="92"/>
  <c r="O312" i="92" s="1"/>
  <c r="N317" i="92"/>
  <c r="O317" i="92" s="1"/>
  <c r="N328" i="92"/>
  <c r="O328" i="92" s="1"/>
  <c r="N340" i="92"/>
  <c r="O340" i="92" s="1"/>
  <c r="N368" i="92"/>
  <c r="O368" i="92" s="1"/>
  <c r="N377" i="92"/>
  <c r="O377" i="92" s="1"/>
  <c r="N386" i="92"/>
  <c r="O386" i="92" s="1"/>
  <c r="N394" i="92"/>
  <c r="O394" i="92" s="1"/>
  <c r="N401" i="92"/>
  <c r="O401" i="92" s="1"/>
  <c r="N446" i="92"/>
  <c r="O446" i="92" s="1"/>
  <c r="N237" i="92"/>
  <c r="O237" i="92" s="1"/>
  <c r="N424" i="92"/>
  <c r="O424" i="92" s="1"/>
  <c r="N18" i="92"/>
  <c r="O18" i="92" s="1"/>
  <c r="N39" i="92"/>
  <c r="O39" i="92" s="1"/>
  <c r="N66" i="92"/>
  <c r="O66" i="92" s="1"/>
  <c r="N98" i="92"/>
  <c r="O98" i="92" s="1"/>
  <c r="N29" i="92"/>
  <c r="O29" i="92" s="1"/>
  <c r="N40" i="92"/>
  <c r="O40" i="92" s="1"/>
  <c r="N47" i="92"/>
  <c r="O47" i="92" s="1"/>
  <c r="N101" i="92"/>
  <c r="O101" i="92" s="1"/>
  <c r="N104" i="92"/>
  <c r="O104" i="92" s="1"/>
  <c r="N109" i="92"/>
  <c r="O109" i="92" s="1"/>
  <c r="N157" i="92"/>
  <c r="O157" i="92" s="1"/>
  <c r="N241" i="92"/>
  <c r="O241" i="92" s="1"/>
  <c r="N258" i="92"/>
  <c r="O258" i="92" s="1"/>
  <c r="N338" i="92"/>
  <c r="O338" i="92" s="1"/>
  <c r="N355" i="92"/>
  <c r="O355" i="92" s="1"/>
  <c r="N369" i="92"/>
  <c r="O369" i="92" s="1"/>
  <c r="N378" i="92"/>
  <c r="O378" i="92" s="1"/>
  <c r="N387" i="92"/>
  <c r="O387" i="92" s="1"/>
  <c r="N395" i="92"/>
  <c r="O395" i="92" s="1"/>
  <c r="N402" i="92"/>
  <c r="O402" i="92" s="1"/>
  <c r="N409" i="92"/>
  <c r="O409" i="92" s="1"/>
  <c r="N427" i="92"/>
  <c r="O427" i="92" s="1"/>
  <c r="N435" i="92"/>
  <c r="O435" i="92" s="1"/>
  <c r="N261" i="92"/>
  <c r="O261" i="92" s="1"/>
  <c r="N30" i="92"/>
  <c r="O30" i="92" s="1"/>
  <c r="N41" i="92"/>
  <c r="O41" i="92" s="1"/>
  <c r="N94" i="92"/>
  <c r="O94" i="92" s="1"/>
  <c r="N107" i="92"/>
  <c r="O107" i="92" s="1"/>
  <c r="N113" i="92"/>
  <c r="O113" i="92" s="1"/>
  <c r="N126" i="92"/>
  <c r="O126" i="92" s="1"/>
  <c r="N133" i="92"/>
  <c r="O133" i="92" s="1"/>
  <c r="N135" i="92"/>
  <c r="O135" i="92" s="1"/>
  <c r="N158" i="92"/>
  <c r="O158" i="92" s="1"/>
  <c r="N242" i="92"/>
  <c r="O242" i="92" s="1"/>
  <c r="N259" i="92"/>
  <c r="O259" i="92" s="1"/>
  <c r="N265" i="92"/>
  <c r="O265" i="92" s="1"/>
  <c r="N282" i="92"/>
  <c r="O282" i="92" s="1"/>
  <c r="N319" i="92"/>
  <c r="O319" i="92" s="1"/>
  <c r="N329" i="92"/>
  <c r="O329" i="92" s="1"/>
  <c r="N341" i="92"/>
  <c r="O341" i="92" s="1"/>
  <c r="N356" i="92"/>
  <c r="O356" i="92" s="1"/>
  <c r="N396" i="92"/>
  <c r="O396" i="92" s="1"/>
  <c r="N403" i="92"/>
  <c r="O403" i="92" s="1"/>
  <c r="N420" i="92"/>
  <c r="O420" i="92" s="1"/>
  <c r="N436" i="92"/>
  <c r="O436" i="92" s="1"/>
  <c r="N447" i="92"/>
  <c r="O447" i="92" s="1"/>
  <c r="N139" i="92"/>
  <c r="O139" i="92" s="1"/>
  <c r="N83" i="92"/>
  <c r="O83" i="92" s="1"/>
  <c r="N186" i="92"/>
  <c r="O186" i="92" s="1"/>
  <c r="N200" i="92"/>
  <c r="O200" i="92" s="1"/>
  <c r="N221" i="92"/>
  <c r="O221" i="92" s="1"/>
  <c r="N346" i="92"/>
  <c r="O346" i="92" s="1"/>
  <c r="N219" i="92"/>
  <c r="O219" i="92" s="1"/>
  <c r="N45" i="92"/>
  <c r="O45" i="92" s="1"/>
  <c r="N56" i="92"/>
  <c r="O56" i="92" s="1"/>
  <c r="N61" i="92"/>
  <c r="O61" i="92" s="1"/>
  <c r="N175" i="92"/>
  <c r="O175" i="92" s="1"/>
  <c r="N178" i="92"/>
  <c r="O178" i="92" s="1"/>
  <c r="N181" i="92"/>
  <c r="O181" i="92" s="1"/>
  <c r="N184" i="92"/>
  <c r="O184" i="92" s="1"/>
  <c r="N260" i="92"/>
  <c r="O260" i="92" s="1"/>
  <c r="N393" i="92"/>
  <c r="O393" i="92" s="1"/>
  <c r="N37" i="92"/>
  <c r="O37" i="92" s="1"/>
  <c r="N199" i="92"/>
  <c r="O199" i="92" s="1"/>
  <c r="N208" i="92"/>
  <c r="O208" i="92" s="1"/>
  <c r="N211" i="92"/>
  <c r="O211" i="92" s="1"/>
  <c r="N335" i="92"/>
  <c r="O335" i="92" s="1"/>
  <c r="N372" i="92"/>
  <c r="O372" i="92" s="1"/>
  <c r="N202" i="92"/>
  <c r="O202" i="92" s="1"/>
  <c r="N205" i="92"/>
  <c r="O205" i="92" s="1"/>
  <c r="N223" i="92"/>
  <c r="O223" i="92" s="1"/>
  <c r="N308" i="92"/>
  <c r="O308" i="92" s="1"/>
  <c r="N11" i="92"/>
  <c r="O11" i="92" s="1"/>
  <c r="N16" i="92"/>
  <c r="O16" i="92" s="1"/>
  <c r="N44" i="92"/>
  <c r="O44" i="92" s="1"/>
  <c r="N212" i="92"/>
  <c r="O212" i="92" s="1"/>
  <c r="N364" i="92"/>
  <c r="O364" i="92" s="1"/>
  <c r="N291" i="92"/>
  <c r="O291" i="92" s="1"/>
  <c r="N187" i="92"/>
  <c r="O187" i="92" s="1"/>
  <c r="N449" i="92"/>
  <c r="O449" i="92" s="1"/>
  <c r="N234" i="92"/>
  <c r="O234" i="92" s="1"/>
  <c r="N281" i="92"/>
  <c r="O281" i="92" s="1"/>
  <c r="N392" i="92"/>
  <c r="O392" i="92" s="1"/>
  <c r="N191" i="92"/>
  <c r="O191" i="92" s="1"/>
  <c r="N220" i="92"/>
  <c r="O220" i="92" s="1"/>
  <c r="N176" i="92"/>
  <c r="O176" i="92" s="1"/>
  <c r="N79" i="92"/>
  <c r="O79" i="92" s="1"/>
  <c r="N201" i="92"/>
  <c r="O201" i="92" s="1"/>
  <c r="N452" i="92"/>
  <c r="O452" i="92" s="1"/>
  <c r="N318" i="92"/>
  <c r="O318" i="92" s="1"/>
  <c r="N185" i="92"/>
  <c r="O185" i="92" s="1"/>
  <c r="N54" i="92"/>
  <c r="O54" i="92" s="1"/>
  <c r="N198" i="92"/>
  <c r="O198" i="92" s="1"/>
  <c r="N431" i="92"/>
  <c r="O431" i="92" s="1"/>
  <c r="N309" i="92"/>
  <c r="O309" i="92" s="1"/>
  <c r="N390" i="92"/>
  <c r="O390" i="92" s="1"/>
  <c r="N203" i="92"/>
  <c r="O203" i="92" s="1"/>
  <c r="N284" i="92"/>
  <c r="O284" i="92" s="1"/>
  <c r="N53" i="92"/>
  <c r="O53" i="92" s="1"/>
  <c r="N286" i="92"/>
  <c r="O286" i="92" s="1"/>
  <c r="N67" i="92"/>
  <c r="O67" i="92" s="1"/>
  <c r="N222" i="92"/>
  <c r="O222" i="92" s="1"/>
  <c r="N183" i="92"/>
  <c r="O183" i="92" s="1"/>
  <c r="N272" i="92"/>
  <c r="O272" i="92" s="1"/>
  <c r="N194" i="92"/>
  <c r="O194" i="92" s="1"/>
  <c r="N347" i="92"/>
  <c r="O347" i="92" s="1"/>
  <c r="N9" i="92"/>
  <c r="O9" i="92" s="1"/>
  <c r="N365" i="92"/>
  <c r="O365" i="92" s="1"/>
  <c r="N55" i="92"/>
  <c r="O55" i="92" s="1"/>
  <c r="N289" i="92"/>
  <c r="O289" i="92" s="1"/>
  <c r="N46" i="92"/>
  <c r="O46" i="92" s="1"/>
  <c r="N279" i="92"/>
  <c r="O279" i="92" s="1"/>
  <c r="N204" i="92"/>
  <c r="O204" i="92" s="1"/>
  <c r="N24" i="92"/>
  <c r="O24" i="92" s="1"/>
  <c r="N180" i="92"/>
  <c r="O180" i="92" s="1"/>
  <c r="N250" i="92"/>
  <c r="O250" i="92" s="1"/>
  <c r="N25" i="92"/>
  <c r="O25" i="92" s="1"/>
  <c r="N453" i="92"/>
  <c r="O453" i="92" s="1"/>
  <c r="N88" i="92"/>
  <c r="O88" i="92" s="1"/>
  <c r="N210" i="92"/>
  <c r="O210" i="92" s="1"/>
  <c r="N171" i="92"/>
  <c r="O171" i="92" s="1"/>
  <c r="N444" i="92"/>
  <c r="O444" i="92" s="1"/>
  <c r="N306" i="92"/>
  <c r="O306" i="92" s="1"/>
  <c r="N32" i="92"/>
  <c r="O32" i="92" s="1"/>
  <c r="N87" i="92"/>
  <c r="O87" i="92" s="1"/>
  <c r="N172" i="92"/>
  <c r="O172" i="92" s="1"/>
  <c r="N334" i="92"/>
  <c r="O334" i="92" s="1"/>
  <c r="N182" i="92"/>
  <c r="O182" i="92" s="1"/>
  <c r="N389" i="92"/>
  <c r="O389" i="92" s="1"/>
  <c r="N26" i="92"/>
  <c r="O26" i="92" s="1"/>
  <c r="N288" i="92"/>
  <c r="O288" i="92" s="1"/>
  <c r="N63" i="92"/>
  <c r="O63" i="92" s="1"/>
  <c r="N218" i="92"/>
  <c r="O218" i="92" s="1"/>
  <c r="N10" i="92"/>
  <c r="O10" i="92" s="1"/>
  <c r="N292" i="92"/>
  <c r="O292" i="92" s="1"/>
  <c r="N84" i="92"/>
  <c r="O84" i="92" s="1"/>
  <c r="N177" i="92"/>
  <c r="O177" i="92" s="1"/>
  <c r="N215" i="92"/>
  <c r="O215" i="92" s="1"/>
  <c r="N90" i="92"/>
  <c r="O90" i="92" s="1"/>
  <c r="N179" i="92"/>
  <c r="O179" i="92" s="1"/>
  <c r="N34" i="92"/>
  <c r="O34" i="92" s="1"/>
  <c r="N325" i="92"/>
  <c r="O325" i="92" s="1"/>
  <c r="N287" i="92"/>
  <c r="O287" i="92" s="1"/>
  <c r="N206" i="92"/>
  <c r="O206" i="92" s="1"/>
  <c r="N174" i="92"/>
  <c r="O174" i="92" s="1"/>
  <c r="N197" i="92"/>
  <c r="O197" i="92" s="1"/>
  <c r="N59" i="92"/>
  <c r="O59" i="92" s="1"/>
  <c r="N52" i="92"/>
  <c r="O52" i="92" s="1"/>
  <c r="N263" i="92"/>
  <c r="O263" i="92" s="1"/>
  <c r="N407" i="92"/>
  <c r="O407" i="92" s="1"/>
  <c r="N73" i="92"/>
  <c r="O73" i="92" s="1"/>
  <c r="N283" i="92"/>
  <c r="O283" i="92" s="1"/>
  <c r="N81" i="92"/>
  <c r="O81" i="92" s="1"/>
  <c r="N195" i="92"/>
  <c r="O195" i="92" s="1"/>
  <c r="N416" i="92"/>
  <c r="O416" i="92" s="1"/>
  <c r="N214" i="92"/>
  <c r="O214" i="92" s="1"/>
  <c r="N276" i="92"/>
  <c r="O276" i="92" s="1"/>
  <c r="N217" i="92"/>
  <c r="O217" i="92" s="1"/>
  <c r="N278" i="92"/>
  <c r="O278" i="92" s="1"/>
  <c r="N293" i="92"/>
  <c r="O293" i="92" s="1"/>
  <c r="N257" i="92"/>
  <c r="O257" i="92" s="1"/>
  <c r="N78" i="92"/>
  <c r="O78" i="92" s="1"/>
  <c r="N51" i="92"/>
  <c r="O51" i="92" s="1"/>
  <c r="N418" i="92"/>
  <c r="O418" i="92" s="1"/>
  <c r="N302" i="92"/>
  <c r="O302" i="92" s="1"/>
  <c r="N252" i="92"/>
  <c r="O252" i="92" s="1"/>
  <c r="N343" i="92"/>
  <c r="O343" i="92" s="1"/>
  <c r="N271" i="92"/>
  <c r="O271" i="92" s="1"/>
  <c r="N68" i="92"/>
  <c r="O68" i="92" s="1"/>
  <c r="N193" i="92"/>
  <c r="O193" i="92" s="1"/>
  <c r="N419" i="92"/>
  <c r="O419" i="92" s="1"/>
  <c r="N22" i="92"/>
  <c r="O22" i="92" s="1"/>
  <c r="N379" i="92"/>
  <c r="O379" i="92" s="1"/>
  <c r="N448" i="92"/>
  <c r="O448" i="92" s="1"/>
  <c r="N273" i="92"/>
  <c r="O273" i="92" s="1"/>
  <c r="N173" i="92"/>
  <c r="O173" i="92" s="1"/>
  <c r="N275" i="92"/>
  <c r="O275" i="92" s="1"/>
  <c r="N262" i="92"/>
  <c r="O262" i="92" s="1"/>
  <c r="N305" i="92"/>
  <c r="O305" i="92" s="1"/>
  <c r="N445" i="92"/>
  <c r="O445" i="92" s="1"/>
  <c r="N255" i="92"/>
  <c r="O255" i="92" s="1"/>
  <c r="N58" i="92"/>
  <c r="O58" i="92" s="1"/>
  <c r="N23" i="92"/>
  <c r="O23" i="92" s="1"/>
  <c r="N228" i="92"/>
  <c r="O228" i="92" s="1"/>
  <c r="N224" i="92"/>
  <c r="O224" i="92" s="1"/>
  <c r="N60" i="92"/>
  <c r="O60" i="92" s="1"/>
  <c r="N189" i="92"/>
  <c r="O189" i="92" s="1"/>
  <c r="N408" i="92"/>
  <c r="O408" i="92" s="1"/>
  <c r="N457" i="92"/>
  <c r="O457" i="92" s="1"/>
  <c r="N342" i="92"/>
  <c r="O342" i="92" s="1"/>
  <c r="N363" i="92"/>
  <c r="O363" i="92" s="1"/>
  <c r="N264" i="92"/>
  <c r="O264" i="92" s="1"/>
  <c r="N170" i="92"/>
  <c r="O170" i="92" s="1"/>
  <c r="N192" i="92"/>
  <c r="O192" i="92" s="1"/>
  <c r="N301" i="92"/>
  <c r="O301" i="92" s="1"/>
  <c r="N209" i="92"/>
  <c r="O209" i="92" s="1"/>
  <c r="N207" i="92"/>
  <c r="O207" i="92" s="1"/>
  <c r="N15" i="92"/>
  <c r="O15" i="92" s="1"/>
  <c r="N38" i="92"/>
  <c r="O38" i="92" s="1"/>
  <c r="N297" i="92"/>
  <c r="O297" i="92" s="1"/>
  <c r="N213" i="92"/>
  <c r="O213" i="92" s="1"/>
  <c r="N57" i="92"/>
  <c r="O57" i="92" s="1"/>
  <c r="N414" i="92"/>
  <c r="O414" i="92" s="1"/>
  <c r="N413" i="92"/>
  <c r="O413" i="92" s="1"/>
  <c r="N451" i="92"/>
  <c r="O451" i="92" s="1"/>
  <c r="N268" i="92"/>
  <c r="O268" i="92" s="1"/>
  <c r="N354" i="92"/>
  <c r="O354" i="92" s="1"/>
  <c r="N196" i="92"/>
  <c r="O196" i="92" s="1"/>
  <c r="N89" i="92"/>
  <c r="O89" i="92" s="1"/>
  <c r="N216" i="92"/>
  <c r="O216" i="92" s="1"/>
  <c r="N311" i="92"/>
  <c r="O311" i="92" s="1"/>
  <c r="N190" i="92"/>
  <c r="O190" i="92" s="1"/>
  <c r="N188" i="92"/>
  <c r="O188" i="92" s="1"/>
  <c r="N310" i="92"/>
  <c r="O310" i="92" s="1"/>
  <c r="N298" i="92"/>
  <c r="O298" i="92" s="1"/>
  <c r="N443" i="92"/>
  <c r="O443" i="92" s="1"/>
  <c r="N362" i="92"/>
  <c r="O362" i="92" s="1"/>
  <c r="N388" i="92"/>
  <c r="O388" i="92" s="1"/>
  <c r="N333" i="92"/>
  <c r="O333" i="92" s="1"/>
  <c r="N251" i="92"/>
  <c r="O251" i="92" s="1"/>
  <c r="N361" i="92"/>
  <c r="O361" i="92" s="1"/>
  <c r="N442" i="92"/>
  <c r="O442" i="92" s="1"/>
  <c r="N254" i="92"/>
  <c r="O254" i="92" s="1"/>
  <c r="N450" i="92"/>
  <c r="O450" i="92" s="1"/>
  <c r="D13" i="40" s="1"/>
  <c r="N243" i="92"/>
  <c r="O243" i="92" s="1"/>
  <c r="N256" i="92"/>
  <c r="O256" i="92" s="1"/>
  <c r="N229" i="92"/>
  <c r="O229" i="92" s="1"/>
  <c r="N225" i="92"/>
  <c r="O225" i="92" s="1"/>
  <c r="N233" i="92"/>
  <c r="O233" i="92" s="1"/>
  <c r="N231" i="92"/>
  <c r="O231" i="92" s="1"/>
  <c r="N227" i="92"/>
  <c r="O227" i="92" s="1"/>
  <c r="N230" i="92"/>
  <c r="O230" i="92" s="1"/>
  <c r="N226" i="92"/>
  <c r="O226" i="92" s="1"/>
  <c r="N232" i="92"/>
  <c r="O232" i="92" s="1"/>
  <c r="N295" i="92"/>
  <c r="O295" i="92" s="1"/>
  <c r="N294" i="92"/>
  <c r="O294" i="92" s="1"/>
  <c r="N296" i="92"/>
  <c r="O296" i="92" s="1"/>
  <c r="N112" i="92"/>
  <c r="O112" i="92" s="1"/>
  <c r="N130" i="92"/>
  <c r="O130" i="92" s="1"/>
  <c r="N143" i="92"/>
  <c r="O143" i="92" s="1"/>
  <c r="N151" i="92"/>
  <c r="O151" i="92" s="1"/>
  <c r="N154" i="92"/>
  <c r="O154" i="92" s="1"/>
  <c r="N160" i="92"/>
  <c r="O160" i="92" s="1"/>
  <c r="N165" i="92"/>
  <c r="O165" i="92" s="1"/>
  <c r="N167" i="92"/>
  <c r="O167" i="92" s="1"/>
  <c r="N244" i="92"/>
  <c r="O244" i="92" s="1"/>
  <c r="N266" i="92"/>
  <c r="O266" i="92" s="1"/>
  <c r="N285" i="92"/>
  <c r="O285" i="92" s="1"/>
  <c r="N320" i="92"/>
  <c r="O320" i="92" s="1"/>
  <c r="N330" i="92"/>
  <c r="O330" i="92" s="1"/>
  <c r="N345" i="92"/>
  <c r="O345" i="92" s="1"/>
  <c r="N370" i="92"/>
  <c r="O370" i="92" s="1"/>
  <c r="N380" i="92"/>
  <c r="O380" i="92" s="1"/>
  <c r="N404" i="92"/>
  <c r="O404" i="92" s="1"/>
  <c r="N415" i="92"/>
  <c r="O415" i="92" s="1"/>
  <c r="N421" i="92"/>
  <c r="O421" i="92" s="1"/>
  <c r="N428" i="92"/>
  <c r="O428" i="92" s="1"/>
  <c r="N115" i="92"/>
  <c r="O115" i="92" s="1"/>
  <c r="N102" i="92"/>
  <c r="O102" i="92" s="1"/>
  <c r="N91" i="92"/>
  <c r="O91" i="92" s="1"/>
  <c r="N120" i="92"/>
  <c r="O120" i="92" s="1"/>
  <c r="N159" i="92"/>
  <c r="O159" i="92" s="1"/>
  <c r="N163" i="92"/>
  <c r="O163" i="92" s="1"/>
  <c r="N169" i="92"/>
  <c r="O169" i="92" s="1"/>
  <c r="N245" i="92"/>
  <c r="O245" i="92" s="1"/>
  <c r="N267" i="92"/>
  <c r="O267" i="92" s="1"/>
  <c r="N277" i="92"/>
  <c r="O277" i="92" s="1"/>
  <c r="N290" i="92"/>
  <c r="O290" i="92" s="1"/>
  <c r="D8" i="40" s="1"/>
  <c r="N299" i="92"/>
  <c r="O299" i="92" s="1"/>
  <c r="N357" i="92"/>
  <c r="O357" i="92" s="1"/>
  <c r="N371" i="92"/>
  <c r="O371" i="92" s="1"/>
  <c r="N381" i="92"/>
  <c r="O381" i="92" s="1"/>
  <c r="N397" i="92"/>
  <c r="O397" i="92" s="1"/>
  <c r="N405" i="92"/>
  <c r="O405" i="92" s="1"/>
  <c r="N410" i="92"/>
  <c r="O410" i="92" s="1"/>
  <c r="N429" i="92"/>
  <c r="O429" i="92" s="1"/>
  <c r="N437" i="92"/>
  <c r="O437" i="92" s="1"/>
  <c r="N161" i="92"/>
  <c r="O161" i="92" s="1"/>
  <c r="N100" i="92"/>
  <c r="O100" i="92" s="1"/>
  <c r="N146" i="92"/>
  <c r="O146" i="92" s="1"/>
  <c r="N21" i="92"/>
  <c r="O21" i="92" s="1"/>
  <c r="N49" i="92"/>
  <c r="O49" i="92" s="1"/>
  <c r="N96" i="92"/>
  <c r="O96" i="92" s="1"/>
  <c r="N123" i="92"/>
  <c r="O123" i="92" s="1"/>
  <c r="N144" i="92"/>
  <c r="O144" i="92" s="1"/>
  <c r="N150" i="92"/>
  <c r="O150" i="92" s="1"/>
  <c r="N246" i="92"/>
  <c r="O246" i="92" s="1"/>
  <c r="N300" i="92"/>
  <c r="O300" i="92" s="1"/>
  <c r="N321" i="92"/>
  <c r="O321" i="92" s="1"/>
  <c r="N366" i="92"/>
  <c r="O366" i="92" s="1"/>
  <c r="N382" i="92"/>
  <c r="O382" i="92" s="1"/>
  <c r="N391" i="92"/>
  <c r="O391" i="92" s="1"/>
  <c r="N398" i="92"/>
  <c r="O398" i="92" s="1"/>
  <c r="N406" i="92"/>
  <c r="O406" i="92" s="1"/>
  <c r="N411" i="92"/>
  <c r="O411" i="92" s="1"/>
  <c r="N422" i="92"/>
  <c r="O422" i="92" s="1"/>
  <c r="N430" i="92"/>
  <c r="O430" i="92" s="1"/>
  <c r="N438" i="92"/>
  <c r="O438" i="92" s="1"/>
  <c r="N454" i="92"/>
  <c r="O454" i="92" s="1"/>
  <c r="N124" i="92"/>
  <c r="O124" i="92" s="1"/>
  <c r="N80" i="92"/>
  <c r="O80" i="92" s="1"/>
  <c r="D40" i="40" s="1"/>
  <c r="E40" i="40" s="1"/>
  <c r="F40" i="40" s="1"/>
  <c r="N118" i="92"/>
  <c r="O118" i="92" s="1"/>
  <c r="N48" i="92"/>
  <c r="O48" i="92" s="1"/>
  <c r="N106" i="92"/>
  <c r="O106" i="92" s="1"/>
  <c r="N140" i="92"/>
  <c r="O140" i="92" s="1"/>
  <c r="N43" i="92"/>
  <c r="O43" i="92" s="1"/>
  <c r="N114" i="92"/>
  <c r="O114" i="92" s="1"/>
  <c r="N127" i="92"/>
  <c r="O127" i="92" s="1"/>
  <c r="N82" i="92"/>
  <c r="O82" i="92" s="1"/>
  <c r="N93" i="92"/>
  <c r="O93" i="92" s="1"/>
  <c r="N99" i="92"/>
  <c r="O99" i="92" s="1"/>
  <c r="N105" i="92"/>
  <c r="O105" i="92" s="1"/>
  <c r="N119" i="92"/>
  <c r="O119" i="92" s="1"/>
  <c r="N131" i="92"/>
  <c r="O131" i="92" s="1"/>
  <c r="N247" i="92"/>
  <c r="O247" i="92" s="1"/>
  <c r="N303" i="92"/>
  <c r="O303" i="92" s="1"/>
  <c r="N313" i="92"/>
  <c r="O313" i="92" s="1"/>
  <c r="N322" i="92"/>
  <c r="O322" i="92" s="1"/>
  <c r="N350" i="92"/>
  <c r="O350" i="92" s="1"/>
  <c r="N358" i="92"/>
  <c r="O358" i="92" s="1"/>
  <c r="N383" i="92"/>
  <c r="O383" i="92" s="1"/>
  <c r="N399" i="92"/>
  <c r="O399" i="92" s="1"/>
  <c r="N423" i="92"/>
  <c r="O423" i="92" s="1"/>
  <c r="N455" i="92"/>
  <c r="O455" i="92" s="1"/>
  <c r="N249" i="92"/>
  <c r="O249" i="92" s="1"/>
  <c r="N31" i="92"/>
  <c r="O31" i="92" s="1"/>
  <c r="N110" i="92"/>
  <c r="O110" i="92" s="1"/>
  <c r="N42" i="92"/>
  <c r="O42" i="92" s="1"/>
  <c r="N108" i="92"/>
  <c r="O108" i="92" s="1"/>
  <c r="N136" i="92"/>
  <c r="O136" i="92" s="1"/>
  <c r="N33" i="92"/>
  <c r="O33" i="92" s="1"/>
  <c r="N92" i="92"/>
  <c r="O92" i="92" s="1"/>
  <c r="N137" i="92"/>
  <c r="O137" i="92" s="1"/>
  <c r="N12" i="92"/>
  <c r="O12" i="92" s="1"/>
  <c r="N19" i="92"/>
  <c r="O19" i="92" s="1"/>
  <c r="N13" i="92"/>
  <c r="O13" i="92" s="1"/>
  <c r="N20" i="92"/>
  <c r="O20" i="92" s="1"/>
  <c r="N27" i="92"/>
  <c r="O27" i="92" s="1"/>
  <c r="N74" i="92"/>
  <c r="O74" i="92" s="1"/>
  <c r="N128" i="92"/>
  <c r="O128" i="92" s="1"/>
  <c r="N152" i="92"/>
  <c r="O152" i="92" s="1"/>
  <c r="N162" i="92"/>
  <c r="O162" i="92" s="1"/>
  <c r="N235" i="92"/>
  <c r="O235" i="92" s="1"/>
  <c r="N314" i="92"/>
  <c r="O314" i="92" s="1"/>
  <c r="N323" i="92"/>
  <c r="O323" i="92" s="1"/>
  <c r="N331" i="92"/>
  <c r="O331" i="92" s="1"/>
  <c r="N359" i="92"/>
  <c r="O359" i="92" s="1"/>
  <c r="N373" i="92"/>
  <c r="O373" i="92" s="1"/>
  <c r="N384" i="92"/>
  <c r="O384" i="92" s="1"/>
  <c r="N400" i="92"/>
  <c r="O400" i="92" s="1"/>
  <c r="N458" i="92"/>
  <c r="O458" i="92" s="1"/>
  <c r="N116" i="92"/>
  <c r="O116" i="92" s="1"/>
  <c r="N28" i="92"/>
  <c r="O28" i="92" s="1"/>
  <c r="N62" i="92"/>
  <c r="O62" i="92" s="1"/>
  <c r="N75" i="92"/>
  <c r="O75" i="92" s="1"/>
  <c r="N95" i="92"/>
  <c r="O95" i="92" s="1"/>
  <c r="N97" i="92"/>
  <c r="O97" i="92" s="1"/>
  <c r="N111" i="92"/>
  <c r="O111" i="92" s="1"/>
  <c r="N121" i="92"/>
  <c r="O121" i="92" s="1"/>
  <c r="N132" i="92"/>
  <c r="O132" i="92" s="1"/>
  <c r="N138" i="92"/>
  <c r="O138" i="92" s="1"/>
  <c r="N155" i="92"/>
  <c r="O155" i="92" s="1"/>
  <c r="N236" i="92"/>
  <c r="O236" i="92" s="1"/>
  <c r="N248" i="92"/>
  <c r="O248" i="92" s="1"/>
  <c r="N269" i="92"/>
  <c r="O269" i="92" s="1"/>
  <c r="N304" i="92"/>
  <c r="O304" i="92" s="1"/>
  <c r="N315" i="92"/>
  <c r="O315" i="92" s="1"/>
  <c r="N324" i="92"/>
  <c r="O324" i="92" s="1"/>
  <c r="N332" i="92"/>
  <c r="O332" i="92" s="1"/>
  <c r="N351" i="92"/>
  <c r="O351" i="92" s="1"/>
  <c r="N374" i="92"/>
  <c r="O374" i="92" s="1"/>
  <c r="N385" i="92"/>
  <c r="O385" i="92" s="1"/>
  <c r="N417" i="92"/>
  <c r="O417" i="92" s="1"/>
  <c r="N432" i="92"/>
  <c r="O432" i="92" s="1"/>
  <c r="N439" i="92"/>
  <c r="O439" i="92" s="1"/>
  <c r="N459" i="92"/>
  <c r="O459" i="92" s="1"/>
  <c r="N349" i="92"/>
  <c r="O349" i="92" s="1"/>
  <c r="N8" i="92"/>
  <c r="O8" i="92" s="1"/>
  <c r="D9" i="40"/>
  <c r="D25" i="40"/>
  <c r="D12" i="40" l="1"/>
  <c r="E12" i="40" s="1"/>
  <c r="D30" i="40"/>
  <c r="E30" i="40" s="1"/>
  <c r="D21" i="40"/>
  <c r="D27" i="40"/>
  <c r="E27" i="40" s="1"/>
  <c r="D22" i="40"/>
  <c r="E22" i="40" s="1"/>
  <c r="F22" i="40" s="1"/>
  <c r="D32" i="40"/>
  <c r="E32" i="40" s="1"/>
  <c r="D29" i="40"/>
  <c r="E29" i="40" s="1"/>
  <c r="D28" i="40"/>
  <c r="D46" i="40"/>
  <c r="D14" i="40"/>
  <c r="D24" i="40"/>
  <c r="D23" i="40"/>
  <c r="D41" i="40"/>
  <c r="E41" i="40" s="1"/>
  <c r="F41" i="40" s="1"/>
  <c r="C153" i="60" s="1"/>
  <c r="D10" i="40"/>
  <c r="E10" i="40" s="1"/>
  <c r="E21" i="40"/>
  <c r="E13" i="40"/>
  <c r="D31" i="40"/>
  <c r="D26" i="40"/>
  <c r="E26" i="40" s="1"/>
  <c r="F26" i="40" s="1"/>
  <c r="D11" i="40"/>
  <c r="E11" i="40" s="1"/>
  <c r="G27" i="40"/>
  <c r="G10" i="40"/>
  <c r="G8" i="40"/>
  <c r="G32" i="40"/>
  <c r="G7" i="40"/>
  <c r="G12" i="40"/>
  <c r="G14" i="40"/>
  <c r="G47" i="40"/>
  <c r="G22" i="40"/>
  <c r="G24" i="40"/>
  <c r="G21" i="40"/>
  <c r="G23" i="40"/>
  <c r="G11" i="40"/>
  <c r="G28" i="40"/>
  <c r="G41" i="40"/>
  <c r="G45" i="40"/>
  <c r="G29" i="40"/>
  <c r="G46" i="40"/>
  <c r="D45" i="40"/>
  <c r="E45" i="40" s="1"/>
  <c r="D20" i="40"/>
  <c r="F20" i="40" s="1"/>
  <c r="D39" i="40"/>
  <c r="D47" i="40"/>
  <c r="E34" i="32"/>
  <c r="I34" i="32" s="1"/>
  <c r="J34" i="32" s="1"/>
  <c r="E35" i="32"/>
  <c r="I35" i="32" s="1"/>
  <c r="J35" i="32" s="1"/>
  <c r="E38" i="32"/>
  <c r="E39" i="32"/>
  <c r="E40" i="32"/>
  <c r="E41" i="32"/>
  <c r="I41" i="32" s="1"/>
  <c r="J41" i="32" s="1"/>
  <c r="E42" i="32"/>
  <c r="I42" i="32" s="1"/>
  <c r="J42" i="32" s="1"/>
  <c r="E43" i="32"/>
  <c r="I43" i="32" s="1"/>
  <c r="J43" i="32" s="1"/>
  <c r="E31" i="32"/>
  <c r="E32" i="32"/>
  <c r="E33" i="32"/>
  <c r="I33" i="32" s="1"/>
  <c r="J33" i="32" s="1"/>
  <c r="E30" i="32"/>
  <c r="E11" i="32"/>
  <c r="I11" i="32" s="1"/>
  <c r="J11" i="32" s="1"/>
  <c r="G182" i="82" s="1"/>
  <c r="E12" i="32"/>
  <c r="E13" i="32"/>
  <c r="E14" i="32"/>
  <c r="E15" i="32"/>
  <c r="I15" i="32" s="1"/>
  <c r="J15" i="32" s="1"/>
  <c r="G186" i="82" s="1"/>
  <c r="E16" i="32"/>
  <c r="E17" i="32"/>
  <c r="E18" i="32"/>
  <c r="E19" i="32"/>
  <c r="E20" i="32"/>
  <c r="I20" i="32" s="1"/>
  <c r="J20" i="32" s="1"/>
  <c r="E21" i="32"/>
  <c r="E22" i="32"/>
  <c r="E23" i="32"/>
  <c r="E24" i="32"/>
  <c r="E25" i="32"/>
  <c r="I25" i="32" s="1"/>
  <c r="J25" i="32" s="1"/>
  <c r="E26" i="32"/>
  <c r="E27" i="32"/>
  <c r="E28" i="32"/>
  <c r="E29" i="32"/>
  <c r="E10" i="32"/>
  <c r="I10" i="32" s="1"/>
  <c r="J10" i="32" s="1"/>
  <c r="I2168" i="65"/>
  <c r="I2166" i="65"/>
  <c r="I2165" i="65"/>
  <c r="I2164" i="65"/>
  <c r="I2163" i="65"/>
  <c r="I2162" i="65"/>
  <c r="I2161" i="65"/>
  <c r="I2160" i="65"/>
  <c r="I2159" i="65"/>
  <c r="L460" i="92" s="1"/>
  <c r="I2158" i="65"/>
  <c r="L459" i="92" s="1"/>
  <c r="I2157" i="65"/>
  <c r="L458" i="92" s="1"/>
  <c r="I2156" i="65"/>
  <c r="I2155" i="65"/>
  <c r="I2153" i="65"/>
  <c r="I2152" i="65"/>
  <c r="I2151" i="65"/>
  <c r="I2150" i="65"/>
  <c r="I2149" i="65"/>
  <c r="I2148" i="65"/>
  <c r="I2147" i="65"/>
  <c r="L456" i="92" s="1"/>
  <c r="I2146" i="65"/>
  <c r="I2145" i="65"/>
  <c r="I2144" i="65"/>
  <c r="I2143" i="65"/>
  <c r="L455" i="92" s="1"/>
  <c r="I2142" i="65"/>
  <c r="L454" i="92" s="1"/>
  <c r="I2138" i="65"/>
  <c r="I2136" i="65"/>
  <c r="I2135" i="65"/>
  <c r="I2134" i="65"/>
  <c r="I2133" i="65"/>
  <c r="I2132" i="65"/>
  <c r="L450" i="92" s="1"/>
  <c r="I2131" i="65"/>
  <c r="I2130" i="65"/>
  <c r="I2129" i="65"/>
  <c r="I2127" i="65"/>
  <c r="I2125" i="65"/>
  <c r="I2124" i="65"/>
  <c r="I2121" i="65"/>
  <c r="I2119" i="65"/>
  <c r="I2118" i="65"/>
  <c r="I2117" i="65"/>
  <c r="I2115" i="65"/>
  <c r="I2113" i="65"/>
  <c r="I2110" i="65"/>
  <c r="I2109" i="65"/>
  <c r="I2108" i="65"/>
  <c r="I2105" i="65"/>
  <c r="I2103" i="65"/>
  <c r="L447" i="92" s="1"/>
  <c r="I2102" i="65"/>
  <c r="I2101" i="65"/>
  <c r="L446" i="92" s="1"/>
  <c r="I2100" i="65"/>
  <c r="I2099" i="65"/>
  <c r="I2098" i="65"/>
  <c r="I2097" i="65"/>
  <c r="I2096" i="65"/>
  <c r="I2095" i="65"/>
  <c r="I2094" i="65"/>
  <c r="I2093" i="65"/>
  <c r="I2092" i="65"/>
  <c r="I2091" i="65"/>
  <c r="I2086" i="65"/>
  <c r="I2085" i="65"/>
  <c r="I2084" i="65"/>
  <c r="I2083" i="65"/>
  <c r="L441" i="92" s="1"/>
  <c r="I2082" i="65"/>
  <c r="L440" i="92" s="1"/>
  <c r="I2081" i="65"/>
  <c r="L439" i="92" s="1"/>
  <c r="I2080" i="65"/>
  <c r="I2079" i="65"/>
  <c r="I2078" i="65"/>
  <c r="L438" i="92" s="1"/>
  <c r="I2077" i="65"/>
  <c r="L437" i="92" s="1"/>
  <c r="I2076" i="65"/>
  <c r="I2075" i="65"/>
  <c r="L436" i="92" s="1"/>
  <c r="I2074" i="65"/>
  <c r="L435" i="92" s="1"/>
  <c r="I2073" i="65"/>
  <c r="I2072" i="65"/>
  <c r="L434" i="92" s="1"/>
  <c r="I2071" i="65"/>
  <c r="I2070" i="65"/>
  <c r="L433" i="92" s="1"/>
  <c r="I2069" i="65"/>
  <c r="L432" i="92" s="1"/>
  <c r="I2067" i="65"/>
  <c r="I2066" i="65"/>
  <c r="I2065" i="65"/>
  <c r="L430" i="92" s="1"/>
  <c r="I2064" i="65"/>
  <c r="L429" i="92" s="1"/>
  <c r="I2063" i="65"/>
  <c r="L428" i="92" s="1"/>
  <c r="I2062" i="65"/>
  <c r="I2061" i="65"/>
  <c r="L427" i="92" s="1"/>
  <c r="I2060" i="65"/>
  <c r="I2059" i="65"/>
  <c r="L426" i="92" s="1"/>
  <c r="I2058" i="65"/>
  <c r="L425" i="92" s="1"/>
  <c r="I2057" i="65"/>
  <c r="L424" i="92" s="1"/>
  <c r="I2056" i="65"/>
  <c r="I2055" i="65"/>
  <c r="I2054" i="65"/>
  <c r="L423" i="92" s="1"/>
  <c r="I2053" i="65"/>
  <c r="L422" i="92" s="1"/>
  <c r="I2052" i="65"/>
  <c r="I2051" i="65"/>
  <c r="L421" i="92" s="1"/>
  <c r="I2050" i="65"/>
  <c r="L420" i="92" s="1"/>
  <c r="I2049" i="65"/>
  <c r="I2048" i="65"/>
  <c r="I2045" i="65"/>
  <c r="I2044" i="65"/>
  <c r="I2043" i="65"/>
  <c r="I2042" i="65"/>
  <c r="L417" i="92" s="1"/>
  <c r="I2041" i="65"/>
  <c r="I2039" i="65"/>
  <c r="I2038" i="65"/>
  <c r="I2036" i="65"/>
  <c r="I2035" i="65"/>
  <c r="L415" i="92" s="1"/>
  <c r="I2033" i="65"/>
  <c r="I2032" i="65"/>
  <c r="I2029" i="65"/>
  <c r="I2028" i="65"/>
  <c r="L412" i="92" s="1"/>
  <c r="I2027" i="65"/>
  <c r="I2026" i="65"/>
  <c r="I2025" i="65"/>
  <c r="I2024" i="65"/>
  <c r="I2023" i="65"/>
  <c r="I2022" i="65"/>
  <c r="L411" i="92" s="1"/>
  <c r="I2021" i="65"/>
  <c r="L410" i="92" s="1"/>
  <c r="I2020" i="65"/>
  <c r="I2019" i="65"/>
  <c r="I2018" i="65"/>
  <c r="L409" i="92" s="1"/>
  <c r="I2017" i="65"/>
  <c r="I2014" i="65"/>
  <c r="I2013" i="65"/>
  <c r="I2012" i="65"/>
  <c r="I2010" i="65"/>
  <c r="I2009" i="65"/>
  <c r="I2008" i="65"/>
  <c r="I2007" i="65"/>
  <c r="L406" i="92" s="1"/>
  <c r="I2006" i="65"/>
  <c r="L405" i="92" s="1"/>
  <c r="I2005" i="65"/>
  <c r="L404" i="92" s="1"/>
  <c r="I2004" i="65"/>
  <c r="L403" i="92" s="1"/>
  <c r="I2003" i="65"/>
  <c r="L402" i="92" s="1"/>
  <c r="I2002" i="65"/>
  <c r="L401" i="92" s="1"/>
  <c r="I2001" i="65"/>
  <c r="I2000" i="65"/>
  <c r="I1999" i="65"/>
  <c r="I1998" i="65"/>
  <c r="I1997" i="65"/>
  <c r="L400" i="92" s="1"/>
  <c r="I1996" i="65"/>
  <c r="L399" i="92" s="1"/>
  <c r="I1995" i="65"/>
  <c r="L398" i="92" s="1"/>
  <c r="I1994" i="65"/>
  <c r="L397" i="92" s="1"/>
  <c r="I1993" i="65"/>
  <c r="I1992" i="65"/>
  <c r="L396" i="92" s="1"/>
  <c r="I1991" i="65"/>
  <c r="L395" i="92" s="1"/>
  <c r="I1990" i="65"/>
  <c r="L394" i="92" s="1"/>
  <c r="I1987" i="65"/>
  <c r="I1986" i="65"/>
  <c r="I1984" i="65"/>
  <c r="I1983" i="65"/>
  <c r="I1982" i="65"/>
  <c r="I1981" i="65"/>
  <c r="I1980" i="65"/>
  <c r="L391" i="92" s="1"/>
  <c r="I1977" i="65"/>
  <c r="I1975" i="65"/>
  <c r="I1973" i="65"/>
  <c r="I1971" i="65"/>
  <c r="L387" i="92" s="1"/>
  <c r="I1970" i="65"/>
  <c r="L386" i="92" s="1"/>
  <c r="I1969" i="65"/>
  <c r="I1968" i="65"/>
  <c r="I1967" i="65"/>
  <c r="I1966" i="65"/>
  <c r="L385" i="92" s="1"/>
  <c r="I1965" i="65"/>
  <c r="L384" i="92" s="1"/>
  <c r="I1964" i="65"/>
  <c r="L383" i="92" s="1"/>
  <c r="I1963" i="65"/>
  <c r="L382" i="92" s="1"/>
  <c r="I1962" i="65"/>
  <c r="L381" i="92" s="1"/>
  <c r="I1961" i="65"/>
  <c r="L380" i="92" s="1"/>
  <c r="I1959" i="65"/>
  <c r="I1958" i="65"/>
  <c r="L378" i="92" s="1"/>
  <c r="I1957" i="65"/>
  <c r="L377" i="92" s="1"/>
  <c r="I1956" i="65"/>
  <c r="L376" i="92" s="1"/>
  <c r="I1955" i="65"/>
  <c r="L375" i="92" s="1"/>
  <c r="I1954" i="65"/>
  <c r="I1953" i="65"/>
  <c r="L374" i="92" s="1"/>
  <c r="I1952" i="65"/>
  <c r="L373" i="92" s="1"/>
  <c r="I1950" i="65"/>
  <c r="I1949" i="65"/>
  <c r="I1948" i="65"/>
  <c r="L371" i="92" s="1"/>
  <c r="I1947" i="65"/>
  <c r="L370" i="92" s="1"/>
  <c r="I1946" i="65"/>
  <c r="I1945" i="65"/>
  <c r="L369" i="92" s="1"/>
  <c r="I1944" i="65"/>
  <c r="L368" i="92" s="1"/>
  <c r="I1943" i="65"/>
  <c r="L367" i="92" s="1"/>
  <c r="I1942" i="65"/>
  <c r="I1941" i="65"/>
  <c r="I1940" i="65"/>
  <c r="I1939" i="65"/>
  <c r="I1938" i="65"/>
  <c r="I1937" i="65"/>
  <c r="L366" i="92" s="1"/>
  <c r="I1933" i="65"/>
  <c r="I1930" i="65"/>
  <c r="I1927" i="65"/>
  <c r="I1923" i="65"/>
  <c r="I1922" i="65"/>
  <c r="I1921" i="65"/>
  <c r="I1920" i="65"/>
  <c r="L360" i="92" s="1"/>
  <c r="I1919" i="65"/>
  <c r="I1918" i="65"/>
  <c r="I1917" i="65"/>
  <c r="L359" i="92" s="1"/>
  <c r="I1916" i="65"/>
  <c r="L358" i="92" s="1"/>
  <c r="I1915" i="65"/>
  <c r="I1914" i="65"/>
  <c r="L357" i="92" s="1"/>
  <c r="I1913" i="65"/>
  <c r="I1912" i="65"/>
  <c r="L356" i="92" s="1"/>
  <c r="I1911" i="65"/>
  <c r="L355" i="92" s="1"/>
  <c r="I1909" i="65"/>
  <c r="I1908" i="65"/>
  <c r="I1907" i="65"/>
  <c r="L353" i="92" s="1"/>
  <c r="I1906" i="65"/>
  <c r="L352" i="92" s="1"/>
  <c r="I1905" i="65"/>
  <c r="L351" i="92" s="1"/>
  <c r="I1904" i="65"/>
  <c r="I1903" i="65"/>
  <c r="L350" i="92" s="1"/>
  <c r="I1902" i="65"/>
  <c r="I1901" i="65"/>
  <c r="I1900" i="65"/>
  <c r="I1899" i="65"/>
  <c r="I1898" i="65"/>
  <c r="I1897" i="65"/>
  <c r="L349" i="92" s="1"/>
  <c r="I1896" i="65"/>
  <c r="I1895" i="65"/>
  <c r="L348" i="92" s="1"/>
  <c r="I1894" i="65"/>
  <c r="I1893" i="65"/>
  <c r="I1892" i="65"/>
  <c r="I1889" i="65"/>
  <c r="I1888" i="65"/>
  <c r="I1887" i="65"/>
  <c r="I1886" i="65"/>
  <c r="I1883" i="65"/>
  <c r="L345" i="92" s="1"/>
  <c r="I1882" i="65"/>
  <c r="I1881" i="65"/>
  <c r="I1880" i="65"/>
  <c r="I1879" i="65"/>
  <c r="I1878" i="65"/>
  <c r="I1877" i="65"/>
  <c r="L344" i="92" s="1"/>
  <c r="I1876" i="65"/>
  <c r="I1873" i="65"/>
  <c r="I1872" i="65"/>
  <c r="I1871" i="65"/>
  <c r="I1869" i="65"/>
  <c r="I1868" i="65"/>
  <c r="I1867" i="65"/>
  <c r="L341" i="92" s="1"/>
  <c r="I1866" i="65"/>
  <c r="I1865" i="65"/>
  <c r="L340" i="92" s="1"/>
  <c r="I1864" i="65"/>
  <c r="I1863" i="65"/>
  <c r="L339" i="92" s="1"/>
  <c r="I1862" i="65"/>
  <c r="I1861" i="65"/>
  <c r="I1860" i="65"/>
  <c r="I1859" i="65"/>
  <c r="I1858" i="65"/>
  <c r="I1857" i="65"/>
  <c r="I1856" i="65"/>
  <c r="I1855" i="65"/>
  <c r="I1854" i="65"/>
  <c r="L338" i="92" s="1"/>
  <c r="I1853" i="65"/>
  <c r="I1852" i="65"/>
  <c r="I1851" i="65"/>
  <c r="L337" i="92" s="1"/>
  <c r="I1850" i="65"/>
  <c r="L336" i="92" s="1"/>
  <c r="I1847" i="65"/>
  <c r="I1845" i="65"/>
  <c r="I1844" i="65"/>
  <c r="I1842" i="65"/>
  <c r="I1841" i="65"/>
  <c r="I1840" i="65"/>
  <c r="I1839" i="65"/>
  <c r="I1838" i="65"/>
  <c r="I1835" i="65"/>
  <c r="I1833" i="65"/>
  <c r="I1831" i="65"/>
  <c r="I1829" i="65"/>
  <c r="I1827" i="65"/>
  <c r="L332" i="92" s="1"/>
  <c r="I1826" i="65"/>
  <c r="L331" i="92" s="1"/>
  <c r="I1825" i="65"/>
  <c r="I1824" i="65"/>
  <c r="I1823" i="65"/>
  <c r="I1822" i="65"/>
  <c r="L330" i="92" s="1"/>
  <c r="I1821" i="65"/>
  <c r="L329" i="92" s="1"/>
  <c r="I1820" i="65"/>
  <c r="I1819" i="65"/>
  <c r="L328" i="92" s="1"/>
  <c r="I1818" i="65"/>
  <c r="L327" i="92" s="1"/>
  <c r="I1817" i="65"/>
  <c r="L326" i="92" s="1"/>
  <c r="I1815" i="65"/>
  <c r="I1814" i="65"/>
  <c r="L324" i="92" s="1"/>
  <c r="I1813" i="65"/>
  <c r="L323" i="92" s="1"/>
  <c r="I1812" i="65"/>
  <c r="L322" i="92" s="1"/>
  <c r="I1811" i="65"/>
  <c r="L321" i="92" s="1"/>
  <c r="I1810" i="65"/>
  <c r="I1809" i="65"/>
  <c r="L320" i="92" s="1"/>
  <c r="I1808" i="65"/>
  <c r="L319" i="92" s="1"/>
  <c r="I1806" i="65"/>
  <c r="I1805" i="65"/>
  <c r="L317" i="92" s="1"/>
  <c r="I1804" i="65"/>
  <c r="L316" i="92" s="1"/>
  <c r="I1803" i="65"/>
  <c r="I1802" i="65"/>
  <c r="I1801" i="65"/>
  <c r="L315" i="92" s="1"/>
  <c r="I1800" i="65"/>
  <c r="L314" i="92" s="1"/>
  <c r="I1799" i="65"/>
  <c r="L313" i="92" s="1"/>
  <c r="I1798" i="65"/>
  <c r="I1797" i="65"/>
  <c r="I1796" i="65"/>
  <c r="I1795" i="65"/>
  <c r="I1794" i="65"/>
  <c r="I1793" i="65"/>
  <c r="L312" i="92" s="1"/>
  <c r="I1787" i="65"/>
  <c r="I1786" i="65"/>
  <c r="L307" i="92" s="1"/>
  <c r="I1784" i="65"/>
  <c r="I1782" i="65"/>
  <c r="I1780" i="65"/>
  <c r="I1778" i="65"/>
  <c r="I1776" i="65"/>
  <c r="I1774" i="65"/>
  <c r="I1772" i="65"/>
  <c r="I1771" i="65"/>
  <c r="I1769" i="65"/>
  <c r="I1767" i="65"/>
  <c r="I1766" i="65"/>
  <c r="I1765" i="65"/>
  <c r="I1755" i="65"/>
  <c r="L300" i="92" s="1"/>
  <c r="I1754" i="65"/>
  <c r="L299" i="92" s="1"/>
  <c r="I1753" i="65"/>
  <c r="I1750" i="65"/>
  <c r="I1748" i="65"/>
  <c r="I1747" i="65"/>
  <c r="I1746" i="65"/>
  <c r="I1744" i="65"/>
  <c r="I1743" i="65"/>
  <c r="I1741" i="65"/>
  <c r="I1740" i="65"/>
  <c r="I1738" i="65"/>
  <c r="I1734" i="65"/>
  <c r="I1733" i="65"/>
  <c r="I1732" i="65"/>
  <c r="I1731" i="65"/>
  <c r="I1727" i="65"/>
  <c r="I1726" i="65"/>
  <c r="I1725" i="65"/>
  <c r="I1721" i="65"/>
  <c r="I1720" i="65"/>
  <c r="I1719" i="65"/>
  <c r="I1716" i="65"/>
  <c r="I1714" i="65"/>
  <c r="I1712" i="65"/>
  <c r="I1708" i="65"/>
  <c r="L290" i="92" s="1"/>
  <c r="I1699" i="65"/>
  <c r="L285" i="92" s="1"/>
  <c r="I1696" i="65"/>
  <c r="L282" i="92" s="1"/>
  <c r="I1694" i="65"/>
  <c r="I1693" i="65"/>
  <c r="I1691" i="65"/>
  <c r="I1690" i="65"/>
  <c r="I1689" i="65"/>
  <c r="L280" i="92" s="1"/>
  <c r="I1688" i="65"/>
  <c r="I1686" i="65"/>
  <c r="I1685" i="65"/>
  <c r="I1684" i="65"/>
  <c r="I1678" i="65"/>
  <c r="L277" i="92" s="1"/>
  <c r="I1675" i="65"/>
  <c r="I1673" i="65"/>
  <c r="I1671" i="65"/>
  <c r="I1667" i="65"/>
  <c r="I1664" i="65"/>
  <c r="I1662" i="65"/>
  <c r="L274" i="92" s="1"/>
  <c r="I1657" i="65"/>
  <c r="I1656" i="65"/>
  <c r="I1653" i="65"/>
  <c r="L270" i="92" s="1"/>
  <c r="I1652" i="65"/>
  <c r="L269" i="92" s="1"/>
  <c r="I1650" i="65"/>
  <c r="I1648" i="65"/>
  <c r="I1646" i="65"/>
  <c r="I1645" i="65"/>
  <c r="L267" i="92" s="1"/>
  <c r="I1644" i="65"/>
  <c r="L266" i="92" s="1"/>
  <c r="I1643" i="65"/>
  <c r="L265" i="92" s="1"/>
  <c r="I1640" i="65"/>
  <c r="I1639" i="65"/>
  <c r="I1637" i="65"/>
  <c r="I1636" i="65"/>
  <c r="I1631" i="65"/>
  <c r="L261" i="92" s="1"/>
  <c r="I1630" i="65"/>
  <c r="I1629" i="65"/>
  <c r="I1628" i="65"/>
  <c r="I1627" i="65"/>
  <c r="I1626" i="65"/>
  <c r="I1625" i="65"/>
  <c r="I1622" i="65"/>
  <c r="L259" i="92" s="1"/>
  <c r="I1621" i="65"/>
  <c r="L258" i="92" s="1"/>
  <c r="I1619" i="65"/>
  <c r="L256" i="92" s="1"/>
  <c r="I1616" i="65"/>
  <c r="I1615" i="65"/>
  <c r="I1614" i="65"/>
  <c r="L253" i="92" s="1"/>
  <c r="I1613" i="65"/>
  <c r="I1612" i="65"/>
  <c r="I1611" i="65"/>
  <c r="I1610" i="65"/>
  <c r="I1608" i="65"/>
  <c r="I1607" i="65"/>
  <c r="I1605" i="65"/>
  <c r="I1604" i="65"/>
  <c r="I1603" i="65"/>
  <c r="I1602" i="65"/>
  <c r="I1601" i="65"/>
  <c r="I1600" i="65"/>
  <c r="I1599" i="65"/>
  <c r="I1598" i="65"/>
  <c r="I1597" i="65"/>
  <c r="I1596" i="65"/>
  <c r="I1595" i="65"/>
  <c r="I1594" i="65"/>
  <c r="I1593" i="65"/>
  <c r="I1592" i="65"/>
  <c r="I1591" i="65"/>
  <c r="I1590" i="65"/>
  <c r="I1589" i="65"/>
  <c r="I1588" i="65"/>
  <c r="I1586" i="65"/>
  <c r="I1585" i="65"/>
  <c r="I1584" i="65"/>
  <c r="I1582" i="65"/>
  <c r="I1581" i="65"/>
  <c r="I1580" i="65"/>
  <c r="I1577" i="65"/>
  <c r="I1576" i="65"/>
  <c r="I1575" i="65"/>
  <c r="I1574" i="65"/>
  <c r="I1573" i="65"/>
  <c r="I1572" i="65"/>
  <c r="I1570" i="65"/>
  <c r="I1569" i="65"/>
  <c r="L249" i="92" s="1"/>
  <c r="I1568" i="65"/>
  <c r="L248" i="92" s="1"/>
  <c r="I1567" i="65"/>
  <c r="I1566" i="65"/>
  <c r="L247" i="92" s="1"/>
  <c r="I1565" i="65"/>
  <c r="L246" i="92" s="1"/>
  <c r="I1564" i="65"/>
  <c r="L245" i="92" s="1"/>
  <c r="I1563" i="65"/>
  <c r="L244" i="92" s="1"/>
  <c r="I1562" i="65"/>
  <c r="L243" i="92" s="1"/>
  <c r="I1561" i="65"/>
  <c r="L242" i="92" s="1"/>
  <c r="I1560" i="65"/>
  <c r="L241" i="92" s="1"/>
  <c r="I1559" i="65"/>
  <c r="L240" i="92" s="1"/>
  <c r="I1558" i="65"/>
  <c r="L239" i="92" s="1"/>
  <c r="I1557" i="65"/>
  <c r="L238" i="92" s="1"/>
  <c r="I1556" i="65"/>
  <c r="L237" i="92" s="1"/>
  <c r="I1555" i="65"/>
  <c r="L236" i="92" s="1"/>
  <c r="I1554" i="65"/>
  <c r="L235" i="92" s="1"/>
  <c r="I1552" i="65"/>
  <c r="I1549" i="65"/>
  <c r="I1548" i="65"/>
  <c r="I1547" i="65"/>
  <c r="I1546" i="65"/>
  <c r="I1545" i="65"/>
  <c r="I1544" i="65"/>
  <c r="I1543" i="65"/>
  <c r="I1542" i="65"/>
  <c r="I1541" i="65"/>
  <c r="I1540" i="65"/>
  <c r="I1539" i="65"/>
  <c r="I1538" i="65"/>
  <c r="I1537" i="65"/>
  <c r="I1536" i="65"/>
  <c r="I1535" i="65"/>
  <c r="I1534" i="65"/>
  <c r="I1533" i="65"/>
  <c r="I1532" i="65"/>
  <c r="I1531" i="65"/>
  <c r="I1530" i="65"/>
  <c r="I1529" i="65"/>
  <c r="I1528" i="65"/>
  <c r="I1527" i="65"/>
  <c r="I1526" i="65"/>
  <c r="I1525" i="65"/>
  <c r="I1524" i="65"/>
  <c r="I1523" i="65"/>
  <c r="I1522" i="65"/>
  <c r="I1521" i="65"/>
  <c r="I1520" i="65"/>
  <c r="I1519" i="65"/>
  <c r="I1518" i="65"/>
  <c r="I1517" i="65"/>
  <c r="I1516" i="65"/>
  <c r="I1515" i="65"/>
  <c r="I1514" i="65"/>
  <c r="I1513" i="65"/>
  <c r="I1512" i="65"/>
  <c r="I1511" i="65"/>
  <c r="I1510" i="65"/>
  <c r="I1509" i="65"/>
  <c r="I1508" i="65"/>
  <c r="I1507" i="65"/>
  <c r="I1506" i="65"/>
  <c r="I1505" i="65"/>
  <c r="I1504" i="65"/>
  <c r="I1503" i="65"/>
  <c r="I1502" i="65"/>
  <c r="I1501" i="65"/>
  <c r="I1500" i="65"/>
  <c r="I1499" i="65"/>
  <c r="I1498" i="65"/>
  <c r="I1497" i="65"/>
  <c r="I1496" i="65"/>
  <c r="I1495" i="65"/>
  <c r="I1494" i="65"/>
  <c r="I1493" i="65"/>
  <c r="I1492" i="65"/>
  <c r="I1491" i="65"/>
  <c r="I1490" i="65"/>
  <c r="I1489" i="65"/>
  <c r="I1488" i="65"/>
  <c r="I1487" i="65"/>
  <c r="I1486" i="65"/>
  <c r="I1485" i="65"/>
  <c r="L233" i="92" s="1"/>
  <c r="I1484" i="65"/>
  <c r="L232" i="92" s="1"/>
  <c r="I1483" i="65"/>
  <c r="L231" i="92" s="1"/>
  <c r="I1482" i="65"/>
  <c r="I1481" i="65"/>
  <c r="I1480" i="65"/>
  <c r="I1479" i="65"/>
  <c r="I1478" i="65"/>
  <c r="L230" i="92" s="1"/>
  <c r="I1477" i="65"/>
  <c r="I1476" i="65"/>
  <c r="L229" i="92" s="1"/>
  <c r="I1474" i="65"/>
  <c r="I1473" i="65"/>
  <c r="I1472" i="65"/>
  <c r="L227" i="92" s="1"/>
  <c r="I1471" i="65"/>
  <c r="I1470" i="65"/>
  <c r="I1469" i="65"/>
  <c r="I1468" i="65"/>
  <c r="L226" i="92" s="1"/>
  <c r="I1467" i="65"/>
  <c r="L225" i="92" s="1"/>
  <c r="I1466" i="65"/>
  <c r="I1295" i="65"/>
  <c r="I1294" i="65"/>
  <c r="I1293" i="65"/>
  <c r="I1292" i="65"/>
  <c r="I1291" i="65"/>
  <c r="I1290" i="65"/>
  <c r="I1289" i="65"/>
  <c r="I1288" i="65"/>
  <c r="I1287" i="65"/>
  <c r="I1286" i="65"/>
  <c r="I1285" i="65"/>
  <c r="I1284" i="65"/>
  <c r="I1283" i="65"/>
  <c r="I1282" i="65"/>
  <c r="I1281" i="65"/>
  <c r="I1280" i="65"/>
  <c r="I1279" i="65"/>
  <c r="I1278" i="65"/>
  <c r="I1277" i="65"/>
  <c r="I1276" i="65"/>
  <c r="I1275" i="65"/>
  <c r="I1274" i="65"/>
  <c r="I1273" i="65"/>
  <c r="I1272" i="65"/>
  <c r="I1271" i="65"/>
  <c r="I1270" i="65"/>
  <c r="I1269" i="65"/>
  <c r="I1268" i="65"/>
  <c r="I1267" i="65"/>
  <c r="I1266" i="65"/>
  <c r="I1265" i="65"/>
  <c r="I1264" i="65"/>
  <c r="I1263" i="65"/>
  <c r="I1262" i="65"/>
  <c r="I1261" i="65"/>
  <c r="I1260" i="65"/>
  <c r="I1259" i="65"/>
  <c r="I1258" i="65"/>
  <c r="I1257" i="65"/>
  <c r="I1256" i="65"/>
  <c r="I1255" i="65"/>
  <c r="I1254" i="65"/>
  <c r="I1253" i="65"/>
  <c r="I1252" i="65"/>
  <c r="I1251" i="65"/>
  <c r="I1250" i="65"/>
  <c r="I1249" i="65"/>
  <c r="I1248" i="65"/>
  <c r="I1247" i="65"/>
  <c r="I1246" i="65"/>
  <c r="I1245" i="65"/>
  <c r="I1244" i="65"/>
  <c r="I1243" i="65"/>
  <c r="I1242" i="65"/>
  <c r="I1241" i="65"/>
  <c r="I1240" i="65"/>
  <c r="I1239" i="65"/>
  <c r="I1238" i="65"/>
  <c r="I1237" i="65"/>
  <c r="I1236" i="65"/>
  <c r="I1235" i="65"/>
  <c r="I1234" i="65"/>
  <c r="I1233" i="65"/>
  <c r="I1232" i="65"/>
  <c r="I1231" i="65"/>
  <c r="I1230" i="65"/>
  <c r="I1229" i="65"/>
  <c r="I1228" i="65"/>
  <c r="I1227" i="65"/>
  <c r="I1226" i="65"/>
  <c r="I1225" i="65"/>
  <c r="I1224" i="65"/>
  <c r="I1223" i="65"/>
  <c r="I1222" i="65"/>
  <c r="I1221" i="65"/>
  <c r="I1220" i="65"/>
  <c r="I1219" i="65"/>
  <c r="I1218" i="65"/>
  <c r="I1217" i="65"/>
  <c r="I1216" i="65"/>
  <c r="I1215" i="65"/>
  <c r="I1214" i="65"/>
  <c r="I1213" i="65"/>
  <c r="I1212" i="65"/>
  <c r="I1211" i="65"/>
  <c r="I1210" i="65"/>
  <c r="I1209" i="65"/>
  <c r="I1208" i="65"/>
  <c r="I1207" i="65"/>
  <c r="I1206" i="65"/>
  <c r="I1205" i="65"/>
  <c r="I1204" i="65"/>
  <c r="L156" i="92" s="1"/>
  <c r="I1203" i="65"/>
  <c r="I1202" i="65"/>
  <c r="I1201" i="65"/>
  <c r="I1200" i="65"/>
  <c r="I1199" i="65"/>
  <c r="I1198" i="65"/>
  <c r="I1197" i="65"/>
  <c r="I1196" i="65"/>
  <c r="I1195" i="65"/>
  <c r="I1194" i="65"/>
  <c r="I1193" i="65"/>
  <c r="I1192" i="65"/>
  <c r="I1191" i="65"/>
  <c r="I1190" i="65"/>
  <c r="I1189" i="65"/>
  <c r="I1188" i="65"/>
  <c r="I1187" i="65"/>
  <c r="I1186" i="65"/>
  <c r="I1185" i="65"/>
  <c r="I1184" i="65"/>
  <c r="I1183" i="65"/>
  <c r="I1182" i="65"/>
  <c r="I1181" i="65"/>
  <c r="I1180" i="65"/>
  <c r="I1179" i="65"/>
  <c r="I1178" i="65"/>
  <c r="I1177" i="65"/>
  <c r="I1176" i="65"/>
  <c r="I1175" i="65"/>
  <c r="I1174" i="65"/>
  <c r="I1173" i="65"/>
  <c r="L151" i="92" s="1"/>
  <c r="I1172" i="65"/>
  <c r="I1171" i="65"/>
  <c r="I1170" i="65"/>
  <c r="I1169" i="65"/>
  <c r="I1168" i="65"/>
  <c r="I1167" i="65"/>
  <c r="I1166" i="65"/>
  <c r="I1165" i="65"/>
  <c r="I1164" i="65"/>
  <c r="I1163" i="65"/>
  <c r="I1162" i="65"/>
  <c r="I1161" i="65"/>
  <c r="I1160" i="65"/>
  <c r="I1159" i="65"/>
  <c r="I1158" i="65"/>
  <c r="I1157" i="65"/>
  <c r="I1156" i="65"/>
  <c r="I1155" i="65"/>
  <c r="I1154" i="65"/>
  <c r="I1153" i="65"/>
  <c r="I1152" i="65"/>
  <c r="I1151" i="65"/>
  <c r="I1150" i="65"/>
  <c r="I1149" i="65"/>
  <c r="I1148" i="65"/>
  <c r="I1147" i="65"/>
  <c r="I1146" i="65"/>
  <c r="I1145" i="65"/>
  <c r="I1144" i="65"/>
  <c r="I1143" i="65"/>
  <c r="I1142" i="65"/>
  <c r="I1141" i="65"/>
  <c r="I1140" i="65"/>
  <c r="I1139" i="65"/>
  <c r="I1138" i="65"/>
  <c r="I1137" i="65"/>
  <c r="I1136" i="65"/>
  <c r="I1135" i="65"/>
  <c r="I1134" i="65"/>
  <c r="I1133" i="65"/>
  <c r="I1132" i="65"/>
  <c r="I1131" i="65"/>
  <c r="I1130" i="65"/>
  <c r="I1129" i="65"/>
  <c r="I1128" i="65"/>
  <c r="I1127" i="65"/>
  <c r="I1126" i="65"/>
  <c r="I1125" i="65"/>
  <c r="I1124" i="65"/>
  <c r="I1123" i="65"/>
  <c r="I1122" i="65"/>
  <c r="I1121" i="65"/>
  <c r="I1120" i="65"/>
  <c r="I1119" i="65"/>
  <c r="I1118" i="65"/>
  <c r="I1117" i="65"/>
  <c r="I1116" i="65"/>
  <c r="I1115" i="65"/>
  <c r="I1114" i="65"/>
  <c r="I1113" i="65"/>
  <c r="I1112" i="65"/>
  <c r="I1111" i="65"/>
  <c r="I1110" i="65"/>
  <c r="I1109" i="65"/>
  <c r="I1108" i="65"/>
  <c r="I1107" i="65"/>
  <c r="I1106" i="65"/>
  <c r="I1105" i="65"/>
  <c r="I1104" i="65"/>
  <c r="I1103" i="65"/>
  <c r="I1102" i="65"/>
  <c r="I1101" i="65"/>
  <c r="I1100" i="65"/>
  <c r="I1099" i="65"/>
  <c r="I1098" i="65"/>
  <c r="I1097" i="65"/>
  <c r="I1096" i="65"/>
  <c r="I1095" i="65"/>
  <c r="I1094" i="65"/>
  <c r="I1093" i="65"/>
  <c r="I1092" i="65"/>
  <c r="I1091" i="65"/>
  <c r="I1090" i="65"/>
  <c r="I1089" i="65"/>
  <c r="I1088" i="65"/>
  <c r="I1087" i="65"/>
  <c r="I1086" i="65"/>
  <c r="I1085" i="65"/>
  <c r="I1084" i="65"/>
  <c r="I1083" i="65"/>
  <c r="I1082" i="65"/>
  <c r="I1081" i="65"/>
  <c r="I1080" i="65"/>
  <c r="I1079" i="65"/>
  <c r="I1078" i="65"/>
  <c r="I1077" i="65"/>
  <c r="I1076" i="65"/>
  <c r="I1075" i="65"/>
  <c r="I1074" i="65"/>
  <c r="I1073" i="65"/>
  <c r="I1072" i="65"/>
  <c r="I1071" i="65"/>
  <c r="I1070" i="65"/>
  <c r="I1069" i="65"/>
  <c r="I1068" i="65"/>
  <c r="I1067" i="65"/>
  <c r="I1066" i="65"/>
  <c r="I1065" i="65"/>
  <c r="I1064" i="65"/>
  <c r="I1063" i="65"/>
  <c r="I1062" i="65"/>
  <c r="I1061" i="65"/>
  <c r="I1060" i="65"/>
  <c r="I1059" i="65"/>
  <c r="I1058" i="65"/>
  <c r="I1057" i="65"/>
  <c r="I1056" i="65"/>
  <c r="I1055" i="65"/>
  <c r="I1054" i="65"/>
  <c r="I1053" i="65"/>
  <c r="I1052" i="65"/>
  <c r="I1051" i="65"/>
  <c r="I1050" i="65"/>
  <c r="I1049" i="65"/>
  <c r="I1048" i="65"/>
  <c r="I1047" i="65"/>
  <c r="I1046" i="65"/>
  <c r="I1045" i="65"/>
  <c r="I1044" i="65"/>
  <c r="I1043" i="65"/>
  <c r="I1042" i="65"/>
  <c r="I1041" i="65"/>
  <c r="I1040" i="65"/>
  <c r="I1039" i="65"/>
  <c r="I1038" i="65"/>
  <c r="I1037" i="65"/>
  <c r="I1036" i="65"/>
  <c r="I1035" i="65"/>
  <c r="I1034" i="65"/>
  <c r="I1033" i="65"/>
  <c r="I1032" i="65"/>
  <c r="I1031" i="65"/>
  <c r="I1030" i="65"/>
  <c r="I1029" i="65"/>
  <c r="I1028" i="65"/>
  <c r="I1027" i="65"/>
  <c r="I1026" i="65"/>
  <c r="I1025" i="65"/>
  <c r="I1024" i="65"/>
  <c r="I1023" i="65"/>
  <c r="I1022" i="65"/>
  <c r="I1021" i="65"/>
  <c r="I1020" i="65"/>
  <c r="I1019" i="65"/>
  <c r="I1018" i="65"/>
  <c r="I1017" i="65"/>
  <c r="I1016" i="65"/>
  <c r="I1015" i="65"/>
  <c r="I1014" i="65"/>
  <c r="I1013" i="65"/>
  <c r="I1012" i="65"/>
  <c r="I1011" i="65"/>
  <c r="I1010" i="65"/>
  <c r="I1009" i="65"/>
  <c r="I1008" i="65"/>
  <c r="I1007" i="65"/>
  <c r="I1006" i="65"/>
  <c r="I1005" i="65"/>
  <c r="I1004" i="65"/>
  <c r="I1003" i="65"/>
  <c r="I1002" i="65"/>
  <c r="I1001" i="65"/>
  <c r="I1000" i="65"/>
  <c r="I999" i="65"/>
  <c r="I998" i="65"/>
  <c r="I997" i="65"/>
  <c r="I996" i="65"/>
  <c r="I995" i="65"/>
  <c r="I994" i="65"/>
  <c r="I993" i="65"/>
  <c r="I992" i="65"/>
  <c r="I991" i="65"/>
  <c r="I990" i="65"/>
  <c r="I989" i="65"/>
  <c r="I988" i="65"/>
  <c r="I987" i="65"/>
  <c r="I986" i="65"/>
  <c r="I985" i="65"/>
  <c r="I984" i="65"/>
  <c r="I983" i="65"/>
  <c r="I982" i="65"/>
  <c r="I981" i="65"/>
  <c r="I980" i="65"/>
  <c r="I979" i="65"/>
  <c r="I978" i="65"/>
  <c r="I977" i="65"/>
  <c r="I976" i="65"/>
  <c r="I975" i="65"/>
  <c r="I974" i="65"/>
  <c r="I973" i="65"/>
  <c r="I972" i="65"/>
  <c r="I971" i="65"/>
  <c r="I970" i="65"/>
  <c r="I969" i="65"/>
  <c r="I968" i="65"/>
  <c r="I967" i="65"/>
  <c r="I966" i="65"/>
  <c r="I965" i="65"/>
  <c r="I964" i="65"/>
  <c r="I963" i="65"/>
  <c r="I962" i="65"/>
  <c r="I961" i="65"/>
  <c r="I960" i="65"/>
  <c r="I959" i="65"/>
  <c r="I958" i="65"/>
  <c r="I957" i="65"/>
  <c r="I956" i="65"/>
  <c r="I955" i="65"/>
  <c r="I954" i="65"/>
  <c r="I953" i="65"/>
  <c r="I952" i="65"/>
  <c r="I951" i="65"/>
  <c r="I950" i="65"/>
  <c r="I949" i="65"/>
  <c r="I948" i="65"/>
  <c r="I947" i="65"/>
  <c r="I946" i="65"/>
  <c r="I945" i="65"/>
  <c r="I944" i="65"/>
  <c r="I943" i="65"/>
  <c r="I942" i="65"/>
  <c r="I941" i="65"/>
  <c r="I940" i="65"/>
  <c r="I939" i="65"/>
  <c r="I938" i="65"/>
  <c r="I937" i="65"/>
  <c r="I936" i="65"/>
  <c r="I935" i="65"/>
  <c r="I934" i="65"/>
  <c r="I933" i="65"/>
  <c r="I932" i="65"/>
  <c r="I931" i="65"/>
  <c r="I930" i="65"/>
  <c r="I929" i="65"/>
  <c r="I928" i="65"/>
  <c r="I927" i="65"/>
  <c r="I926" i="65"/>
  <c r="I925" i="65"/>
  <c r="I924" i="65"/>
  <c r="I923" i="65"/>
  <c r="I922" i="65"/>
  <c r="I921" i="65"/>
  <c r="I920" i="65"/>
  <c r="I919" i="65"/>
  <c r="I918" i="65"/>
  <c r="I917" i="65"/>
  <c r="I916" i="65"/>
  <c r="I915" i="65"/>
  <c r="I914" i="65"/>
  <c r="I913" i="65"/>
  <c r="I912" i="65"/>
  <c r="I911" i="65"/>
  <c r="I910" i="65"/>
  <c r="I909" i="65"/>
  <c r="I908" i="65"/>
  <c r="I907" i="65"/>
  <c r="I906" i="65"/>
  <c r="I905" i="65"/>
  <c r="I904" i="65"/>
  <c r="I903" i="65"/>
  <c r="I902" i="65"/>
  <c r="I901" i="65"/>
  <c r="I900" i="65"/>
  <c r="I899" i="65"/>
  <c r="I898" i="65"/>
  <c r="I897" i="65"/>
  <c r="I896" i="65"/>
  <c r="I895" i="65"/>
  <c r="I894" i="65"/>
  <c r="I893" i="65"/>
  <c r="I892" i="65"/>
  <c r="I891" i="65"/>
  <c r="I890" i="65"/>
  <c r="I889" i="65"/>
  <c r="I888" i="65"/>
  <c r="I887" i="65"/>
  <c r="I886" i="65"/>
  <c r="I885" i="65"/>
  <c r="I884" i="65"/>
  <c r="I883" i="65"/>
  <c r="I882" i="65"/>
  <c r="I881" i="65"/>
  <c r="I880" i="65"/>
  <c r="I879" i="65"/>
  <c r="I878" i="65"/>
  <c r="I877" i="65"/>
  <c r="I876" i="65"/>
  <c r="I875" i="65"/>
  <c r="I874" i="65"/>
  <c r="I873" i="65"/>
  <c r="I872" i="65"/>
  <c r="I871" i="65"/>
  <c r="I870" i="65"/>
  <c r="I869" i="65"/>
  <c r="I868" i="65"/>
  <c r="I867" i="65"/>
  <c r="I866" i="65"/>
  <c r="I865" i="65"/>
  <c r="I864" i="65"/>
  <c r="I863" i="65"/>
  <c r="I862" i="65"/>
  <c r="I861" i="65"/>
  <c r="I860" i="65"/>
  <c r="I859" i="65"/>
  <c r="I858" i="65"/>
  <c r="I857" i="65"/>
  <c r="I856" i="65"/>
  <c r="I855" i="65"/>
  <c r="I854" i="65"/>
  <c r="I853" i="65"/>
  <c r="I852" i="65"/>
  <c r="I851" i="65"/>
  <c r="I850" i="65"/>
  <c r="I849" i="65"/>
  <c r="I848" i="65"/>
  <c r="I847" i="65"/>
  <c r="I846" i="65"/>
  <c r="I845" i="65"/>
  <c r="I844" i="65"/>
  <c r="I843" i="65"/>
  <c r="I842" i="65"/>
  <c r="I841" i="65"/>
  <c r="I840" i="65"/>
  <c r="I839" i="65"/>
  <c r="I838" i="65"/>
  <c r="I837" i="65"/>
  <c r="I836" i="65"/>
  <c r="I835" i="65"/>
  <c r="I834" i="65"/>
  <c r="I833" i="65"/>
  <c r="I832" i="65"/>
  <c r="I831" i="65"/>
  <c r="I830" i="65"/>
  <c r="I829" i="65"/>
  <c r="I828" i="65"/>
  <c r="I827" i="65"/>
  <c r="I826" i="65"/>
  <c r="I825" i="65"/>
  <c r="I824" i="65"/>
  <c r="I823" i="65"/>
  <c r="I822" i="65"/>
  <c r="I821" i="65"/>
  <c r="I820" i="65"/>
  <c r="I819" i="65"/>
  <c r="I818" i="65"/>
  <c r="I817" i="65"/>
  <c r="I816" i="65"/>
  <c r="I815" i="65"/>
  <c r="I814" i="65"/>
  <c r="I813" i="65"/>
  <c r="I812" i="65"/>
  <c r="I811" i="65"/>
  <c r="I810" i="65"/>
  <c r="I809" i="65"/>
  <c r="I808" i="65"/>
  <c r="I807" i="65"/>
  <c r="I806" i="65"/>
  <c r="I805" i="65"/>
  <c r="I804" i="65"/>
  <c r="I803" i="65"/>
  <c r="I802" i="65"/>
  <c r="I801" i="65"/>
  <c r="I800" i="65"/>
  <c r="I799" i="65"/>
  <c r="I798" i="65"/>
  <c r="I797" i="65"/>
  <c r="I796" i="65"/>
  <c r="I795" i="65"/>
  <c r="I794" i="65"/>
  <c r="I793" i="65"/>
  <c r="I792" i="65"/>
  <c r="I791" i="65"/>
  <c r="I790" i="65"/>
  <c r="I789" i="65"/>
  <c r="I788" i="65"/>
  <c r="I787" i="65"/>
  <c r="I786" i="65"/>
  <c r="I785" i="65"/>
  <c r="I784" i="65"/>
  <c r="I783" i="65"/>
  <c r="I782" i="65"/>
  <c r="I781" i="65"/>
  <c r="I780" i="65"/>
  <c r="I779" i="65"/>
  <c r="I778" i="65"/>
  <c r="I777" i="65"/>
  <c r="I776" i="65"/>
  <c r="I775" i="65"/>
  <c r="I774" i="65"/>
  <c r="I773" i="65"/>
  <c r="I772" i="65"/>
  <c r="I771" i="65"/>
  <c r="I770" i="65"/>
  <c r="I769" i="65"/>
  <c r="I768" i="65"/>
  <c r="I767" i="65"/>
  <c r="I766" i="65"/>
  <c r="I765" i="65"/>
  <c r="I764" i="65"/>
  <c r="I763" i="65"/>
  <c r="I762" i="65"/>
  <c r="I761" i="65"/>
  <c r="I760" i="65"/>
  <c r="I759" i="65"/>
  <c r="I758" i="65"/>
  <c r="I757" i="65"/>
  <c r="I756" i="65"/>
  <c r="I755" i="65"/>
  <c r="I754" i="65"/>
  <c r="I753" i="65"/>
  <c r="I752" i="65"/>
  <c r="I751" i="65"/>
  <c r="I750" i="65"/>
  <c r="I749" i="65"/>
  <c r="I748" i="65"/>
  <c r="I747" i="65"/>
  <c r="I746" i="65"/>
  <c r="L111" i="92" s="1"/>
  <c r="I745" i="65"/>
  <c r="I744" i="65"/>
  <c r="I743" i="65"/>
  <c r="I742" i="65"/>
  <c r="I741" i="65"/>
  <c r="I740" i="65"/>
  <c r="I739" i="65"/>
  <c r="I738" i="65"/>
  <c r="I737" i="65"/>
  <c r="I736" i="65"/>
  <c r="I735" i="65"/>
  <c r="I734" i="65"/>
  <c r="I733" i="65"/>
  <c r="I732" i="65"/>
  <c r="I731" i="65"/>
  <c r="I730" i="65"/>
  <c r="I729" i="65"/>
  <c r="I728" i="65"/>
  <c r="I727" i="65"/>
  <c r="I726" i="65"/>
  <c r="I725" i="65"/>
  <c r="I724" i="65"/>
  <c r="I723" i="65"/>
  <c r="I722" i="65"/>
  <c r="I721" i="65"/>
  <c r="I720" i="65"/>
  <c r="I719" i="65"/>
  <c r="I718" i="65"/>
  <c r="I717" i="65"/>
  <c r="L110" i="92" s="1"/>
  <c r="I716" i="65"/>
  <c r="I715" i="65"/>
  <c r="L109" i="92" s="1"/>
  <c r="I714" i="65"/>
  <c r="I713" i="65"/>
  <c r="I712" i="65"/>
  <c r="I711" i="65"/>
  <c r="I710" i="65"/>
  <c r="I709" i="65"/>
  <c r="I708" i="65"/>
  <c r="I707" i="65"/>
  <c r="I706" i="65"/>
  <c r="I705" i="65"/>
  <c r="I704" i="65"/>
  <c r="I703" i="65"/>
  <c r="I702" i="65"/>
  <c r="I701" i="65"/>
  <c r="I700" i="65"/>
  <c r="I699" i="65"/>
  <c r="I698" i="65"/>
  <c r="I697" i="65"/>
  <c r="I696" i="65"/>
  <c r="I695" i="65"/>
  <c r="I694" i="65"/>
  <c r="I693" i="65"/>
  <c r="I692" i="65"/>
  <c r="I691" i="65"/>
  <c r="I690" i="65"/>
  <c r="I689" i="65"/>
  <c r="I688" i="65"/>
  <c r="I687" i="65"/>
  <c r="I686" i="65"/>
  <c r="I685" i="65"/>
  <c r="I684" i="65"/>
  <c r="I683" i="65"/>
  <c r="I682" i="65"/>
  <c r="I681" i="65"/>
  <c r="I680" i="65"/>
  <c r="I679" i="65"/>
  <c r="I678" i="65"/>
  <c r="I677" i="65"/>
  <c r="I676" i="65"/>
  <c r="I675" i="65"/>
  <c r="I674" i="65"/>
  <c r="I673" i="65"/>
  <c r="I672" i="65"/>
  <c r="I671" i="65"/>
  <c r="I670" i="65"/>
  <c r="I669" i="65"/>
  <c r="I668" i="65"/>
  <c r="I667" i="65"/>
  <c r="I666" i="65"/>
  <c r="I665" i="65"/>
  <c r="I664" i="65"/>
  <c r="I663" i="65"/>
  <c r="I662" i="65"/>
  <c r="I661" i="65"/>
  <c r="I660" i="65"/>
  <c r="I659" i="65"/>
  <c r="I658" i="65"/>
  <c r="L108" i="92" s="1"/>
  <c r="I657" i="65"/>
  <c r="I656" i="65"/>
  <c r="I655" i="65"/>
  <c r="I654" i="65"/>
  <c r="I653" i="65"/>
  <c r="I652" i="65"/>
  <c r="I651" i="65"/>
  <c r="I650" i="65"/>
  <c r="I649" i="65"/>
  <c r="I648" i="65"/>
  <c r="I647" i="65"/>
  <c r="I646" i="65"/>
  <c r="I645" i="65"/>
  <c r="I644" i="65"/>
  <c r="L107" i="92" s="1"/>
  <c r="I643" i="65"/>
  <c r="I642" i="65"/>
  <c r="I641" i="65"/>
  <c r="I640" i="65"/>
  <c r="I639" i="65"/>
  <c r="I638" i="65"/>
  <c r="I637" i="65"/>
  <c r="I636" i="65"/>
  <c r="I635" i="65"/>
  <c r="I634" i="65"/>
  <c r="I633" i="65"/>
  <c r="I632" i="65"/>
  <c r="I631" i="65"/>
  <c r="I630" i="65"/>
  <c r="I629" i="65"/>
  <c r="I628" i="65"/>
  <c r="I627" i="65"/>
  <c r="I626" i="65"/>
  <c r="I625" i="65"/>
  <c r="I624" i="65"/>
  <c r="I623" i="65"/>
  <c r="I622" i="65"/>
  <c r="I621" i="65"/>
  <c r="I620" i="65"/>
  <c r="I619" i="65"/>
  <c r="I618" i="65"/>
  <c r="I617" i="65"/>
  <c r="I616" i="65"/>
  <c r="I615" i="65"/>
  <c r="I614" i="65"/>
  <c r="I613" i="65"/>
  <c r="I612" i="65"/>
  <c r="I611" i="65"/>
  <c r="I610" i="65"/>
  <c r="I609" i="65"/>
  <c r="I608" i="65"/>
  <c r="I607" i="65"/>
  <c r="I606" i="65"/>
  <c r="I605" i="65"/>
  <c r="I604" i="65"/>
  <c r="I603" i="65"/>
  <c r="I602" i="65"/>
  <c r="I601" i="65"/>
  <c r="I600" i="65"/>
  <c r="I599" i="65"/>
  <c r="I598" i="65"/>
  <c r="I597" i="65"/>
  <c r="I596" i="65"/>
  <c r="I595" i="65"/>
  <c r="I594" i="65"/>
  <c r="I593" i="65"/>
  <c r="I592" i="65"/>
  <c r="I591" i="65"/>
  <c r="I590" i="65"/>
  <c r="I589" i="65"/>
  <c r="I588" i="65"/>
  <c r="I587" i="65"/>
  <c r="I586" i="65"/>
  <c r="L106" i="92" s="1"/>
  <c r="I585" i="65"/>
  <c r="I584" i="65"/>
  <c r="I583" i="65"/>
  <c r="I582" i="65"/>
  <c r="I581" i="65"/>
  <c r="I580" i="65"/>
  <c r="I579" i="65"/>
  <c r="I578" i="65"/>
  <c r="I577" i="65"/>
  <c r="I576" i="65"/>
  <c r="I575" i="65"/>
  <c r="I574" i="65"/>
  <c r="I573" i="65"/>
  <c r="I572" i="65"/>
  <c r="I571" i="65"/>
  <c r="I570" i="65"/>
  <c r="I569" i="65"/>
  <c r="I568" i="65"/>
  <c r="I567" i="65"/>
  <c r="I566" i="65"/>
  <c r="I565" i="65"/>
  <c r="I564" i="65"/>
  <c r="I563" i="65"/>
  <c r="I562" i="65"/>
  <c r="I561" i="65"/>
  <c r="I560" i="65"/>
  <c r="I559" i="65"/>
  <c r="I558" i="65"/>
  <c r="I557" i="65"/>
  <c r="I556" i="65"/>
  <c r="I555" i="65"/>
  <c r="I554" i="65"/>
  <c r="I553" i="65"/>
  <c r="I552" i="65"/>
  <c r="I551" i="65"/>
  <c r="I550" i="65"/>
  <c r="I549" i="65"/>
  <c r="I548" i="65"/>
  <c r="I547" i="65"/>
  <c r="L104" i="92" s="1"/>
  <c r="I546" i="65"/>
  <c r="I545" i="65"/>
  <c r="I544" i="65"/>
  <c r="I543" i="65"/>
  <c r="I542" i="65"/>
  <c r="I541" i="65"/>
  <c r="I540" i="65"/>
  <c r="I539" i="65"/>
  <c r="I538" i="65"/>
  <c r="I537" i="65"/>
  <c r="I536" i="65"/>
  <c r="I535" i="65"/>
  <c r="I534" i="65"/>
  <c r="I533" i="65"/>
  <c r="I532" i="65"/>
  <c r="I531" i="65"/>
  <c r="I530" i="65"/>
  <c r="I529" i="65"/>
  <c r="I528" i="65"/>
  <c r="I527" i="65"/>
  <c r="I526" i="65"/>
  <c r="I525" i="65"/>
  <c r="I524" i="65"/>
  <c r="I523" i="65"/>
  <c r="I522" i="65"/>
  <c r="I521" i="65"/>
  <c r="L103" i="92" s="1"/>
  <c r="I520" i="65"/>
  <c r="I519" i="65"/>
  <c r="I518" i="65"/>
  <c r="I517" i="65"/>
  <c r="I516" i="65"/>
  <c r="I515" i="65"/>
  <c r="I514" i="65"/>
  <c r="I513" i="65"/>
  <c r="I512" i="65"/>
  <c r="I511" i="65"/>
  <c r="I510" i="65"/>
  <c r="I509" i="65"/>
  <c r="I508" i="65"/>
  <c r="I507" i="65"/>
  <c r="I506" i="65"/>
  <c r="I505" i="65"/>
  <c r="I504" i="65"/>
  <c r="I503" i="65"/>
  <c r="I502" i="65"/>
  <c r="I501" i="65"/>
  <c r="I500" i="65"/>
  <c r="I499" i="65"/>
  <c r="I498" i="65"/>
  <c r="I497" i="65"/>
  <c r="I496" i="65"/>
  <c r="I495" i="65"/>
  <c r="I494" i="65"/>
  <c r="I493" i="65"/>
  <c r="I492" i="65"/>
  <c r="I491" i="65"/>
  <c r="I490" i="65"/>
  <c r="I489" i="65"/>
  <c r="I488" i="65"/>
  <c r="I487" i="65"/>
  <c r="I486" i="65"/>
  <c r="I485" i="65"/>
  <c r="I484" i="65"/>
  <c r="I483" i="65"/>
  <c r="I482" i="65"/>
  <c r="I481" i="65"/>
  <c r="I480" i="65"/>
  <c r="I479" i="65"/>
  <c r="I478" i="65"/>
  <c r="I477" i="65"/>
  <c r="I476" i="65"/>
  <c r="I475" i="65"/>
  <c r="I474" i="65"/>
  <c r="I473" i="65"/>
  <c r="I472" i="65"/>
  <c r="I471" i="65"/>
  <c r="I470" i="65"/>
  <c r="I469" i="65"/>
  <c r="I468" i="65"/>
  <c r="I467" i="65"/>
  <c r="I466" i="65"/>
  <c r="I465" i="65"/>
  <c r="I464" i="65"/>
  <c r="I463" i="65"/>
  <c r="I462" i="65"/>
  <c r="I461" i="65"/>
  <c r="I460" i="65"/>
  <c r="I459" i="65"/>
  <c r="I458" i="65"/>
  <c r="I457" i="65"/>
  <c r="I456" i="65"/>
  <c r="I455" i="65"/>
  <c r="I454" i="65"/>
  <c r="I453" i="65"/>
  <c r="L102" i="92" s="1"/>
  <c r="I452" i="65"/>
  <c r="I451" i="65"/>
  <c r="I450" i="65"/>
  <c r="I449" i="65"/>
  <c r="I448" i="65"/>
  <c r="I447" i="65"/>
  <c r="I446" i="65"/>
  <c r="I445" i="65"/>
  <c r="I444" i="65"/>
  <c r="I443" i="65"/>
  <c r="I442" i="65"/>
  <c r="I441" i="65"/>
  <c r="I440" i="65"/>
  <c r="I439" i="65"/>
  <c r="I438" i="65"/>
  <c r="I437" i="65"/>
  <c r="I436" i="65"/>
  <c r="I435" i="65"/>
  <c r="I434" i="65"/>
  <c r="I433" i="65"/>
  <c r="I432" i="65"/>
  <c r="I431" i="65"/>
  <c r="I430" i="65"/>
  <c r="I429" i="65"/>
  <c r="I428" i="65"/>
  <c r="I427" i="65"/>
  <c r="I426" i="65"/>
  <c r="I425" i="65"/>
  <c r="I424" i="65"/>
  <c r="I423" i="65"/>
  <c r="I422" i="65"/>
  <c r="I421" i="65"/>
  <c r="I420" i="65"/>
  <c r="I419" i="65"/>
  <c r="I418" i="65"/>
  <c r="I417" i="65"/>
  <c r="I416" i="65"/>
  <c r="I415" i="65"/>
  <c r="I414" i="65"/>
  <c r="I413" i="65"/>
  <c r="I412" i="65"/>
  <c r="I411" i="65"/>
  <c r="I410" i="65"/>
  <c r="I409" i="65"/>
  <c r="I408" i="65"/>
  <c r="I407" i="65"/>
  <c r="I406" i="65"/>
  <c r="I405" i="65"/>
  <c r="I404" i="65"/>
  <c r="I403" i="65"/>
  <c r="I402" i="65"/>
  <c r="I401" i="65"/>
  <c r="I400" i="65"/>
  <c r="I399" i="65"/>
  <c r="I398" i="65"/>
  <c r="I397" i="65"/>
  <c r="I396" i="65"/>
  <c r="I395" i="65"/>
  <c r="I394" i="65"/>
  <c r="I393" i="65"/>
  <c r="I392" i="65"/>
  <c r="I391" i="65"/>
  <c r="L101" i="92" s="1"/>
  <c r="I390" i="65"/>
  <c r="I389" i="65"/>
  <c r="I388" i="65"/>
  <c r="I387" i="65"/>
  <c r="I386" i="65"/>
  <c r="I385" i="65"/>
  <c r="I384" i="65"/>
  <c r="I383" i="65"/>
  <c r="I382" i="65"/>
  <c r="I381" i="65"/>
  <c r="L100" i="92" s="1"/>
  <c r="I380" i="65"/>
  <c r="I379" i="65"/>
  <c r="I378" i="65"/>
  <c r="I377" i="65"/>
  <c r="I376" i="65"/>
  <c r="I375" i="65"/>
  <c r="I374" i="65"/>
  <c r="I373" i="65"/>
  <c r="I372" i="65"/>
  <c r="I371" i="65"/>
  <c r="I370" i="65"/>
  <c r="I369" i="65"/>
  <c r="I368" i="65"/>
  <c r="I367" i="65"/>
  <c r="I366" i="65"/>
  <c r="I365" i="65"/>
  <c r="I364" i="65"/>
  <c r="I363" i="65"/>
  <c r="I362" i="65"/>
  <c r="I361" i="65"/>
  <c r="I360" i="65"/>
  <c r="I359" i="65"/>
  <c r="I358" i="65"/>
  <c r="I357" i="65"/>
  <c r="I356" i="65"/>
  <c r="I355" i="65"/>
  <c r="I354" i="65"/>
  <c r="L98" i="92" s="1"/>
  <c r="I353" i="65"/>
  <c r="I352" i="65"/>
  <c r="I351" i="65"/>
  <c r="I350" i="65"/>
  <c r="I349" i="65"/>
  <c r="I348" i="65"/>
  <c r="I347" i="65"/>
  <c r="I346" i="65"/>
  <c r="I345" i="65"/>
  <c r="I344" i="65"/>
  <c r="I343" i="65"/>
  <c r="I342" i="65"/>
  <c r="I341" i="65"/>
  <c r="I340" i="65"/>
  <c r="I339" i="65"/>
  <c r="I338" i="65"/>
  <c r="I337" i="65"/>
  <c r="I336" i="65"/>
  <c r="I335" i="65"/>
  <c r="I334" i="65"/>
  <c r="I333" i="65"/>
  <c r="I332" i="65"/>
  <c r="I331" i="65"/>
  <c r="I330" i="65"/>
  <c r="I329" i="65"/>
  <c r="I328" i="65"/>
  <c r="I327" i="65"/>
  <c r="I326" i="65"/>
  <c r="I325" i="65"/>
  <c r="I324" i="65"/>
  <c r="I323" i="65"/>
  <c r="I322" i="65"/>
  <c r="I321" i="65"/>
  <c r="I320" i="65"/>
  <c r="I319" i="65"/>
  <c r="I318" i="65"/>
  <c r="I317" i="65"/>
  <c r="I316" i="65"/>
  <c r="I315" i="65"/>
  <c r="I314" i="65"/>
  <c r="L97" i="92" s="1"/>
  <c r="I313" i="65"/>
  <c r="I312" i="65"/>
  <c r="I311" i="65"/>
  <c r="L96" i="92" s="1"/>
  <c r="I310" i="65"/>
  <c r="I309" i="65"/>
  <c r="I308" i="65"/>
  <c r="I307" i="65"/>
  <c r="I306" i="65"/>
  <c r="I305" i="65"/>
  <c r="I304" i="65"/>
  <c r="I303" i="65"/>
  <c r="I302" i="65"/>
  <c r="I301" i="65"/>
  <c r="I300" i="65"/>
  <c r="I299" i="65"/>
  <c r="I298" i="65"/>
  <c r="I297" i="65"/>
  <c r="I296" i="65"/>
  <c r="I295" i="65"/>
  <c r="I294" i="65"/>
  <c r="I293" i="65"/>
  <c r="I292" i="65"/>
  <c r="I291" i="65"/>
  <c r="I290" i="65"/>
  <c r="I289" i="65"/>
  <c r="I288" i="65"/>
  <c r="I287" i="65"/>
  <c r="I286" i="65"/>
  <c r="I285" i="65"/>
  <c r="I284" i="65"/>
  <c r="I283" i="65"/>
  <c r="I282" i="65"/>
  <c r="I281" i="65"/>
  <c r="I280" i="65"/>
  <c r="I279" i="65"/>
  <c r="I278" i="65"/>
  <c r="I277" i="65"/>
  <c r="I276" i="65"/>
  <c r="I275" i="65"/>
  <c r="I274" i="65"/>
  <c r="I273" i="65"/>
  <c r="I272" i="65"/>
  <c r="I271" i="65"/>
  <c r="I270" i="65"/>
  <c r="I269" i="65"/>
  <c r="I268" i="65"/>
  <c r="I267" i="65"/>
  <c r="I266" i="65"/>
  <c r="I265" i="65"/>
  <c r="I264" i="65"/>
  <c r="I263" i="65"/>
  <c r="I262" i="65"/>
  <c r="I261" i="65"/>
  <c r="I260" i="65"/>
  <c r="I259" i="65"/>
  <c r="I258" i="65"/>
  <c r="I257" i="65"/>
  <c r="I256" i="65"/>
  <c r="I255" i="65"/>
  <c r="I254" i="65"/>
  <c r="L95" i="92" s="1"/>
  <c r="I253" i="65"/>
  <c r="I252" i="65"/>
  <c r="I251" i="65"/>
  <c r="I250" i="65"/>
  <c r="I249" i="65"/>
  <c r="I248" i="65"/>
  <c r="I247" i="65"/>
  <c r="I246" i="65"/>
  <c r="I245" i="65"/>
  <c r="I244" i="65"/>
  <c r="I243" i="65"/>
  <c r="I242" i="65"/>
  <c r="I241" i="65"/>
  <c r="I240" i="65"/>
  <c r="I239" i="65"/>
  <c r="I238" i="65"/>
  <c r="I237" i="65"/>
  <c r="I236" i="65"/>
  <c r="I235" i="65"/>
  <c r="I234" i="65"/>
  <c r="I233" i="65"/>
  <c r="I232" i="65"/>
  <c r="I231" i="65"/>
  <c r="I230" i="65"/>
  <c r="I229" i="65"/>
  <c r="I228" i="65"/>
  <c r="I227" i="65"/>
  <c r="I226" i="65"/>
  <c r="I225" i="65"/>
  <c r="I224" i="65"/>
  <c r="L94" i="92" s="1"/>
  <c r="I223" i="65"/>
  <c r="I222" i="65"/>
  <c r="I221" i="65"/>
  <c r="I220" i="65"/>
  <c r="I219" i="65"/>
  <c r="I218" i="65"/>
  <c r="I217" i="65"/>
  <c r="I216" i="65"/>
  <c r="I215" i="65"/>
  <c r="I214" i="65"/>
  <c r="I212" i="65"/>
  <c r="I211" i="65"/>
  <c r="I208" i="65"/>
  <c r="I207" i="65"/>
  <c r="I202" i="65"/>
  <c r="L86" i="92" s="1"/>
  <c r="I201" i="65"/>
  <c r="L85" i="92" s="1"/>
  <c r="I198" i="65"/>
  <c r="I197" i="65"/>
  <c r="I195" i="65"/>
  <c r="I194" i="65"/>
  <c r="L82" i="92" s="1"/>
  <c r="I192" i="65"/>
  <c r="I190" i="65"/>
  <c r="I189" i="65"/>
  <c r="L80" i="92" s="1"/>
  <c r="I185" i="65"/>
  <c r="I184" i="65"/>
  <c r="I183" i="65"/>
  <c r="I182" i="65"/>
  <c r="L77" i="92" s="1"/>
  <c r="I181" i="65"/>
  <c r="I180" i="65"/>
  <c r="L76" i="92" s="1"/>
  <c r="I179" i="65"/>
  <c r="L75" i="92" s="1"/>
  <c r="I178" i="65"/>
  <c r="L74" i="92" s="1"/>
  <c r="I177" i="65"/>
  <c r="I175" i="65"/>
  <c r="I172" i="65"/>
  <c r="I171" i="65"/>
  <c r="I170" i="65"/>
  <c r="I169" i="65"/>
  <c r="I168" i="65"/>
  <c r="L72" i="92" s="1"/>
  <c r="I167" i="65"/>
  <c r="L71" i="92" s="1"/>
  <c r="I166" i="65"/>
  <c r="L70" i="92" s="1"/>
  <c r="I165" i="65"/>
  <c r="L69" i="92" s="1"/>
  <c r="I164" i="65"/>
  <c r="I163" i="65"/>
  <c r="I160" i="65"/>
  <c r="I159" i="65"/>
  <c r="I157" i="65"/>
  <c r="I156" i="65"/>
  <c r="I153" i="65"/>
  <c r="I152" i="65"/>
  <c r="I150" i="65"/>
  <c r="L66" i="92" s="1"/>
  <c r="I149" i="65"/>
  <c r="L65" i="92" s="1"/>
  <c r="I148" i="65"/>
  <c r="L64" i="92" s="1"/>
  <c r="I146" i="65"/>
  <c r="I145" i="65"/>
  <c r="L62" i="92" s="1"/>
  <c r="I143" i="65"/>
  <c r="I142" i="65"/>
  <c r="I141" i="65"/>
  <c r="I140" i="65"/>
  <c r="I139" i="65"/>
  <c r="I138" i="65"/>
  <c r="I136" i="65"/>
  <c r="I134" i="65"/>
  <c r="I132" i="65"/>
  <c r="I131" i="65"/>
  <c r="I130" i="65"/>
  <c r="L50" i="92" s="1"/>
  <c r="I129" i="65"/>
  <c r="I128" i="65"/>
  <c r="I127" i="65"/>
  <c r="I126" i="65"/>
  <c r="L49" i="92" s="1"/>
  <c r="I125" i="65"/>
  <c r="L48" i="92" s="1"/>
  <c r="I124" i="65"/>
  <c r="I123" i="65"/>
  <c r="I122" i="65"/>
  <c r="L47" i="92" s="1"/>
  <c r="I120" i="65"/>
  <c r="I119" i="65"/>
  <c r="I118" i="65"/>
  <c r="I116" i="65"/>
  <c r="I115" i="65"/>
  <c r="I114" i="65"/>
  <c r="I108" i="65"/>
  <c r="I107" i="65"/>
  <c r="L43" i="92" s="1"/>
  <c r="I106" i="65"/>
  <c r="L42" i="92" s="1"/>
  <c r="I105" i="65"/>
  <c r="I104" i="65"/>
  <c r="L41" i="92" s="1"/>
  <c r="I103" i="65"/>
  <c r="L40" i="92" s="1"/>
  <c r="I102" i="65"/>
  <c r="L39" i="92" s="1"/>
  <c r="I99" i="65"/>
  <c r="L36" i="92" s="1"/>
  <c r="I98" i="65"/>
  <c r="L35" i="92" s="1"/>
  <c r="I97" i="65"/>
  <c r="I96" i="65"/>
  <c r="I95" i="65"/>
  <c r="I94" i="65"/>
  <c r="I92" i="65"/>
  <c r="L33" i="92" s="1"/>
  <c r="I90" i="65"/>
  <c r="I89" i="65"/>
  <c r="I88" i="65"/>
  <c r="I87" i="65"/>
  <c r="I85" i="65"/>
  <c r="I84" i="65"/>
  <c r="I83" i="65"/>
  <c r="I81" i="65"/>
  <c r="I80" i="65"/>
  <c r="I78" i="65"/>
  <c r="I77" i="65"/>
  <c r="I76" i="65"/>
  <c r="I75" i="65"/>
  <c r="I73" i="65"/>
  <c r="L31" i="92" s="1"/>
  <c r="I72" i="65"/>
  <c r="L30" i="92" s="1"/>
  <c r="I71" i="65"/>
  <c r="L29" i="92" s="1"/>
  <c r="I70" i="65"/>
  <c r="I69" i="65"/>
  <c r="I68" i="65"/>
  <c r="I67" i="65"/>
  <c r="I66" i="65"/>
  <c r="L28" i="92" s="1"/>
  <c r="I65" i="65"/>
  <c r="L27" i="92" s="1"/>
  <c r="I63" i="65"/>
  <c r="I62" i="65"/>
  <c r="I61" i="65"/>
  <c r="I60" i="65"/>
  <c r="I59" i="65"/>
  <c r="I58" i="65"/>
  <c r="I57" i="65"/>
  <c r="I56" i="65"/>
  <c r="I55" i="65"/>
  <c r="I54" i="65"/>
  <c r="I53" i="65"/>
  <c r="I52" i="65"/>
  <c r="I51" i="65"/>
  <c r="I50" i="65"/>
  <c r="L21" i="92" s="1"/>
  <c r="I49" i="65"/>
  <c r="I48" i="65"/>
  <c r="I47" i="65"/>
  <c r="I46" i="65"/>
  <c r="I45" i="65"/>
  <c r="I44" i="65"/>
  <c r="I43" i="65"/>
  <c r="I42" i="65"/>
  <c r="I41" i="65"/>
  <c r="I40" i="65"/>
  <c r="L20" i="92" s="1"/>
  <c r="I39" i="65"/>
  <c r="L19" i="92" s="1"/>
  <c r="I38" i="65"/>
  <c r="I37" i="65"/>
  <c r="I36" i="65"/>
  <c r="I35" i="65"/>
  <c r="I34" i="65"/>
  <c r="I33" i="65"/>
  <c r="L18" i="92" s="1"/>
  <c r="I32" i="65"/>
  <c r="L17" i="92" s="1"/>
  <c r="I31" i="65"/>
  <c r="I30" i="65"/>
  <c r="I29" i="65"/>
  <c r="I28" i="65"/>
  <c r="I27" i="65"/>
  <c r="I26" i="65"/>
  <c r="I25" i="65"/>
  <c r="I24" i="65"/>
  <c r="I22" i="65"/>
  <c r="I21" i="65"/>
  <c r="I19" i="65"/>
  <c r="I18" i="65"/>
  <c r="I17" i="65"/>
  <c r="I16" i="65"/>
  <c r="I12" i="65"/>
  <c r="L14" i="92" s="1"/>
  <c r="I11" i="65"/>
  <c r="L13" i="92" s="1"/>
  <c r="I10" i="65"/>
  <c r="L12" i="92" s="1"/>
  <c r="I9" i="65"/>
  <c r="I7" i="65"/>
  <c r="I6" i="65"/>
  <c r="E28" i="40" l="1"/>
  <c r="F28" i="40" s="1"/>
  <c r="E47" i="40"/>
  <c r="F47" i="40" s="1"/>
  <c r="F45" i="40"/>
  <c r="F27" i="40"/>
  <c r="F30" i="40"/>
  <c r="F50" i="32"/>
  <c r="F42" i="40"/>
  <c r="C161" i="82" s="1"/>
  <c r="F32" i="40"/>
  <c r="G181" i="82"/>
  <c r="O10" i="32"/>
  <c r="F36" i="32"/>
  <c r="G36" i="32" s="1"/>
  <c r="H36" i="32" s="1"/>
  <c r="K74" i="40"/>
  <c r="C160" i="82"/>
  <c r="C140" i="82"/>
  <c r="F12" i="40"/>
  <c r="E23" i="40"/>
  <c r="E8" i="40"/>
  <c r="F8" i="40" s="1"/>
  <c r="E46" i="40"/>
  <c r="E14" i="40"/>
  <c r="F14" i="40" s="1"/>
  <c r="C259" i="60" s="1"/>
  <c r="F21" i="40"/>
  <c r="D48" i="40"/>
  <c r="D42" i="40"/>
  <c r="C154" i="82" l="1"/>
  <c r="C166" i="82"/>
  <c r="F46" i="40"/>
  <c r="C165" i="82" s="1"/>
  <c r="F29" i="40"/>
  <c r="C153" i="82"/>
  <c r="C139" i="82"/>
  <c r="C164" i="82"/>
  <c r="C148" i="82"/>
  <c r="D183" i="60"/>
  <c r="C146" i="82"/>
  <c r="C150" i="82"/>
  <c r="F44" i="32"/>
  <c r="G44" i="32" s="1"/>
  <c r="E211" i="82" s="1"/>
  <c r="C147" i="82"/>
  <c r="C141" i="82"/>
  <c r="F33" i="32"/>
  <c r="G33" i="32" s="1"/>
  <c r="C142" i="82"/>
  <c r="F20" i="32"/>
  <c r="F49" i="32"/>
  <c r="F54" i="32"/>
  <c r="G54" i="32" s="1"/>
  <c r="F26" i="32"/>
  <c r="G50" i="32"/>
  <c r="E24" i="40"/>
  <c r="F15" i="32"/>
  <c r="D34" i="40"/>
  <c r="D50" i="40" s="1"/>
  <c r="F35" i="32"/>
  <c r="G35" i="32" s="1"/>
  <c r="H35" i="32" s="1"/>
  <c r="E205" i="82" s="1"/>
  <c r="F34" i="32"/>
  <c r="G34" i="32" s="1"/>
  <c r="H34" i="32" s="1"/>
  <c r="E204" i="82" s="1"/>
  <c r="F42" i="32"/>
  <c r="G42" i="32" s="1"/>
  <c r="H42" i="32" s="1"/>
  <c r="E209" i="82" s="1"/>
  <c r="F41" i="32"/>
  <c r="G41" i="32" s="1"/>
  <c r="F25" i="32"/>
  <c r="G25" i="32" s="1"/>
  <c r="H25" i="32" s="1"/>
  <c r="E196" i="82" s="1"/>
  <c r="F11" i="32"/>
  <c r="G11" i="32" s="1"/>
  <c r="H11" i="32" s="1"/>
  <c r="E182" i="82" s="1"/>
  <c r="F10" i="32"/>
  <c r="G10" i="32" s="1"/>
  <c r="H10" i="32" s="1"/>
  <c r="F43" i="32"/>
  <c r="G43" i="32" s="1"/>
  <c r="H43" i="32" s="1"/>
  <c r="E210" i="82" s="1"/>
  <c r="C200" i="60"/>
  <c r="D200" i="60"/>
  <c r="F200" i="60"/>
  <c r="G20" i="32" l="1"/>
  <c r="H20" i="32" s="1"/>
  <c r="N20" i="32" s="1"/>
  <c r="C151" i="82"/>
  <c r="G15" i="32"/>
  <c r="H15" i="32" s="1"/>
  <c r="E186" i="82" s="1"/>
  <c r="F48" i="40"/>
  <c r="C167" i="82" s="1"/>
  <c r="C152" i="82"/>
  <c r="G49" i="32"/>
  <c r="H49" i="32" s="1"/>
  <c r="E215" i="82" s="1"/>
  <c r="H33" i="32"/>
  <c r="H38" i="32" s="1"/>
  <c r="C149" i="82"/>
  <c r="E181" i="82"/>
  <c r="N10" i="32"/>
  <c r="H41" i="32"/>
  <c r="H26" i="32"/>
  <c r="E197" i="82" s="1"/>
  <c r="F48" i="32"/>
  <c r="G48" i="32" s="1"/>
  <c r="H48" i="32" s="1"/>
  <c r="E214" i="82" s="1"/>
  <c r="F16" i="32"/>
  <c r="F55" i="32"/>
  <c r="L12" i="32"/>
  <c r="F45" i="32"/>
  <c r="F27" i="32"/>
  <c r="F38" i="32"/>
  <c r="F12" i="32"/>
  <c r="C159" i="60"/>
  <c r="C160" i="60" s="1"/>
  <c r="D159" i="60"/>
  <c r="D160" i="60" s="1"/>
  <c r="G183" i="82" l="1"/>
  <c r="H27" i="32"/>
  <c r="E198" i="82" s="1"/>
  <c r="E203" i="82"/>
  <c r="E191" i="82"/>
  <c r="H51" i="32"/>
  <c r="E208" i="82"/>
  <c r="H45" i="32"/>
  <c r="E212" i="82" s="1"/>
  <c r="F18" i="32"/>
  <c r="F22" i="32" s="1"/>
  <c r="F51" i="32"/>
  <c r="F57" i="32" s="1"/>
  <c r="G57" i="32" s="1"/>
  <c r="F151" i="60"/>
  <c r="D140" i="60"/>
  <c r="C118" i="60"/>
  <c r="E118" i="60"/>
  <c r="E120" i="60" s="1"/>
  <c r="C116" i="60"/>
  <c r="C123" i="60" s="1"/>
  <c r="E116" i="60"/>
  <c r="E123" i="60" s="1"/>
  <c r="E223" i="60" s="1"/>
  <c r="E236" i="60" s="1"/>
  <c r="B253" i="60" s="1"/>
  <c r="B262" i="60" s="1"/>
  <c r="C271" i="60" s="1"/>
  <c r="C103" i="60"/>
  <c r="C94" i="60"/>
  <c r="E94" i="60"/>
  <c r="C75" i="60"/>
  <c r="E75" i="60"/>
  <c r="E52" i="60"/>
  <c r="G18" i="32" l="1"/>
  <c r="E333" i="82"/>
  <c r="G22" i="32"/>
  <c r="F30" i="32"/>
  <c r="C205" i="60"/>
  <c r="C223" i="60"/>
  <c r="C236" i="60" s="1"/>
  <c r="E22" i="60"/>
  <c r="F62" i="32" l="1"/>
  <c r="G30" i="32"/>
  <c r="E24" i="60"/>
  <c r="F245" i="82"/>
  <c r="G253" i="60"/>
  <c r="G262" i="60"/>
  <c r="B271" i="60" s="1"/>
  <c r="C311" i="60" s="1"/>
  <c r="C336" i="60" s="1"/>
  <c r="B353" i="60" s="1"/>
  <c r="C373" i="60" s="1"/>
  <c r="G159" i="60" l="1"/>
  <c r="I343" i="82" s="1"/>
  <c r="E97" i="60"/>
  <c r="F293" i="82" s="1"/>
  <c r="E110" i="60"/>
  <c r="F304" i="82" s="1"/>
  <c r="B150" i="60"/>
  <c r="G150" i="60" s="1"/>
  <c r="E170" i="60"/>
  <c r="G352" i="82" s="1"/>
  <c r="B149" i="60"/>
  <c r="E127" i="60"/>
  <c r="E237" i="82"/>
  <c r="B59" i="32"/>
  <c r="B57" i="40"/>
  <c r="B67" i="20"/>
  <c r="B16" i="38"/>
  <c r="B56" i="37"/>
  <c r="G149" i="60" l="1"/>
  <c r="J331" i="82" s="1"/>
  <c r="C331" i="82"/>
  <c r="J330" i="82"/>
  <c r="C330" i="82"/>
  <c r="J332" i="82"/>
  <c r="C332" i="82"/>
  <c r="E129" i="60"/>
  <c r="F312" i="82"/>
  <c r="E113" i="60"/>
  <c r="E112" i="60"/>
  <c r="E99" i="60"/>
  <c r="E98" i="60"/>
  <c r="F170" i="60"/>
  <c r="E171" i="60"/>
  <c r="G161" i="60"/>
  <c r="G160" i="60"/>
  <c r="E50" i="60"/>
  <c r="C191" i="60"/>
  <c r="F191" i="60"/>
  <c r="J372" i="82" s="1"/>
  <c r="B199" i="60"/>
  <c r="C376" i="82" s="1"/>
  <c r="C140" i="60"/>
  <c r="D323" i="82" s="1"/>
  <c r="B147" i="60"/>
  <c r="C329" i="82" s="1"/>
  <c r="G140" i="60"/>
  <c r="E128" i="60"/>
  <c r="N45" i="20"/>
  <c r="J129" i="82" s="1"/>
  <c r="N48" i="20"/>
  <c r="N46" i="20"/>
  <c r="G142" i="60" l="1"/>
  <c r="K323" i="82"/>
  <c r="F286" i="82"/>
  <c r="C192" i="60"/>
  <c r="D372" i="82"/>
  <c r="F193" i="60"/>
  <c r="F192" i="60"/>
  <c r="B200" i="60"/>
  <c r="G199" i="60"/>
  <c r="B151" i="60"/>
  <c r="I151" i="60" s="1"/>
  <c r="G147" i="60"/>
  <c r="G151" i="60" s="1"/>
  <c r="B6" i="60"/>
  <c r="C106" i="60"/>
  <c r="E301" i="82" s="1"/>
  <c r="G19" i="37"/>
  <c r="F47" i="20"/>
  <c r="E300" i="82" l="1"/>
  <c r="C110" i="60"/>
  <c r="C112" i="60" s="1"/>
  <c r="J329" i="82"/>
  <c r="E61" i="82"/>
  <c r="N19" i="37"/>
  <c r="G200" i="60"/>
  <c r="H377" i="82" s="1"/>
  <c r="H376" i="82"/>
  <c r="B202" i="60"/>
  <c r="C377" i="82"/>
  <c r="B153" i="60"/>
  <c r="C333" i="82"/>
  <c r="F138" i="60"/>
  <c r="J321" i="82" s="1"/>
  <c r="F321" i="82"/>
  <c r="B7" i="60"/>
  <c r="C231" i="82"/>
  <c r="F137" i="60"/>
  <c r="J320" i="82" s="1"/>
  <c r="F320" i="82"/>
  <c r="B152" i="60"/>
  <c r="C168" i="60"/>
  <c r="F351" i="82" s="1"/>
  <c r="F371" i="82"/>
  <c r="F319" i="82"/>
  <c r="E303" i="82"/>
  <c r="E302" i="82"/>
  <c r="H16" i="32"/>
  <c r="E187" i="82" s="1"/>
  <c r="E216" i="82"/>
  <c r="E258" i="82"/>
  <c r="E269" i="82"/>
  <c r="E251" i="82"/>
  <c r="C46" i="60"/>
  <c r="F78" i="60" s="1"/>
  <c r="C60" i="60"/>
  <c r="E272" i="82" s="1"/>
  <c r="C45" i="60"/>
  <c r="E254" i="82" s="1"/>
  <c r="C39" i="60"/>
  <c r="F76" i="60" s="1"/>
  <c r="C59" i="60"/>
  <c r="E271" i="82" s="1"/>
  <c r="E253" i="82"/>
  <c r="E276" i="82"/>
  <c r="E259" i="82"/>
  <c r="C57" i="60"/>
  <c r="E255" i="82"/>
  <c r="E260" i="82"/>
  <c r="C55" i="60"/>
  <c r="E273" i="82" s="1"/>
  <c r="E261" i="82"/>
  <c r="C54" i="60"/>
  <c r="E277" i="82" s="1"/>
  <c r="C62" i="60"/>
  <c r="C30" i="60"/>
  <c r="C29" i="60"/>
  <c r="F61" i="60" s="1"/>
  <c r="E270" i="82"/>
  <c r="E252" i="82"/>
  <c r="E250" i="82"/>
  <c r="C53" i="60"/>
  <c r="F53" i="60" l="1"/>
  <c r="F79" i="60"/>
  <c r="F62" i="60"/>
  <c r="E262" i="82"/>
  <c r="E285" i="82"/>
  <c r="E257" i="82"/>
  <c r="C70" i="60"/>
  <c r="C72" i="60" s="1"/>
  <c r="G152" i="60"/>
  <c r="J333" i="82"/>
  <c r="C48" i="60"/>
  <c r="E268" i="82"/>
  <c r="E55" i="82"/>
  <c r="N12" i="37"/>
  <c r="F139" i="60"/>
  <c r="J322" i="82" s="1"/>
  <c r="F322" i="82"/>
  <c r="D191" i="60"/>
  <c r="C170" i="60"/>
  <c r="B159" i="60"/>
  <c r="E159" i="60"/>
  <c r="H371" i="82"/>
  <c r="F136" i="60"/>
  <c r="E140" i="60"/>
  <c r="E141" i="60" s="1"/>
  <c r="E304" i="82"/>
  <c r="H342" i="82"/>
  <c r="E206" i="82"/>
  <c r="H12" i="32"/>
  <c r="H18" i="32" s="1"/>
  <c r="H22" i="32" s="1"/>
  <c r="J16" i="1"/>
  <c r="C50" i="60" l="1"/>
  <c r="C49" i="60"/>
  <c r="E283" i="82"/>
  <c r="E286" i="82"/>
  <c r="C71" i="60"/>
  <c r="E278" i="82"/>
  <c r="B160" i="60"/>
  <c r="F343" i="82"/>
  <c r="G343" i="82"/>
  <c r="E183" i="82"/>
  <c r="E189" i="82"/>
  <c r="D192" i="60"/>
  <c r="F372" i="82"/>
  <c r="F323" i="82"/>
  <c r="E263" i="82"/>
  <c r="F140" i="60"/>
  <c r="H151" i="60" s="1"/>
  <c r="J319" i="82"/>
  <c r="C171" i="60"/>
  <c r="F352" i="82"/>
  <c r="E160" i="60"/>
  <c r="E191" i="60"/>
  <c r="F159" i="60"/>
  <c r="J54" i="1"/>
  <c r="H343" i="82" l="1"/>
  <c r="J323" i="82"/>
  <c r="E192" i="60"/>
  <c r="H372" i="82"/>
  <c r="F160" i="60"/>
  <c r="H30" i="32" l="1"/>
  <c r="E193" i="82"/>
  <c r="E200" i="82" l="1"/>
  <c r="B2" i="32"/>
  <c r="H266" i="60" l="1"/>
  <c r="B455" i="60"/>
  <c r="F424" i="60"/>
  <c r="B420" i="60"/>
  <c r="F340" i="60"/>
  <c r="C348" i="60"/>
  <c r="C344" i="60"/>
  <c r="F339" i="60"/>
  <c r="G267" i="60"/>
  <c r="F267" i="60"/>
  <c r="E267" i="60"/>
  <c r="C267" i="60"/>
  <c r="B267" i="60"/>
  <c r="E258" i="60"/>
  <c r="G201" i="60"/>
  <c r="E201" i="60"/>
  <c r="B201" i="60"/>
  <c r="G141" i="60"/>
  <c r="F141" i="60"/>
  <c r="C141" i="60"/>
  <c r="E119" i="60"/>
  <c r="E23" i="60"/>
  <c r="O96" i="48" l="1"/>
  <c r="O52" i="48"/>
  <c r="O34" i="48"/>
  <c r="O28" i="48"/>
  <c r="P28" i="48" s="1"/>
  <c r="N28" i="48"/>
  <c r="M28" i="48"/>
  <c r="G16" i="37" l="1"/>
  <c r="H51" i="1"/>
  <c r="H44" i="1"/>
  <c r="G37" i="82" s="1"/>
  <c r="H39" i="1"/>
  <c r="G32" i="82" s="1"/>
  <c r="H25" i="1"/>
  <c r="G19" i="82" s="1"/>
  <c r="H16" i="1"/>
  <c r="G11" i="82" s="1"/>
  <c r="I79" i="52"/>
  <c r="J79" i="52" s="1"/>
  <c r="I78" i="52"/>
  <c r="J78" i="52" s="1"/>
  <c r="I243" i="51"/>
  <c r="J243" i="51" s="1"/>
  <c r="I241" i="51"/>
  <c r="J241" i="51" s="1"/>
  <c r="G43" i="82" l="1"/>
  <c r="N16" i="37"/>
  <c r="E322" i="60"/>
  <c r="E58" i="82"/>
  <c r="I42" i="40"/>
  <c r="E161" i="82" s="1"/>
  <c r="H28" i="1"/>
  <c r="G22" i="82" s="1"/>
  <c r="H54" i="1"/>
  <c r="G46" i="82" s="1"/>
  <c r="H58" i="1" l="1"/>
  <c r="F79" i="48" l="1"/>
  <c r="F34" i="48"/>
  <c r="R24" i="78"/>
  <c r="V24" i="78" s="1"/>
  <c r="F391" i="60" s="1"/>
  <c r="E551" i="82" s="1"/>
  <c r="F357" i="60" l="1"/>
  <c r="I522" i="82" s="1"/>
  <c r="D182" i="60" l="1"/>
  <c r="F362" i="82"/>
  <c r="F323" i="60" l="1"/>
  <c r="F327" i="60" l="1"/>
  <c r="F474" i="82"/>
  <c r="F73" i="48"/>
  <c r="R21" i="78"/>
  <c r="V21" i="78" s="1"/>
  <c r="F388" i="60" s="1"/>
  <c r="E548" i="82" s="1"/>
  <c r="F328" i="60" l="1"/>
  <c r="F478" i="82"/>
  <c r="L28" i="1" l="1"/>
  <c r="L58" i="1" s="1"/>
  <c r="F355" i="82" l="1"/>
  <c r="J25" i="1" l="1"/>
  <c r="J28" i="1" s="1"/>
  <c r="J58" i="1" s="1"/>
  <c r="O58" i="1"/>
  <c r="F342" i="60" l="1"/>
  <c r="F343" i="60" l="1"/>
  <c r="F511" i="82" s="1"/>
  <c r="F508" i="82"/>
  <c r="F359" i="82"/>
  <c r="F72" i="48"/>
  <c r="R20" i="78"/>
  <c r="V20" i="78" s="1"/>
  <c r="F387" i="60" s="1"/>
  <c r="E547" i="82" s="1"/>
  <c r="F347" i="60" l="1"/>
  <c r="F344" i="60"/>
  <c r="F345" i="60"/>
  <c r="F348" i="60" l="1"/>
  <c r="F513" i="82"/>
  <c r="F361" i="82" l="1"/>
  <c r="D180" i="60" l="1"/>
  <c r="C184" i="60" l="1"/>
  <c r="F365" i="82" l="1"/>
  <c r="G314" i="60" l="1"/>
  <c r="L107" i="48" l="1"/>
  <c r="M96" i="48"/>
  <c r="N96" i="48"/>
  <c r="L95" i="48"/>
  <c r="L94" i="48"/>
  <c r="L93" i="48"/>
  <c r="L92" i="48"/>
  <c r="L32" i="48"/>
  <c r="L31" i="48"/>
  <c r="L30" i="48"/>
  <c r="L114" i="48"/>
  <c r="L113" i="48"/>
  <c r="K114" i="48"/>
  <c r="K113" i="48"/>
  <c r="K107" i="48"/>
  <c r="K95" i="48"/>
  <c r="K94" i="48"/>
  <c r="K93" i="48"/>
  <c r="K92" i="48"/>
  <c r="K91" i="48"/>
  <c r="K77" i="48"/>
  <c r="K76" i="48"/>
  <c r="K80" i="48" s="1"/>
  <c r="K32" i="48"/>
  <c r="K31" i="48"/>
  <c r="K30" i="48"/>
  <c r="L10" i="48"/>
  <c r="J114" i="48"/>
  <c r="J113" i="48"/>
  <c r="J107" i="48"/>
  <c r="J95" i="48"/>
  <c r="J94" i="48"/>
  <c r="J93" i="48"/>
  <c r="J92" i="48"/>
  <c r="J91" i="48"/>
  <c r="J32" i="48"/>
  <c r="J31" i="48"/>
  <c r="J30" i="48"/>
  <c r="L77" i="48" l="1"/>
  <c r="L76" i="48"/>
  <c r="L34" i="48"/>
  <c r="R23" i="78"/>
  <c r="V23" i="78" s="1"/>
  <c r="F390" i="60" s="1"/>
  <c r="L78" i="48"/>
  <c r="J34" i="48"/>
  <c r="K34" i="48"/>
  <c r="J115" i="48"/>
  <c r="J116" i="48" s="1"/>
  <c r="J96" i="48"/>
  <c r="K96" i="48"/>
  <c r="K115" i="48"/>
  <c r="L80" i="48" l="1"/>
  <c r="L91" i="48"/>
  <c r="L96" i="48" s="1"/>
  <c r="N21" i="20" l="1"/>
  <c r="E33" i="19" l="1"/>
  <c r="D33" i="19"/>
  <c r="C33" i="19"/>
  <c r="C15" i="19"/>
  <c r="C16" i="19"/>
  <c r="C20" i="19" l="1"/>
  <c r="G33" i="19"/>
  <c r="F11" i="1" l="1"/>
  <c r="P15" i="1"/>
  <c r="P14" i="1"/>
  <c r="F19" i="1"/>
  <c r="C91" i="60" s="1"/>
  <c r="F20" i="1"/>
  <c r="F22" i="1"/>
  <c r="C3" i="19"/>
  <c r="C4" i="19"/>
  <c r="C5" i="19"/>
  <c r="C6" i="19"/>
  <c r="D3" i="19"/>
  <c r="D4" i="19"/>
  <c r="D5" i="19"/>
  <c r="D6" i="19"/>
  <c r="C27" i="19"/>
  <c r="D27" i="19"/>
  <c r="F23" i="1"/>
  <c r="F161" i="60" s="1"/>
  <c r="F38" i="1"/>
  <c r="F43" i="1"/>
  <c r="E325" i="60"/>
  <c r="N23" i="20"/>
  <c r="N22" i="20"/>
  <c r="E435" i="60" l="1"/>
  <c r="P20" i="1"/>
  <c r="F71" i="40"/>
  <c r="F75" i="40"/>
  <c r="F86" i="40"/>
  <c r="C446" i="60"/>
  <c r="C453" i="60"/>
  <c r="N23" i="1"/>
  <c r="N11" i="1"/>
  <c r="F67" i="40"/>
  <c r="F53" i="40"/>
  <c r="F55" i="40" s="1"/>
  <c r="P38" i="1"/>
  <c r="P22" i="1"/>
  <c r="F142" i="60"/>
  <c r="P19" i="1"/>
  <c r="P43" i="1"/>
  <c r="P23" i="1"/>
  <c r="P11" i="1"/>
  <c r="D14" i="82"/>
  <c r="D7" i="82"/>
  <c r="D36" i="82"/>
  <c r="C236" i="82"/>
  <c r="C113" i="60"/>
  <c r="D10" i="82"/>
  <c r="D31" i="82"/>
  <c r="C237" i="82"/>
  <c r="D184" i="60"/>
  <c r="D16" i="82"/>
  <c r="F76" i="40"/>
  <c r="D17" i="82"/>
  <c r="F72" i="40"/>
  <c r="D15" i="82"/>
  <c r="D168" i="60"/>
  <c r="F88" i="40"/>
  <c r="F70" i="40"/>
  <c r="K70" i="40" s="1"/>
  <c r="D166" i="60"/>
  <c r="B8" i="60"/>
  <c r="C24" i="60"/>
  <c r="N15" i="1"/>
  <c r="N38" i="1"/>
  <c r="G153" i="60"/>
  <c r="N43" i="1"/>
  <c r="N19" i="1"/>
  <c r="N20" i="1"/>
  <c r="C129" i="60"/>
  <c r="N14" i="1"/>
  <c r="N22" i="1"/>
  <c r="D170" i="60"/>
  <c r="F50" i="1"/>
  <c r="F36" i="1"/>
  <c r="P36" i="1" s="1"/>
  <c r="F24" i="1"/>
  <c r="G17" i="37"/>
  <c r="F32" i="1"/>
  <c r="N32" i="1" s="1"/>
  <c r="F42" i="1"/>
  <c r="G28" i="37"/>
  <c r="G18" i="37"/>
  <c r="F35" i="1"/>
  <c r="F33" i="1"/>
  <c r="C345" i="60"/>
  <c r="F49" i="1"/>
  <c r="P34" i="1"/>
  <c r="F37" i="1"/>
  <c r="P37" i="1" s="1"/>
  <c r="F13" i="1"/>
  <c r="P13" i="1" s="1"/>
  <c r="K86" i="40" l="1"/>
  <c r="F16" i="1"/>
  <c r="J63" i="20"/>
  <c r="G296" i="60"/>
  <c r="E434" i="60"/>
  <c r="E193" i="60"/>
  <c r="C437" i="60"/>
  <c r="N28" i="37"/>
  <c r="G34" i="37"/>
  <c r="E327" i="60" s="1"/>
  <c r="E313" i="60"/>
  <c r="D63" i="20"/>
  <c r="P50" i="1"/>
  <c r="E425" i="60"/>
  <c r="E427" i="60" s="1"/>
  <c r="F583" i="82"/>
  <c r="F582" i="82"/>
  <c r="E433" i="60"/>
  <c r="G259" i="60"/>
  <c r="C452" i="60"/>
  <c r="F87" i="40"/>
  <c r="E453" i="60"/>
  <c r="F453" i="60" s="1"/>
  <c r="D453" i="60"/>
  <c r="D446" i="60"/>
  <c r="E446" i="60"/>
  <c r="P49" i="1"/>
  <c r="P32" i="1"/>
  <c r="B16" i="60"/>
  <c r="P24" i="1"/>
  <c r="P33" i="1"/>
  <c r="C444" i="60"/>
  <c r="D444" i="60" s="1"/>
  <c r="P12" i="1"/>
  <c r="N35" i="1"/>
  <c r="F83" i="40"/>
  <c r="P42" i="1"/>
  <c r="P47" i="1"/>
  <c r="G590" i="82"/>
  <c r="E320" i="60"/>
  <c r="D458" i="60"/>
  <c r="E458" i="60"/>
  <c r="E69" i="82"/>
  <c r="N27" i="37"/>
  <c r="E59" i="82"/>
  <c r="N17" i="37"/>
  <c r="E68" i="82"/>
  <c r="N26" i="37"/>
  <c r="E60" i="82"/>
  <c r="N18" i="37"/>
  <c r="E57" i="82"/>
  <c r="N14" i="37"/>
  <c r="E56" i="82"/>
  <c r="N13" i="37"/>
  <c r="D18" i="82"/>
  <c r="D29" i="82"/>
  <c r="D8" i="82"/>
  <c r="D9" i="82"/>
  <c r="D30" i="82"/>
  <c r="D41" i="82"/>
  <c r="D40" i="82"/>
  <c r="F82" i="40"/>
  <c r="K82" i="40" s="1"/>
  <c r="D28" i="82"/>
  <c r="C445" i="60"/>
  <c r="F81" i="40"/>
  <c r="K81" i="40" s="1"/>
  <c r="D27" i="82"/>
  <c r="D35" i="82"/>
  <c r="C219" i="60"/>
  <c r="D26" i="82"/>
  <c r="C443" i="60"/>
  <c r="F94" i="40"/>
  <c r="D42" i="82"/>
  <c r="C174" i="82"/>
  <c r="C172" i="82"/>
  <c r="E321" i="60"/>
  <c r="E70" i="82"/>
  <c r="F91" i="40"/>
  <c r="N13" i="1"/>
  <c r="F69" i="40"/>
  <c r="K69" i="40" s="1"/>
  <c r="B276" i="60"/>
  <c r="F85" i="40"/>
  <c r="K85" i="40" s="1"/>
  <c r="F77" i="40"/>
  <c r="K75" i="40" s="1"/>
  <c r="N12" i="1"/>
  <c r="F68" i="40"/>
  <c r="K68" i="40" s="1"/>
  <c r="N36" i="1"/>
  <c r="F84" i="40"/>
  <c r="K84" i="40" s="1"/>
  <c r="F80" i="40"/>
  <c r="K80" i="40" s="1"/>
  <c r="F93" i="40"/>
  <c r="N33" i="1"/>
  <c r="C249" i="60"/>
  <c r="N34" i="1"/>
  <c r="N37" i="1"/>
  <c r="N42" i="1"/>
  <c r="C99" i="60"/>
  <c r="N47" i="1"/>
  <c r="N50" i="1"/>
  <c r="N49" i="1"/>
  <c r="C409" i="60"/>
  <c r="E323" i="60"/>
  <c r="E324" i="60"/>
  <c r="N24" i="1"/>
  <c r="C340" i="60"/>
  <c r="C349" i="60"/>
  <c r="C233" i="60"/>
  <c r="G202" i="60"/>
  <c r="F44" i="1"/>
  <c r="F51" i="1"/>
  <c r="F39" i="1"/>
  <c r="C416" i="60" s="1"/>
  <c r="G20" i="37"/>
  <c r="G22" i="37" s="1"/>
  <c r="K91" i="40" l="1"/>
  <c r="C439" i="60"/>
  <c r="C438" i="60"/>
  <c r="E436" i="60"/>
  <c r="E437" i="60" s="1"/>
  <c r="E438" i="60" s="1"/>
  <c r="D436" i="60"/>
  <c r="E428" i="60"/>
  <c r="K83" i="40"/>
  <c r="D425" i="60"/>
  <c r="C427" i="60"/>
  <c r="C429" i="60" s="1"/>
  <c r="E452" i="60"/>
  <c r="F452" i="60" s="1"/>
  <c r="D452" i="60"/>
  <c r="C454" i="60"/>
  <c r="F578" i="82"/>
  <c r="G583" i="82"/>
  <c r="G582" i="82"/>
  <c r="D445" i="60"/>
  <c r="E445" i="60"/>
  <c r="G589" i="82" s="1"/>
  <c r="F567" i="82"/>
  <c r="E409" i="60"/>
  <c r="E459" i="60"/>
  <c r="E460" i="60" s="1"/>
  <c r="C418" i="60"/>
  <c r="D418" i="60" s="1"/>
  <c r="F570" i="82"/>
  <c r="E416" i="60"/>
  <c r="G570" i="82" s="1"/>
  <c r="D37" i="82"/>
  <c r="C417" i="60"/>
  <c r="D417" i="60" s="1"/>
  <c r="J95" i="40"/>
  <c r="F447" i="60"/>
  <c r="C460" i="60"/>
  <c r="D43" i="82"/>
  <c r="F587" i="82"/>
  <c r="C448" i="60"/>
  <c r="E443" i="60"/>
  <c r="G587" i="82" s="1"/>
  <c r="D443" i="60"/>
  <c r="F589" i="82"/>
  <c r="D32" i="82"/>
  <c r="E64" i="82"/>
  <c r="E62" i="82"/>
  <c r="D409" i="60"/>
  <c r="D11" i="82"/>
  <c r="E314" i="60"/>
  <c r="E76" i="82"/>
  <c r="F588" i="82"/>
  <c r="E444" i="60"/>
  <c r="G588" i="82" s="1"/>
  <c r="D416" i="60"/>
  <c r="F409" i="60" l="1"/>
  <c r="E430" i="60"/>
  <c r="F427" i="60"/>
  <c r="C428" i="60"/>
  <c r="E454" i="60"/>
  <c r="E455" i="60" s="1"/>
  <c r="C455" i="60"/>
  <c r="F437" i="60"/>
  <c r="D454" i="60"/>
  <c r="F416" i="60"/>
  <c r="F571" i="82"/>
  <c r="E417" i="60"/>
  <c r="F417" i="60" s="1"/>
  <c r="E418" i="60"/>
  <c r="G572" i="82" s="1"/>
  <c r="F572" i="82"/>
  <c r="G567" i="82"/>
  <c r="C419" i="60"/>
  <c r="C461" i="60"/>
  <c r="E461" i="60" s="1"/>
  <c r="C462" i="60"/>
  <c r="F460" i="60"/>
  <c r="D448" i="60"/>
  <c r="C450" i="60"/>
  <c r="F443" i="60"/>
  <c r="F591" i="82"/>
  <c r="E448" i="60"/>
  <c r="C449" i="60"/>
  <c r="F444" i="60"/>
  <c r="F445" i="60"/>
  <c r="J77" i="52"/>
  <c r="F454" i="60" l="1"/>
  <c r="F418" i="60"/>
  <c r="F573" i="82"/>
  <c r="E419" i="60"/>
  <c r="E464" i="60" s="1"/>
  <c r="C420" i="60"/>
  <c r="F448" i="60"/>
  <c r="E449" i="60"/>
  <c r="G591" i="82"/>
  <c r="J245" i="51"/>
  <c r="E420" i="60" l="1"/>
  <c r="G573" i="82"/>
  <c r="D7" i="48"/>
  <c r="E7" i="48"/>
  <c r="F7" i="48"/>
  <c r="G7" i="48"/>
  <c r="H7" i="48"/>
  <c r="H52" i="48" s="1"/>
  <c r="L52" i="48"/>
  <c r="M52" i="48"/>
  <c r="N52" i="48"/>
  <c r="D8" i="48"/>
  <c r="D53" i="48" s="1"/>
  <c r="E8" i="48"/>
  <c r="E53" i="48" s="1"/>
  <c r="F53" i="48"/>
  <c r="G8" i="48"/>
  <c r="G53" i="48" s="1"/>
  <c r="H8" i="48"/>
  <c r="H53" i="48" s="1"/>
  <c r="I53" i="48"/>
  <c r="K53" i="48"/>
  <c r="N53" i="48"/>
  <c r="O53" i="48"/>
  <c r="O54" i="48" s="1"/>
  <c r="E10" i="48"/>
  <c r="F10" i="48"/>
  <c r="F55" i="48" s="1"/>
  <c r="G10" i="48"/>
  <c r="G55" i="48" s="1"/>
  <c r="H10" i="48"/>
  <c r="H55" i="48" s="1"/>
  <c r="J55" i="48"/>
  <c r="K55" i="48"/>
  <c r="L55" i="48"/>
  <c r="M55" i="48"/>
  <c r="N55" i="48"/>
  <c r="F13" i="48"/>
  <c r="J58" i="48"/>
  <c r="K58" i="48"/>
  <c r="L58" i="48"/>
  <c r="M58" i="48"/>
  <c r="N58" i="48"/>
  <c r="O58" i="48"/>
  <c r="F14" i="48"/>
  <c r="G14" i="48"/>
  <c r="G59" i="48" s="1"/>
  <c r="G93" i="48" s="1"/>
  <c r="H14" i="48"/>
  <c r="H59" i="48" s="1"/>
  <c r="J59" i="48"/>
  <c r="K59" i="48"/>
  <c r="L59" i="48"/>
  <c r="M59" i="48"/>
  <c r="O59" i="48"/>
  <c r="D15" i="48"/>
  <c r="D60" i="48" s="1"/>
  <c r="E15" i="48"/>
  <c r="E60" i="48" s="1"/>
  <c r="F15" i="48"/>
  <c r="G15" i="48"/>
  <c r="G60" i="48" s="1"/>
  <c r="H15" i="48"/>
  <c r="H60" i="48" s="1"/>
  <c r="J60" i="48"/>
  <c r="K60" i="48"/>
  <c r="L60" i="48"/>
  <c r="M60" i="48"/>
  <c r="N60" i="48"/>
  <c r="O60" i="48"/>
  <c r="D16" i="48"/>
  <c r="D61" i="48" s="1"/>
  <c r="F16" i="48"/>
  <c r="G16" i="48"/>
  <c r="G61" i="48" s="1"/>
  <c r="H16" i="48"/>
  <c r="H61" i="48" s="1"/>
  <c r="D17" i="48"/>
  <c r="D62" i="48" s="1"/>
  <c r="D94" i="48" s="1"/>
  <c r="E17" i="48"/>
  <c r="E62" i="48" s="1"/>
  <c r="F17" i="48"/>
  <c r="G17" i="48"/>
  <c r="G62" i="48" s="1"/>
  <c r="G94" i="48" s="1"/>
  <c r="H17" i="48"/>
  <c r="H62" i="48" s="1"/>
  <c r="H94" i="48" s="1"/>
  <c r="J62" i="48"/>
  <c r="K62" i="48"/>
  <c r="L62" i="48"/>
  <c r="M62" i="48"/>
  <c r="N62" i="48"/>
  <c r="O62" i="48"/>
  <c r="D18" i="48"/>
  <c r="D63" i="48" s="1"/>
  <c r="D95" i="48" s="1"/>
  <c r="F18" i="48"/>
  <c r="G18" i="48"/>
  <c r="G63" i="48" s="1"/>
  <c r="G95" i="48" s="1"/>
  <c r="H18" i="48"/>
  <c r="H63" i="48" s="1"/>
  <c r="H95" i="48" s="1"/>
  <c r="D19" i="48"/>
  <c r="D64" i="48" s="1"/>
  <c r="E19" i="48"/>
  <c r="E64" i="48" s="1"/>
  <c r="F19" i="48"/>
  <c r="G19" i="48"/>
  <c r="G64" i="48" s="1"/>
  <c r="H19" i="48"/>
  <c r="H64" i="48" s="1"/>
  <c r="J64" i="48"/>
  <c r="K64" i="48"/>
  <c r="L64" i="48"/>
  <c r="M64" i="48"/>
  <c r="N64" i="48"/>
  <c r="O64" i="48"/>
  <c r="D20" i="48"/>
  <c r="D65" i="48" s="1"/>
  <c r="J65" i="48"/>
  <c r="K65" i="48"/>
  <c r="L65" i="48"/>
  <c r="M65" i="48"/>
  <c r="N65" i="48"/>
  <c r="O65" i="48"/>
  <c r="D21" i="48"/>
  <c r="D66" i="48" s="1"/>
  <c r="G21" i="48"/>
  <c r="G66" i="48" s="1"/>
  <c r="H21" i="48"/>
  <c r="H66" i="48" s="1"/>
  <c r="D22" i="48"/>
  <c r="D67" i="48" s="1"/>
  <c r="G22" i="48"/>
  <c r="G67" i="48" s="1"/>
  <c r="H22" i="48"/>
  <c r="H67" i="48" s="1"/>
  <c r="L67" i="48"/>
  <c r="M67" i="48"/>
  <c r="N67" i="48"/>
  <c r="O67" i="48"/>
  <c r="L68" i="48"/>
  <c r="M68" i="48"/>
  <c r="N68" i="48"/>
  <c r="O68" i="48"/>
  <c r="D24" i="48"/>
  <c r="D69" i="48" s="1"/>
  <c r="E24" i="48"/>
  <c r="E69" i="48" s="1"/>
  <c r="F24" i="48"/>
  <c r="G24" i="48"/>
  <c r="G69" i="48" s="1"/>
  <c r="H24" i="48"/>
  <c r="H69" i="48" s="1"/>
  <c r="J69" i="48"/>
  <c r="K69" i="48"/>
  <c r="L69" i="48"/>
  <c r="M69" i="48"/>
  <c r="N69" i="48"/>
  <c r="O69" i="48"/>
  <c r="D25" i="48"/>
  <c r="D70" i="48" s="1"/>
  <c r="E25" i="48"/>
  <c r="E70" i="48" s="1"/>
  <c r="F25" i="48"/>
  <c r="L70" i="48"/>
  <c r="M70" i="48"/>
  <c r="N70" i="48"/>
  <c r="O70" i="48"/>
  <c r="D26" i="48"/>
  <c r="D71" i="48" s="1"/>
  <c r="G26" i="48"/>
  <c r="G71" i="48" s="1"/>
  <c r="H26" i="48"/>
  <c r="H71" i="48" s="1"/>
  <c r="D30" i="48"/>
  <c r="D76" i="48" s="1"/>
  <c r="H30" i="48"/>
  <c r="H34" i="48" s="1"/>
  <c r="D31" i="48"/>
  <c r="J77" i="48"/>
  <c r="J80" i="48" s="1"/>
  <c r="N34" i="48"/>
  <c r="O77" i="48"/>
  <c r="D32" i="48"/>
  <c r="D78" i="48" s="1"/>
  <c r="H32" i="48"/>
  <c r="O78" i="48"/>
  <c r="E34" i="48"/>
  <c r="G34" i="48"/>
  <c r="C38" i="48"/>
  <c r="D41" i="48"/>
  <c r="D44" i="48" s="1"/>
  <c r="C44" i="48"/>
  <c r="J53" i="48"/>
  <c r="D55" i="48"/>
  <c r="O55" i="48"/>
  <c r="D58" i="48"/>
  <c r="D92" i="48" s="1"/>
  <c r="E58" i="48"/>
  <c r="G58" i="48"/>
  <c r="H58" i="48"/>
  <c r="D59" i="48"/>
  <c r="E59" i="48"/>
  <c r="E61" i="48"/>
  <c r="J61" i="48"/>
  <c r="K61" i="48"/>
  <c r="L61" i="48"/>
  <c r="M61" i="48"/>
  <c r="N61" i="48"/>
  <c r="O61" i="48"/>
  <c r="E63" i="48"/>
  <c r="J63" i="48"/>
  <c r="K63" i="48"/>
  <c r="L63" i="48"/>
  <c r="M63" i="48"/>
  <c r="N63" i="48"/>
  <c r="O63" i="48"/>
  <c r="E65" i="48"/>
  <c r="F65" i="48"/>
  <c r="G65" i="48"/>
  <c r="H65" i="48"/>
  <c r="E66" i="48"/>
  <c r="F66" i="48"/>
  <c r="J66" i="48"/>
  <c r="K66" i="48"/>
  <c r="L66" i="48"/>
  <c r="M66" i="48"/>
  <c r="N66" i="48"/>
  <c r="O66" i="48"/>
  <c r="E67" i="48"/>
  <c r="F67" i="48"/>
  <c r="J67" i="48"/>
  <c r="K67" i="48"/>
  <c r="D68" i="48"/>
  <c r="F68" i="48"/>
  <c r="G70" i="48"/>
  <c r="H70" i="48"/>
  <c r="E71" i="48"/>
  <c r="J71" i="48"/>
  <c r="M71" i="48"/>
  <c r="N71" i="48"/>
  <c r="O71" i="48"/>
  <c r="G76" i="48"/>
  <c r="F77" i="48"/>
  <c r="G77" i="48"/>
  <c r="H77" i="48"/>
  <c r="H80" i="48" s="1"/>
  <c r="F78" i="48"/>
  <c r="G78" i="48"/>
  <c r="E80" i="48"/>
  <c r="D87" i="48"/>
  <c r="E87" i="48"/>
  <c r="F87" i="48"/>
  <c r="G87" i="48"/>
  <c r="H87" i="48"/>
  <c r="I87" i="48"/>
  <c r="J87" i="48"/>
  <c r="K87" i="48"/>
  <c r="L87" i="48"/>
  <c r="M87" i="48"/>
  <c r="N87" i="48"/>
  <c r="O87" i="48"/>
  <c r="C91" i="48"/>
  <c r="C92" i="48"/>
  <c r="G92" i="48"/>
  <c r="C93" i="48"/>
  <c r="D93" i="48"/>
  <c r="H93" i="48"/>
  <c r="C94" i="48"/>
  <c r="E94" i="48"/>
  <c r="C95" i="48"/>
  <c r="C102" i="48"/>
  <c r="D107" i="48"/>
  <c r="D113" i="48"/>
  <c r="E113" i="48"/>
  <c r="F113" i="48"/>
  <c r="G113" i="48"/>
  <c r="H113" i="48"/>
  <c r="I113" i="48"/>
  <c r="M113" i="48"/>
  <c r="N113" i="48"/>
  <c r="O113" i="48"/>
  <c r="D114" i="48"/>
  <c r="E114" i="48"/>
  <c r="F114" i="48"/>
  <c r="G114" i="48"/>
  <c r="H114" i="48"/>
  <c r="I114" i="48"/>
  <c r="M114" i="48"/>
  <c r="N114" i="48"/>
  <c r="O114" i="48"/>
  <c r="K116" i="48"/>
  <c r="L115" i="48"/>
  <c r="L116" i="48" s="1"/>
  <c r="F132" i="48"/>
  <c r="G80" i="48" l="1"/>
  <c r="L74" i="48"/>
  <c r="F80" i="48"/>
  <c r="R18" i="78"/>
  <c r="V18" i="78" s="1"/>
  <c r="E545" i="82" s="1"/>
  <c r="F58" i="48"/>
  <c r="F28" i="48"/>
  <c r="F356" i="60" s="1"/>
  <c r="I521" i="82" s="1"/>
  <c r="F70" i="48"/>
  <c r="F64" i="48"/>
  <c r="F59" i="48"/>
  <c r="F62" i="48"/>
  <c r="F60" i="48"/>
  <c r="F63" i="48"/>
  <c r="F61" i="48"/>
  <c r="M115" i="48"/>
  <c r="M116" i="48" s="1"/>
  <c r="C96" i="48"/>
  <c r="C98" i="48" s="1"/>
  <c r="C104" i="48" s="1"/>
  <c r="D100" i="48" s="1"/>
  <c r="D102" i="48" s="1"/>
  <c r="I115" i="48"/>
  <c r="I116" i="48" s="1"/>
  <c r="E115" i="48"/>
  <c r="E116" i="48" s="1"/>
  <c r="H115" i="48"/>
  <c r="H116" i="48" s="1"/>
  <c r="G115" i="48"/>
  <c r="G116" i="48" s="1"/>
  <c r="D115" i="48"/>
  <c r="D116" i="48" s="1"/>
  <c r="F115" i="48"/>
  <c r="F116" i="48" s="1"/>
  <c r="F69" i="48"/>
  <c r="N115" i="48"/>
  <c r="N116" i="48" s="1"/>
  <c r="N80" i="48"/>
  <c r="N54" i="48"/>
  <c r="N56" i="48" s="1"/>
  <c r="I11" i="48"/>
  <c r="E9" i="48"/>
  <c r="E11" i="48" s="1"/>
  <c r="I52" i="48"/>
  <c r="I54" i="48" s="1"/>
  <c r="H54" i="48"/>
  <c r="H56" i="48" s="1"/>
  <c r="M9" i="48"/>
  <c r="M11" i="48" s="1"/>
  <c r="H9" i="48"/>
  <c r="H11" i="48" s="1"/>
  <c r="D9" i="48"/>
  <c r="D11" i="48" s="1"/>
  <c r="E52" i="48"/>
  <c r="E54" i="48" s="1"/>
  <c r="O115" i="48"/>
  <c r="O116" i="48" s="1"/>
  <c r="K70" i="48"/>
  <c r="K74" i="48" s="1"/>
  <c r="N9" i="48"/>
  <c r="N11" i="48" s="1"/>
  <c r="N35" i="48" s="1"/>
  <c r="N36" i="48" s="1"/>
  <c r="H74" i="48"/>
  <c r="D52" i="48"/>
  <c r="D54" i="48" s="1"/>
  <c r="D56" i="48" s="1"/>
  <c r="E55" i="48"/>
  <c r="I55" i="48"/>
  <c r="G28" i="48"/>
  <c r="N59" i="48"/>
  <c r="M53" i="48"/>
  <c r="M54" i="48" s="1"/>
  <c r="M56" i="48" s="1"/>
  <c r="O56" i="48"/>
  <c r="O76" i="48"/>
  <c r="O80" i="48" s="1"/>
  <c r="M74" i="48"/>
  <c r="E74" i="48"/>
  <c r="J9" i="48"/>
  <c r="J11" i="48" s="1"/>
  <c r="J52" i="48"/>
  <c r="J54" i="48" s="1"/>
  <c r="J56" i="48" s="1"/>
  <c r="F9" i="48"/>
  <c r="F11" i="48" s="1"/>
  <c r="F52" i="48"/>
  <c r="L53" i="48"/>
  <c r="L54" i="48" s="1"/>
  <c r="L56" i="48" s="1"/>
  <c r="L9" i="48"/>
  <c r="L11" i="48" s="1"/>
  <c r="G52" i="48"/>
  <c r="G54" i="48" s="1"/>
  <c r="G56" i="48" s="1"/>
  <c r="G9" i="48"/>
  <c r="G11" i="48" s="1"/>
  <c r="K52" i="48"/>
  <c r="K54" i="48" s="1"/>
  <c r="K56" i="48" s="1"/>
  <c r="K9" i="48"/>
  <c r="K11" i="48" s="1"/>
  <c r="M34" i="48"/>
  <c r="M80" i="48"/>
  <c r="D34" i="48"/>
  <c r="D77" i="48"/>
  <c r="D80" i="48" s="1"/>
  <c r="O9" i="48"/>
  <c r="O11" i="48" s="1"/>
  <c r="E28" i="48"/>
  <c r="D74" i="48"/>
  <c r="J70" i="48"/>
  <c r="J74" i="48" s="1"/>
  <c r="G74" i="48"/>
  <c r="D28" i="48"/>
  <c r="H28" i="48"/>
  <c r="T11" i="48" l="1"/>
  <c r="F94" i="48"/>
  <c r="F54" i="48"/>
  <c r="F56" i="48" s="1"/>
  <c r="R19" i="78"/>
  <c r="V19" i="78" s="1"/>
  <c r="F385" i="60" s="1"/>
  <c r="E546" i="82" s="1"/>
  <c r="F93" i="48"/>
  <c r="F92" i="48"/>
  <c r="F74" i="48"/>
  <c r="F95" i="48"/>
  <c r="R14" i="78"/>
  <c r="V14" i="78" s="1"/>
  <c r="F382" i="60" s="1"/>
  <c r="F35" i="48"/>
  <c r="K35" i="48"/>
  <c r="K36" i="48" s="1"/>
  <c r="K37" i="48" s="1"/>
  <c r="K38" i="48" s="1"/>
  <c r="G35" i="48"/>
  <c r="G36" i="48" s="1"/>
  <c r="G37" i="48" s="1"/>
  <c r="G38" i="48" s="1"/>
  <c r="J35" i="48"/>
  <c r="J36" i="48" s="1"/>
  <c r="J37" i="48" s="1"/>
  <c r="J38" i="48" s="1"/>
  <c r="I56" i="48"/>
  <c r="E35" i="48"/>
  <c r="E36" i="48" s="1"/>
  <c r="E37" i="48" s="1"/>
  <c r="E38" i="48" s="1"/>
  <c r="N37" i="48"/>
  <c r="N38" i="48" s="1"/>
  <c r="N74" i="48" s="1"/>
  <c r="N82" i="48" s="1"/>
  <c r="D35" i="48"/>
  <c r="D36" i="48" s="1"/>
  <c r="D37" i="48" s="1"/>
  <c r="D38" i="48" s="1"/>
  <c r="D46" i="48" s="1"/>
  <c r="E41" i="48" s="1"/>
  <c r="E44" i="48" s="1"/>
  <c r="I74" i="48"/>
  <c r="E56" i="48"/>
  <c r="E82" i="48" s="1"/>
  <c r="E83" i="48" s="1"/>
  <c r="E108" i="48" s="1"/>
  <c r="O35" i="48"/>
  <c r="I35" i="48"/>
  <c r="I36" i="48" s="1"/>
  <c r="L35" i="48"/>
  <c r="L36" i="48" s="1"/>
  <c r="L37" i="48" s="1"/>
  <c r="L38" i="48" s="1"/>
  <c r="H82" i="48"/>
  <c r="H83" i="48" s="1"/>
  <c r="H108" i="48" s="1"/>
  <c r="L82" i="48"/>
  <c r="L83" i="48" s="1"/>
  <c r="L108" i="48" s="1"/>
  <c r="M108" i="48" s="1"/>
  <c r="N108" i="48" s="1"/>
  <c r="O108" i="48" s="1"/>
  <c r="M82" i="48"/>
  <c r="M83" i="48" s="1"/>
  <c r="M84" i="48" s="1"/>
  <c r="H35" i="48"/>
  <c r="D82" i="48"/>
  <c r="J82" i="48"/>
  <c r="M35" i="48"/>
  <c r="K82" i="48"/>
  <c r="G82" i="48"/>
  <c r="E543" i="82" l="1"/>
  <c r="F82" i="48"/>
  <c r="R8" i="78"/>
  <c r="F36" i="48"/>
  <c r="F37" i="48" s="1"/>
  <c r="F38" i="48" s="1"/>
  <c r="N83" i="48"/>
  <c r="N84" i="48" s="1"/>
  <c r="I82" i="48"/>
  <c r="I83" i="48" s="1"/>
  <c r="I108" i="48" s="1"/>
  <c r="E107" i="48"/>
  <c r="E109" i="48" s="1"/>
  <c r="E84" i="48"/>
  <c r="E86" i="48" s="1"/>
  <c r="H84" i="48"/>
  <c r="H86" i="48" s="1"/>
  <c r="O37" i="48"/>
  <c r="O38" i="48" s="1"/>
  <c r="O72" i="48" s="1"/>
  <c r="E46" i="48"/>
  <c r="F41" i="48" s="1"/>
  <c r="I37" i="48"/>
  <c r="I38" i="48" s="1"/>
  <c r="M86" i="48"/>
  <c r="M85" i="48"/>
  <c r="L84" i="48"/>
  <c r="F83" i="48"/>
  <c r="D83" i="48"/>
  <c r="D108" i="48" s="1"/>
  <c r="D109" i="48" s="1"/>
  <c r="G83" i="48"/>
  <c r="K83" i="48"/>
  <c r="K108" i="48" s="1"/>
  <c r="M36" i="48"/>
  <c r="M37" i="48" s="1"/>
  <c r="M38" i="48" s="1"/>
  <c r="J83" i="48"/>
  <c r="J108" i="48" s="1"/>
  <c r="H36" i="48"/>
  <c r="H37" i="48" s="1"/>
  <c r="H38" i="48" s="1"/>
  <c r="F44" i="48" l="1"/>
  <c r="R26" i="78"/>
  <c r="V26" i="78" s="1"/>
  <c r="F393" i="60" s="1"/>
  <c r="E555" i="82" s="1"/>
  <c r="R10" i="78"/>
  <c r="V10" i="78" s="1"/>
  <c r="V8" i="78"/>
  <c r="F108" i="48"/>
  <c r="O74" i="48"/>
  <c r="O82" i="48" s="1"/>
  <c r="O84" i="48" s="1"/>
  <c r="F107" i="48"/>
  <c r="G107" i="48" s="1"/>
  <c r="H107" i="48" s="1"/>
  <c r="H85" i="48"/>
  <c r="H117" i="48" s="1"/>
  <c r="I84" i="48"/>
  <c r="I86" i="48" s="1"/>
  <c r="E85" i="48"/>
  <c r="E88" i="48" s="1"/>
  <c r="D84" i="48"/>
  <c r="D86" i="48" s="1"/>
  <c r="F84" i="48"/>
  <c r="G108" i="48"/>
  <c r="G84" i="48"/>
  <c r="K84" i="48"/>
  <c r="L86" i="48"/>
  <c r="L85" i="48"/>
  <c r="L117" i="48" s="1"/>
  <c r="N88" i="48"/>
  <c r="N117" i="48"/>
  <c r="J84" i="48"/>
  <c r="M117" i="48"/>
  <c r="M88" i="48"/>
  <c r="F85" i="48" l="1"/>
  <c r="O85" i="48"/>
  <c r="O86" i="48"/>
  <c r="G109" i="48"/>
  <c r="E117" i="48"/>
  <c r="E119" i="48" s="1"/>
  <c r="H88" i="48"/>
  <c r="F109" i="48"/>
  <c r="I85" i="48"/>
  <c r="I117" i="48" s="1"/>
  <c r="F86" i="48"/>
  <c r="D85" i="48"/>
  <c r="D117" i="48" s="1"/>
  <c r="I107" i="48"/>
  <c r="H109" i="48"/>
  <c r="G85" i="48"/>
  <c r="G86" i="48"/>
  <c r="M98" i="48"/>
  <c r="M119" i="48"/>
  <c r="N98" i="48"/>
  <c r="N119" i="48"/>
  <c r="H91" i="48"/>
  <c r="H96" i="48" s="1"/>
  <c r="H119" i="48"/>
  <c r="L88" i="48"/>
  <c r="K85" i="48"/>
  <c r="K86" i="48"/>
  <c r="J85" i="48"/>
  <c r="J117" i="48" s="1"/>
  <c r="J86" i="48"/>
  <c r="O117" i="48"/>
  <c r="F117" i="48" l="1"/>
  <c r="F91" i="48" s="1"/>
  <c r="F96" i="48" s="1"/>
  <c r="F88" i="48"/>
  <c r="F46" i="48"/>
  <c r="O88" i="48"/>
  <c r="E91" i="48"/>
  <c r="E96" i="48" s="1"/>
  <c r="E98" i="48" s="1"/>
  <c r="H98" i="48"/>
  <c r="I88" i="48"/>
  <c r="D88" i="48"/>
  <c r="I96" i="48"/>
  <c r="I119" i="48"/>
  <c r="K88" i="48"/>
  <c r="K117" i="48"/>
  <c r="I109" i="48"/>
  <c r="J88" i="48"/>
  <c r="L98" i="48"/>
  <c r="L119" i="48"/>
  <c r="D91" i="48"/>
  <c r="D96" i="48" s="1"/>
  <c r="D119" i="48"/>
  <c r="O119" i="48"/>
  <c r="O98" i="48"/>
  <c r="G88" i="48"/>
  <c r="G117" i="48"/>
  <c r="F119" i="48" l="1"/>
  <c r="G41" i="48"/>
  <c r="G44" i="48" s="1"/>
  <c r="G46" i="48" s="1"/>
  <c r="H41" i="48" s="1"/>
  <c r="H44" i="48" s="1"/>
  <c r="I41" i="48" s="1"/>
  <c r="D98" i="48"/>
  <c r="D104" i="48" s="1"/>
  <c r="E100" i="48" s="1"/>
  <c r="E102" i="48" s="1"/>
  <c r="E104" i="48" s="1"/>
  <c r="F100" i="48" s="1"/>
  <c r="I98" i="48"/>
  <c r="J98" i="48"/>
  <c r="J119" i="48"/>
  <c r="J109" i="48"/>
  <c r="G119" i="48"/>
  <c r="G91" i="48"/>
  <c r="G96" i="48" s="1"/>
  <c r="G98" i="48" s="1"/>
  <c r="K98" i="48"/>
  <c r="K119" i="48"/>
  <c r="F102" i="48" l="1"/>
  <c r="H46" i="48"/>
  <c r="F98" i="48"/>
  <c r="K109" i="48"/>
  <c r="I44" i="48" l="1"/>
  <c r="T44" i="48" s="1"/>
  <c r="T41" i="48"/>
  <c r="F104" i="48"/>
  <c r="G100" i="48" s="1"/>
  <c r="G102" i="48" s="1"/>
  <c r="G104" i="48" s="1"/>
  <c r="H100" i="48" s="1"/>
  <c r="H102" i="48" s="1"/>
  <c r="R28" i="78"/>
  <c r="F131" i="48"/>
  <c r="F133" i="48" s="1"/>
  <c r="M107" i="48"/>
  <c r="N107" i="48" s="1"/>
  <c r="O107" i="48" s="1"/>
  <c r="L109" i="48"/>
  <c r="M109" i="48" s="1"/>
  <c r="N109" i="48" s="1"/>
  <c r="O109" i="48" s="1"/>
  <c r="I46" i="48" l="1"/>
  <c r="T46" i="48" s="1"/>
  <c r="J41" i="48"/>
  <c r="J44" i="48" s="1"/>
  <c r="K41" i="48" s="1"/>
  <c r="K44" i="48" s="1"/>
  <c r="K46" i="48" s="1"/>
  <c r="V28" i="78"/>
  <c r="R30" i="78"/>
  <c r="L32" i="78"/>
  <c r="L36" i="78"/>
  <c r="I100" i="48"/>
  <c r="I102" i="48" s="1"/>
  <c r="H104" i="48"/>
  <c r="L41" i="48" l="1"/>
  <c r="L44" i="48" s="1"/>
  <c r="J46" i="48"/>
  <c r="V30" i="78"/>
  <c r="V36" i="78" s="1"/>
  <c r="F395" i="60"/>
  <c r="E558" i="82" s="1"/>
  <c r="R32" i="78"/>
  <c r="V32" i="78" s="1"/>
  <c r="R36" i="78"/>
  <c r="J100" i="48"/>
  <c r="J102" i="48" s="1"/>
  <c r="I104" i="48"/>
  <c r="L46" i="48" l="1"/>
  <c r="M44" i="48" s="1"/>
  <c r="M46" i="48" s="1"/>
  <c r="N44" i="48" s="1"/>
  <c r="N46" i="48" s="1"/>
  <c r="O44" i="48" s="1"/>
  <c r="O46" i="48" s="1"/>
  <c r="K100" i="48"/>
  <c r="K102" i="48" s="1"/>
  <c r="J104" i="48"/>
  <c r="L100" i="48" l="1"/>
  <c r="L102" i="48" s="1"/>
  <c r="K104" i="48"/>
  <c r="M100" i="48" l="1"/>
  <c r="M102" i="48" s="1"/>
  <c r="L104" i="48"/>
  <c r="N100" i="48" l="1"/>
  <c r="N102" i="48" s="1"/>
  <c r="M104" i="48"/>
  <c r="O100" i="48" l="1"/>
  <c r="O102" i="48" s="1"/>
  <c r="O104" i="48" s="1"/>
  <c r="N104" i="48"/>
  <c r="H15" i="19" l="1"/>
  <c r="H17" i="19" l="1"/>
  <c r="H18" i="19"/>
  <c r="E3" i="19" l="1"/>
  <c r="K48" i="37" l="1"/>
  <c r="K20" i="37"/>
  <c r="K22" i="37" s="1"/>
  <c r="K43" i="37" s="1"/>
  <c r="H90" i="82" l="1"/>
  <c r="H62" i="82"/>
  <c r="G327" i="60"/>
  <c r="F349" i="60"/>
  <c r="H83" i="82"/>
  <c r="F466" i="82" l="1"/>
  <c r="H64" i="82"/>
  <c r="H85" i="82" l="1"/>
  <c r="K50" i="37"/>
  <c r="F315" i="60"/>
  <c r="F329" i="60" s="1"/>
  <c r="E355" i="60" l="1"/>
  <c r="H92" i="82"/>
  <c r="F468" i="82"/>
  <c r="F316" i="60"/>
  <c r="K54" i="37"/>
  <c r="K57" i="37" s="1"/>
  <c r="F375" i="60"/>
  <c r="B4" i="40"/>
  <c r="B2" i="40"/>
  <c r="B1" i="40"/>
  <c r="L47" i="20" l="1"/>
  <c r="L50" i="20" s="1"/>
  <c r="K9" i="38"/>
  <c r="H520" i="82"/>
  <c r="F355" i="60"/>
  <c r="E358" i="60"/>
  <c r="G355" i="60"/>
  <c r="L54" i="32"/>
  <c r="H96" i="82"/>
  <c r="E537" i="82"/>
  <c r="G375" i="60"/>
  <c r="I7" i="40"/>
  <c r="L36" i="20"/>
  <c r="F377" i="60"/>
  <c r="E539" i="82" s="1"/>
  <c r="N25" i="20"/>
  <c r="I27" i="20"/>
  <c r="G27" i="20"/>
  <c r="E27" i="20"/>
  <c r="B3" i="38"/>
  <c r="B2" i="38"/>
  <c r="B3" i="37"/>
  <c r="B2" i="37"/>
  <c r="M94" i="40" l="1"/>
  <c r="I34" i="40"/>
  <c r="E155" i="82" s="1"/>
  <c r="I520" i="82"/>
  <c r="F358" i="60"/>
  <c r="E359" i="60"/>
  <c r="H523" i="82"/>
  <c r="H122" i="82"/>
  <c r="H126" i="82"/>
  <c r="O54" i="32"/>
  <c r="G218" i="82"/>
  <c r="E138" i="82"/>
  <c r="K14" i="38"/>
  <c r="J106" i="82"/>
  <c r="G377" i="60"/>
  <c r="H124" i="82"/>
  <c r="I50" i="37"/>
  <c r="I54" i="37" s="1"/>
  <c r="I57" i="37" s="1"/>
  <c r="F396" i="60"/>
  <c r="K13" i="38"/>
  <c r="K21" i="38" s="1"/>
  <c r="J110" i="82" l="1"/>
  <c r="F359" i="60"/>
  <c r="I523" i="82"/>
  <c r="E559" i="82"/>
  <c r="H399" i="60"/>
  <c r="I36" i="40"/>
  <c r="I50" i="40" s="1"/>
  <c r="I60" i="40" s="1"/>
  <c r="I9" i="38"/>
  <c r="I13" i="38" s="1"/>
  <c r="I21" i="38" s="1"/>
  <c r="G43" i="37"/>
  <c r="E83" i="82"/>
  <c r="F397" i="60"/>
  <c r="E85" i="82" l="1"/>
  <c r="G50" i="37"/>
  <c r="F403" i="60"/>
  <c r="E562" i="82" s="1"/>
  <c r="M67" i="40"/>
  <c r="M95" i="40" s="1"/>
  <c r="E157" i="82"/>
  <c r="E169" i="82"/>
  <c r="L45" i="32"/>
  <c r="G212" i="82" s="1"/>
  <c r="C537" i="82" l="1"/>
  <c r="F520" i="82"/>
  <c r="C355" i="60"/>
  <c r="B358" i="60"/>
  <c r="D375" i="60"/>
  <c r="G54" i="37"/>
  <c r="G57" i="37" s="1"/>
  <c r="E92" i="82"/>
  <c r="D355" i="60"/>
  <c r="L16" i="20"/>
  <c r="L58" i="20" l="1"/>
  <c r="N58" i="20" s="1"/>
  <c r="F523" i="82"/>
  <c r="B359" i="60"/>
  <c r="G520" i="82"/>
  <c r="C358" i="60"/>
  <c r="B303" i="60"/>
  <c r="B304" i="60" s="1"/>
  <c r="B305" i="60" s="1"/>
  <c r="H54" i="32"/>
  <c r="N54" i="32" s="1"/>
  <c r="E96" i="82"/>
  <c r="F7" i="40"/>
  <c r="G9" i="38"/>
  <c r="F36" i="20"/>
  <c r="F34" i="40" l="1"/>
  <c r="F36" i="40" s="1"/>
  <c r="F50" i="40" s="1"/>
  <c r="F60" i="40" s="1"/>
  <c r="K94" i="40"/>
  <c r="N36" i="20"/>
  <c r="J122" i="82" s="1"/>
  <c r="C359" i="60"/>
  <c r="G523" i="82"/>
  <c r="C459" i="82"/>
  <c r="G13" i="38"/>
  <c r="G106" i="82"/>
  <c r="H130" i="82"/>
  <c r="C138" i="82"/>
  <c r="H55" i="32"/>
  <c r="H57" i="32" s="1"/>
  <c r="E218" i="82"/>
  <c r="G14" i="38"/>
  <c r="N47" i="20"/>
  <c r="J31" i="20"/>
  <c r="C155" i="82" l="1"/>
  <c r="K67" i="40"/>
  <c r="G110" i="82"/>
  <c r="G21" i="38"/>
  <c r="J130" i="82"/>
  <c r="N50" i="20"/>
  <c r="O50" i="20" s="1"/>
  <c r="F126" i="82"/>
  <c r="L61" i="20"/>
  <c r="L63" i="20" s="1"/>
  <c r="C157" i="82"/>
  <c r="H62" i="32"/>
  <c r="E219" i="82"/>
  <c r="H132" i="82"/>
  <c r="C460" i="82"/>
  <c r="N31" i="20"/>
  <c r="F132" i="82" l="1"/>
  <c r="E221" i="82"/>
  <c r="F7" i="19"/>
  <c r="K95" i="40" l="1"/>
  <c r="C169" i="82"/>
  <c r="L51" i="32"/>
  <c r="G216" i="82" s="1"/>
  <c r="G206" i="82"/>
  <c r="L27" i="32"/>
  <c r="G198" i="82" s="1"/>
  <c r="L16" i="32"/>
  <c r="B5" i="32"/>
  <c r="B3" i="32"/>
  <c r="G187" i="82" l="1"/>
  <c r="L18" i="32"/>
  <c r="L22" i="32" s="1"/>
  <c r="G189" i="82" l="1"/>
  <c r="G193" i="82"/>
  <c r="G20" i="19"/>
  <c r="F28" i="19"/>
  <c r="F34" i="19"/>
  <c r="N15" i="20"/>
  <c r="N13" i="20"/>
  <c r="L30" i="32" l="1"/>
  <c r="G200" i="82" s="1"/>
  <c r="G34" i="19"/>
  <c r="C34" i="19"/>
  <c r="H19" i="19" l="1"/>
  <c r="H16" i="19"/>
  <c r="E20" i="19"/>
  <c r="E7" i="19" l="1"/>
  <c r="L17" i="20"/>
  <c r="N17" i="20" s="1"/>
  <c r="D14" i="20"/>
  <c r="D19" i="20" s="1"/>
  <c r="J14" i="20" l="1"/>
  <c r="N14" i="20" s="1"/>
  <c r="F21" i="1" l="1"/>
  <c r="E6" i="19"/>
  <c r="N21" i="1" l="1"/>
  <c r="N58" i="1" s="1"/>
  <c r="F73" i="40"/>
  <c r="F95" i="40" s="1"/>
  <c r="C8" i="19"/>
  <c r="E4" i="19"/>
  <c r="D8" i="19"/>
  <c r="E27" i="19"/>
  <c r="E5" i="19"/>
  <c r="E8" i="19" l="1"/>
  <c r="E30" i="20" l="1"/>
  <c r="G30" i="20"/>
  <c r="G42" i="20" s="1"/>
  <c r="G50" i="20" s="1"/>
  <c r="I30" i="20"/>
  <c r="I42" i="20" s="1"/>
  <c r="I50" i="20" s="1"/>
  <c r="J19" i="20"/>
  <c r="J30" i="20" s="1"/>
  <c r="F118" i="82" s="1"/>
  <c r="I53" i="20" l="1"/>
  <c r="I61" i="20" s="1"/>
  <c r="G53" i="20"/>
  <c r="G61" i="20" s="1"/>
  <c r="D30" i="20"/>
  <c r="E42" i="20"/>
  <c r="E50" i="20" s="1"/>
  <c r="D118" i="82" l="1"/>
  <c r="E53" i="20"/>
  <c r="E61" i="20" l="1"/>
  <c r="D126" i="82"/>
  <c r="B34" i="19"/>
  <c r="C28" i="19"/>
  <c r="F19" i="20" l="1"/>
  <c r="H19" i="20"/>
  <c r="N12" i="20"/>
  <c r="N19" i="20" l="1"/>
  <c r="O19" i="20" s="1"/>
  <c r="H30" i="20"/>
  <c r="H27" i="20"/>
  <c r="F25" i="1"/>
  <c r="C410" i="60" s="1"/>
  <c r="E28" i="19"/>
  <c r="D28" i="19"/>
  <c r="E34" i="19"/>
  <c r="F568" i="82" l="1"/>
  <c r="E410" i="60"/>
  <c r="F410" i="60" s="1"/>
  <c r="C411" i="60"/>
  <c r="D410" i="60"/>
  <c r="D19" i="82"/>
  <c r="H42" i="20"/>
  <c r="H50" i="20" s="1"/>
  <c r="F28" i="1"/>
  <c r="B8" i="20"/>
  <c r="B6" i="20"/>
  <c r="B5" i="20"/>
  <c r="F24" i="20"/>
  <c r="H53" i="20" l="1"/>
  <c r="H61" i="20" s="1"/>
  <c r="F569" i="82"/>
  <c r="C412" i="60"/>
  <c r="G568" i="82"/>
  <c r="E411" i="60"/>
  <c r="E440" i="60" s="1"/>
  <c r="C413" i="60"/>
  <c r="D22" i="82"/>
  <c r="N24" i="20"/>
  <c r="F27" i="20"/>
  <c r="F30" i="20"/>
  <c r="G569" i="82" l="1"/>
  <c r="E412" i="60"/>
  <c r="N30" i="20"/>
  <c r="F42" i="20"/>
  <c r="F50" i="20" s="1"/>
  <c r="D34" i="19"/>
  <c r="O30" i="20" l="1"/>
  <c r="J126" i="82"/>
  <c r="J118" i="82"/>
  <c r="F53" i="20"/>
  <c r="F54" i="1"/>
  <c r="D46" i="82" s="1"/>
  <c r="N53" i="20" l="1"/>
  <c r="O53" i="20" s="1"/>
  <c r="F61" i="20"/>
  <c r="N61" i="20" s="1"/>
  <c r="O61" i="20" s="1"/>
  <c r="J132" i="82"/>
  <c r="J124" i="82"/>
  <c r="F58" i="1"/>
  <c r="C421" i="60"/>
  <c r="N63" i="20" l="1"/>
  <c r="L55" i="32"/>
  <c r="G219" i="82" s="1"/>
  <c r="L57" i="32" l="1"/>
  <c r="G221" i="82" s="1"/>
  <c r="N16" i="20"/>
  <c r="L62" i="32" l="1"/>
  <c r="B20" i="19"/>
  <c r="F8" i="19"/>
  <c r="H20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tc={76814451-9F0E-42B5-BA32-379AFAE04A66}</author>
    <author>tc={7C033BF1-66F4-4E3B-968B-AD91A5866E3D}</author>
  </authors>
  <commentList>
    <comment ref="C397" authorId="0" shapeId="0" xr:uid="{00000000-0006-0000-08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Verificar diferença</t>
      </text>
    </comment>
    <comment ref="F409" authorId="1" shapeId="0" xr:uid="{00000000-0006-0000-08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Verificar diferença</t>
      </text>
    </comment>
  </commentList>
</comments>
</file>

<file path=xl/sharedStrings.xml><?xml version="1.0" encoding="utf-8"?>
<sst xmlns="http://schemas.openxmlformats.org/spreadsheetml/2006/main" count="19703" uniqueCount="5820">
  <si>
    <t>Demonstração do Resultado em</t>
  </si>
  <si>
    <t>Notas</t>
  </si>
  <si>
    <t>30/09/2024 (Trimestre)</t>
  </si>
  <si>
    <t>30/09/2023 (Trimestre)</t>
  </si>
  <si>
    <t>RECEITA LÍQUIDA</t>
  </si>
  <si>
    <t>CUSTOS DOS SERVIÇOS PRESTADOS</t>
  </si>
  <si>
    <t>Remunerações, Encargos Sociais e Benefícios</t>
  </si>
  <si>
    <t>4.1.1.01+4.1.1.02+4.1.1.03+4.1.3.01.0017</t>
  </si>
  <si>
    <t>Encargos Sociais</t>
  </si>
  <si>
    <t>Benefícios</t>
  </si>
  <si>
    <t>Materiais</t>
  </si>
  <si>
    <t>Serviços de Terceiros</t>
  </si>
  <si>
    <t>4.1.3.01</t>
  </si>
  <si>
    <t>Gerais de Funcionamento das Instalações</t>
  </si>
  <si>
    <t>4.1.6.01</t>
  </si>
  <si>
    <t>Gerais da Administração</t>
  </si>
  <si>
    <t>4.1.6.02</t>
  </si>
  <si>
    <t>Impostos, Taxas e Contribuições</t>
  </si>
  <si>
    <t>4.1.4</t>
  </si>
  <si>
    <t>RESULTADO BRUTO</t>
  </si>
  <si>
    <t>DESPESAS OPERACIONAIS</t>
  </si>
  <si>
    <t>4.2.1.01+4.2.1.02+4.2.1.03+4.2.3.01.0003+4.2.3.01.0017+4.2.3.01.0019</t>
  </si>
  <si>
    <t>4.2.2</t>
  </si>
  <si>
    <t>4.2.3.01</t>
  </si>
  <si>
    <t>4.2.4</t>
  </si>
  <si>
    <t>4.2.6.01</t>
  </si>
  <si>
    <t>4.2.6.02</t>
  </si>
  <si>
    <t xml:space="preserve">Provisão para Contigências </t>
  </si>
  <si>
    <t>OUTRAS RECEITAS OPERACIONAIS</t>
  </si>
  <si>
    <t>Recursos Recebidos do Tesouro Nacional</t>
  </si>
  <si>
    <t>3.1.1.01</t>
  </si>
  <si>
    <t>Reembolso de Custos e Despesas - Leilões ANEEL</t>
  </si>
  <si>
    <t>Reversão de Provisões para Contingências</t>
  </si>
  <si>
    <t>3.3.6</t>
  </si>
  <si>
    <t>Outras receitas</t>
  </si>
  <si>
    <t>RESULTADO ANTES DAS RECEITAS E DESPESAS FINANCEIRAS</t>
  </si>
  <si>
    <t>Receitas Financeiras</t>
  </si>
  <si>
    <t>3.3.1</t>
  </si>
  <si>
    <t>Despesas Financeiras</t>
  </si>
  <si>
    <t>4.2.7</t>
  </si>
  <si>
    <t>LUCRO ANTES DO IRPJ E DA CSLL</t>
  </si>
  <si>
    <t>IRPJ/CSLL correntes</t>
  </si>
  <si>
    <r>
      <t>LUCRO (PREJUÍZO) LÍQUIDO DO EXERCÍCIO</t>
    </r>
    <r>
      <rPr>
        <sz val="11"/>
        <rFont val="Arial"/>
        <family val="2"/>
      </rPr>
      <t/>
    </r>
  </si>
  <si>
    <t>Empresa de Pesquisa Energética - EPE</t>
  </si>
  <si>
    <t>CNPJ 06.977.747/0001-80</t>
  </si>
  <si>
    <t xml:space="preserve">Balanço Patrimonial </t>
  </si>
  <si>
    <t>(em milhares de reais)</t>
  </si>
  <si>
    <t>DFC</t>
  </si>
  <si>
    <t>variações</t>
  </si>
  <si>
    <t>ATIVO</t>
  </si>
  <si>
    <t>Circulante</t>
  </si>
  <si>
    <t>Caixa e Equivalentes de Caixa</t>
  </si>
  <si>
    <t>1.1.1.02</t>
  </si>
  <si>
    <t>Impostos a Recuperar</t>
  </si>
  <si>
    <t>1.1.2.03</t>
  </si>
  <si>
    <t xml:space="preserve">Adiantamentos Concedidos </t>
  </si>
  <si>
    <t>1.1.2.04</t>
  </si>
  <si>
    <t>Despesas antecipadas</t>
  </si>
  <si>
    <t>1.1.3</t>
  </si>
  <si>
    <t>Outros ativos</t>
  </si>
  <si>
    <t>Não Circulante</t>
  </si>
  <si>
    <t>1.2.1.03</t>
  </si>
  <si>
    <t xml:space="preserve">Depósitos Judiciais </t>
  </si>
  <si>
    <t>1.2.1.08</t>
  </si>
  <si>
    <t xml:space="preserve">Despesas Antecipadas </t>
  </si>
  <si>
    <t xml:space="preserve">Imobilizado </t>
  </si>
  <si>
    <t>1.2.3</t>
  </si>
  <si>
    <t>Direito de uso</t>
  </si>
  <si>
    <t>1.2.5</t>
  </si>
  <si>
    <t xml:space="preserve">Intangível </t>
  </si>
  <si>
    <t>1.2.4</t>
  </si>
  <si>
    <t>TOTAL DO ATIVO</t>
  </si>
  <si>
    <t>PASSIVO E PATRIMÔNIO LÍQUIDO</t>
  </si>
  <si>
    <t>Fornecedores</t>
  </si>
  <si>
    <t>Obrigações Tributárias</t>
  </si>
  <si>
    <t>2.1.1.06+2.1.1.07</t>
  </si>
  <si>
    <t xml:space="preserve">Obrigações Trabalhistas e Sociais </t>
  </si>
  <si>
    <t>2.1.1.08.0001+2.1.1.08.0002+2.1.1.08.0003+2.1.1.08.0004+2.1.1.08.0005+2.1.1.08.0010+2.1.1.08.0011+2.1.1.08.0012+2.1.1.08.0013</t>
  </si>
  <si>
    <t>Provisões para Contingências</t>
  </si>
  <si>
    <t>Obrigações com a Cessão de Pessoal</t>
  </si>
  <si>
    <t>2.1.1.14</t>
  </si>
  <si>
    <t xml:space="preserve">Previdência Privada Complementar </t>
  </si>
  <si>
    <t>2.1.1.08.0009+2.1.1.15</t>
  </si>
  <si>
    <t>Arrendamento</t>
  </si>
  <si>
    <t>2.1.1.16</t>
  </si>
  <si>
    <t>2.2.1.05</t>
  </si>
  <si>
    <t>2.2.1.08</t>
  </si>
  <si>
    <t>Patrimônio Liquido</t>
  </si>
  <si>
    <t>Capital Social</t>
  </si>
  <si>
    <t>2.4.1</t>
  </si>
  <si>
    <t xml:space="preserve">Reserva Legal </t>
  </si>
  <si>
    <t>Adiant. para Futuro Aumento de Capital</t>
  </si>
  <si>
    <t>2.4.7</t>
  </si>
  <si>
    <t>Prejuízos Acumulados</t>
  </si>
  <si>
    <t>2.4.6</t>
  </si>
  <si>
    <t>TOTAL DO PASSIVO E PATRIMÔNIO LÍQUIDO</t>
  </si>
  <si>
    <t>As notas explicativas são parte integrante das informações financeiras intermediárias.</t>
  </si>
  <si>
    <t>Demonstração do Resultado</t>
  </si>
  <si>
    <t>01/01/2026 a 30/06/2026 (Acumulado)</t>
  </si>
  <si>
    <t>01/04/2026 a 30/06/2026 (Trimestre)</t>
  </si>
  <si>
    <t>01/01/2025 a 30/06/2025 (Acumulado)</t>
  </si>
  <si>
    <t>01/04/2025 a 30/06/2025 (Trimestre)</t>
  </si>
  <si>
    <t>Indenização e provisão de Contingências</t>
  </si>
  <si>
    <t>LUCRO (PREJUÍZO) ANTES DO IRPJ E DA CSLL</t>
  </si>
  <si>
    <t>LUCRO LÍQUIDO (PREJUÍZO) DO PERÍODO</t>
  </si>
  <si>
    <t>Demonstração do Resultado Abrangente</t>
  </si>
  <si>
    <t>Outros resultados abrangentes</t>
  </si>
  <si>
    <t>RESULTADO ABRANGENTE TOTAL</t>
  </si>
  <si>
    <t>Demonstração da Mutação do Patrimônio Líquido</t>
  </si>
  <si>
    <t>Reserva  Legal</t>
  </si>
  <si>
    <t>Reserva Especial Proposto</t>
  </si>
  <si>
    <t>Saldos em 31/12/2020</t>
  </si>
  <si>
    <t>Aumento de Capital</t>
  </si>
  <si>
    <t>Prejuízo do Exercício</t>
  </si>
  <si>
    <t xml:space="preserve">Compensação de Prejuízos </t>
  </si>
  <si>
    <t>-</t>
  </si>
  <si>
    <t>Adiantamento para Futuro Aumento de Capital</t>
  </si>
  <si>
    <t>Prejuízos acumulados</t>
  </si>
  <si>
    <t>Total</t>
  </si>
  <si>
    <t>Saldos em 01/01/2022 reapresentado</t>
  </si>
  <si>
    <t>Ajustes retrospectivos</t>
  </si>
  <si>
    <t>Resultado do Exercício</t>
  </si>
  <si>
    <t xml:space="preserve">Compensação de prejuízos </t>
  </si>
  <si>
    <t>Saldos em 31/12/2022</t>
  </si>
  <si>
    <t>Saldos em 31/12/2022 reapresentado</t>
  </si>
  <si>
    <t>Saldos em 30/09/2023 reapresentado</t>
  </si>
  <si>
    <t>Saldos em 31/12/2024</t>
  </si>
  <si>
    <t>Resultado do exercício</t>
  </si>
  <si>
    <t>Saldos em 31/12/2025</t>
  </si>
  <si>
    <t>Demonstração dos fluxos de Caixa</t>
  </si>
  <si>
    <t>31/01/2024 (inicial)</t>
  </si>
  <si>
    <t>arrendondamento</t>
  </si>
  <si>
    <t>Fluxo de caixa das atividades operacionais</t>
  </si>
  <si>
    <t>Lucro Líquido (Prejuízo) do Período</t>
  </si>
  <si>
    <t>Ajuste de Reclassificação - Recebimento de Subvenções</t>
  </si>
  <si>
    <t>Depreciação / Amortização</t>
  </si>
  <si>
    <t>Amortização do direito de uso</t>
  </si>
  <si>
    <t>Ajuste a valor presente de arrendamento mercantil</t>
  </si>
  <si>
    <t>Ajustes/Baixas - ativos fixos</t>
  </si>
  <si>
    <t>Adições/Atualizações/Reversões nas provisões para contingências</t>
  </si>
  <si>
    <t>Atualização/tributos a compensar/Depósitos Judiciais</t>
  </si>
  <si>
    <t>I) Impostos a recuperar</t>
  </si>
  <si>
    <t>II) Depósitos judiciais</t>
  </si>
  <si>
    <t>Variação nos saldos de ativos e passivos</t>
  </si>
  <si>
    <t>Conta a Receber - Leilões ANEEL</t>
  </si>
  <si>
    <t>Adiantamentos concedidos</t>
  </si>
  <si>
    <t>Depósitos judiciais</t>
  </si>
  <si>
    <t>Impostos a recuperar</t>
  </si>
  <si>
    <t>Depesas com provisão para contigências</t>
  </si>
  <si>
    <t>Obrigações tributárias</t>
  </si>
  <si>
    <t>Obrigações trabalhistas e sociais</t>
  </si>
  <si>
    <t>Previdência privada complementar</t>
  </si>
  <si>
    <t>Obrigações judiciais</t>
  </si>
  <si>
    <t>Obrigações com Cessão de pessoal</t>
  </si>
  <si>
    <t>Baixa de provisão para contingência indenizada</t>
  </si>
  <si>
    <t>Caixa gerado pelas atividades operacionais</t>
  </si>
  <si>
    <t xml:space="preserve">    Impostos de renda e contribuição social pagos</t>
  </si>
  <si>
    <t>Caixa liquído consumido pelas ativades operacionais</t>
  </si>
  <si>
    <t>Fluxo de caixa das atividades de investimentos</t>
  </si>
  <si>
    <t>Arrendamento mercantil (direito de uso)</t>
  </si>
  <si>
    <t>Aquisição de Intangível</t>
  </si>
  <si>
    <t>Aquisição de Imobilizado</t>
  </si>
  <si>
    <t>Caixa líquido consumido pelas atividades de investimentos</t>
  </si>
  <si>
    <t>Fluxo de caixa das atividades de financiamento</t>
  </si>
  <si>
    <t>Amortização arrendamento mercantil (CPC 06)</t>
  </si>
  <si>
    <t>Recursos recebidos do Tesouro Nacional</t>
  </si>
  <si>
    <t>Adiant. p/ Futuro Aumento de Capital</t>
  </si>
  <si>
    <t>Caixa líquido gerado pelas atividades financiamentos</t>
  </si>
  <si>
    <t>Aumento no caixa e equivalentes de caixa</t>
  </si>
  <si>
    <t>No início do exercício</t>
  </si>
  <si>
    <t>No fim do exercício</t>
  </si>
  <si>
    <t>D I F E R E N Ç A S</t>
  </si>
  <si>
    <t>Var. 2026</t>
  </si>
  <si>
    <t>Var. 2025</t>
  </si>
  <si>
    <t xml:space="preserve">Caixa e Equivalentes </t>
  </si>
  <si>
    <t xml:space="preserve">Impostos a Recuperar ou Compensáveis </t>
  </si>
  <si>
    <t>Despesas Antecipadas</t>
  </si>
  <si>
    <t>não se aplica</t>
  </si>
  <si>
    <t>Direito de usos</t>
  </si>
  <si>
    <t>PASSIVO</t>
  </si>
  <si>
    <t>Obrigações Fiscais</t>
  </si>
  <si>
    <t>Arrendamento Mercantil</t>
  </si>
  <si>
    <t>PATRIMONIO LIQUIDO</t>
  </si>
  <si>
    <t>Demonstração do Valor Adicionado</t>
  </si>
  <si>
    <t>Receitas</t>
  </si>
  <si>
    <t>Subsídios Públicos</t>
  </si>
  <si>
    <t>Outras Receitas</t>
  </si>
  <si>
    <t>Insumos</t>
  </si>
  <si>
    <t>Materiais, utilidades, serviços de terceiros e outros</t>
  </si>
  <si>
    <t>Valor Adicionado Bruto</t>
  </si>
  <si>
    <t>Depreciação e Amortização</t>
  </si>
  <si>
    <t>Valor Adicionado Líquido produzido</t>
  </si>
  <si>
    <t>Valor Adicionado recebido em transferência</t>
  </si>
  <si>
    <t>Reversão de Custos e Despesas</t>
  </si>
  <si>
    <t>Valor Adicionado Total a Distribuir</t>
  </si>
  <si>
    <t>Distribuição do valor adicionado</t>
  </si>
  <si>
    <t>Pessoal</t>
  </si>
  <si>
    <t>Remuneração Direta</t>
  </si>
  <si>
    <t>FGTS</t>
  </si>
  <si>
    <t>Contingências trabalhistas</t>
  </si>
  <si>
    <t>Contingências civis</t>
  </si>
  <si>
    <t>Governos (Impostos, taxas e contribuições)</t>
  </si>
  <si>
    <t>Federais (inclui a contribuição previdenciária e sindical)</t>
  </si>
  <si>
    <t>Estaduais (inclui IPVA)</t>
  </si>
  <si>
    <t xml:space="preserve">Municipais </t>
  </si>
  <si>
    <t>Indenizações trabalhistas</t>
  </si>
  <si>
    <t>Remuneração do capital de terceiros</t>
  </si>
  <si>
    <t>Juros, multas e atualizações monetárias</t>
  </si>
  <si>
    <t>Alugueis</t>
  </si>
  <si>
    <t>Despesas não dedutiveis</t>
  </si>
  <si>
    <t>Remuneração dos capitais próprios</t>
  </si>
  <si>
    <t>Prejuízo do exercício</t>
  </si>
  <si>
    <t>Valor Adicionado Total Distribuido</t>
  </si>
  <si>
    <t>Descrição</t>
  </si>
  <si>
    <t xml:space="preserve"> 30/06/2025</t>
  </si>
  <si>
    <t>A - Recursos do Tesouro Nacional (Conta Limite de Saque)</t>
  </si>
  <si>
    <t>B - Recursos Próprios</t>
  </si>
  <si>
    <t>COFINS a Recuperar</t>
  </si>
  <si>
    <t>IRPJ Estimativa 2025</t>
  </si>
  <si>
    <t>CSLL Estimativa 2025</t>
  </si>
  <si>
    <t>IRPJ Estimativa 2024</t>
  </si>
  <si>
    <t>CSLL Estimativa 2024</t>
  </si>
  <si>
    <t>IRPJ Estimativa 2023</t>
  </si>
  <si>
    <t>CSLL Estimativa 2023</t>
  </si>
  <si>
    <t>IRPJ Estimativa 2022</t>
  </si>
  <si>
    <t>IRPJ Estimativa 2021</t>
  </si>
  <si>
    <t>IR a Compensar – Pagamento a maior</t>
  </si>
  <si>
    <t>CSLL a Compensar – Pagamento a maior</t>
  </si>
  <si>
    <t>COSIRF</t>
  </si>
  <si>
    <t>IRRF a Restituir</t>
  </si>
  <si>
    <t>IRRF a Compensar</t>
  </si>
  <si>
    <t>ISS a Restituir</t>
  </si>
  <si>
    <t>INSS a recuperar</t>
  </si>
  <si>
    <t>Curto Prazo:</t>
  </si>
  <si>
    <t>IRPJ Estimativa</t>
  </si>
  <si>
    <t>CSLL Estimativa</t>
  </si>
  <si>
    <t>Outros</t>
  </si>
  <si>
    <t>Longo Prazo:</t>
  </si>
  <si>
    <t>Contribuição social a compensar – pagamento a maior</t>
  </si>
  <si>
    <t>IRRF a compensar</t>
  </si>
  <si>
    <t xml:space="preserve">Adiantamento de Férias </t>
  </si>
  <si>
    <t xml:space="preserve">Adiantamento de 13° Salários  </t>
  </si>
  <si>
    <t xml:space="preserve">                        -</t>
  </si>
  <si>
    <t xml:space="preserve">Prêmio de seguros </t>
  </si>
  <si>
    <t>Assinaturas e anuidades</t>
  </si>
  <si>
    <t>Provedores de informação</t>
  </si>
  <si>
    <t>IPTU a apropriar</t>
  </si>
  <si>
    <t>Manutenção de software</t>
  </si>
  <si>
    <t>Totais</t>
  </si>
  <si>
    <t>Tributários (i)</t>
  </si>
  <si>
    <t>Trabalhistas (ii)</t>
  </si>
  <si>
    <t>Cíveis (iii)</t>
  </si>
  <si>
    <t>Taxa anual de depreciação</t>
  </si>
  <si>
    <t>Custo</t>
  </si>
  <si>
    <t>Depreciação</t>
  </si>
  <si>
    <t>30.06.2025</t>
  </si>
  <si>
    <t>31.12.2024</t>
  </si>
  <si>
    <t>Corrigido</t>
  </si>
  <si>
    <t>Acumulada</t>
  </si>
  <si>
    <t>Líquido</t>
  </si>
  <si>
    <t>Instalações</t>
  </si>
  <si>
    <t>Máquinas e equipamentos</t>
  </si>
  <si>
    <t>Equipamentos de informática</t>
  </si>
  <si>
    <t>Móveis e utensílios</t>
  </si>
  <si>
    <t>Adições</t>
  </si>
  <si>
    <t xml:space="preserve"> 31.12.2024 </t>
  </si>
  <si>
    <t xml:space="preserve"> Amortização </t>
  </si>
  <si>
    <t xml:space="preserve"> 30.06.2025 </t>
  </si>
  <si>
    <t xml:space="preserve"> Descrição </t>
  </si>
  <si>
    <t xml:space="preserve"> Bruto </t>
  </si>
  <si>
    <t xml:space="preserve">Acumulada </t>
  </si>
  <si>
    <t xml:space="preserve"> Líquido </t>
  </si>
  <si>
    <t xml:space="preserve"> Direito de uso de bens arrendados </t>
  </si>
  <si>
    <t xml:space="preserve">Total </t>
  </si>
  <si>
    <t>Arrendamento de curto prazo</t>
  </si>
  <si>
    <t>Arrendamento de longo prazo</t>
  </si>
  <si>
    <t xml:space="preserve">               </t>
  </si>
  <si>
    <t>Pluxee Benefícios Brasil S.A.</t>
  </si>
  <si>
    <t>Previ – Caixa de Previdência dos funcionários</t>
  </si>
  <si>
    <t>Austral Seguradora S.A.</t>
  </si>
  <si>
    <t>Time Multisserviços Ltda.</t>
  </si>
  <si>
    <t>MGS Clean Soluções e Serviços Ltda.</t>
  </si>
  <si>
    <t>TSE Consulting Ltda.</t>
  </si>
  <si>
    <t>Cooper Power Systems Brasil Ltda.</t>
  </si>
  <si>
    <t>T &amp; S locação de Mão de Obra em Geral – Ltda.</t>
  </si>
  <si>
    <t>Clavis BBR Consultoria em informática Ltda.</t>
  </si>
  <si>
    <t>Light Serviços de Eletricidade S.A.</t>
  </si>
  <si>
    <t>Dataprev S.A.</t>
  </si>
  <si>
    <t>Domini Gestão Empresarial</t>
  </si>
  <si>
    <t>RJ Locação de Veículos e serviços Ltda.</t>
  </si>
  <si>
    <t>4E For Economics Consultoria Ltda.</t>
  </si>
  <si>
    <t>Outros diversos</t>
  </si>
  <si>
    <t>PIS e COFINS</t>
  </si>
  <si>
    <t>IRRF s/ salários</t>
  </si>
  <si>
    <t>INSS retido</t>
  </si>
  <si>
    <t>ISS retido</t>
  </si>
  <si>
    <t>Retenção IN 1234 – IR/CS/PIS/COFINS</t>
  </si>
  <si>
    <t>Salários a pagar</t>
  </si>
  <si>
    <t>13° salário e encargos</t>
  </si>
  <si>
    <t>Férias e encargos</t>
  </si>
  <si>
    <t>INSS a recolher</t>
  </si>
  <si>
    <t>FGTS a pagar</t>
  </si>
  <si>
    <t>Atualizações</t>
  </si>
  <si>
    <t>Reversões e Baixas</t>
  </si>
  <si>
    <t>Trabalhistas</t>
  </si>
  <si>
    <t>Tributárias</t>
  </si>
  <si>
    <t> Total</t>
  </si>
  <si>
    <t>Cíveis¹</t>
  </si>
  <si>
    <t xml:space="preserve">  30/06/2025</t>
  </si>
  <si>
    <t xml:space="preserve">     31/12/2024</t>
  </si>
  <si>
    <t xml:space="preserve"> A – Contribuições da Patrocinadora</t>
  </si>
  <si>
    <t xml:space="preserve"> B – Contribuições dos Empregados </t>
  </si>
  <si>
    <t>Prejuízos acumulados saldo em 31 de dezembro de 2024</t>
  </si>
  <si>
    <t>Resultado do período</t>
  </si>
  <si>
    <t>Prejuízos acumulados saldo em 30 de junho de 2025</t>
  </si>
  <si>
    <t>Custos e despesas por função</t>
  </si>
  <si>
    <t>Custos dos serviços prestados</t>
  </si>
  <si>
    <t>Despesas operacionais</t>
  </si>
  <si>
    <t>Custos e despesas por natureza</t>
  </si>
  <si>
    <t>Pessoal (i)</t>
  </si>
  <si>
    <t xml:space="preserve">Materiais </t>
  </si>
  <si>
    <t>Serviços de Terceiros (ii)</t>
  </si>
  <si>
    <t>Gerais de Funcionamento das instalações (iii)</t>
  </si>
  <si>
    <t>Gerais da Administração (iv)</t>
  </si>
  <si>
    <t>Rendas de Variações Monetárias</t>
  </si>
  <si>
    <t>Variações Monetárias</t>
  </si>
  <si>
    <t>Encargos do arrendamento</t>
  </si>
  <si>
    <t>Resultado Financeiro Líquido</t>
  </si>
  <si>
    <t>IRPJ</t>
  </si>
  <si>
    <t>CSLL</t>
  </si>
  <si>
    <t xml:space="preserve">   Lucro/Prejuízo antes do IRPJ e da CSLL</t>
  </si>
  <si>
    <t xml:space="preserve">   Adições</t>
  </si>
  <si>
    <t xml:space="preserve">   Exclusões</t>
  </si>
  <si>
    <t>Base de cálculo antes das compensações negativas</t>
  </si>
  <si>
    <r>
      <t xml:space="preserve">   </t>
    </r>
    <r>
      <rPr>
        <sz val="10"/>
        <color rgb="FF000000"/>
        <rFont val="Arial"/>
        <family val="2"/>
      </rPr>
      <t>Alíquota utilizada para cálculo</t>
    </r>
  </si>
  <si>
    <t>15% e 10%</t>
  </si>
  <si>
    <t xml:space="preserve">   Total dos incentivos fiscais</t>
  </si>
  <si>
    <t xml:space="preserve"> - </t>
  </si>
  <si>
    <t xml:space="preserve">   DESPESA IRPJ/CSLL </t>
  </si>
  <si>
    <t xml:space="preserve">   IRPJ/CSLL pagos por estimativa</t>
  </si>
  <si>
    <t xml:space="preserve">  IRPJ / CSLL a recolher</t>
  </si>
  <si>
    <t>Lucro (prejuízo) antes do IRPJ e CSLL</t>
  </si>
  <si>
    <t>Alíquota nominal vigente</t>
  </si>
  <si>
    <t>Expectativa de crédito (débito) de imposto de renda e contribuição social às alíquotas vigentes</t>
  </si>
  <si>
    <t>Reconciliação para a taxa efetiva</t>
  </si>
  <si>
    <t>Adições:</t>
  </si>
  <si>
    <t>Licença paternidade e maternidade prorrogada</t>
  </si>
  <si>
    <t>Variações monetárias de provisões judiciais</t>
  </si>
  <si>
    <t>Outras adições</t>
  </si>
  <si>
    <t>Aprop. Juros arrendamento mercantil</t>
  </si>
  <si>
    <t>Amortização arrendamento mercantil</t>
  </si>
  <si>
    <t>Exclusões:</t>
  </si>
  <si>
    <t>Reversão de provisão de processos</t>
  </si>
  <si>
    <t>Pagamento do arrendamento mercantil</t>
  </si>
  <si>
    <t>Lucro real antes compensação de prejuízos fiscais</t>
  </si>
  <si>
    <t>Compensação base negativa e prejuízo fiscal</t>
  </si>
  <si>
    <t>Lucro real após compensação de prejuízos fiscais</t>
  </si>
  <si>
    <t>Diferença do adicional de 10%</t>
  </si>
  <si>
    <t>Incentivos fiscais</t>
  </si>
  <si>
    <t>Imposto de renda e contribuição social corrente</t>
  </si>
  <si>
    <t>Alíquota efetiva</t>
  </si>
  <si>
    <t>N/A</t>
  </si>
  <si>
    <t>Lei 4.320/64</t>
  </si>
  <si>
    <t>Lei 6.404/76</t>
  </si>
  <si>
    <t>Diferença</t>
  </si>
  <si>
    <t>Ativo Circulante</t>
  </si>
  <si>
    <t>Ativo Não Circulante</t>
  </si>
  <si>
    <t>Total do Ativo</t>
  </si>
  <si>
    <t>Passivo Circulante</t>
  </si>
  <si>
    <t>Passivo Não Circulante</t>
  </si>
  <si>
    <t xml:space="preserve">- </t>
  </si>
  <si>
    <t>Patrimônio Líquido</t>
  </si>
  <si>
    <t>Total do Passivo e Patrimônio líquido</t>
  </si>
  <si>
    <t>Obrigações Fiscais/Retenções tributárias</t>
  </si>
  <si>
    <t>Obrigações Trabalhistas e Sociais/Cessão de pessoal/Previdência privada complementar</t>
  </si>
  <si>
    <t>Demais Obrigações de CP</t>
  </si>
  <si>
    <t>4. Instrumentos Financeiros</t>
  </si>
  <si>
    <t xml:space="preserve">Ativos Financeiros </t>
  </si>
  <si>
    <t>Custo amortizado</t>
  </si>
  <si>
    <t>Caixa e equivalentes</t>
  </si>
  <si>
    <t>T.Soma</t>
  </si>
  <si>
    <t>T.Cruzamento</t>
  </si>
  <si>
    <t xml:space="preserve">Passivos Financeiros </t>
  </si>
  <si>
    <t xml:space="preserve">Fornecedores </t>
  </si>
  <si>
    <t>Arrendamentos</t>
  </si>
  <si>
    <t>T.soma</t>
  </si>
  <si>
    <t>5. Caixa e equivalentes</t>
  </si>
  <si>
    <t>A - Recursos do Tesouro Nacional</t>
  </si>
  <si>
    <t>6.Tributos a recuperar ou compensáveis</t>
  </si>
  <si>
    <t xml:space="preserve">IRPJ Estimativa </t>
  </si>
  <si>
    <t xml:space="preserve">CSLL Estimativa </t>
  </si>
  <si>
    <t>IR a compensar – pagamento a maior</t>
  </si>
  <si>
    <t>COSIRF a restituir</t>
  </si>
  <si>
    <t>IRRF a restituir</t>
  </si>
  <si>
    <t>PIS a restituir</t>
  </si>
  <si>
    <t>CSLL Estimativa 2022</t>
  </si>
  <si>
    <t>ISS a restituir</t>
  </si>
  <si>
    <t>CSLL Estimativa 2021</t>
  </si>
  <si>
    <t>7. Adiantamentos concedidos</t>
  </si>
  <si>
    <t>Adiantamento de férias</t>
  </si>
  <si>
    <t>Adiantamento de 13º salários</t>
  </si>
  <si>
    <t>8. Despesas antecipadas</t>
  </si>
  <si>
    <t>IPTU  a propriar</t>
  </si>
  <si>
    <t>*Manutenção de software</t>
  </si>
  <si>
    <t>Outras despesas antecipadas</t>
  </si>
  <si>
    <t>* Contempla o pagamento ao Cepel no valor de R$ 162 mil em dezembro referente a manutenção anual dos softwares recebidos em doação.</t>
  </si>
  <si>
    <t>Manutenção de Software</t>
  </si>
  <si>
    <t>9. Depósitos judiciais</t>
  </si>
  <si>
    <t>10. Imobilizado</t>
  </si>
  <si>
    <t>Custo
Corrigido</t>
  </si>
  <si>
    <t>Baixas</t>
  </si>
  <si>
    <t>Depreciação
Acumulada</t>
  </si>
  <si>
    <t>30.06.2026
Líquido</t>
  </si>
  <si>
    <t>31.12.2025
Líquido</t>
  </si>
  <si>
    <t>Máquinas e Equipamentos</t>
  </si>
  <si>
    <t>Equipamentos de Informática</t>
  </si>
  <si>
    <t>Móveis e Utensílios</t>
  </si>
  <si>
    <t>Baixa de
Depreciação</t>
  </si>
  <si>
    <t>11. Direito de usos de imóvel</t>
  </si>
  <si>
    <t>Custo Corrigido</t>
  </si>
  <si>
    <t xml:space="preserve">Amortização </t>
  </si>
  <si>
    <t>Direito de uso de bens</t>
  </si>
  <si>
    <t>MOVIMENTAÇÃO DO PASSIVO</t>
  </si>
  <si>
    <t>Compromisso de arrendamento de curto prazo reconhecido no passivo</t>
  </si>
  <si>
    <t>Compromisso de arrendamento de longo prazo reconhecido no passivo</t>
  </si>
  <si>
    <t>Saldo em 31 de dezembro de 2024</t>
  </si>
  <si>
    <t>Pagamentos do arrendamento</t>
  </si>
  <si>
    <t>Juros reconhecidos no resultado</t>
  </si>
  <si>
    <t>Saldo em 30 de junho de 2025</t>
  </si>
  <si>
    <t>Saldo em 31 de dezembro de 2025</t>
  </si>
  <si>
    <t>Saldo em 30 de junho de 2026</t>
  </si>
  <si>
    <t>12. Intangível</t>
  </si>
  <si>
    <t>Taxa anual Amortização</t>
  </si>
  <si>
    <t>Amortização
Acumulada</t>
  </si>
  <si>
    <t>Software</t>
  </si>
  <si>
    <t>A seguir posição do intangível com a movimentação do período:</t>
  </si>
  <si>
    <t>Amortização</t>
  </si>
  <si>
    <t>Baixa de
Amortização</t>
  </si>
  <si>
    <t>13. Fornecedores</t>
  </si>
  <si>
    <t>Figener Engenheiros Associados Ltda.</t>
  </si>
  <si>
    <t>Recruta Easy Tecnologia em Recrutamento Ltda.</t>
  </si>
  <si>
    <t>R&amp;F Treinamentos Tecnicos e Gerenciais Ltda.</t>
  </si>
  <si>
    <t>Comitê Nacional Brasileiro de Produção</t>
  </si>
  <si>
    <t>ESAFI - Escola Administração e Treinamento</t>
  </si>
  <si>
    <t>Rede Nacional de Aprendizagem</t>
  </si>
  <si>
    <t>14. Obrigações fiscais</t>
  </si>
  <si>
    <t>IRPJ a recolher</t>
  </si>
  <si>
    <t>PIS e COFINS (i)</t>
  </si>
  <si>
    <t>CSLL a recolher</t>
  </si>
  <si>
    <t xml:space="preserve">IRRF s/ salários </t>
  </si>
  <si>
    <t xml:space="preserve">INSS retido </t>
  </si>
  <si>
    <t>Ret IN 539/05 - IR/CS/PIS/COFINS</t>
  </si>
  <si>
    <t>15. Obrigações sociais e trabalhistas</t>
  </si>
  <si>
    <t>Provisões de 13º salário e encargos</t>
  </si>
  <si>
    <t>Provisões de férias e encargos</t>
  </si>
  <si>
    <t>Rescisão a pagar</t>
  </si>
  <si>
    <t>Remuneração Variável dos Administradores</t>
  </si>
  <si>
    <t>Pensão alimenticia</t>
  </si>
  <si>
    <t>Mensalidade AEPE</t>
  </si>
  <si>
    <t>Mensalidade Eletros - saúde</t>
  </si>
  <si>
    <t>16. Provisões para contingência</t>
  </si>
  <si>
    <t>A) Ações com risco de perda provável</t>
  </si>
  <si>
    <t>*Reversões e Baixas</t>
  </si>
  <si>
    <t>Cíveis</t>
  </si>
  <si>
    <r>
      <t> </t>
    </r>
    <r>
      <rPr>
        <b/>
        <sz val="12"/>
        <color rgb="FF000000"/>
        <rFont val="Arial Narrow"/>
        <family val="2"/>
      </rPr>
      <t>Total</t>
    </r>
  </si>
  <si>
    <t>B) Ações com risco de perda possível</t>
  </si>
  <si>
    <t>Administrativo</t>
  </si>
  <si>
    <t>17. Previdência Privada</t>
  </si>
  <si>
    <t>18. Capital Social</t>
  </si>
  <si>
    <t>O Capital Social da EPE totalmente integralizado pela União correspondente a R$ 36.154 em 30 de junho de 2025. A última deliberação de aumento de capital ocorreu em 30 de abril de 2024.</t>
  </si>
  <si>
    <t>19. Adiantamento para futuro aumento de capital - AFAC</t>
  </si>
  <si>
    <t>Fonte</t>
  </si>
  <si>
    <t>PF Solicitação</t>
  </si>
  <si>
    <t>Data</t>
  </si>
  <si>
    <t>PF Recebimento</t>
  </si>
  <si>
    <t>Entrada do Recurso</t>
  </si>
  <si>
    <t>Recurso Recebido</t>
  </si>
  <si>
    <t>2026PF000002</t>
  </si>
  <si>
    <t>2026PF000074</t>
  </si>
  <si>
    <t>2025PF000064</t>
  </si>
  <si>
    <t>2026PF000012</t>
  </si>
  <si>
    <t>2026PF000223</t>
  </si>
  <si>
    <t>2026PF000226</t>
  </si>
  <si>
    <t>2026PF000031</t>
  </si>
  <si>
    <t>2026PF000513</t>
  </si>
  <si>
    <t>2026PF000032</t>
  </si>
  <si>
    <t>2026PF000533</t>
  </si>
  <si>
    <t>2026PF000037</t>
  </si>
  <si>
    <t>2026PF000630</t>
  </si>
  <si>
    <t>TOTAL RECEBIDO</t>
  </si>
  <si>
    <t>20. Prejuízos acumulados</t>
  </si>
  <si>
    <t>(-) Prejuízos acumulados saldo em 31 de dezembro de 2025</t>
  </si>
  <si>
    <t>Lucro/Prejuízo do período</t>
  </si>
  <si>
    <t>(-) Prejuízos acumulados saldo em 31 de janeiro 2026</t>
  </si>
  <si>
    <t>22. Custos e despesas por natureza e função</t>
  </si>
  <si>
    <t>Custos e Despesas por função</t>
  </si>
  <si>
    <t>Custos e Despesas por Natureza</t>
  </si>
  <si>
    <t>Indenização e provisão para contigências</t>
  </si>
  <si>
    <t>23. Subsídios do Tesouro Nacional</t>
  </si>
  <si>
    <t>24.Outras receitas - Leilões ANEEL</t>
  </si>
  <si>
    <t>25. Resultado Financeiro</t>
  </si>
  <si>
    <t>Receita Financeira (i)</t>
  </si>
  <si>
    <t xml:space="preserve"> Rendas de Variações Monetárias </t>
  </si>
  <si>
    <t>Despesas financeiras (ii)</t>
  </si>
  <si>
    <t xml:space="preserve"> Variações monetárias</t>
  </si>
  <si>
    <t>Resultado financeiro líquido</t>
  </si>
  <si>
    <t>26. Apuração IPRJ e CSLL</t>
  </si>
  <si>
    <r>
      <t xml:space="preserve">   </t>
    </r>
    <r>
      <rPr>
        <sz val="12"/>
        <color rgb="FF000000"/>
        <rFont val="Arial Narrow"/>
        <family val="2"/>
      </rPr>
      <t>Alíquota utilizada para cálculo</t>
    </r>
  </si>
  <si>
    <t>IRPJ / CSLL a recolher</t>
  </si>
  <si>
    <t>b)	Reconciliação do efeito tributário sobre o lucro antes do imposto de renda e contribuição social</t>
  </si>
  <si>
    <t xml:space="preserve"> 12 meses findos em </t>
  </si>
  <si>
    <t>Provisões de processos</t>
  </si>
  <si>
    <t>Aprop. Juros Arrendamento Mercantil</t>
  </si>
  <si>
    <t>Amortização Arrend. Mercantil</t>
  </si>
  <si>
    <t>Amortização de arrendamento mercantil</t>
  </si>
  <si>
    <t>Reversão de variação monetária</t>
  </si>
  <si>
    <t>Compensação de base negativa</t>
  </si>
  <si>
    <t>Débito do imposto de renda e contribuição social</t>
  </si>
  <si>
    <t>Diferido não reconhecido</t>
  </si>
  <si>
    <t>29. CONCILIAÇÃO ENTRE O BALANÇO SOCIETÁRIO E O BALANÇO SIAFI</t>
  </si>
  <si>
    <t>Ativo circulante</t>
  </si>
  <si>
    <t>Ativo não circulante</t>
  </si>
  <si>
    <t>T.cruzamento</t>
  </si>
  <si>
    <t>Passivo circulante</t>
  </si>
  <si>
    <t>Passivo não circulante</t>
  </si>
  <si>
    <t>Patrimônio líquido</t>
  </si>
  <si>
    <t>Total do Passivo</t>
  </si>
  <si>
    <t xml:space="preserve">Descrição  </t>
  </si>
  <si>
    <t xml:space="preserve"> Lei 4.320/64 </t>
  </si>
  <si>
    <t xml:space="preserve"> Lei 6.404/76 </t>
  </si>
  <si>
    <t xml:space="preserve"> Diferença  </t>
  </si>
  <si>
    <t>Tributos a recuperar</t>
  </si>
  <si>
    <t>Outros créditos</t>
  </si>
  <si>
    <t xml:space="preserve"> Total  </t>
  </si>
  <si>
    <t>Imobilizado</t>
  </si>
  <si>
    <t>despesas antecipadas</t>
  </si>
  <si>
    <t>total cruzamento</t>
  </si>
  <si>
    <t>Obrigações Trabalhistas e Sociais</t>
  </si>
  <si>
    <t>Arrendamento Mercantil (LP)</t>
  </si>
  <si>
    <t>Direito de uso (aluguel de imóveis)</t>
  </si>
  <si>
    <t>Demais Obrigações de PL</t>
  </si>
  <si>
    <t>EMPRESA DE PESQUISA ENERGETICA - EPE</t>
  </si>
  <si>
    <t>Balancete Contábil Analítico</t>
  </si>
  <si>
    <t xml:space="preserve"> </t>
  </si>
  <si>
    <t xml:space="preserve">  </t>
  </si>
  <si>
    <t xml:space="preserve">   </t>
  </si>
  <si>
    <t xml:space="preserve">    </t>
  </si>
  <si>
    <t xml:space="preserve">     </t>
  </si>
  <si>
    <t xml:space="preserve">      </t>
  </si>
  <si>
    <t>06.977.747/0001-80</t>
  </si>
  <si>
    <t>01/07/2023 a 31/07/2023</t>
  </si>
  <si>
    <t>Emissão: 08/08/2024</t>
  </si>
  <si>
    <t>Conta</t>
  </si>
  <si>
    <t>Reduzido</t>
  </si>
  <si>
    <t>Anterior</t>
  </si>
  <si>
    <t>Débitos</t>
  </si>
  <si>
    <t>Créditos</t>
  </si>
  <si>
    <t>Movimento</t>
  </si>
  <si>
    <t>Saldo Atual</t>
  </si>
  <si>
    <t>Ativo</t>
  </si>
  <si>
    <t>1.1</t>
  </si>
  <si>
    <t>1.1.1</t>
  </si>
  <si>
    <t>Disponibilidades</t>
  </si>
  <si>
    <t>Bancos</t>
  </si>
  <si>
    <t>1.1.1.02.0042</t>
  </si>
  <si>
    <t>CO</t>
  </si>
  <si>
    <t>Receita Cota Orçamentária</t>
  </si>
  <si>
    <t>1.1.1.02.0043</t>
  </si>
  <si>
    <t>BBT</t>
  </si>
  <si>
    <t>Banco do Brasil - Fonte do Tesouro</t>
  </si>
  <si>
    <t>1.1.1.02.0044</t>
  </si>
  <si>
    <t>BBR</t>
  </si>
  <si>
    <t>Banco do Brasil - Fonte de Recursos Próprios</t>
  </si>
  <si>
    <t>1.1.2</t>
  </si>
  <si>
    <t>Créditos, Direitos e Bens</t>
  </si>
  <si>
    <t>Tributos a Recuperar ou Compensáveis</t>
  </si>
  <si>
    <t>1.1.2.03.0009</t>
  </si>
  <si>
    <t>1.1.2.03.0016</t>
  </si>
  <si>
    <t>1.1.2.03.0017</t>
  </si>
  <si>
    <t>1.1.2.03.0023</t>
  </si>
  <si>
    <t>1.1.2.03.0025</t>
  </si>
  <si>
    <t>1.1.2.03.0027</t>
  </si>
  <si>
    <t>PIS a Restituir</t>
  </si>
  <si>
    <t>1.1.2.03.0032</t>
  </si>
  <si>
    <t>IRPJ estimativa 2021</t>
  </si>
  <si>
    <t>1.1.2.03.0033</t>
  </si>
  <si>
    <t>CSLL estimativa 2021</t>
  </si>
  <si>
    <t>1.1.2.03.0034</t>
  </si>
  <si>
    <t>1.1.2.03.0036</t>
  </si>
  <si>
    <t>IRPJ estimativa 2022</t>
  </si>
  <si>
    <t>1.1.2.03.0037</t>
  </si>
  <si>
    <t>CSLL estimativa 2022</t>
  </si>
  <si>
    <t>Adiantamentos a Empregados</t>
  </si>
  <si>
    <t>1.1.2.04.0001</t>
  </si>
  <si>
    <t>Adiantamento de Férias</t>
  </si>
  <si>
    <t>1.1.2.04.0002</t>
  </si>
  <si>
    <t>Adiantamento de 13º Salário</t>
  </si>
  <si>
    <t>1.1.2.04.0024</t>
  </si>
  <si>
    <t>Empréstimo a funcionários</t>
  </si>
  <si>
    <t>1.1.2.04.0025</t>
  </si>
  <si>
    <t>1.1.2.05</t>
  </si>
  <si>
    <t>Adiantamentos a Terceiros</t>
  </si>
  <si>
    <t>1.1.2.05.0004</t>
  </si>
  <si>
    <t>Adiantamento p/ Órgãos Federais</t>
  </si>
  <si>
    <t>1.1.2.09</t>
  </si>
  <si>
    <t>1.1.2.09.0001</t>
  </si>
  <si>
    <t>Reembolso de custos a Receber - ANEEL</t>
  </si>
  <si>
    <t>1.1.2.99</t>
  </si>
  <si>
    <t>Outros Créditos</t>
  </si>
  <si>
    <t>1.1.2.99.0005</t>
  </si>
  <si>
    <t>Ressarcimento de Cedidos</t>
  </si>
  <si>
    <t>1.1.2.99.0999</t>
  </si>
  <si>
    <t>Créditos Diversos</t>
  </si>
  <si>
    <t>1.1.3.01</t>
  </si>
  <si>
    <t>1.1.3.01.0001</t>
  </si>
  <si>
    <t>Prêmio de Seguros Pagos Antecipadamente</t>
  </si>
  <si>
    <t>1.1.3.01.0002</t>
  </si>
  <si>
    <t>Assinaturas e Anuidades</t>
  </si>
  <si>
    <t>1.1.3.01.0003</t>
  </si>
  <si>
    <t>Provedores de Informações</t>
  </si>
  <si>
    <t>1.1.3.01.0005</t>
  </si>
  <si>
    <t>Iptu a Apropriar</t>
  </si>
  <si>
    <t>1.1.3.01.0006</t>
  </si>
  <si>
    <t>1.2</t>
  </si>
  <si>
    <t>1.2.1</t>
  </si>
  <si>
    <t>Realizavel a Longo Prazo</t>
  </si>
  <si>
    <t>1.2.1.03.0001</t>
  </si>
  <si>
    <t>IRPJ a Compensar</t>
  </si>
  <si>
    <t>1.2.1.03.0004</t>
  </si>
  <si>
    <t>1.2.1.03.0005</t>
  </si>
  <si>
    <t>CSLL a Compensar</t>
  </si>
  <si>
    <t>1.2.1.07</t>
  </si>
  <si>
    <t>Títulos e Valores Mobiliários</t>
  </si>
  <si>
    <t>1.2.1.07.0001</t>
  </si>
  <si>
    <t>Ações - Preço de Aquisição</t>
  </si>
  <si>
    <t>Depósitos Judiciais</t>
  </si>
  <si>
    <t>1.2.1.08.0001</t>
  </si>
  <si>
    <t>Depósitos Judiciais - Previdenciários</t>
  </si>
  <si>
    <t>1.2.1.08.0002</t>
  </si>
  <si>
    <t>Depósitos Judiciais - Trabalhistas</t>
  </si>
  <si>
    <t>1.2.1.08.0003</t>
  </si>
  <si>
    <t>Depósitos Judiciais - Cíveis</t>
  </si>
  <si>
    <t>1.2.3.01</t>
  </si>
  <si>
    <t>Bens em Operação</t>
  </si>
  <si>
    <t>1.2.3.01.0003</t>
  </si>
  <si>
    <t>1.2.3.01.0004</t>
  </si>
  <si>
    <t>1.2.3.01.0005</t>
  </si>
  <si>
    <t>1.2.3.01.0007</t>
  </si>
  <si>
    <t>1.2.3.98</t>
  </si>
  <si>
    <t>(-) Depreciação, Amortização e Exaustão</t>
  </si>
  <si>
    <t>1.2.3.98.0002</t>
  </si>
  <si>
    <t>(-) Instalações</t>
  </si>
  <si>
    <t>1.2.3.98.0003</t>
  </si>
  <si>
    <t>(-) Máquinas e Equipamentos</t>
  </si>
  <si>
    <t>1.2.3.98.0004</t>
  </si>
  <si>
    <t>(-) Equipamentos de Informática</t>
  </si>
  <si>
    <t>1.2.3.98.0006</t>
  </si>
  <si>
    <t>(-) Móveis e Utensílios</t>
  </si>
  <si>
    <t>Intangível</t>
  </si>
  <si>
    <t>1.2.4.01</t>
  </si>
  <si>
    <t>1.2.4.01.0001</t>
  </si>
  <si>
    <t>1.2.4.98</t>
  </si>
  <si>
    <t>( - ) Amortização</t>
  </si>
  <si>
    <t>1.2.4.98.0001</t>
  </si>
  <si>
    <t>( - ) Amortização Software</t>
  </si>
  <si>
    <t>Passivo</t>
  </si>
  <si>
    <t>2.1</t>
  </si>
  <si>
    <t>2.1.1</t>
  </si>
  <si>
    <t>Obrigações de Curto Prazo</t>
  </si>
  <si>
    <t>2.1.1.04</t>
  </si>
  <si>
    <t>Fornecedores Nacionais</t>
  </si>
  <si>
    <t>2.1.1.04.0001</t>
  </si>
  <si>
    <t>LIGHT SERVICOS DE ELETRICIDADE S.A</t>
  </si>
  <si>
    <t>2.1.1.04.0003</t>
  </si>
  <si>
    <t>EMPRESA BRASILEIRA DE CORREIOS E TELEGRA</t>
  </si>
  <si>
    <t>2.1.1.04.0011</t>
  </si>
  <si>
    <t>33641663/0001-44</t>
  </si>
  <si>
    <t>FUNDACAO GETULIO VARGAS</t>
  </si>
  <si>
    <t>2.1.1.04.0031</t>
  </si>
  <si>
    <t>09305983/0001-49</t>
  </si>
  <si>
    <t>PSR SOLUCOES E CONSULTORIA EM ENERGIA LT</t>
  </si>
  <si>
    <t>2.1.1.04.0041</t>
  </si>
  <si>
    <t>69034668/0001-56</t>
  </si>
  <si>
    <t>PLUXEE BENEFICIOS BRASIL S.A.</t>
  </si>
  <si>
    <t>2.1.1.04.0076</t>
  </si>
  <si>
    <t>61797924/0007-40</t>
  </si>
  <si>
    <t>HEWLETT PACKARD DO BRASIL LTDA</t>
  </si>
  <si>
    <t>2.1.1.04.0081</t>
  </si>
  <si>
    <t>07604035/0001-89</t>
  </si>
  <si>
    <t>RTA COMERCIO E SERVICO DE ASSISTENCIA</t>
  </si>
  <si>
    <t>2.1.1.04.0103</t>
  </si>
  <si>
    <t>71208516/0001-74</t>
  </si>
  <si>
    <t>ALGAR SERVICO E TELECOMUNICACOES</t>
  </si>
  <si>
    <t>2.1.1.04.0121</t>
  </si>
  <si>
    <t>31247083/0001-41</t>
  </si>
  <si>
    <t>ASSOCIAÇÃO BRASILEIRA DE RECURSOS HUMANO</t>
  </si>
  <si>
    <t>2.1.1.04.0138</t>
  </si>
  <si>
    <t>IBP - INST. BRASILEIRO PET. GAS E BIOC.</t>
  </si>
  <si>
    <t>2.1.1.04.0148</t>
  </si>
  <si>
    <t>33402892/0002-97</t>
  </si>
  <si>
    <t>ASSOCIAÇÃO BRASILEIRA DE NORMAS TECNICAS</t>
  </si>
  <si>
    <t>2.1.1.04.0293</t>
  </si>
  <si>
    <t>00441200/0001-80</t>
  </si>
  <si>
    <t>SERGIO MACHADO REIS EPP</t>
  </si>
  <si>
    <t>2.1.1.04.0310</t>
  </si>
  <si>
    <t>53113791/0001-22</t>
  </si>
  <si>
    <t>TOTVS SA</t>
  </si>
  <si>
    <t>2.1.1.04.0336</t>
  </si>
  <si>
    <t>42288886/0001-60</t>
  </si>
  <si>
    <t>CENTRO DE PESQ DE ENERGIA ELETRICA CEPEL</t>
  </si>
  <si>
    <t>2.1.1.04.0375</t>
  </si>
  <si>
    <t>08794730/0001-13</t>
  </si>
  <si>
    <t>RIOOFFSITE SERVICOS DE FITOTECA LTDA</t>
  </si>
  <si>
    <t>2.1.1.04.0447</t>
  </si>
  <si>
    <t>33683111/0008-75</t>
  </si>
  <si>
    <t>SERVICO FEDERAL DE PROC DE DADOS SERPRO</t>
  </si>
  <si>
    <t>2.1.1.04.0455</t>
  </si>
  <si>
    <t>86781069/0001-15</t>
  </si>
  <si>
    <t>ZENITE INFORMACAO E CONSULTORIA S/A</t>
  </si>
  <si>
    <t>2.1.1.04.0471</t>
  </si>
  <si>
    <t>47866934/0001-74</t>
  </si>
  <si>
    <t>TICKET SERVICOS SA</t>
  </si>
  <si>
    <t>2.1.1.04.0526</t>
  </si>
  <si>
    <t>21340197/0001-88</t>
  </si>
  <si>
    <t>TECHVET SERVICOS LTDA ME</t>
  </si>
  <si>
    <t>2.1.1.04.0537</t>
  </si>
  <si>
    <t>05344234/0001-70</t>
  </si>
  <si>
    <t>RJ LOCACAO DE VEICULOS E SERVICOS LTDA</t>
  </si>
  <si>
    <t>2.1.1.04.0549</t>
  </si>
  <si>
    <t>86517729/0001-55</t>
  </si>
  <si>
    <t>VIENA EMPREENDIMENTOS LTDA</t>
  </si>
  <si>
    <t>2.1.1.04.0568</t>
  </si>
  <si>
    <t>PREVI - CAIXA DE PREVIDÊNCIA DOS FUNCION</t>
  </si>
  <si>
    <t>2.1.1.04.0591</t>
  </si>
  <si>
    <t>NCT INFORMATICA LTDA</t>
  </si>
  <si>
    <t>2.1.1.04.0632</t>
  </si>
  <si>
    <t>FACULDADES CATÓLICAS</t>
  </si>
  <si>
    <t>2.1.1.04.0633</t>
  </si>
  <si>
    <t>COPY HOUSE SERVICOS REPROGRAFICOS EIRELI</t>
  </si>
  <si>
    <t>2.1.1.04.0648</t>
  </si>
  <si>
    <t>RIOPAR Participações S/A</t>
  </si>
  <si>
    <t>2.1.1.04.0652</t>
  </si>
  <si>
    <t>DECISION SERVIÇOS DE TECNOLOGIA DA INFOR</t>
  </si>
  <si>
    <t>2.1.1.04.0654</t>
  </si>
  <si>
    <t>MR EVENTOS TREINAMENTO E AGENCIAMENTO</t>
  </si>
  <si>
    <t>2.1.1.04.0665</t>
  </si>
  <si>
    <t>AOVS SISTEMA DE INFORMATICA</t>
  </si>
  <si>
    <t>2.1.1.04.0683</t>
  </si>
  <si>
    <t>COORDENAÇÃO GERAL DE RECURSOS LOGISTICOS</t>
  </si>
  <si>
    <t>2.1.1.04.0744</t>
  </si>
  <si>
    <t>WINDSOR ADM. DE HOTÉIS E SERVIÇOS</t>
  </si>
  <si>
    <t>2.1.1.04.0748</t>
  </si>
  <si>
    <t>LEC EDITORA  ORGANIZAÇÃO DE EVENTOS LTDA</t>
  </si>
  <si>
    <t>2.1.1.04.0761</t>
  </si>
  <si>
    <t>4E FOR ECONOMICS CONSULTORIA LTDA</t>
  </si>
  <si>
    <t>2.1.1.04.0777</t>
  </si>
  <si>
    <t>GL ELETRO-ELETRONICOS LTDA</t>
  </si>
  <si>
    <t>2.1.1.04.0781</t>
  </si>
  <si>
    <t>GARTNER DO BRASIL SERVIÇOS DE PESQUISA L</t>
  </si>
  <si>
    <t>2.1.1.04.0811</t>
  </si>
  <si>
    <t>IDEIAS TURISMO EIRELI</t>
  </si>
  <si>
    <t>2.1.1.04.0834</t>
  </si>
  <si>
    <t>COND. ED. MARQUES DOS REIS</t>
  </si>
  <si>
    <t>2.1.1.04.0840</t>
  </si>
  <si>
    <t>IBGC - INST BRAS DE GOVERNANÇA CORP</t>
  </si>
  <si>
    <t>2.1.1.04.0842</t>
  </si>
  <si>
    <t>BERKAN AUDITORES INDEPENDENTES S.S</t>
  </si>
  <si>
    <t>2.1.1.04.0843</t>
  </si>
  <si>
    <t>INSTITUTO FENACON</t>
  </si>
  <si>
    <t>2.1.1.04.0844</t>
  </si>
  <si>
    <t>MMP CURSOS CAP. E TREINAMENTO LTDA</t>
  </si>
  <si>
    <t>2.1.1.04.0859</t>
  </si>
  <si>
    <t>ALPHA &amp; OMEGA TRANSCRIÇÕES</t>
  </si>
  <si>
    <t>2.1.1.04.0872</t>
  </si>
  <si>
    <t>JUMP SERVICOS GRAFICOS LTDA</t>
  </si>
  <si>
    <t>2.1.1.04.0881</t>
  </si>
  <si>
    <t>AUTODATA SEMINARIOS E EDITORA LTDA</t>
  </si>
  <si>
    <t>2.1.1.04.0886</t>
  </si>
  <si>
    <t>ZILMA WAVGENCZAK ME.</t>
  </si>
  <si>
    <t>2.1.1.04.0892</t>
  </si>
  <si>
    <t>TOTAL LIFE ASSISTENCIA A VIDA LTDA</t>
  </si>
  <si>
    <t>2.1.1.04.0897</t>
  </si>
  <si>
    <t>AEA ASSOCIAÇÃO BRAS. DE ENGENHARIA AUTOMOTIVA</t>
  </si>
  <si>
    <t>2.1.1.04.0901</t>
  </si>
  <si>
    <t>MGS CLEAN SOLUÇÕES E SERVIÇOS</t>
  </si>
  <si>
    <t>2.1.1.04.0906</t>
  </si>
  <si>
    <t>TIME MULTISSERVIÇOS LTDA</t>
  </si>
  <si>
    <t>2.1.1.04.0907</t>
  </si>
  <si>
    <t>GESTAO QUANTUM CENTRO DE PROCESSAMENTO CONTABIL</t>
  </si>
  <si>
    <t>2.1.1.04.0911</t>
  </si>
  <si>
    <t>INFORMA MARKETS LTDA</t>
  </si>
  <si>
    <t>2.1.1.04.0926</t>
  </si>
  <si>
    <t>RMA ENGENHARIA LTDA</t>
  </si>
  <si>
    <t>2.1.1.04.0930</t>
  </si>
  <si>
    <t>MOBIX ORGANIZACAO E PRODUCAO DE EVENTOS LTDA</t>
  </si>
  <si>
    <t>2.1.1.04.0932</t>
  </si>
  <si>
    <t>REFRIGERACAO IV CENTENARIO EIRELI</t>
  </si>
  <si>
    <t>2.1.1.04.0937</t>
  </si>
  <si>
    <t>MODULO SECURITY SOLUTIONS EM RECUPERACAO JUDICIAL</t>
  </si>
  <si>
    <t>2.1.1.04.0942</t>
  </si>
  <si>
    <t>AGENCIA DE INTEGRAÇÃO ESCOLA LTDA</t>
  </si>
  <si>
    <t>2.1.1.04.0943</t>
  </si>
  <si>
    <t>CLICKSIGN GESTAO DE DOCUMENTOS S/A</t>
  </si>
  <si>
    <t>2.1.1.04.0948</t>
  </si>
  <si>
    <t>CHESTNUT GLOBAL PARTNERS DO BRASIL LTDA</t>
  </si>
  <si>
    <t>2.1.1.04.0954</t>
  </si>
  <si>
    <t>T &amp; S LOCACAO DE MAO DE OBRA EM GERAL EIRELI</t>
  </si>
  <si>
    <t>2.1.1.04.0957</t>
  </si>
  <si>
    <t>IOS INFORMATICA, ORGANIZACAO E SISTEMAS LTDA</t>
  </si>
  <si>
    <t>2.1.1.04.0967</t>
  </si>
  <si>
    <t>01707536/000104</t>
  </si>
  <si>
    <t>ISH TECNOLOGIA S/A</t>
  </si>
  <si>
    <t>2.1.1.04.0970</t>
  </si>
  <si>
    <t>VACIVITTA SERVIÇOS DE IMUNIZAÇÃO HUMANA LTDA</t>
  </si>
  <si>
    <t>2.1.1.04.0979</t>
  </si>
  <si>
    <t>JULIANA DE OLIVEIRA CAROLINO MANHAES COMERCIO</t>
  </si>
  <si>
    <t>2.1.1.04.0983</t>
  </si>
  <si>
    <t>PLM - AUDITORIA E CONSULTORIA LTDA</t>
  </si>
  <si>
    <t>2.1.1.04.0987</t>
  </si>
  <si>
    <t>INFRA JORNALISMO LTDA</t>
  </si>
  <si>
    <t>2.1.1.04.0996</t>
  </si>
  <si>
    <t>VICMA COMERCIO DE EQUIPAMENTOS PARA ESCRITORIO LTDA</t>
  </si>
  <si>
    <t>2.1.1.04.0998</t>
  </si>
  <si>
    <t>Fornecedores a Classificar</t>
  </si>
  <si>
    <t>2.1.1.04.1002</t>
  </si>
  <si>
    <t>DATA CORPORE SERVIÇOS DE TELECOMUNICAÇÕES E INFORMATICA LTDA</t>
  </si>
  <si>
    <t>2.1.1.04.1012</t>
  </si>
  <si>
    <t>SAAS - SOLUÇÕES E SISTEMAS DE GESTÃO S/S LTDA</t>
  </si>
  <si>
    <t>2.1.1.04.1013</t>
  </si>
  <si>
    <t>WA 2 SERVIÇOS DE SEGURANÇA DA INFORMAÇÃO E CONTINUIDADE</t>
  </si>
  <si>
    <t>2.1.1.04.1015</t>
  </si>
  <si>
    <t>REDE NACIONAL DE APRENDIZAGEM, PROMOÇÃO SOCIAL E INTEGRAÇÃO RENAPSI</t>
  </si>
  <si>
    <t>2.1.1.04.1021</t>
  </si>
  <si>
    <t>GM SAUDE LTDA</t>
  </si>
  <si>
    <t>2.1.1.04.1022</t>
  </si>
  <si>
    <t>GREEN DOMUS DESENVOLVIMENTO SUSTENTAVEL LTDA</t>
  </si>
  <si>
    <t>2.1.1.04.1031</t>
  </si>
  <si>
    <t>AGENCIA EPBR DE NOTICIAS LTDA</t>
  </si>
  <si>
    <t>2.1.1.04.1039</t>
  </si>
  <si>
    <t>FUNDACAO DE ESTUDOS AGRARIOS LUIZ DE QUEIROZ</t>
  </si>
  <si>
    <t>2.1.1.04.1042</t>
  </si>
  <si>
    <t>J L CLEAN LIMPEZA E DESINFECÇÃO LTDA</t>
  </si>
  <si>
    <t>2.1.1.04.1043</t>
  </si>
  <si>
    <t>INTERLINK EXHIBITIONS LTDA</t>
  </si>
  <si>
    <t>2.1.1.04.1045</t>
  </si>
  <si>
    <t>CONTACTA SEGURANCA EM CONECTIVIDADE LTDA</t>
  </si>
  <si>
    <t>2.1.1.04.1046</t>
  </si>
  <si>
    <t>ACEPLUS BRASIL LTDA</t>
  </si>
  <si>
    <t>2.1.1.04.1047</t>
  </si>
  <si>
    <t>AGATHA SOUZA BRITO PESSOA</t>
  </si>
  <si>
    <t>2.1.1.04.1048</t>
  </si>
  <si>
    <t>INSTITUTO BRASILEIRO DE ESTUDOS DO DIREITO DA ENERGIA</t>
  </si>
  <si>
    <t>2.1.1.04.1049</t>
  </si>
  <si>
    <t>BASE 183 EVENTOS LTDA</t>
  </si>
  <si>
    <t>2.1.1.04.1050</t>
  </si>
  <si>
    <t>GH MARKETING LTDA</t>
  </si>
  <si>
    <t>2.1.1.04.1051</t>
  </si>
  <si>
    <t>NNAL COMERCIO DE MATERIAIS MEDICOS E SERVICOS EMPRESARIAIS LTDA</t>
  </si>
  <si>
    <t>2.1.1.04.1052</t>
  </si>
  <si>
    <t>PRIMASOFT INFORMATICA LTDA</t>
  </si>
  <si>
    <t>2.1.1.04.1053</t>
  </si>
  <si>
    <t>AMANA LIDERANÇA E DESENVOLVIMENTO LTDA</t>
  </si>
  <si>
    <t>2.1.1.04.1054</t>
  </si>
  <si>
    <t>CAFE NOVO INDIGENA LTDA</t>
  </si>
  <si>
    <t>2.1.1.06</t>
  </si>
  <si>
    <t>2.1.1.06.0002</t>
  </si>
  <si>
    <t>PASEP a Recolher</t>
  </si>
  <si>
    <t>2.1.1.06.0003</t>
  </si>
  <si>
    <t>COFINS a Recolher</t>
  </si>
  <si>
    <t>2.1.1.07</t>
  </si>
  <si>
    <t>Retenções Tributárias</t>
  </si>
  <si>
    <t>2.1.1.07.0001</t>
  </si>
  <si>
    <t>IRRF a Recolher de Empregados</t>
  </si>
  <si>
    <t>2.1.1.07.0003</t>
  </si>
  <si>
    <t>INSS</t>
  </si>
  <si>
    <t>INSS DE TERCEIROS</t>
  </si>
  <si>
    <t>2.1.1.07.0008</t>
  </si>
  <si>
    <t>Ret IN 539/05 - IR/CS/PIS/COFINS - 5,85%</t>
  </si>
  <si>
    <t>2.1.1.07.0009</t>
  </si>
  <si>
    <t>Ret IN 539/05 - IR/CS/PIS/COFINS - 9,45%</t>
  </si>
  <si>
    <t>2.1.1.07.0010</t>
  </si>
  <si>
    <t>Ret IN 539/05 - IR/CS/PIS/COFINS - 7,05%</t>
  </si>
  <si>
    <t>2.1.1.07.0015</t>
  </si>
  <si>
    <t>ISS</t>
  </si>
  <si>
    <t>ISS de Terceiros</t>
  </si>
  <si>
    <t>2.1.1.07.0073</t>
  </si>
  <si>
    <t>Ret IN 539/05 - IRPJ - 2,4%</t>
  </si>
  <si>
    <t>2.1.1.07.0074</t>
  </si>
  <si>
    <t>Ret IN 539/05 - CSLL - 1%</t>
  </si>
  <si>
    <t>2.1.1.08</t>
  </si>
  <si>
    <t>2.1.1.08.0001</t>
  </si>
  <si>
    <t>Salários a Pagar</t>
  </si>
  <si>
    <t>2.1.1.08.0002</t>
  </si>
  <si>
    <t>13º Salário a Pagar</t>
  </si>
  <si>
    <t>2.1.1.08.0003</t>
  </si>
  <si>
    <t>Férias a Pagar</t>
  </si>
  <si>
    <t>2.1.1.08.0004</t>
  </si>
  <si>
    <t>INSS a Recolher</t>
  </si>
  <si>
    <t>2.1.1.08.0005</t>
  </si>
  <si>
    <t>FGTS a Recolher</t>
  </si>
  <si>
    <t>2.1.1.08.0006</t>
  </si>
  <si>
    <t>Contribuição Sindical a Pagar</t>
  </si>
  <si>
    <t>2.1.1.08.0007</t>
  </si>
  <si>
    <t>Pensão Alimentícia</t>
  </si>
  <si>
    <t>2.1.1.08.0008</t>
  </si>
  <si>
    <t>Rescisões a Pagar</t>
  </si>
  <si>
    <t>2.1.1.08.0009</t>
  </si>
  <si>
    <t>Previdência Privada Complementar</t>
  </si>
  <si>
    <t>2.1.1.08.0010</t>
  </si>
  <si>
    <t>INSS s/ 13º Salario a Pagar</t>
  </si>
  <si>
    <t>2.1.1.08.0011</t>
  </si>
  <si>
    <t>FGTS s/ 13º Salario a Pagar</t>
  </si>
  <si>
    <t>2.1.1.08.0012</t>
  </si>
  <si>
    <t>INSS s/ Férias a Pagar</t>
  </si>
  <si>
    <t>2.1.1.08.0013</t>
  </si>
  <si>
    <t>FGTS s/ Férias a Pagar</t>
  </si>
  <si>
    <t>2.1.1.14.0005</t>
  </si>
  <si>
    <t>Obrigações com o STJ</t>
  </si>
  <si>
    <t>2.1.1.15</t>
  </si>
  <si>
    <t>2.1.1.15.0001</t>
  </si>
  <si>
    <t>Fundação ELETROS</t>
  </si>
  <si>
    <t>2.2</t>
  </si>
  <si>
    <t>2.2.1</t>
  </si>
  <si>
    <t>Obrigações de Longo Prazo</t>
  </si>
  <si>
    <t>Provisões p/ Contingências</t>
  </si>
  <si>
    <t>2.2.1.05.0001</t>
  </si>
  <si>
    <t>Provisão p/ Contingências Trabalhistas</t>
  </si>
  <si>
    <t>2.2.1.05.0002</t>
  </si>
  <si>
    <t>Provisão p/ Contingências Civeis</t>
  </si>
  <si>
    <t>2.2.1.05.0003</t>
  </si>
  <si>
    <t>Provisão p/ Contingências Fiscais</t>
  </si>
  <si>
    <t>2.4</t>
  </si>
  <si>
    <t>PL</t>
  </si>
  <si>
    <t>2.4.1.01</t>
  </si>
  <si>
    <t>Capital Subscrito</t>
  </si>
  <si>
    <t>2.4.1.01.0001</t>
  </si>
  <si>
    <t>2.4.3</t>
  </si>
  <si>
    <t>Aj de av.patrimonial</t>
  </si>
  <si>
    <t>2.4.3.01</t>
  </si>
  <si>
    <t>Aj. de av. patrimonial</t>
  </si>
  <si>
    <t>2.4.3.01.0001</t>
  </si>
  <si>
    <t>Aj.de av. patrimonial</t>
  </si>
  <si>
    <t>Lucros ou Prejuízos Acumulados</t>
  </si>
  <si>
    <t>2.4.6.02</t>
  </si>
  <si>
    <t>(-) Prejuízos Acumulados</t>
  </si>
  <si>
    <t>2.4.6.02.0002</t>
  </si>
  <si>
    <t>(-) Prejuízo Acumulado</t>
  </si>
  <si>
    <t>2.4.6.99</t>
  </si>
  <si>
    <t>2.4.6.99.0001</t>
  </si>
  <si>
    <t>Adiantamento p/Futuro Aumento de Capital</t>
  </si>
  <si>
    <t>2.4.7.01</t>
  </si>
  <si>
    <t>2.4.7.01.0001</t>
  </si>
  <si>
    <t>3.1</t>
  </si>
  <si>
    <t>3.1.1</t>
  </si>
  <si>
    <t>Subsídios do Tesouro Nacional</t>
  </si>
  <si>
    <t>3.1.1.01.0001</t>
  </si>
  <si>
    <t>3.3</t>
  </si>
  <si>
    <t>Outras Receitas Operacionais</t>
  </si>
  <si>
    <t>3.3.1.01</t>
  </si>
  <si>
    <t>Receitas Financ./ Prest. de Serviços</t>
  </si>
  <si>
    <t>3.3.1.01.0003</t>
  </si>
  <si>
    <t>3.3.1.01.0004</t>
  </si>
  <si>
    <t>Descontos Obtidos</t>
  </si>
  <si>
    <t>3.3.2</t>
  </si>
  <si>
    <t>Reembolso de Custos e Despesas</t>
  </si>
  <si>
    <t>3.3.2.01</t>
  </si>
  <si>
    <t>3.3.2.01.0002</t>
  </si>
  <si>
    <t>Leilões ANEEL – Transmissão de Energia</t>
  </si>
  <si>
    <t>3.3.2.01.0003</t>
  </si>
  <si>
    <t>Recuperação de Despesa e Custo</t>
  </si>
  <si>
    <t>Custos e Despesas</t>
  </si>
  <si>
    <t>4.1</t>
  </si>
  <si>
    <t>Custos</t>
  </si>
  <si>
    <t>4.1.1</t>
  </si>
  <si>
    <t>Gastos com Pessoal - Serviços</t>
  </si>
  <si>
    <t>4.1.1.01</t>
  </si>
  <si>
    <t>Remunerações</t>
  </si>
  <si>
    <t>4.1.1.01.0001</t>
  </si>
  <si>
    <t>Salários</t>
  </si>
  <si>
    <t>4.1.1.01.0007</t>
  </si>
  <si>
    <t>Provisão de Férias e Encargos Sociais</t>
  </si>
  <si>
    <t>4.1.1.01.0008</t>
  </si>
  <si>
    <t>Abono Pecuniário de Férias</t>
  </si>
  <si>
    <t>4.1.1.01.0009</t>
  </si>
  <si>
    <t>Provisão de 13º Salários e Enc. Sociais</t>
  </si>
  <si>
    <t>4.1.1.01.0011</t>
  </si>
  <si>
    <t>Salario Maternidade - Prorrogação</t>
  </si>
  <si>
    <t>4.1.1.01.0013</t>
  </si>
  <si>
    <t>Licença Paternidade Prorrogação</t>
  </si>
  <si>
    <t>4.1.1.01.0014</t>
  </si>
  <si>
    <t>Incorporação Função Gratificada - Ordem Judicial</t>
  </si>
  <si>
    <t>4.1.1.02</t>
  </si>
  <si>
    <t>4.1.1.02.0001</t>
  </si>
  <si>
    <t>4.1.1.02.0002</t>
  </si>
  <si>
    <t>4.1.1.02.0004</t>
  </si>
  <si>
    <t>INSS s/ 13º Salário</t>
  </si>
  <si>
    <t>4.1.1.02.0005</t>
  </si>
  <si>
    <t>INSS s/ Férias</t>
  </si>
  <si>
    <t>4.1.1.02.0006</t>
  </si>
  <si>
    <t>FGTS s/ Férias</t>
  </si>
  <si>
    <t>4.1.1.02.0007</t>
  </si>
  <si>
    <t>FGTS s/ 13º Salário</t>
  </si>
  <si>
    <t>4.1.1.03</t>
  </si>
  <si>
    <t>4.1.1.03.0001</t>
  </si>
  <si>
    <t>4.1.1.03.0002</t>
  </si>
  <si>
    <t>Auxílio Alimentação</t>
  </si>
  <si>
    <t>4.1.1.03.0003</t>
  </si>
  <si>
    <t>Auxílio Transporte</t>
  </si>
  <si>
    <t>4.1.1.03.0005</t>
  </si>
  <si>
    <t>Auxílio Creche</t>
  </si>
  <si>
    <t>4.1.1.03.0006</t>
  </si>
  <si>
    <t>Assistência Médica e  Odontológica</t>
  </si>
  <si>
    <t>4.1.1.03.0010</t>
  </si>
  <si>
    <t>Vale Cultura</t>
  </si>
  <si>
    <t>4.1.1.03.0011</t>
  </si>
  <si>
    <t>Saúde Ocupacional</t>
  </si>
  <si>
    <t>4.1.1.10</t>
  </si>
  <si>
    <t>Indenizações</t>
  </si>
  <si>
    <t>4.1.1.10.0001</t>
  </si>
  <si>
    <t>Indenizações Trabalhistas</t>
  </si>
  <si>
    <t>4.1.3</t>
  </si>
  <si>
    <t>Custos c/ Serviços de Terceiros - Serv.</t>
  </si>
  <si>
    <t>4.1.3.01.0001</t>
  </si>
  <si>
    <t>Serviços de Consultoria</t>
  </si>
  <si>
    <t>4.1.3.01.0002</t>
  </si>
  <si>
    <t>Serviços de Apoio Técnico e/ou Administrativo</t>
  </si>
  <si>
    <t>4.1.3.01.0005</t>
  </si>
  <si>
    <t>Cursos, Seminários e Convenções</t>
  </si>
  <si>
    <t>4.1.3.01.0014</t>
  </si>
  <si>
    <t>Cessão Temporária e Manutenção de Softwa</t>
  </si>
  <si>
    <t>4.1.3.01.0017</t>
  </si>
  <si>
    <t>Custos com Estagiarios</t>
  </si>
  <si>
    <t>4.1.3.01.0997</t>
  </si>
  <si>
    <t>Serviço Prestado PF</t>
  </si>
  <si>
    <t>Custos c/ Tributos - Serviços</t>
  </si>
  <si>
    <t>4.1.4.01</t>
  </si>
  <si>
    <t>4.1.4.01.0002</t>
  </si>
  <si>
    <t>IPTU</t>
  </si>
  <si>
    <t>4.1.4.01.0008</t>
  </si>
  <si>
    <t>Taxas Estaduais</t>
  </si>
  <si>
    <t>4.1.6</t>
  </si>
  <si>
    <t>Custos Gerais - Serviços</t>
  </si>
  <si>
    <t>Custos de Funcionamento das Instalações</t>
  </si>
  <si>
    <t>4.1.6.01.0001</t>
  </si>
  <si>
    <t>Aluguéis</t>
  </si>
  <si>
    <t>4.1.6.01.0004</t>
  </si>
  <si>
    <t>Energia Elétrica</t>
  </si>
  <si>
    <t>4.1.6.01.0006</t>
  </si>
  <si>
    <t>Telecomunicações</t>
  </si>
  <si>
    <t>4.1.6.01.0010</t>
  </si>
  <si>
    <t>Conduções</t>
  </si>
  <si>
    <t>4.1.6.01.0012</t>
  </si>
  <si>
    <t>Alugueis de Móveis, Máquinas e Equip.</t>
  </si>
  <si>
    <t>4.1.6.01.0014</t>
  </si>
  <si>
    <t>Serviço de Limpeza e Higiene</t>
  </si>
  <si>
    <t>4.1.6.01.0015</t>
  </si>
  <si>
    <t>Serviços Gerais</t>
  </si>
  <si>
    <t>4.1.6.01.0016</t>
  </si>
  <si>
    <t>Condomínios</t>
  </si>
  <si>
    <t>Custos Gerais da Administração</t>
  </si>
  <si>
    <t>4.1.6.02.0001</t>
  </si>
  <si>
    <t>Honorários da Diretoria</t>
  </si>
  <si>
    <t>4.1.6.02.0002</t>
  </si>
  <si>
    <t>Honorários Conselhos de Adm. e Fiscal</t>
  </si>
  <si>
    <t>4.1.6.02.0004</t>
  </si>
  <si>
    <t>Custos de Viagens - Passagens Aéreas</t>
  </si>
  <si>
    <t>4.1.6.02.0006</t>
  </si>
  <si>
    <t>Custos de Viagens - Outros</t>
  </si>
  <si>
    <t>4.1.6.02.0007</t>
  </si>
  <si>
    <t>Assinatura Banco de Dados e Portais</t>
  </si>
  <si>
    <t>4.1.6.02.0010</t>
  </si>
  <si>
    <t>Custo de Viagem ao Exterior</t>
  </si>
  <si>
    <t>4.2</t>
  </si>
  <si>
    <t>Despesas</t>
  </si>
  <si>
    <t>4.2.1</t>
  </si>
  <si>
    <t>Despesas com Pessoal</t>
  </si>
  <si>
    <t>4.2.1.01</t>
  </si>
  <si>
    <t>4.2.1.01.0001</t>
  </si>
  <si>
    <t>4.2.1.01.0007</t>
  </si>
  <si>
    <t>4.2.1.01.0008</t>
  </si>
  <si>
    <t>4.2.1.01.0009</t>
  </si>
  <si>
    <t>Provisão de 13º Salários e Encargos</t>
  </si>
  <si>
    <t>4.2.1.01.0010</t>
  </si>
  <si>
    <t>4.2.1.01.0012</t>
  </si>
  <si>
    <t>4.2.1.02</t>
  </si>
  <si>
    <t>4.2.1.02.0001</t>
  </si>
  <si>
    <t>4.2.1.02.0002</t>
  </si>
  <si>
    <t>4.2.1.02.0004</t>
  </si>
  <si>
    <t>4.2.1.02.0005</t>
  </si>
  <si>
    <t>4.2.1.02.0006</t>
  </si>
  <si>
    <t>4.2.1.02.0007</t>
  </si>
  <si>
    <t>4.2.1.03</t>
  </si>
  <si>
    <t>4.2.1.03.0001</t>
  </si>
  <si>
    <t>4.2.1.03.0002</t>
  </si>
  <si>
    <t>4.2.1.03.0003</t>
  </si>
  <si>
    <t>4.2.1.03.0004</t>
  </si>
  <si>
    <t>Auxílio Moradia</t>
  </si>
  <si>
    <t>4.2.1.03.0005</t>
  </si>
  <si>
    <t>4.2.1.03.0006</t>
  </si>
  <si>
    <t>4.2.1.03.0010</t>
  </si>
  <si>
    <t>4.2.1.03.0011</t>
  </si>
  <si>
    <t>Despesas Com Materiais</t>
  </si>
  <si>
    <t>4.2.2.01</t>
  </si>
  <si>
    <t>Despesas com Materiais Nacionais</t>
  </si>
  <si>
    <t>4.2.2.01.0001</t>
  </si>
  <si>
    <t>Materiais Adm. e de Expediente</t>
  </si>
  <si>
    <t>4.2.3</t>
  </si>
  <si>
    <t>Desp.c/Serv. de Terceiros</t>
  </si>
  <si>
    <t>4.2.3.01.0001</t>
  </si>
  <si>
    <t>4.2.3.01.0002</t>
  </si>
  <si>
    <t>4.2.3.01.0003</t>
  </si>
  <si>
    <t>Cessão ou Requisição de Pessoal</t>
  </si>
  <si>
    <t>4.2.3.01.0005</t>
  </si>
  <si>
    <t>4.2.3.01.0006</t>
  </si>
  <si>
    <t>Serviços de Processamentos de Dados</t>
  </si>
  <si>
    <t>4.2.3.01.0007</t>
  </si>
  <si>
    <t>Serviços Manut. Equipamentos Informática</t>
  </si>
  <si>
    <t>4.2.3.01.0008</t>
  </si>
  <si>
    <t>Serv. Tributários e Auditoria</t>
  </si>
  <si>
    <t>4.2.3.01.0013</t>
  </si>
  <si>
    <t>Locação de Veículos</t>
  </si>
  <si>
    <t>4.2.3.01.0014</t>
  </si>
  <si>
    <t>Cessão Temporária e Manut. de Software</t>
  </si>
  <si>
    <t>4.2.3.01.0015</t>
  </si>
  <si>
    <t>Serviços de Clipping de Multimídia</t>
  </si>
  <si>
    <t>4.2.3.01.0017</t>
  </si>
  <si>
    <t>Despesas com Estagiarios</t>
  </si>
  <si>
    <t>4.2.3.01.0019</t>
  </si>
  <si>
    <t>Despesas com Jovem Aprendiz</t>
  </si>
  <si>
    <t>Desp.c/Tributos</t>
  </si>
  <si>
    <t>4.2.4.01</t>
  </si>
  <si>
    <t>Desp.c/Tributos-Imp.,Txs e Contribuições</t>
  </si>
  <si>
    <t>4.2.4.01.0002</t>
  </si>
  <si>
    <t>4.2.4.01.0005</t>
  </si>
  <si>
    <t>PIS s/ Outras Receitas</t>
  </si>
  <si>
    <t>4.2.4.01.0006</t>
  </si>
  <si>
    <t>COFINS s/ outras Receitas</t>
  </si>
  <si>
    <t>4.2.4.01.0012</t>
  </si>
  <si>
    <t>4.2.5</t>
  </si>
  <si>
    <t>Despesas com Provisôes</t>
  </si>
  <si>
    <t>4.2.5.01</t>
  </si>
  <si>
    <t>Imposto de Renda</t>
  </si>
  <si>
    <t>4.2.5.01.0001</t>
  </si>
  <si>
    <t>Provisão p/ IRPJ</t>
  </si>
  <si>
    <t>4.2.5.02</t>
  </si>
  <si>
    <t>Contribuição Social s/ Lucro Líquido</t>
  </si>
  <si>
    <t>4.2.5.02.0001</t>
  </si>
  <si>
    <t>Provisão p/ CSLL</t>
  </si>
  <si>
    <t>4.2.5.04</t>
  </si>
  <si>
    <t>Despesas c/ Provisões - p/ Contingências</t>
  </si>
  <si>
    <t>4.2.5.04.0001</t>
  </si>
  <si>
    <t>Provisões p/ Contingências Trabalhistas</t>
  </si>
  <si>
    <t>4.2.6</t>
  </si>
  <si>
    <t>Despesas Gerais</t>
  </si>
  <si>
    <t>Desp. Gerais Funcionamento Instalações</t>
  </si>
  <si>
    <t>4.2.6.01.0001</t>
  </si>
  <si>
    <t>4.2.6.01.0003</t>
  </si>
  <si>
    <t>Manutenção e Reparos</t>
  </si>
  <si>
    <t>4.2.6.01.0004</t>
  </si>
  <si>
    <t>4.2.6.01.0006</t>
  </si>
  <si>
    <t>4.2.6.01.0007</t>
  </si>
  <si>
    <t>Correios e Malotes</t>
  </si>
  <si>
    <t>4.2.6.01.0010</t>
  </si>
  <si>
    <t>4.2.6.01.0011</t>
  </si>
  <si>
    <t>4.2.6.01.0012</t>
  </si>
  <si>
    <t>4.2.6.01.0014</t>
  </si>
  <si>
    <t>4.2.6.01.0016</t>
  </si>
  <si>
    <t>4.2.6.01.0017</t>
  </si>
  <si>
    <t>Despesas Gerais da Administração</t>
  </si>
  <si>
    <t>4.2.6.02.0001</t>
  </si>
  <si>
    <t>4.2.6.02.0002</t>
  </si>
  <si>
    <t>4.2.6.02.0004</t>
  </si>
  <si>
    <t>Despesas de Viagens - Passagens Aéreas</t>
  </si>
  <si>
    <t>4.2.6.02.0006</t>
  </si>
  <si>
    <t>Despesas de Viagens - Outros</t>
  </si>
  <si>
    <t>4.2.6.02.0007</t>
  </si>
  <si>
    <t>Assinaturas Banco de Dados e Portais</t>
  </si>
  <si>
    <t>4.2.6.02.0009</t>
  </si>
  <si>
    <t>Despesas Legais e Judiciais</t>
  </si>
  <si>
    <t>4.2.6.02.0010</t>
  </si>
  <si>
    <t>Despesa de Viagem ao Exterior</t>
  </si>
  <si>
    <t>4.2.6.02.0014</t>
  </si>
  <si>
    <t>Honorários Comite de Auditoria</t>
  </si>
  <si>
    <t>4.2.6.02.0015</t>
  </si>
  <si>
    <t>Seguro de Responsabilidade Cívil</t>
  </si>
  <si>
    <t>4.2.7.01</t>
  </si>
  <si>
    <t>4.2.7.01.0001</t>
  </si>
  <si>
    <t>Juros Pagos ou Incorridos</t>
  </si>
  <si>
    <t>4.2.7.01.0020</t>
  </si>
  <si>
    <t>Prov. Contingências Variações Monetárias</t>
  </si>
  <si>
    <t>Resultado do Período</t>
  </si>
  <si>
    <t>5.1</t>
  </si>
  <si>
    <t>5.1.1</t>
  </si>
  <si>
    <t>Lucro do Período</t>
  </si>
  <si>
    <t>5.1.1.01</t>
  </si>
  <si>
    <t>Janeiro</t>
  </si>
  <si>
    <t>5.1.1.02</t>
  </si>
  <si>
    <t>Fevereiro</t>
  </si>
  <si>
    <t>5.1.1.04</t>
  </si>
  <si>
    <t>Abril</t>
  </si>
  <si>
    <t>5.1.1.06</t>
  </si>
  <si>
    <t>Junho</t>
  </si>
  <si>
    <t>5.1.2</t>
  </si>
  <si>
    <t>Prejuízo do Período</t>
  </si>
  <si>
    <t>5.1.2.03</t>
  </si>
  <si>
    <t>Março</t>
  </si>
  <si>
    <t>5.1.2.05</t>
  </si>
  <si>
    <t>Maio</t>
  </si>
  <si>
    <t>5.1.2.07</t>
  </si>
  <si>
    <t>Julho</t>
  </si>
  <si>
    <t>5.1.2.08</t>
  </si>
  <si>
    <t>Agosto</t>
  </si>
  <si>
    <t>BP</t>
  </si>
  <si>
    <t xml:space="preserve">Impostos a Recuperar </t>
  </si>
  <si>
    <t xml:space="preserve">Arrendamento </t>
  </si>
  <si>
    <t>DRE</t>
  </si>
  <si>
    <t>30/06/2023 reapresentado</t>
  </si>
  <si>
    <t xml:space="preserve">                         - </t>
  </si>
  <si>
    <t>Provisão para contingências</t>
  </si>
  <si>
    <r>
      <t>Reversão de Provisões para Contingências</t>
    </r>
    <r>
      <rPr>
        <sz val="8"/>
        <color theme="1"/>
        <rFont val="Times New Roman"/>
        <family val="1"/>
      </rPr>
      <t> </t>
    </r>
  </si>
  <si>
    <t xml:space="preserve">                         -</t>
  </si>
  <si>
    <r>
      <t>Outras receitas</t>
    </r>
    <r>
      <rPr>
        <sz val="8"/>
        <color theme="1"/>
        <rFont val="Times New Roman"/>
        <family val="1"/>
      </rPr>
      <t>   </t>
    </r>
  </si>
  <si>
    <t>LUCRO LÍQUIDO DO EXERCÍCIO</t>
  </si>
  <si>
    <r>
      <t> </t>
    </r>
    <r>
      <rPr>
        <sz val="12"/>
        <color theme="1"/>
        <rFont val="Times New Roman"/>
        <family val="1"/>
      </rPr>
      <t>Não daria mais sentido alocar a reversão junto com a conta que originou a despesa?</t>
    </r>
  </si>
  <si>
    <r>
      <t> </t>
    </r>
    <r>
      <rPr>
        <sz val="12"/>
        <color theme="1"/>
        <rFont val="Times New Roman"/>
        <family val="1"/>
      </rPr>
      <t>Informamos a reversão de provisões para realizar o cruzamento com a nota explicativa de provisões para contingências, dessa forma decidimos manter.</t>
    </r>
  </si>
  <si>
    <r>
      <t> </t>
    </r>
    <r>
      <rPr>
        <sz val="12"/>
        <color theme="1"/>
        <rFont val="Times New Roman"/>
        <family val="1"/>
      </rPr>
      <t>Ok Natan, mas reiteremos que não é o procedimento correto a seguir.</t>
    </r>
  </si>
  <si>
    <t>Independente de constituição ou reversão, a conta contábil seria a mesma.</t>
  </si>
  <si>
    <r>
      <t> </t>
    </r>
    <r>
      <rPr>
        <sz val="12"/>
        <color theme="1"/>
        <rFont val="Times New Roman"/>
        <family val="1"/>
      </rPr>
      <t>Isso também é importante olhando sob a perspectiva fiscal, e que não se enquadre como um ganho.</t>
    </r>
  </si>
  <si>
    <t>DRA</t>
  </si>
  <si>
    <t xml:space="preserve">                    - </t>
  </si>
  <si>
    <t xml:space="preserve">                       - </t>
  </si>
  <si>
    <t>DMPL</t>
  </si>
  <si>
    <t>Lucros (prejuízos) acumulados</t>
  </si>
  <si>
    <r>
      <t xml:space="preserve">Saldos em 31/12/2022 </t>
    </r>
    <r>
      <rPr>
        <sz val="7"/>
        <color rgb="FF000000"/>
        <rFont val="Arial"/>
        <family val="2"/>
      </rPr>
      <t>(reapresentado)</t>
    </r>
  </si>
  <si>
    <t xml:space="preserve">-                        </t>
  </si>
  <si>
    <t xml:space="preserve">                             -</t>
  </si>
  <si>
    <t>Lucro do período</t>
  </si>
  <si>
    <t xml:space="preserve">                              - </t>
  </si>
  <si>
    <r>
      <t xml:space="preserve">Saldos em 30/06/2023 </t>
    </r>
    <r>
      <rPr>
        <sz val="8"/>
        <color rgb="FF000000"/>
        <rFont val="Arial"/>
        <family val="2"/>
      </rPr>
      <t>(reapresentado)</t>
    </r>
  </si>
  <si>
    <t>Saldos em 31/12/2023</t>
  </si>
  <si>
    <t xml:space="preserve">-                     </t>
  </si>
  <si>
    <t xml:space="preserve">-                           </t>
  </si>
  <si>
    <t xml:space="preserve">    -</t>
  </si>
  <si>
    <t>Saldos em 30/06/2024</t>
  </si>
  <si>
    <t>Lucro líquido do período</t>
  </si>
  <si>
    <t>Atualização monetária tributos a compensar/Depósitos Judiciais</t>
  </si>
  <si>
    <t>Imposto de renda e contribuição social pagos</t>
  </si>
  <si>
    <t>Caixa líquido consumido pelas atividades operacionais</t>
  </si>
  <si>
    <t>Variação caixa e equivalentes de caixa</t>
  </si>
  <si>
    <t>Variação caixa e equivalentes de caixa no final do período</t>
  </si>
  <si>
    <t>DVA</t>
  </si>
  <si>
    <t xml:space="preserve"> Receitas </t>
  </si>
  <si>
    <t xml:space="preserve"> Subsídios Públicos </t>
  </si>
  <si>
    <t xml:space="preserve"> Outras Receitas </t>
  </si>
  <si>
    <t xml:space="preserve"> Insumos </t>
  </si>
  <si>
    <t xml:space="preserve"> Materiais, utilidades, serviços de terceiros e outros </t>
  </si>
  <si>
    <t xml:space="preserve"> Valor Adicionado Bruto </t>
  </si>
  <si>
    <t xml:space="preserve"> Depreciação e Amortização </t>
  </si>
  <si>
    <t xml:space="preserve"> Valor Adicionado Líquido produzido </t>
  </si>
  <si>
    <t xml:space="preserve"> Valor Adicionado recebido em transferência </t>
  </si>
  <si>
    <t xml:space="preserve">    Receitas Financeiras</t>
  </si>
  <si>
    <r>
      <t xml:space="preserve"> Reversão de Custos e Despesas </t>
    </r>
    <r>
      <rPr>
        <sz val="8"/>
        <color theme="1"/>
        <rFont val="Times New Roman"/>
        <family val="1"/>
      </rPr>
      <t>  </t>
    </r>
  </si>
  <si>
    <t xml:space="preserve"> Valor Adicionado Total a Distribuir </t>
  </si>
  <si>
    <t xml:space="preserve"> Distribuição do valor adicionado </t>
  </si>
  <si>
    <t xml:space="preserve"> Pessoal </t>
  </si>
  <si>
    <t xml:space="preserve"> Remuneração Direta </t>
  </si>
  <si>
    <t xml:space="preserve"> Benefícios </t>
  </si>
  <si>
    <t xml:space="preserve"> FGTS </t>
  </si>
  <si>
    <t xml:space="preserve"> Governos (Impostos, taxas e contribuições) </t>
  </si>
  <si>
    <t xml:space="preserve"> Federais (inclui a contribuição previdenciária e sindical) </t>
  </si>
  <si>
    <t xml:space="preserve"> Estaduais (inclui IPVA) </t>
  </si>
  <si>
    <t xml:space="preserve"> Municipais  </t>
  </si>
  <si>
    <t xml:space="preserve"> Contingências fiscais</t>
  </si>
  <si>
    <t xml:space="preserve"> Remuneração do capital de terceiros </t>
  </si>
  <si>
    <t xml:space="preserve"> Juros, multas e atualizações monetárias </t>
  </si>
  <si>
    <t xml:space="preserve"> Alugueis </t>
  </si>
  <si>
    <t xml:space="preserve"> Remuneração dos capitais próprios </t>
  </si>
  <si>
    <t xml:space="preserve"> Lucro líquido do período</t>
  </si>
  <si>
    <t xml:space="preserve"> Valor Adicionado Total Distribuído </t>
  </si>
  <si>
    <r>
      <t> </t>
    </r>
    <r>
      <rPr>
        <sz val="12"/>
        <color theme="1"/>
        <rFont val="Times New Roman"/>
        <family val="1"/>
      </rPr>
      <t>Assim como na DRE, recomendo alocar essa reversão nas contas de origens</t>
    </r>
  </si>
  <si>
    <t>Caixa e equivalentes de caixa</t>
  </si>
  <si>
    <t>,</t>
  </si>
  <si>
    <t>5. CAIXA E EQUIVALENTES DE CAIXA</t>
  </si>
  <si>
    <t xml:space="preserve"> 30/06/2024</t>
  </si>
  <si>
    <t>6. TRIBUTOS A RECUPERAR</t>
  </si>
  <si>
    <t>IR a Compensar – pagamento a maior</t>
  </si>
  <si>
    <t>CSLL a Compensar – pagamento a maior</t>
  </si>
  <si>
    <t>COFINS a recuperar</t>
  </si>
  <si>
    <t>CSLL Estimativa  2021</t>
  </si>
  <si>
    <t>7. ADIANTAMENTOS CONCEDIDOS</t>
  </si>
  <si>
    <r>
      <t>8.</t>
    </r>
    <r>
      <rPr>
        <b/>
        <sz val="7"/>
        <color rgb="FFFF0000"/>
        <rFont val="Times New Roman"/>
        <family val="1"/>
      </rPr>
      <t xml:space="preserve">      </t>
    </r>
    <r>
      <rPr>
        <b/>
        <sz val="10"/>
        <color rgb="FFFF0000"/>
        <rFont val="Arial"/>
        <family val="2"/>
      </rPr>
      <t>DESPESAS ANTECIPADAS</t>
    </r>
  </si>
  <si>
    <t>Manutenção de software¹</t>
  </si>
  <si>
    <t xml:space="preserve">9. DEPÓSITOS JUDICIAIS </t>
  </si>
  <si>
    <t>10. IMOBILIZADO</t>
  </si>
  <si>
    <t>30.06.2024</t>
  </si>
  <si>
    <t>31.12.2023</t>
  </si>
  <si>
    <t>Baixa de Depreciação</t>
  </si>
  <si>
    <r>
      <t>11.</t>
    </r>
    <r>
      <rPr>
        <b/>
        <sz val="7"/>
        <color rgb="FFFF0000"/>
        <rFont val="Times New Roman"/>
        <family val="1"/>
      </rPr>
      <t xml:space="preserve">      </t>
    </r>
    <r>
      <rPr>
        <b/>
        <sz val="10"/>
        <color rgb="FFFF0000"/>
        <rFont val="Arial"/>
        <family val="2"/>
      </rPr>
      <t>DIREITO DE USO E PASSIVO DE ARRENDAMENTO</t>
    </r>
  </si>
  <si>
    <t>MOVIMENTAÇÃO DO ATIVO</t>
  </si>
  <si>
    <t xml:space="preserve"> 31.12.2023 </t>
  </si>
  <si>
    <t xml:space="preserve"> 30.06.2024 </t>
  </si>
  <si>
    <t xml:space="preserve">do Trimestre </t>
  </si>
  <si>
    <t>B) MOVIMENTAÇÃO DO PASSIVO</t>
  </si>
  <si>
    <t>Saldo em 31 de dezembro de 2022</t>
  </si>
  <si>
    <t>Saldo em 30 de junho de 2023</t>
  </si>
  <si>
    <t>Saldo em 31 de dezembro de 2023</t>
  </si>
  <si>
    <t>Saldo em 30 de junho de 2024</t>
  </si>
  <si>
    <t>12. ATIVOS INTANGÍVEIS</t>
  </si>
  <si>
    <t xml:space="preserve">        Custo</t>
  </si>
  <si>
    <t xml:space="preserve">     30.06.2024</t>
  </si>
  <si>
    <t xml:space="preserve">        Corrigido</t>
  </si>
  <si>
    <t xml:space="preserve">         Líquido</t>
  </si>
  <si>
    <t>Baixa de Amortização</t>
  </si>
  <si>
    <t>30.06.2024 Líquido</t>
  </si>
  <si>
    <r>
      <t>13.</t>
    </r>
    <r>
      <rPr>
        <b/>
        <sz val="7"/>
        <color rgb="FFFF0000"/>
        <rFont val="Times New Roman"/>
        <family val="1"/>
      </rPr>
      <t xml:space="preserve"> </t>
    </r>
    <r>
      <rPr>
        <b/>
        <sz val="10"/>
        <color rgb="FFFF0000"/>
        <rFont val="Arial"/>
        <family val="2"/>
      </rPr>
      <t>FORNECEDORES NACIONAIS</t>
    </r>
  </si>
  <si>
    <t>Previ -  Caixa de Previdência dos Funcionários</t>
  </si>
  <si>
    <t xml:space="preserve">Centro De Pesq De Energia Eletrica Cepel </t>
  </si>
  <si>
    <t>Futura Agência de viagens e Turismo Ltda.</t>
  </si>
  <si>
    <t>Sodexo Pass do Brasil serviços e comércios S.A.</t>
  </si>
  <si>
    <t xml:space="preserve">MGS Clean Soluções e Serviços </t>
  </si>
  <si>
    <t>Viena Empreendimentos Ltda.</t>
  </si>
  <si>
    <t>Exacttus Consultoria Atuarial Ltda</t>
  </si>
  <si>
    <t>Light serviços de eletricidade S.A.</t>
  </si>
  <si>
    <t>Microsoft Informática Ltda.</t>
  </si>
  <si>
    <t>Gestao Quantum Centro De Processamento Contabil</t>
  </si>
  <si>
    <t>Universidade Patativa do Assaré</t>
  </si>
  <si>
    <t>Ideias Turismo Eireli</t>
  </si>
  <si>
    <r>
      <t>14.</t>
    </r>
    <r>
      <rPr>
        <b/>
        <sz val="7"/>
        <color rgb="FFFF0000"/>
        <rFont val="Times New Roman"/>
        <family val="1"/>
      </rPr>
      <t xml:space="preserve">      </t>
    </r>
    <r>
      <rPr>
        <b/>
        <sz val="10"/>
        <color rgb="FFFF0000"/>
        <rFont val="Arial"/>
        <family val="2"/>
      </rPr>
      <t>OBRIGAÇÕES TRIBUTÁRIAS</t>
    </r>
  </si>
  <si>
    <t>15. OBRIGAÇÕES SOCIAIS E TRABALHISTAS</t>
  </si>
  <si>
    <t>Provisões de 13° salário e encargos</t>
  </si>
  <si>
    <t>16. PROVISÕES PARA CONTINGÊNCIAS</t>
  </si>
  <si>
    <t>Cível</t>
  </si>
  <si>
    <r>
      <t>A)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Arial"/>
        <family val="2"/>
      </rPr>
      <t>AÇÕES COM RISCO DE PERDA POSSÍVEL</t>
    </r>
  </si>
  <si>
    <t>Ambiental</t>
  </si>
  <si>
    <t>Tributárias¹</t>
  </si>
  <si>
    <r>
      <t>17.</t>
    </r>
    <r>
      <rPr>
        <b/>
        <sz val="7"/>
        <color rgb="FFFF0000"/>
        <rFont val="Times New Roman"/>
        <family val="1"/>
      </rPr>
      <t xml:space="preserve"> </t>
    </r>
    <r>
      <rPr>
        <b/>
        <sz val="10"/>
        <color rgb="FFFF0000"/>
        <rFont val="Arial"/>
        <family val="2"/>
      </rPr>
      <t>PREVIDÊNCIA PRIVADA COMPLEMENTAR</t>
    </r>
  </si>
  <si>
    <t xml:space="preserve">  30/06/2024</t>
  </si>
  <si>
    <t xml:space="preserve">     31/12/2023</t>
  </si>
  <si>
    <r>
      <t>19.</t>
    </r>
    <r>
      <rPr>
        <b/>
        <sz val="7"/>
        <color rgb="FFFF0000"/>
        <rFont val="Times New Roman"/>
        <family val="1"/>
      </rPr>
      <t xml:space="preserve"> </t>
    </r>
    <r>
      <rPr>
        <b/>
        <sz val="10"/>
        <color rgb="FFFF0000"/>
        <rFont val="Arial"/>
        <family val="2"/>
      </rPr>
      <t>ADIANTAMENTO PARA FUTURO AUMENTO DE CAPITAL - AFAC</t>
    </r>
  </si>
  <si>
    <t>2024PF000017</t>
  </si>
  <si>
    <t>2024PF000293</t>
  </si>
  <si>
    <t>2024PF000041</t>
  </si>
  <si>
    <t>2024PF000505</t>
  </si>
  <si>
    <r>
      <t>20.</t>
    </r>
    <r>
      <rPr>
        <b/>
        <sz val="7"/>
        <color rgb="FFFF0000"/>
        <rFont val="Times New Roman"/>
        <family val="1"/>
      </rPr>
      <t xml:space="preserve"> </t>
    </r>
    <r>
      <rPr>
        <b/>
        <sz val="10"/>
        <color rgb="FFFF0000"/>
        <rFont val="Arial"/>
        <family val="2"/>
      </rPr>
      <t>LUCROS ACUMULADOS</t>
    </r>
  </si>
  <si>
    <t>(-) Prejuízos acumulados saldo em 31 de dezembro de 2023</t>
  </si>
  <si>
    <t>(-) Lucro acumulados saldo em 30 de junho de 2024</t>
  </si>
  <si>
    <t>22. CUSTOS E DESPESAS POR NATUREZA E FUNÇÃO</t>
  </si>
  <si>
    <t xml:space="preserve">30/06/2023 reapresentado </t>
  </si>
  <si>
    <t xml:space="preserve">Provisões para Contingências </t>
  </si>
  <si>
    <t>23. SUBSÍDIOS DO TESOURO NACIONAL</t>
  </si>
  <si>
    <t>A – Recursos recebidos do Tesouro Nacional</t>
  </si>
  <si>
    <t xml:space="preserve">     30/06/2023</t>
  </si>
  <si>
    <t>Reembolso de custos e despesas – Leilões ANEEL</t>
  </si>
  <si>
    <t>24. REEMBOLSO DE CUSTOS E DESPESAS – LEILÕES ANEEL</t>
  </si>
  <si>
    <t>Leilão ANEEL 02-2023 Processo 48500.000529/2023-13</t>
  </si>
  <si>
    <t>Lotes</t>
  </si>
  <si>
    <t>Mês inicial correção monetária</t>
  </si>
  <si>
    <t>Valor Original</t>
  </si>
  <si>
    <t>Mês final correção monetária</t>
  </si>
  <si>
    <t>Valor final com correção monetária</t>
  </si>
  <si>
    <t>Data de recebimento</t>
  </si>
  <si>
    <t>Correção monetária</t>
  </si>
  <si>
    <r>
      <t>25.</t>
    </r>
    <r>
      <rPr>
        <b/>
        <sz val="7"/>
        <color rgb="FFFF0000"/>
        <rFont val="Times New Roman"/>
        <family val="1"/>
      </rPr>
      <t xml:space="preserve"> </t>
    </r>
    <r>
      <rPr>
        <b/>
        <sz val="10"/>
        <color rgb="FFFF0000"/>
        <rFont val="Arial"/>
        <family val="2"/>
      </rPr>
      <t>RESULTADO FINANCEIRO LÍQUIDO</t>
    </r>
  </si>
  <si>
    <t>Rendas de Variações Monetárias¹</t>
  </si>
  <si>
    <t>Variações Monetárias¹</t>
  </si>
  <si>
    <t>Juros pagos ou incorridos</t>
  </si>
  <si>
    <t>26. APURAÇÃO IRPJ E CSLL</t>
  </si>
  <si>
    <t>Provisão de processos/Variações monetárias</t>
  </si>
  <si>
    <t>Reversão de provisão de processos trabalhistas</t>
  </si>
  <si>
    <t>Reversão de variações monetárias</t>
  </si>
  <si>
    <t>28. CONCILIAÇÃO ENTRE O BALANÇO SOCIETÁRIO E O BALANÇO SIAFI</t>
  </si>
  <si>
    <t xml:space="preserve">Outros créditos </t>
  </si>
  <si>
    <t>Razão Contábil Analítico</t>
  </si>
  <si>
    <t>01/01/2026 a 31/01/2026</t>
  </si>
  <si>
    <t>Emissão: 19/02/2026</t>
  </si>
  <si>
    <t>Conta:</t>
  </si>
  <si>
    <t>Sd. Ant.:</t>
  </si>
  <si>
    <t>Complemento</t>
  </si>
  <si>
    <t>Doc.</t>
  </si>
  <si>
    <t>C.Custo</t>
  </si>
  <si>
    <t>VALOR REFERENTE PROVISÃO DEPÓSITOS JUDICIAIS - INDICE IPCA TRIMESTRAL.</t>
  </si>
  <si>
    <t>01_2026</t>
  </si>
  <si>
    <t>02_2026</t>
  </si>
  <si>
    <t>VALOR REFERENTE PROVISÃO DEPÓSITOS JUDICIAIS - INDICE IPCA TRIMESTRAL - COMP.: 03/2026</t>
  </si>
  <si>
    <t>03_2026</t>
  </si>
  <si>
    <t>04_2026</t>
  </si>
  <si>
    <t>VALOR REFERENTE ATUALIZAÇÃO MONETÁRIA - DEPÓSITOS JUDICIAIS - INDICE IPCA-E.</t>
  </si>
  <si>
    <t>05_2026</t>
  </si>
  <si>
    <t>06_2026</t>
  </si>
  <si>
    <t>VALOR REFERENTE ATUALIZAÇÃO DE DEPÓSITOS JUDICIAIS - INDICE POUPANÇA.</t>
  </si>
  <si>
    <t>VALOR REFERENTE PAGAMENTO DE DEPOSITO RECURSAL - INTERPOSICAO DE RECURSO JUNTO AO TRIBUNAL REGIONAL DO TRABALHO DA1ª REGIAO, NO PROCESSO N.º 0101581-53.2017.5.01.0020. RECLAMANTE: SERGIO ARAUJO DE SOUZA</t>
  </si>
  <si>
    <t>2026OB000153</t>
  </si>
  <si>
    <t>VALOR REFERENTE PAGAMENTO DE DEPOSITO RECURSAL - INTERPOSICAO DE RECURSO JUNTO AO TRIBUNAL REGIONAL DO TRABALHO DA 1ª REGIAO, NO PROCESSO N.º 0100498-71.2025.5.01.0068. DEMANDANTE: LUCIANO BASTOS OLIVEIRA.</t>
  </si>
  <si>
    <t>2026OB000311</t>
  </si>
  <si>
    <t>VALOR REFERENTE PROVISÃO DEPÓSITOS JUDICIAIS - INDICE IPCA.</t>
  </si>
  <si>
    <t>VALOR REFERENTE PROVISÃO COMPLEMENTAR DEPÓSITOS JUDICIAIS - INDICE IPCA.</t>
  </si>
  <si>
    <t>12_2025</t>
  </si>
  <si>
    <t>VALOR REFERENTE PROVISÃO COMPLEM. DEPÓSITOS JUDICIAIS - INDICE IPCA.</t>
  </si>
  <si>
    <t>VALOR REFERENTE COMPLEMENTO PROVISÃO DEPÓSITOS JUDICIAIS - INDICE IPCA COMP.: 02/2026</t>
  </si>
  <si>
    <t>VALOR REFERENTE PROVISÃO DEPÓSITOS JUDICIAIS - INDICE IPCA - COMP.: 03/2026</t>
  </si>
  <si>
    <t>VALOR REFERENTE COMPLEMENTO ATUALIZAÇÃO MONETÁRIA - INDICE IPCA - COMP.: 03/2026</t>
  </si>
  <si>
    <t>VALOR REFERENTE ATUALIZAÇÃO MONETÁRIA - INDICE IPCA - COMP.: 04/2026</t>
  </si>
  <si>
    <t>VALOR REFERENTE ESTORNO ATUALIZAÇÃO MONETÁRIA DEPÓSITOS JUDICIAIS - CIVIL - COMP.: 04/2026</t>
  </si>
  <si>
    <t>VALOR REFERENTE ATUALIZAÇÃO MONETÁRIA DEPÓSITOS JUDICIAIS - CIVIL - COMP.: 05/2026</t>
  </si>
  <si>
    <t>VALOR REFERENTE ESTORNO PROVISÃO DEPÓSITOS JUDICIAIS - INDICE IPCA.</t>
  </si>
  <si>
    <t>atualização</t>
  </si>
  <si>
    <t>pagamento</t>
  </si>
  <si>
    <t>01/01/2026 a 31/03/2026</t>
  </si>
  <si>
    <t>VALOR REFERENTE TRIBUTAÇÃO A MAIOR NO VALOR DE R$ 1.084.829,84 EM 02/2026, CONFORME SOLICITAÇÃO DA EPE. REF PAGAMENTO DE ALVARÁ JUDICIAL EM FAVOR DA CBTU - ENVIADO PELO BB</t>
  </si>
  <si>
    <t>VALOR REFERENTE ATUALIZAÇÃO MONETÁRIA MÊS 03/2026 - SELIC 1,21%</t>
  </si>
  <si>
    <t>VALOR REFERENTE TRIBUTAÇÃO A MAIOR NO VALOR DE R$ 1.084.829,84 EM 02/2026, CONFORME SOLICITAÇÃO DA EPE, DEVIDO À AUSÊNCIA DE IDENTIFICAÇÃO DA ORIGEM DO RECEBIMENTO.</t>
  </si>
  <si>
    <t>1.1.2.03.0010</t>
  </si>
  <si>
    <t>INSS a Recuperar</t>
  </si>
  <si>
    <t>VALOR REFERENTE ATUALIZAÇÃO MONETÁRIA MÊS 01/2026 - SELIC 1,16%</t>
  </si>
  <si>
    <t>VALOR REFERENTE ATUALIZAÇÃO MONETÁRIA MÊS 02/2026 - SELIC 1%</t>
  </si>
  <si>
    <t>VALOR REFERENTE ATUALIZAÇÃO MONETÁRIA MÊS 04/2026 - SELIC 1,09%</t>
  </si>
  <si>
    <t>VALOR REFERENTE ATUALIZAÇÃO MONETÁRIA MÊS 05/2026 - SELIC 1,07%</t>
  </si>
  <si>
    <t>VALOR REFERENTE ATUALIZAÇÃO MONETÁRIA MÊS 06/2026 - SELIC 1,12%</t>
  </si>
  <si>
    <t>VALOR REFERENTE TRIBUTAÇÃO A MAIOR NO VALOR DE R$ 1.084.829,84 EM 02/2026, CONFORME SOLICITAÇÃO DA EPE, REF REF PAGAMENTO DE ALVARÁ JUDICIAL EM FAVOR DA CBTU - ENVIADO PELO BB</t>
  </si>
  <si>
    <t>1.1.2.03.0042</t>
  </si>
  <si>
    <t>IRPJ estimativa 2025</t>
  </si>
  <si>
    <t>VALOR REFERENTE ESTIMATIVA DE 2025</t>
  </si>
  <si>
    <t>1.1.2.03.0043</t>
  </si>
  <si>
    <t>CSLL estimativa 2025</t>
  </si>
  <si>
    <t>02_2025</t>
  </si>
  <si>
    <t>**** Sem Movimento ****</t>
  </si>
  <si>
    <t>1.2.1.03.0009</t>
  </si>
  <si>
    <t>1.2.1.03.0011</t>
  </si>
  <si>
    <t>1.2.1.03.0012</t>
  </si>
  <si>
    <t>1.2.1.03.0013</t>
  </si>
  <si>
    <t>1.2.1.03.0015</t>
  </si>
  <si>
    <t>VALOR REFERENTE COMPENSAÇÃO DE PIS - PERDCOMP N° 17938.28842.190126.1.3.02-6620</t>
  </si>
  <si>
    <t>VALOR REFERENTE COMPENSAÇÃO DE COFINS - PERDCOMP N°  28874.15296.240226.1.3.02-6947</t>
  </si>
  <si>
    <t>VALOR REFERENTE AJUSTE ATUALIZAÇÃO MONETÁRIA</t>
  </si>
  <si>
    <t>1.2.1.03.0016</t>
  </si>
  <si>
    <t>1.2.1.03.0017</t>
  </si>
  <si>
    <t>1.2.1.03.0018</t>
  </si>
  <si>
    <t>IRPJ estimativa 2023</t>
  </si>
  <si>
    <t>VALOR REFERENTE COMPENSAÇÃO DE PIS - PERDCOMP N° 07589.69270.240226.1.3.02-0058</t>
  </si>
  <si>
    <t>COMPENSAÇÃO DE COFINS - PERDCOMP N° 07589.69270.240226.1.3.02-0058</t>
  </si>
  <si>
    <t>VALOR REFERENTE COMPENSAÇÃO DE PIS CONF. PERDCOMP - Nº 12342.26124.091024.1.2.02-1078</t>
  </si>
  <si>
    <t>VALOR REFERENTE COMPENSAÇÃO DE COFINS CONF. PERDCOMP - Nº 12342.26124.091024.1.2.02-1078</t>
  </si>
  <si>
    <t>VALOR REFERENTE COMPENSAÇÃO DE IMPOSTO VIA PERDCOMP Nº 12342.26124.091024.1.2.02-1078</t>
  </si>
  <si>
    <t>VALOR REFERENTE COMPENSAÇÃO DE IMPOSTOS VIA PERDCOMP Nº 12342.26124.091024.1.2.02-1078</t>
  </si>
  <si>
    <t>VALOR REFERENTE COMPENSAÇÃO VIA PERD COMP Nº 05310.17926.250526.1.3.02-1317</t>
  </si>
  <si>
    <t>VALOR REFERENTE COMPENSAÇÃO DE IMPOSTO CONFORME PERD COMP Nº 12244.80641.230626.1.3.02-3604</t>
  </si>
  <si>
    <t>1.2.1.03.0019</t>
  </si>
  <si>
    <t>CSLL estimativa 2023</t>
  </si>
  <si>
    <t>1.2.1.03.0020</t>
  </si>
  <si>
    <t>IRPJ estimativa 2024</t>
  </si>
  <si>
    <t>VALOR REFERENTE TRANSFERENCIA PARA NÃO CIRCULANTE</t>
  </si>
  <si>
    <t>1.2.1.03.0021</t>
  </si>
  <si>
    <t>CSLL estimativa 2024</t>
  </si>
  <si>
    <t>pagamentos</t>
  </si>
  <si>
    <t>Atualização</t>
  </si>
  <si>
    <t>Coligada</t>
  </si>
  <si>
    <t>Classificação</t>
  </si>
  <si>
    <t>Código</t>
  </si>
  <si>
    <t>Tipo</t>
  </si>
  <si>
    <t>DVA Nº</t>
  </si>
  <si>
    <t>DFC Nº</t>
  </si>
  <si>
    <t>DFC (*)</t>
  </si>
  <si>
    <t>S</t>
  </si>
  <si>
    <t>1.1.1.01</t>
  </si>
  <si>
    <t>Caixa</t>
  </si>
  <si>
    <t>1.1.1.01.0001</t>
  </si>
  <si>
    <t xml:space="preserve">Fundo Fixo Matriz </t>
  </si>
  <si>
    <t>A</t>
  </si>
  <si>
    <t>1.1.1.01.0002</t>
  </si>
  <si>
    <t>Fundo Fixo Filial</t>
  </si>
  <si>
    <t>1.1.1.02.0040</t>
  </si>
  <si>
    <t>BB</t>
  </si>
  <si>
    <t>Banco do Brasil conta única União</t>
  </si>
  <si>
    <t>1.1.1.03</t>
  </si>
  <si>
    <t>Aplic. Financeiras de Liquidez Imediata</t>
  </si>
  <si>
    <t>1.1.2.01</t>
  </si>
  <si>
    <t>Clientes</t>
  </si>
  <si>
    <t>1.1.2.01.0001</t>
  </si>
  <si>
    <t>Faturamento</t>
  </si>
  <si>
    <t>1.1.2.01.0002</t>
  </si>
  <si>
    <t>Venda de Livros Técnicos</t>
  </si>
  <si>
    <t>1.1.2.01.0998</t>
  </si>
  <si>
    <t>(-) Duplicatas Descontadas</t>
  </si>
  <si>
    <t>1.1.2.01.0999</t>
  </si>
  <si>
    <t>(-) Provisão p/ Devedores Duvidosos</t>
  </si>
  <si>
    <t>1.1.2.02</t>
  </si>
  <si>
    <t>Rendas a Receber</t>
  </si>
  <si>
    <t>1.1.2.02.0001</t>
  </si>
  <si>
    <t>Encargos Financeiros</t>
  </si>
  <si>
    <t>1.1.2.02.0002</t>
  </si>
  <si>
    <t>Aplicações Financeiras</t>
  </si>
  <si>
    <t>1.1.2.03.0001</t>
  </si>
  <si>
    <t>IRPJ a Recuperar</t>
  </si>
  <si>
    <t>1.1.2.03.0002</t>
  </si>
  <si>
    <t>IRPJ s/ Adições Temporárias</t>
  </si>
  <si>
    <t>1.1.2.03.0003</t>
  </si>
  <si>
    <t>IRPJ s/ Prejuízo Fiscal</t>
  </si>
  <si>
    <t>1.1.2.03.0004</t>
  </si>
  <si>
    <t>ISS a Recuperar</t>
  </si>
  <si>
    <t>1.1.2.03.0005</t>
  </si>
  <si>
    <t>CSLL a Recuperar</t>
  </si>
  <si>
    <t>1.1.2.03.0006</t>
  </si>
  <si>
    <t>CSLL s/ Adições Temporárias</t>
  </si>
  <si>
    <t>1.1.2.03.0007</t>
  </si>
  <si>
    <t>CSLL s/ Base de Cálculo Negativa</t>
  </si>
  <si>
    <t>1.1.2.03.0008</t>
  </si>
  <si>
    <t>PASEP a Recuperar</t>
  </si>
  <si>
    <t>1.1.2.03.0011</t>
  </si>
  <si>
    <t>1.1.2.03.0012</t>
  </si>
  <si>
    <t>1.1.2.03.0013</t>
  </si>
  <si>
    <t>PASEP a Compensar</t>
  </si>
  <si>
    <t>1.1.2.03.0014</t>
  </si>
  <si>
    <t>COFINS a Compensar</t>
  </si>
  <si>
    <t>1.1.2.03.0015</t>
  </si>
  <si>
    <t>FGTS a Recuperar</t>
  </si>
  <si>
    <t>1.1.2.03.0018</t>
  </si>
  <si>
    <t>IRPJ Diferido</t>
  </si>
  <si>
    <t>1.1.2.03.0019</t>
  </si>
  <si>
    <t>CSLL Diferida</t>
  </si>
  <si>
    <t>1.1.2.03.0020</t>
  </si>
  <si>
    <t>IRPJ s/ Aplicação Financeira</t>
  </si>
  <si>
    <t>1.1.2.03.0021</t>
  </si>
  <si>
    <t>Antecipação de IRRF - 0561</t>
  </si>
  <si>
    <t>1.1.2.03.0022</t>
  </si>
  <si>
    <t>Antecipação - COSIRF</t>
  </si>
  <si>
    <t>1.1.2.03.0024</t>
  </si>
  <si>
    <t>IOF a Restituir</t>
  </si>
  <si>
    <t>1.1.2.03.0026</t>
  </si>
  <si>
    <t>CIDE  a Restituir</t>
  </si>
  <si>
    <t>1.1.2.03.0028</t>
  </si>
  <si>
    <t>COFINS  a Restituir</t>
  </si>
  <si>
    <t>1.1.2.03.0029</t>
  </si>
  <si>
    <t>1.1.2.03.0030</t>
  </si>
  <si>
    <t>CSLL a Restituir</t>
  </si>
  <si>
    <t>1.1.2.03.0031</t>
  </si>
  <si>
    <t>CIDE a compensar</t>
  </si>
  <si>
    <t>1.1.2.03.0035</t>
  </si>
  <si>
    <t>1.1.2.03.0038</t>
  </si>
  <si>
    <t>1.1.2.03.0039</t>
  </si>
  <si>
    <t>1.1.2.03.0999</t>
  </si>
  <si>
    <t>Outras Retenções de Tributos</t>
  </si>
  <si>
    <t>1.1.2.04.0003</t>
  </si>
  <si>
    <t>Adiantamento de Viagem</t>
  </si>
  <si>
    <t>1.1.2.04.0004</t>
  </si>
  <si>
    <t>Adiantamento de Salário</t>
  </si>
  <si>
    <t>1.1.2.04.0005</t>
  </si>
  <si>
    <t>Adiant. p/Atender Compromissos da EPE</t>
  </si>
  <si>
    <t>1.1.2.04.0006</t>
  </si>
  <si>
    <t>Adiantamento de Viagem ao Exterior</t>
  </si>
  <si>
    <t>1.1.2.04.0999</t>
  </si>
  <si>
    <t>Adiantamentos p/ Outros Gastos</t>
  </si>
  <si>
    <t>1.1.2.05.0001</t>
  </si>
  <si>
    <t>Adiantamentos a Fornecedores</t>
  </si>
  <si>
    <t>1.1.2.05.0002</t>
  </si>
  <si>
    <t>Adiantamento p/ Seminários</t>
  </si>
  <si>
    <t>1.1.2.05.0003</t>
  </si>
  <si>
    <t>Outros Adiantamentos</t>
  </si>
  <si>
    <t>1.1.2.06</t>
  </si>
  <si>
    <t>1.1.2.06.0001</t>
  </si>
  <si>
    <t>1.1.2.06.0002</t>
  </si>
  <si>
    <t>(-) Ações - Provisão p/ Redução ao Valor</t>
  </si>
  <si>
    <t>1.1.2.07</t>
  </si>
  <si>
    <t>Estoques</t>
  </si>
  <si>
    <t>1.1.2.07.0001</t>
  </si>
  <si>
    <t>Material de Escritório</t>
  </si>
  <si>
    <t>1.1.2.07.0002</t>
  </si>
  <si>
    <t>Estoque de Livros</t>
  </si>
  <si>
    <t>1.1.2.07.0003</t>
  </si>
  <si>
    <t>Estoque de Livros - em consignação</t>
  </si>
  <si>
    <t>1.1.2.08</t>
  </si>
  <si>
    <t>Depositos judiciais</t>
  </si>
  <si>
    <t>1.1.2.08.0001</t>
  </si>
  <si>
    <t>1.1.2.08.0002</t>
  </si>
  <si>
    <t>1.1.2.08.0003</t>
  </si>
  <si>
    <t>1.1.2.08.0004</t>
  </si>
  <si>
    <t>Depósitos Judiciais –Tributários</t>
  </si>
  <si>
    <t>1.1.2.99.0001</t>
  </si>
  <si>
    <t>Cauções e Depósitos Vinculados</t>
  </si>
  <si>
    <t>1.1.2.99.0002</t>
  </si>
  <si>
    <t>Glosas Petrobras</t>
  </si>
  <si>
    <t>1.1.2.99.0003</t>
  </si>
  <si>
    <t>Glosas Furnas</t>
  </si>
  <si>
    <t>1.1.2.99.0004</t>
  </si>
  <si>
    <t>Glosas Cepel</t>
  </si>
  <si>
    <t>1.1.3.01.0004</t>
  </si>
  <si>
    <t>Aluguéis e Arrendamentos</t>
  </si>
  <si>
    <t>1.1.3.01.0999</t>
  </si>
  <si>
    <t>Outras Despesas Antecipadas</t>
  </si>
  <si>
    <t>1.1.4</t>
  </si>
  <si>
    <t>Ativos Circulantes Mantidos p/ Venda</t>
  </si>
  <si>
    <t>1.1.4.01</t>
  </si>
  <si>
    <t>1.2.1.01</t>
  </si>
  <si>
    <t>1.2.1.01.0001</t>
  </si>
  <si>
    <t>1.2.1.01.0998</t>
  </si>
  <si>
    <t>1.2.1.01.0999</t>
  </si>
  <si>
    <t>1.2.1.02</t>
  </si>
  <si>
    <t>1.2.1.02.0001</t>
  </si>
  <si>
    <t>1.2.1.02.0002</t>
  </si>
  <si>
    <t>1.2.1.02.0003</t>
  </si>
  <si>
    <t>Multas Aplicadas a Fornecedores</t>
  </si>
  <si>
    <t>1.2.1.03.0002</t>
  </si>
  <si>
    <t>1.2.1.03.0003</t>
  </si>
  <si>
    <t>1.2.1.03.0006</t>
  </si>
  <si>
    <t>1.2.1.03.0007</t>
  </si>
  <si>
    <t>1.2.1.03.0008</t>
  </si>
  <si>
    <t>1.2.1.03.0010</t>
  </si>
  <si>
    <t>IRPJ s/ Base de Cálculo Negativa</t>
  </si>
  <si>
    <t>1.2.1.03.0999</t>
  </si>
  <si>
    <t>1.2.1.04</t>
  </si>
  <si>
    <t>1.2.1.04.0001</t>
  </si>
  <si>
    <t>1.2.1.05</t>
  </si>
  <si>
    <t>Créditos a Diretores</t>
  </si>
  <si>
    <t>1.2.1.05.0001</t>
  </si>
  <si>
    <t>Adiantamento a Diretores</t>
  </si>
  <si>
    <t>1.2.1.06</t>
  </si>
  <si>
    <t>1.2.1.06.0001</t>
  </si>
  <si>
    <t>Prêmios de Seguros Pagos Antecipadamente</t>
  </si>
  <si>
    <t>1.2.1.06.0002</t>
  </si>
  <si>
    <t>Assinatura de Jornais e Revistas</t>
  </si>
  <si>
    <t>1.2.1.06.0003</t>
  </si>
  <si>
    <t>1.2.1.06.0004</t>
  </si>
  <si>
    <t>1.2.1.06.0005</t>
  </si>
  <si>
    <t>1.2.1.06.0099</t>
  </si>
  <si>
    <t>1.2.1.07.0002</t>
  </si>
  <si>
    <t>1.2.1.99</t>
  </si>
  <si>
    <t>1.2.1.99.0001</t>
  </si>
  <si>
    <t>1.2.1.99.0999</t>
  </si>
  <si>
    <t>1.2.2</t>
  </si>
  <si>
    <t>Investimentos</t>
  </si>
  <si>
    <t>1.2.2.01</t>
  </si>
  <si>
    <t>Particip. Permanentes em Outras Empresas</t>
  </si>
  <si>
    <t>1.2.2.01.0001</t>
  </si>
  <si>
    <t>Investimento em Empresas Coligadas</t>
  </si>
  <si>
    <t>1.2.2.01.0002</t>
  </si>
  <si>
    <t>Investimento em Empresas Controladas</t>
  </si>
  <si>
    <t>1.2.2.02</t>
  </si>
  <si>
    <t>Outros Investimentos Permanentes</t>
  </si>
  <si>
    <t>1.2.2.02.0001</t>
  </si>
  <si>
    <t>Obras de Arte</t>
  </si>
  <si>
    <t>1.2.2.02.0002</t>
  </si>
  <si>
    <t>Terrenos</t>
  </si>
  <si>
    <t>1.2.3.01.0001</t>
  </si>
  <si>
    <t>1.2.3.01.0002</t>
  </si>
  <si>
    <t>Imóveis</t>
  </si>
  <si>
    <t>1.2.3.01.0008</t>
  </si>
  <si>
    <t>Veículos</t>
  </si>
  <si>
    <t>1.2.3.01.0009</t>
  </si>
  <si>
    <t>Ferramentas</t>
  </si>
  <si>
    <t>1.2.3.01.0011</t>
  </si>
  <si>
    <t>Benfeitorias em Imóveis de Terceiros</t>
  </si>
  <si>
    <t>1.2.3.01.0012</t>
  </si>
  <si>
    <t>Benfeitorias em andamentos em Imóveis de</t>
  </si>
  <si>
    <t>1.2.3.02</t>
  </si>
  <si>
    <t>1.2.3.97</t>
  </si>
  <si>
    <t>(-) Redução ao Valor Recuperável Imobil.</t>
  </si>
  <si>
    <t>1.2.3.97.0001</t>
  </si>
  <si>
    <t>1.2.3.98.0001</t>
  </si>
  <si>
    <t>(-) Imóveis</t>
  </si>
  <si>
    <t>1.2.3.98.0005</t>
  </si>
  <si>
    <t>(-) Software</t>
  </si>
  <si>
    <t>1.2.3.98.0007</t>
  </si>
  <si>
    <t>(-) Veículos</t>
  </si>
  <si>
    <t>1.2.3.98.0008</t>
  </si>
  <si>
    <t>(-) Ferramentas</t>
  </si>
  <si>
    <t>1.2.3.98.0010</t>
  </si>
  <si>
    <t>(-) Benfeitorias em Imóveis de Terceiros</t>
  </si>
  <si>
    <t>1.2.3.99</t>
  </si>
  <si>
    <t>Estoques em comodato</t>
  </si>
  <si>
    <t>1.2.4.01.0002</t>
  </si>
  <si>
    <t>Marcas e Patentes</t>
  </si>
  <si>
    <t>1.2.4.97</t>
  </si>
  <si>
    <t>(-) Redução ao Valor Recuperável Intang.</t>
  </si>
  <si>
    <t>1.2.4.97.0001</t>
  </si>
  <si>
    <t>1.2.4.98.0002</t>
  </si>
  <si>
    <t>(-) Marcas e Patentes</t>
  </si>
  <si>
    <t>1.2.4.99</t>
  </si>
  <si>
    <t>1.2.4.99.0001</t>
  </si>
  <si>
    <t>Arrendamento Imóvel - Ed. M. dos Reis - Praça Pio X</t>
  </si>
  <si>
    <t>Arrendamento mercantil, adoção CPC 06 (direito de uso)</t>
  </si>
  <si>
    <t>1.2.4.99.0002</t>
  </si>
  <si>
    <t>(-) Amortiz. Arrendamento Imóvel - Ed. M. dos Reis - Praça Pio X</t>
  </si>
  <si>
    <t>1.2.5.01</t>
  </si>
  <si>
    <t>1.2.5.01.0001</t>
  </si>
  <si>
    <t>1.2.5.01.0002</t>
  </si>
  <si>
    <t>2.1.1.01</t>
  </si>
  <si>
    <t>Empréstimos e Financiamentos - Em Moeda</t>
  </si>
  <si>
    <t>2.1.1.01.0001</t>
  </si>
  <si>
    <t>Banco do Brasil - Empréstimos</t>
  </si>
  <si>
    <t>Outras obrigações</t>
  </si>
  <si>
    <t>2.1.1.01.0002</t>
  </si>
  <si>
    <t>Banco do Brasil - Financ.de Bens e Serv.</t>
  </si>
  <si>
    <t>2.1.1.02</t>
  </si>
  <si>
    <t>2.1.1.03</t>
  </si>
  <si>
    <t>Debêntures</t>
  </si>
  <si>
    <t>2.1.1.03.0001</t>
  </si>
  <si>
    <t>Conversíveis em Ações</t>
  </si>
  <si>
    <t>2.1.1.03.0002</t>
  </si>
  <si>
    <t>Não Conversíveis em Ações</t>
  </si>
  <si>
    <t>2.1.1.04.0002</t>
  </si>
  <si>
    <t>BRASOFTWARE INFORMATICA</t>
  </si>
  <si>
    <t>2.1.1.04.0004</t>
  </si>
  <si>
    <t>75609123/0001-23</t>
  </si>
  <si>
    <t>OURO VERDE TRANSPORTES E LOCAÇÃO</t>
  </si>
  <si>
    <t>2.1.1.04.0005</t>
  </si>
  <si>
    <t>02877566/0001-21</t>
  </si>
  <si>
    <t>IBROWSE CONSULTORIA &amp; INFORMATICA</t>
  </si>
  <si>
    <t>2.1.1.04.0006</t>
  </si>
  <si>
    <t>42429480/0001-50</t>
  </si>
  <si>
    <t>FUNDAÇAO UNIVERSITARIA JOSE BONIFACIO</t>
  </si>
  <si>
    <t>2.1.1.04.0007</t>
  </si>
  <si>
    <t>UHY MOREIRA - AUDITORES</t>
  </si>
  <si>
    <t>2.1.1.04.0008</t>
  </si>
  <si>
    <t>00366080/0001-01</t>
  </si>
  <si>
    <t>THEMAG ENGENHARIA E GERENCIAMENTO</t>
  </si>
  <si>
    <t>2.1.1.04.0009</t>
  </si>
  <si>
    <t>33162512/0001-03</t>
  </si>
  <si>
    <t>GUANABARA PALACE HOTEL LTDA</t>
  </si>
  <si>
    <t>2.1.1.04.0010</t>
  </si>
  <si>
    <t>72060999/0001-75</t>
  </si>
  <si>
    <t>FUNDACAO COPPETEC - MATRIZ</t>
  </si>
  <si>
    <t>2.1.1.04.0012</t>
  </si>
  <si>
    <t>67987883/0001-44</t>
  </si>
  <si>
    <t>HYDROS ENGENHARIA LTDA</t>
  </si>
  <si>
    <t>2.1.1.04.0013</t>
  </si>
  <si>
    <t>02760660/0002-87</t>
  </si>
  <si>
    <t>LINK TV CLIPPING ELETRONICO LTDA</t>
  </si>
  <si>
    <t>2.1.1.04.0014</t>
  </si>
  <si>
    <t>33146648/0001-20</t>
  </si>
  <si>
    <t>CONCREMAT ENGENHARIA E TECNOLOGIA S.A</t>
  </si>
  <si>
    <t>2.1.1.04.0015</t>
  </si>
  <si>
    <t>00869125/0001-52</t>
  </si>
  <si>
    <t>CALMA INFORMATICA LTDA</t>
  </si>
  <si>
    <t>2.1.1.04.0016</t>
  </si>
  <si>
    <t>01799993/0001-76</t>
  </si>
  <si>
    <t>CMD MEDICAL CENTER S/C LTDA</t>
  </si>
  <si>
    <t>2.1.1.04.0017</t>
  </si>
  <si>
    <t>02449992/0181-01</t>
  </si>
  <si>
    <t>VIVO S.A</t>
  </si>
  <si>
    <t>2.1.1.04.0018</t>
  </si>
  <si>
    <t>01012559/0001-02</t>
  </si>
  <si>
    <t>JATO AEROTAXI LTDA</t>
  </si>
  <si>
    <t>2.1.1.04.0019</t>
  </si>
  <si>
    <t>08401303/0001-28</t>
  </si>
  <si>
    <t>COMERCIAL DE REFRIGERACAO ICE FRIO LTDA</t>
  </si>
  <si>
    <t>2.1.1.04.0020</t>
  </si>
  <si>
    <t>09168704/0001-42</t>
  </si>
  <si>
    <t>EMPRESA BRASILEIRA DE COMUNICACAO - EBC</t>
  </si>
  <si>
    <t>2.1.1.04.0021</t>
  </si>
  <si>
    <t>02986452/0001-10</t>
  </si>
  <si>
    <t>EMIDA INSTALACOES LTDA</t>
  </si>
  <si>
    <t>2.1.1.04.0022</t>
  </si>
  <si>
    <t>07615598/0001-72</t>
  </si>
  <si>
    <t>BRANDAO DO ITANHANGA SERV. GRAFICOS</t>
  </si>
  <si>
    <t>2.1.1.04.0023</t>
  </si>
  <si>
    <t>72109291/0001-61</t>
  </si>
  <si>
    <t>FACILITY CENTRAL DE SERV. LTDA</t>
  </si>
  <si>
    <t>2.1.1.04.0024</t>
  </si>
  <si>
    <t>32985244/0001-67</t>
  </si>
  <si>
    <t>VIADOTTO E MOLINA LTDA</t>
  </si>
  <si>
    <t>2.1.1.04.0025</t>
  </si>
  <si>
    <t>01245055/0001-24</t>
  </si>
  <si>
    <t>HENRY EQUIPAMENTOS ELETRONICOS E SISTEMA</t>
  </si>
  <si>
    <t>2.1.1.04.0026</t>
  </si>
  <si>
    <t>08689801/0001-18</t>
  </si>
  <si>
    <t>ALERTE - AUTOMATIZACAO DE LEITURA REC.</t>
  </si>
  <si>
    <t>2.1.1.04.0027</t>
  </si>
  <si>
    <t>07228550/0001-01</t>
  </si>
  <si>
    <t>MUNDIVOX TELECOMUNICACOES LTDA</t>
  </si>
  <si>
    <t>2.1.1.04.0028</t>
  </si>
  <si>
    <t>00119796/0001-04</t>
  </si>
  <si>
    <t>A2 EMPREENDIMENTOS LTDA</t>
  </si>
  <si>
    <t>2.1.1.04.0029</t>
  </si>
  <si>
    <t>68665355/0001-33</t>
  </si>
  <si>
    <t>RL SISTEC SERV. E SISTEMAS ELETRONICOS</t>
  </si>
  <si>
    <t>2.1.1.04.0030</t>
  </si>
  <si>
    <t>35795210/0001-06</t>
  </si>
  <si>
    <t>AGRAR CONSULTORIA E ESTUDOS TECNICOS</t>
  </si>
  <si>
    <t>2.1.1.04.0032</t>
  </si>
  <si>
    <t>30280440/0001-00</t>
  </si>
  <si>
    <t>TECNOMOVEL INDUSTRIA COMERCIO E SERVICOS</t>
  </si>
  <si>
    <t>2.1.1.04.0033</t>
  </si>
  <si>
    <t>10697727/0001-12</t>
  </si>
  <si>
    <t>BAZAR SHOPPING SOLUCOES LTDA</t>
  </si>
  <si>
    <t>2.1.1.04.0034</t>
  </si>
  <si>
    <t>32185357/0001-88</t>
  </si>
  <si>
    <t>ALK ENGENHARIA E COMERCIO LTDA</t>
  </si>
  <si>
    <t>2.1.1.04.0035</t>
  </si>
  <si>
    <t>02558157/0001-62</t>
  </si>
  <si>
    <t>TELEFONICA BRASIL S.A.</t>
  </si>
  <si>
    <t>2.1.1.04.0036</t>
  </si>
  <si>
    <t>04571978/0001-64</t>
  </si>
  <si>
    <t>BELLATRIX NETWORK COM. E SERVICOS</t>
  </si>
  <si>
    <t>2.1.1.04.0037</t>
  </si>
  <si>
    <t>01342499/0005-01</t>
  </si>
  <si>
    <t>BRASVENDING COMERCIAL LTDA</t>
  </si>
  <si>
    <t>2.1.1.04.0038</t>
  </si>
  <si>
    <t>31563034/0001-18</t>
  </si>
  <si>
    <t xml:space="preserve">FEEDBACKTUR VIAGENS LTDA </t>
  </si>
  <si>
    <t>2.1.1.04.0039</t>
  </si>
  <si>
    <t>05102672/0001-21</t>
  </si>
  <si>
    <t>CLAUDIA WATANABE ADVOGADOS</t>
  </si>
  <si>
    <t>2.1.1.04.0040</t>
  </si>
  <si>
    <t>76436849/0001-74</t>
  </si>
  <si>
    <t>ENGEFOTO ENGENHARIA E AEROLEVANTAMENTOS</t>
  </si>
  <si>
    <t>SODEXO PASS DO BRASIL SERVC. E COMERCIO</t>
  </si>
  <si>
    <t>2.1.1.04.0042</t>
  </si>
  <si>
    <t>00877761/0001-26</t>
  </si>
  <si>
    <t>DEL MORO E DE MORO LTDA</t>
  </si>
  <si>
    <t>2.1.1.04.0043</t>
  </si>
  <si>
    <t>02604000/0001-26</t>
  </si>
  <si>
    <t>ASSOCIACAO VALE TELES PIRES DE COMUNICAC</t>
  </si>
  <si>
    <t>2.1.1.04.0044</t>
  </si>
  <si>
    <t>10141728/0001-97</t>
  </si>
  <si>
    <t>ODAIR MARTINS DA SILVA</t>
  </si>
  <si>
    <t>2.1.1.04.0045</t>
  </si>
  <si>
    <t>70424882/0001-06</t>
  </si>
  <si>
    <t>AUTO POSTO M5 LTDA</t>
  </si>
  <si>
    <t>2.1.1.04.0046</t>
  </si>
  <si>
    <t>24752610/0001-00</t>
  </si>
  <si>
    <t>L. DE SOUZA &amp; CIA LTDA</t>
  </si>
  <si>
    <t>2.1.1.04.0047</t>
  </si>
  <si>
    <t>04694533/0001-71</t>
  </si>
  <si>
    <t>PROCANA BRASIL CENTRO DE INFORMACOES</t>
  </si>
  <si>
    <t>2.1.1.04.0048</t>
  </si>
  <si>
    <t>09480867/0001-66</t>
  </si>
  <si>
    <t>IRMAS SISTERS PRODUCOES CINEMATOGRAFICAS</t>
  </si>
  <si>
    <t>2.1.1.04.0049</t>
  </si>
  <si>
    <t>08007596/0001-63</t>
  </si>
  <si>
    <t>MES EVENTOS LTDA</t>
  </si>
  <si>
    <t>2.1.1.04.0050</t>
  </si>
  <si>
    <t>09388514/0001-30</t>
  </si>
  <si>
    <t>BRC 1 PRODUCOES LTDA</t>
  </si>
  <si>
    <t>2.1.1.04.0051</t>
  </si>
  <si>
    <t>10502944/0001-10</t>
  </si>
  <si>
    <t>IDEA PROMOCOES SERV. E LOCACOES LTDA</t>
  </si>
  <si>
    <t>2.1.1.04.0052</t>
  </si>
  <si>
    <t>02907387/0001-90</t>
  </si>
  <si>
    <t>AMERICA DO SUL TAXI AEREO LTDA</t>
  </si>
  <si>
    <t>2.1.1.04.0053</t>
  </si>
  <si>
    <t>07940977/0001-38</t>
  </si>
  <si>
    <t>INFOTECH SOLUCOES EM INFORMATICA LTDA</t>
  </si>
  <si>
    <t>2.1.1.04.0054</t>
  </si>
  <si>
    <t>04926160/0001-17</t>
  </si>
  <si>
    <t>POWERBRAS IND. E COM. LTDA</t>
  </si>
  <si>
    <t>2.1.1.04.0055</t>
  </si>
  <si>
    <t>01310499/0001-04</t>
  </si>
  <si>
    <t>ASSOCIACAO COMUNITARIA RADIO FM CLAUDIA</t>
  </si>
  <si>
    <t>2.1.1.04.0056</t>
  </si>
  <si>
    <t>09603902/0001-97</t>
  </si>
  <si>
    <t>SHOPNETWORKS COMERCIO DE PRODUTOS</t>
  </si>
  <si>
    <t>2.1.1.04.0057</t>
  </si>
  <si>
    <t>02299257/0001-11</t>
  </si>
  <si>
    <t>GEODESING SISTEMAS DE INFORMACAO LTDA</t>
  </si>
  <si>
    <t>2.1.1.04.0058</t>
  </si>
  <si>
    <t>04999113/0001-01</t>
  </si>
  <si>
    <t>LC EMPREENDIMENTOS E SERVICOS LTDA</t>
  </si>
  <si>
    <t>2.1.1.04.0060</t>
  </si>
  <si>
    <t>10345104/0001-91</t>
  </si>
  <si>
    <t>MACTECNOLOGY COM. DE INFORMATICA LTDA</t>
  </si>
  <si>
    <t>2.1.1.04.0061</t>
  </si>
  <si>
    <t>06241557/0001-09</t>
  </si>
  <si>
    <t>INGRAM MICRO TECNOLOGIA E INFORMATICA LT</t>
  </si>
  <si>
    <t>2.1.1.04.0062</t>
  </si>
  <si>
    <t>08322782/0001-97</t>
  </si>
  <si>
    <t>AQUA GENESIS INSTITUTO</t>
  </si>
  <si>
    <t>2.1.1.04.0063</t>
  </si>
  <si>
    <t>00604122/0001-97</t>
  </si>
  <si>
    <t>TRIVALE ADM. LTDA</t>
  </si>
  <si>
    <t>2.1.1.04.0064</t>
  </si>
  <si>
    <t>11050205/0001-06</t>
  </si>
  <si>
    <t>CNEC PROJETOS DE ENGENHARIA S.A</t>
  </si>
  <si>
    <t>2.1.1.04.0065</t>
  </si>
  <si>
    <t>10925387/0001-40</t>
  </si>
  <si>
    <t>TITAN SOLUTIONS</t>
  </si>
  <si>
    <t>2.1.1.04.0066</t>
  </si>
  <si>
    <t>33661745/0001-50</t>
  </si>
  <si>
    <t>CIEE</t>
  </si>
  <si>
    <t>2.1.1.04.0067</t>
  </si>
  <si>
    <t>12335320/0001-81</t>
  </si>
  <si>
    <t>VN AUTOMACAO E ENTRETENIMENTOS</t>
  </si>
  <si>
    <t>2.1.1.04.0068</t>
  </si>
  <si>
    <t>09461568/0001-84</t>
  </si>
  <si>
    <t>ECOMETRIKA CONSULTORIA EMPRESARIAL LTDA</t>
  </si>
  <si>
    <t>2.1.1.04.0069</t>
  </si>
  <si>
    <t>67393181/0001-34</t>
  </si>
  <si>
    <t>IMAGEM GEOSISTEMAS E COMERCIO</t>
  </si>
  <si>
    <t>2.1.1.04.0070</t>
  </si>
  <si>
    <t>08496003/0001-70</t>
  </si>
  <si>
    <t>MISTER X PRODUTOS ALIMENTICIOS LTDA</t>
  </si>
  <si>
    <t>2.1.1.04.0071</t>
  </si>
  <si>
    <t>29508686/0001-01</t>
  </si>
  <si>
    <t>THOMSON REUTERS SERVICOS ECONOMICOS</t>
  </si>
  <si>
    <t>2.1.1.04.0072</t>
  </si>
  <si>
    <t>43283811/0001-50</t>
  </si>
  <si>
    <t>KALUNGA COM. E. IND. GRAFICA LTDA</t>
  </si>
  <si>
    <t>2.1.1.04.0073</t>
  </si>
  <si>
    <t>03136691/0001-75</t>
  </si>
  <si>
    <t>RADIODIFUSAO LTDA</t>
  </si>
  <si>
    <t>2.1.1.04.0074</t>
  </si>
  <si>
    <t>68314830/0001-27</t>
  </si>
  <si>
    <t>FUND. DE APOIO A UNIVERSIDADE DE SAO PAU</t>
  </si>
  <si>
    <t>2.1.1.04.0075</t>
  </si>
  <si>
    <t>33530486/0001-29</t>
  </si>
  <si>
    <t>EMP. BRAS. TELECOMUNICACOES - EMBRATEL</t>
  </si>
  <si>
    <t>2.1.1.04.0077</t>
  </si>
  <si>
    <t>71208516/0171-40</t>
  </si>
  <si>
    <t>COMPANHIA DE TELECOMUNICACAO DO BRASIL C</t>
  </si>
  <si>
    <t>2.1.1.04.0078</t>
  </si>
  <si>
    <t>31153877/0001-46</t>
  </si>
  <si>
    <t>ASSOCIACAO NACIONAL DE PESQUISA E ENSINO</t>
  </si>
  <si>
    <t>2.1.1.04.0079</t>
  </si>
  <si>
    <t>33747288/0001-11</t>
  </si>
  <si>
    <t>FEDERAÇÃO DAS EMPRESAS DE TRANSPORTES</t>
  </si>
  <si>
    <t>2.1.1.04.0080</t>
  </si>
  <si>
    <t>05152318/0001-01</t>
  </si>
  <si>
    <t>AGUIAR FERES AUDITORES INDEPENDENTES</t>
  </si>
  <si>
    <t>2.1.1.04.0082</t>
  </si>
  <si>
    <t>42270058/0001-03</t>
  </si>
  <si>
    <t>GMR EQUIPAMENTOS ELETRICOS LTDA</t>
  </si>
  <si>
    <t>2.1.1.04.0083</t>
  </si>
  <si>
    <t>08273068/0001-56</t>
  </si>
  <si>
    <t>LODI E LOBO ADVOGADOS</t>
  </si>
  <si>
    <t>2.1.1.04.0084</t>
  </si>
  <si>
    <t>04491285/0001-61</t>
  </si>
  <si>
    <t>DOMINIO E CONTABIL LTDA</t>
  </si>
  <si>
    <t>2.1.1.04.0085</t>
  </si>
  <si>
    <t>01579387/0007-30</t>
  </si>
  <si>
    <t>INVESTIPLAN COMPUTADORES E SISTEMAS LTDA</t>
  </si>
  <si>
    <t>2.1.1.04.0086</t>
  </si>
  <si>
    <t>01724795/0001-43</t>
  </si>
  <si>
    <t>MICROWARE TECNOLOGIA DE INFORMATICA</t>
  </si>
  <si>
    <t>2.1.1.04.0087</t>
  </si>
  <si>
    <t>07737772/0001-50</t>
  </si>
  <si>
    <t>CURI GOMES ASSOCIADOS</t>
  </si>
  <si>
    <t>2.1.1.04.0088</t>
  </si>
  <si>
    <t>07566239/0001-72</t>
  </si>
  <si>
    <t>GAS ENERGY ASSESSORIA EMPRESARIAL LTDA</t>
  </si>
  <si>
    <t>2.1.1.04.0089</t>
  </si>
  <si>
    <t>34163329/0002-61</t>
  </si>
  <si>
    <t>IBEF RIO</t>
  </si>
  <si>
    <t>2.1.1.04.0090</t>
  </si>
  <si>
    <t>VINIPEL COMERCIAL LTDA</t>
  </si>
  <si>
    <t>2.1.1.04.0091</t>
  </si>
  <si>
    <t>VET</t>
  </si>
  <si>
    <t>TECHNICAL BOOKS LIVRARIA LTDA</t>
  </si>
  <si>
    <t>2.1.1.04.0092</t>
  </si>
  <si>
    <t>22945226/0001-64</t>
  </si>
  <si>
    <t>ASSOCIACAO DE UNIVERSIDADES AMAZONICAS</t>
  </si>
  <si>
    <t>2.1.1.04.0093</t>
  </si>
  <si>
    <t>INSTITUTO ACO BRASIL</t>
  </si>
  <si>
    <t>2.1.1.04.0095</t>
  </si>
  <si>
    <t>INSTITUTO OLHAR PESQUISA E INFORMACAO</t>
  </si>
  <si>
    <t>2.1.1.04.0096</t>
  </si>
  <si>
    <t>02837642/0001-75</t>
  </si>
  <si>
    <t>ACADEMIA DE DESEN. PROF. E ORG. LTDA</t>
  </si>
  <si>
    <t>2.1.1.04.0097</t>
  </si>
  <si>
    <t>32086274/0001-31</t>
  </si>
  <si>
    <t>A CHAVE NEIDE ME</t>
  </si>
  <si>
    <t>2.1.1.04.0098</t>
  </si>
  <si>
    <t>01017250/0001-05</t>
  </si>
  <si>
    <t>VOETUR TURISMO E REPRESENTACOES LTDA</t>
  </si>
  <si>
    <t>2.1.1.04.0099</t>
  </si>
  <si>
    <t>06320095/0001-07</t>
  </si>
  <si>
    <t>UNIQUE RENTA CAR LOCADORA DE VEICULOS</t>
  </si>
  <si>
    <t>2.1.1.04.0100</t>
  </si>
  <si>
    <t>08071768/0001-68</t>
  </si>
  <si>
    <t>BIODIESELBR ON LINE LTDA</t>
  </si>
  <si>
    <t>2.1.1.04.0101</t>
  </si>
  <si>
    <t>07347790/0001-25</t>
  </si>
  <si>
    <t>PLC REFRIGERACO E SSERVICOS LTDA-ME</t>
  </si>
  <si>
    <t>2.1.1.04.0102</t>
  </si>
  <si>
    <t>58619404/0001-48</t>
  </si>
  <si>
    <t>SEAL TELECOM SERVICO TELECOMUNICACOES</t>
  </si>
  <si>
    <t>2.1.1.04.0104</t>
  </si>
  <si>
    <t>07877167/0001-84</t>
  </si>
  <si>
    <t>HOROS COMUNICACAO E EVENTOS LTDA</t>
  </si>
  <si>
    <t>2.1.1.04.0105</t>
  </si>
  <si>
    <t>65649154/0001-54</t>
  </si>
  <si>
    <t>DATAGRO PUBLICACOES LTDA</t>
  </si>
  <si>
    <t>2.1.1.04.0106</t>
  </si>
  <si>
    <t>05984239/0001-67</t>
  </si>
  <si>
    <t>AMMPLANAC SOLUTIONS DE INFORMATICA LTDA</t>
  </si>
  <si>
    <t>2.1.1.04.0107</t>
  </si>
  <si>
    <t>00278452/0001-30</t>
  </si>
  <si>
    <t>IDEMP INSTITUTO DE DESENVOLVIMENTO EMPRE</t>
  </si>
  <si>
    <t>2.1.1.04.0108</t>
  </si>
  <si>
    <t>00758743/0001-25</t>
  </si>
  <si>
    <t>LCA CONSULTORES LTDA</t>
  </si>
  <si>
    <t>2.1.1.04.0109</t>
  </si>
  <si>
    <t>39130646/0001-29</t>
  </si>
  <si>
    <t>SOCIEDADE BRASILEIRA DE PLANEJAMENTO ENE</t>
  </si>
  <si>
    <t>2.1.1.04.0110</t>
  </si>
  <si>
    <t>09228201/0001-15</t>
  </si>
  <si>
    <t>JG 2008 EDITORA E COMUNICACAO LTDA</t>
  </si>
  <si>
    <t>2.1.1.04.0111</t>
  </si>
  <si>
    <t>00063069/0001-64</t>
  </si>
  <si>
    <t>STAR INFO SERVICOS DE INFORMATICA LTDA</t>
  </si>
  <si>
    <t>2.1.1.04.0112</t>
  </si>
  <si>
    <t>27128875/0001-20</t>
  </si>
  <si>
    <t>CARTORIO 17 OFICIO</t>
  </si>
  <si>
    <t>2.1.1.04.0113</t>
  </si>
  <si>
    <t>03309608/0001-90</t>
  </si>
  <si>
    <t>MAXLUX COMERCIO DE DECORACOES LTDA</t>
  </si>
  <si>
    <t>2.1.1.04.0114</t>
  </si>
  <si>
    <t>00974211/0001-25</t>
  </si>
  <si>
    <t>LINHA AMARELA SA - LAMSA</t>
  </si>
  <si>
    <t>2.1.1.04.0115</t>
  </si>
  <si>
    <t>07892266/0001-35</t>
  </si>
  <si>
    <t>KAWA COMERCIO, PROJETOS E SERV. EM AR</t>
  </si>
  <si>
    <t>2.1.1.04.0116</t>
  </si>
  <si>
    <t>FUNDO DE IMPRENSA NACIONAL</t>
  </si>
  <si>
    <t>2.1.1.04.0117</t>
  </si>
  <si>
    <t>30482814/0001-70</t>
  </si>
  <si>
    <t>NIPOMAQ MAQUINAS DE ESCRITORIO LTDA</t>
  </si>
  <si>
    <t>2.1.1.04.0118</t>
  </si>
  <si>
    <t>07725342/0001-18</t>
  </si>
  <si>
    <t>N.SILVA COMERCIO E SERVICOS LTDA</t>
  </si>
  <si>
    <t>2.1.1.04.0119</t>
  </si>
  <si>
    <t>12293822/0001-97</t>
  </si>
  <si>
    <t>ASSOCIACAO DOS PESQUISADORES EM PLANTAS</t>
  </si>
  <si>
    <t>2.1.1.04.0120</t>
  </si>
  <si>
    <t>11124330/0001-05</t>
  </si>
  <si>
    <t>IDETI EVENTOS E PESQUISAS EM INFORMATICA</t>
  </si>
  <si>
    <t>2.1.1.04.0122</t>
  </si>
  <si>
    <t>07295815/0001-94</t>
  </si>
  <si>
    <t>PRONTIDAO COM. E SERV. DE INFO. LTDA</t>
  </si>
  <si>
    <t>2.1.1.04.0123</t>
  </si>
  <si>
    <t>05128653/0001-74</t>
  </si>
  <si>
    <t>NDJ SIMPOSIOS E TREINAMENTOS LTDA</t>
  </si>
  <si>
    <t>2.1.1.04.0124</t>
  </si>
  <si>
    <t>27958859/0001-64</t>
  </si>
  <si>
    <t>EDITORA BRASIL ENERGIA LTDA</t>
  </si>
  <si>
    <t>2.1.1.04.0125</t>
  </si>
  <si>
    <t>00710799/0001-00</t>
  </si>
  <si>
    <t>ALLEN RIO SERV. COM. DE INFORMATICA LTDA</t>
  </si>
  <si>
    <t>2.1.1.04.0126</t>
  </si>
  <si>
    <t>22642565/0001-05</t>
  </si>
  <si>
    <t>CP2 CONSULTORIA PESQUISA E PLANEJAMENTO</t>
  </si>
  <si>
    <t>2.1.1.04.0127</t>
  </si>
  <si>
    <t>04053315/0001-58</t>
  </si>
  <si>
    <t>NSI TRAINING TECNOLOGIA S/C LTDA.</t>
  </si>
  <si>
    <t>2.1.1.04.0128</t>
  </si>
  <si>
    <t>59453225/0001-46</t>
  </si>
  <si>
    <t>FLOKART IND. COM. PRODUTOS PROMOCIONAIS</t>
  </si>
  <si>
    <t>2.1.1.04.0129</t>
  </si>
  <si>
    <t>08906581/0001-37</t>
  </si>
  <si>
    <t>MARTENSEN E BRAGA LTDA-EPP.</t>
  </si>
  <si>
    <t>2.1.1.04.0130</t>
  </si>
  <si>
    <t>00103582/0005-65</t>
  </si>
  <si>
    <t>ENGEVIX ENGENHARIA S.A</t>
  </si>
  <si>
    <t>2.1.1.04.0131</t>
  </si>
  <si>
    <t>61562112/0002-01</t>
  </si>
  <si>
    <t>PRICEWATERHOUSECOOPERS AUDITORES INDEPEN</t>
  </si>
  <si>
    <t>2.1.1.04.0132</t>
  </si>
  <si>
    <t>29408770/0001-50</t>
  </si>
  <si>
    <t>CIARLINI CONSULTORIA E PROJETOS LTDA.</t>
  </si>
  <si>
    <t>2.1.1.04.0133</t>
  </si>
  <si>
    <t>04216871/0001-06</t>
  </si>
  <si>
    <t>EXECUTIVE VANS LOCADORA DE VEICULOS LTDA</t>
  </si>
  <si>
    <t>2.1.1.04.0134</t>
  </si>
  <si>
    <t>10015425/0001-28</t>
  </si>
  <si>
    <t>DAMIER RIO DESENTUPIDORA LTDA.</t>
  </si>
  <si>
    <t>2.1.1.04.0135</t>
  </si>
  <si>
    <t>43730787/0001-50</t>
  </si>
  <si>
    <t>ABTD - ASSOCIACAO BRASILEIRA DE TREINAME</t>
  </si>
  <si>
    <t>2.1.1.04.0136</t>
  </si>
  <si>
    <t>21040001/0001-30</t>
  </si>
  <si>
    <t>UNIVERSIDADE FEDERAL DE ITAJUBA</t>
  </si>
  <si>
    <t>2.1.1.04.0137</t>
  </si>
  <si>
    <t>13376180/0001-52</t>
  </si>
  <si>
    <t>CEAP CONCURSOS LTDA-ME.</t>
  </si>
  <si>
    <t>2.1.1.04.0139</t>
  </si>
  <si>
    <t>33170515/0001-99</t>
  </si>
  <si>
    <t>L´HENRIETTE CONFEITARIA LTDA.</t>
  </si>
  <si>
    <t>2.1.1.04.0140</t>
  </si>
  <si>
    <t>32323115/0001-03</t>
  </si>
  <si>
    <t>PRO FIT COACHING CONS. TREINAMENTO PROF.</t>
  </si>
  <si>
    <t>2.1.1.04.0141</t>
  </si>
  <si>
    <t>06987364/0001-93</t>
  </si>
  <si>
    <t>CTEE - CENTRO TREIN. ESTUDOS EM ENERGIA</t>
  </si>
  <si>
    <t>2.1.1.04.0142</t>
  </si>
  <si>
    <t>04765777/0001-06</t>
  </si>
  <si>
    <t>ESTRATEGIA EM RECURSOS HUMANOS LTDA</t>
  </si>
  <si>
    <t>2.1.1.04.0143</t>
  </si>
  <si>
    <t>05983000/0001-72</t>
  </si>
  <si>
    <t>ADJUVARE EVENTOS E SERVICOS LTDA.</t>
  </si>
  <si>
    <t>2.1.1.04.0144</t>
  </si>
  <si>
    <t>61160768/0001-17</t>
  </si>
  <si>
    <t>LEX EDITORA SA.</t>
  </si>
  <si>
    <t>2.1.1.04.0145</t>
  </si>
  <si>
    <t>05230078/0001-16</t>
  </si>
  <si>
    <t>PERSIANAS BRASIL BLINDS LTDA.</t>
  </si>
  <si>
    <t>2.1.1.04.0146</t>
  </si>
  <si>
    <t>08403264/0001-06</t>
  </si>
  <si>
    <t>COMPLEXO JURIDICO RENATO SARAIVA</t>
  </si>
  <si>
    <t>2.1.1.04.0147</t>
  </si>
  <si>
    <t>58900622/0001-56</t>
  </si>
  <si>
    <t>EDITORA CL-A CULTURAL LTDA.</t>
  </si>
  <si>
    <t>2.1.1.04.0149</t>
  </si>
  <si>
    <t>10476565/0001-01</t>
  </si>
  <si>
    <t>OCEANO SERVICOS LTDA.</t>
  </si>
  <si>
    <t>2.1.1.04.0150</t>
  </si>
  <si>
    <t>60540333/0002-16</t>
  </si>
  <si>
    <t>THE BRITISH CHAMBER OF COMMERCE AND INDU</t>
  </si>
  <si>
    <t>2.1.1.04.0151</t>
  </si>
  <si>
    <t>12867225/0001-29</t>
  </si>
  <si>
    <t>DC STUDIO PRODUCOES LTDA.</t>
  </si>
  <si>
    <t>2.1.1.04.0152</t>
  </si>
  <si>
    <t>00543800/0001-59</t>
  </si>
  <si>
    <t>IIR INFORMA SEMINARIOS LTDA.</t>
  </si>
  <si>
    <t>2.1.1.04.0153</t>
  </si>
  <si>
    <t>04106216/0001-97</t>
  </si>
  <si>
    <t>SOUZA E PINHO ENGENHARIA E ARQUITETURA</t>
  </si>
  <si>
    <t>2.1.1.04.0154</t>
  </si>
  <si>
    <t>12404897/0001-06</t>
  </si>
  <si>
    <t xml:space="preserve">DOUGLAS WILLE &amp; CIA LTDA - ME </t>
  </si>
  <si>
    <t>2.1.1.04.0155</t>
  </si>
  <si>
    <t>04217374/0001-14</t>
  </si>
  <si>
    <t>STOCK GRAF COMERCIO MATERIAIS GRAFICOS</t>
  </si>
  <si>
    <t>2.1.1.04.0156</t>
  </si>
  <si>
    <t>42417493/0001-00</t>
  </si>
  <si>
    <t>MUNDIVIDROS VIDROS CRISTAIS E MOLDURAS</t>
  </si>
  <si>
    <t>2.1.1.04.0157</t>
  </si>
  <si>
    <t>26976381/0001-32</t>
  </si>
  <si>
    <t>MULTPAPER DISTRIBUIDORA DE PAPAEIS LTDA</t>
  </si>
  <si>
    <t>2.1.1.04.0158</t>
  </si>
  <si>
    <t>09677300/0001-84</t>
  </si>
  <si>
    <t>JC&amp;I DESIGN E STUDIO LTDA.</t>
  </si>
  <si>
    <t>2.1.1.04.0159</t>
  </si>
  <si>
    <t>13373975/0001-07</t>
  </si>
  <si>
    <t>THIAGO KAZOROSKY PINHEIRO &amp; CIA LTDA</t>
  </si>
  <si>
    <t>2.1.1.04.0160</t>
  </si>
  <si>
    <t>02105010/0001-17</t>
  </si>
  <si>
    <t>AGENCIA VIRTUAL LTDA.</t>
  </si>
  <si>
    <t>2.1.1.04.0161</t>
  </si>
  <si>
    <t>COMITE NAC. BRASILEIRO PROD. TRANS. ENER</t>
  </si>
  <si>
    <t>2.1.1.04.0162</t>
  </si>
  <si>
    <t>04619903/0001-06</t>
  </si>
  <si>
    <t>SEND COPY CANDELARIA SERV. REPROGRAFICOS</t>
  </si>
  <si>
    <t>2.1.1.04.0163</t>
  </si>
  <si>
    <t>13488395/0001-65</t>
  </si>
  <si>
    <t>MARCENARIA SAO JORGE SAO JOSE EIERLI ME</t>
  </si>
  <si>
    <t>2.1.1.04.0164</t>
  </si>
  <si>
    <t>72414691/0001-80</t>
  </si>
  <si>
    <t>INOVATIVA - APRIMORAMENTO TREINAMENTO</t>
  </si>
  <si>
    <t>2.1.1.04.0165</t>
  </si>
  <si>
    <t>11281612/0001-16</t>
  </si>
  <si>
    <t>SOLUCAO BRASIL TECNOLOGIA INFORMACAO</t>
  </si>
  <si>
    <t>2.1.1.04.0166</t>
  </si>
  <si>
    <t>01138264/0001-79</t>
  </si>
  <si>
    <t>BIOVET SERVICOS LTDA.</t>
  </si>
  <si>
    <t>2.1.1.04.0167</t>
  </si>
  <si>
    <t>07282970/0001-76</t>
  </si>
  <si>
    <t>NTX COMERCIO CONSULTORIA E SERVICOS LTDA</t>
  </si>
  <si>
    <t>2.1.1.04.0168</t>
  </si>
  <si>
    <t>29317518/0001-35</t>
  </si>
  <si>
    <t>JH SATURNO COM. MAT. ESC. LIMP. E INF.</t>
  </si>
  <si>
    <t>2.1.1.04.0169</t>
  </si>
  <si>
    <t>02485591/0001-60</t>
  </si>
  <si>
    <t>TENDENCIAS CONSULTORIA INTEGRADA S/S LTD</t>
  </si>
  <si>
    <t>2.1.1.04.0170</t>
  </si>
  <si>
    <t>00316087/0001-00</t>
  </si>
  <si>
    <t>CONCARP CONSERVACAO E LIMPEZA LTDA</t>
  </si>
  <si>
    <t>2.1.1.04.0171</t>
  </si>
  <si>
    <t>04572946/0001-83</t>
  </si>
  <si>
    <t>BOOKHUNTER LIVRARIA LTDA.</t>
  </si>
  <si>
    <t>2.1.1.04.0172</t>
  </si>
  <si>
    <t>05292903/0001-07</t>
  </si>
  <si>
    <t>PETT &amp; CAPELLATO REPRESENTACOES LTDA.</t>
  </si>
  <si>
    <t>2.1.1.04.0173</t>
  </si>
  <si>
    <t>18025536/0001-27</t>
  </si>
  <si>
    <t>FUNDACAO DE PESQ. E ASSESSORAMENTO A IND</t>
  </si>
  <si>
    <t>2.1.1.04.0174</t>
  </si>
  <si>
    <t>02704211/0001-30</t>
  </si>
  <si>
    <t>EXPERTISE TECNOLOGIA DESENVOLVIMENTO</t>
  </si>
  <si>
    <t>2.1.1.04.0175</t>
  </si>
  <si>
    <t>03811232/0001-18</t>
  </si>
  <si>
    <t>COMERCIAL GAULIA LTDA.</t>
  </si>
  <si>
    <t>2.1.1.04.0176</t>
  </si>
  <si>
    <t>27014752/0001-68</t>
  </si>
  <si>
    <t>FLOAT - GLASS - COMERCIO E SERVICOS LTDA</t>
  </si>
  <si>
    <t>2.1.1.04.0177</t>
  </si>
  <si>
    <t>00729829/0001-20</t>
  </si>
  <si>
    <t>KARTROLIN BRINDES MATERIAL P/ ESCRITORIO</t>
  </si>
  <si>
    <t>2.1.1.04.0178</t>
  </si>
  <si>
    <t>36003671/0001-53</t>
  </si>
  <si>
    <t>CONSULTRE CONSULTORIA E TREINAMENTO LTDA</t>
  </si>
  <si>
    <t>2.1.1.04.0179</t>
  </si>
  <si>
    <t>09335355/0001-06</t>
  </si>
  <si>
    <t>FACIL - BRASILIA TRANSPORTE INTEGRADO</t>
  </si>
  <si>
    <t>2.1.1.04.0180</t>
  </si>
  <si>
    <t>35963479/0001-46</t>
  </si>
  <si>
    <t>ESAFI - ESCOLA ADMINISTRACAO TREINAMENTO</t>
  </si>
  <si>
    <t>2.1.1.04.0181</t>
  </si>
  <si>
    <t>02911903/0001-50</t>
  </si>
  <si>
    <t>FUNDACAO COMITE DE GESTAO EMPRESARIAL</t>
  </si>
  <si>
    <t>2.1.1.04.0182</t>
  </si>
  <si>
    <t>01377071/0001-70</t>
  </si>
  <si>
    <t>LANTELE COMERCIAL ELETRICA LTDA.</t>
  </si>
  <si>
    <t>2.1.1.04.0183</t>
  </si>
  <si>
    <t>04708116/0001-30</t>
  </si>
  <si>
    <t>ZENITE TECNOLOGIA E TELEINFORMATICA LTDA</t>
  </si>
  <si>
    <t>2.1.1.04.0184</t>
  </si>
  <si>
    <t>03712467/0001-52</t>
  </si>
  <si>
    <t>FLAMA RAMOS ACABAMENTO E MANUSEIO GRAFIC</t>
  </si>
  <si>
    <t>2.1.1.04.0185</t>
  </si>
  <si>
    <t>61705380/0001-54</t>
  </si>
  <si>
    <t>FUNDAG</t>
  </si>
  <si>
    <t>2.1.1.04.0186</t>
  </si>
  <si>
    <t>42334193/0001-67</t>
  </si>
  <si>
    <t>COMITE BRASILEIRO DE BARRAGENS</t>
  </si>
  <si>
    <t>2.1.1.04.0187</t>
  </si>
  <si>
    <t>03307532/0001-64</t>
  </si>
  <si>
    <t>SIVIC PLACAS E BRINDES LTDA</t>
  </si>
  <si>
    <t>2.1.1.04.0188</t>
  </si>
  <si>
    <t>32157042/0001-27</t>
  </si>
  <si>
    <t>PERSIANAS COIMBRA LTDA</t>
  </si>
  <si>
    <t>2.1.1.04.0189</t>
  </si>
  <si>
    <t>00348003/0129-84</t>
  </si>
  <si>
    <t>EMPRESA BRAS DE PESQ AGROP EMBRAPA</t>
  </si>
  <si>
    <t>2.1.1.04.0190</t>
  </si>
  <si>
    <t>02270142/0001-02</t>
  </si>
  <si>
    <t>GERMANISCHER LLOYD IND. SERVICES DO BRAS</t>
  </si>
  <si>
    <t>2.1.1.04.0191</t>
  </si>
  <si>
    <t>04655786/0001-36</t>
  </si>
  <si>
    <t>NORTHIA ASSESSORIA DE SEGURANCA NO TRABA</t>
  </si>
  <si>
    <t>2.1.1.04.0192</t>
  </si>
  <si>
    <t>40181919/0001-43</t>
  </si>
  <si>
    <t>JURIS AMBIENTIS CONSULTORES S/S LTDA</t>
  </si>
  <si>
    <t>2.1.1.04.0193</t>
  </si>
  <si>
    <t>04832526/0001-99</t>
  </si>
  <si>
    <t>CASTRO &amp; CASTRO ADV. E CONSULTORES</t>
  </si>
  <si>
    <t>2.1.1.04.0194</t>
  </si>
  <si>
    <t>13013046/0001-97</t>
  </si>
  <si>
    <t>SITIAR COM. DE REFRIGERACAO LTDA - ME</t>
  </si>
  <si>
    <t>2.1.1.04.0195</t>
  </si>
  <si>
    <t>06353807/0001-94</t>
  </si>
  <si>
    <t>DEWI DO BRASIL</t>
  </si>
  <si>
    <t>2.1.1.04.0196</t>
  </si>
  <si>
    <t>08257771/0001-70</t>
  </si>
  <si>
    <t>FABBIO VEMGIZ LOBO CONS. TREINAMENTO</t>
  </si>
  <si>
    <t>2.1.1.04.0197</t>
  </si>
  <si>
    <t>08844668/0001-27</t>
  </si>
  <si>
    <t>AGUIAR &amp; VERISSIMO LTDA - ME</t>
  </si>
  <si>
    <t>2.1.1.04.0198</t>
  </si>
  <si>
    <t>11865040/0001-12</t>
  </si>
  <si>
    <t>ZFL TRANSPORTE EXECUTIVO LTDA</t>
  </si>
  <si>
    <t>2.1.1.04.0199</t>
  </si>
  <si>
    <t>02552009/0001-30</t>
  </si>
  <si>
    <t>DMSS SOFTWARE LTDA</t>
  </si>
  <si>
    <t>2.1.1.04.0200</t>
  </si>
  <si>
    <t>03557247/0001-00</t>
  </si>
  <si>
    <t>INTEGRAR CLIMATIZACAO LTDA</t>
  </si>
  <si>
    <t>2.1.1.04.0201</t>
  </si>
  <si>
    <t>CERTISIGN CERTIFICADORA DIGITAL S.A.</t>
  </si>
  <si>
    <t>2.1.1.04.0202</t>
  </si>
  <si>
    <t>12661222/0001-34</t>
  </si>
  <si>
    <t>SHOPPING MATRIZ FABRIL LTDA</t>
  </si>
  <si>
    <t>2.1.1.04.0203</t>
  </si>
  <si>
    <t>05085929/0002-65</t>
  </si>
  <si>
    <t>GIOCONDA E JOSE CAFE E CULINARIA LTDA</t>
  </si>
  <si>
    <t>2.1.1.04.0204</t>
  </si>
  <si>
    <t>33438300/0001-06</t>
  </si>
  <si>
    <t>PAPELARIA COLUMBIA LTDA</t>
  </si>
  <si>
    <t>2.1.1.04.0205</t>
  </si>
  <si>
    <t>09305304/0001-31</t>
  </si>
  <si>
    <t>BRISSETT &amp; BRISSETT EVENTOS LTDA</t>
  </si>
  <si>
    <t>2.1.1.04.0206</t>
  </si>
  <si>
    <t>08575670/000148</t>
  </si>
  <si>
    <t>DALA AR CONDICIONADO LTDA</t>
  </si>
  <si>
    <t>2.1.1.04.0207</t>
  </si>
  <si>
    <t>28711539/0001-78</t>
  </si>
  <si>
    <t>A C BURLAMAQUI CONSULTORES S/C</t>
  </si>
  <si>
    <t>2.1.1.04.0208</t>
  </si>
  <si>
    <t>10258575/0001-62</t>
  </si>
  <si>
    <t>SOUZA E VENTURELI LTDA - ME</t>
  </si>
  <si>
    <t>2.1.1.04.0209</t>
  </si>
  <si>
    <t>INST. AMBIENTAL BRA SUSTENTAVEL - IABS</t>
  </si>
  <si>
    <t>2.1.1.04.0210</t>
  </si>
  <si>
    <t>00885818/000139</t>
  </si>
  <si>
    <t>TECNOLOGIA E INFORMACAO LTDA - BPGR</t>
  </si>
  <si>
    <t>2.1.1.04.0211</t>
  </si>
  <si>
    <t>13317281/0001-52</t>
  </si>
  <si>
    <t>FORUM CULTURAL ORGANI DE EVENTOS LTDA</t>
  </si>
  <si>
    <t>2.1.1.04.0212</t>
  </si>
  <si>
    <t>15734197/0002-61</t>
  </si>
  <si>
    <t>SANTOS &amp; SARUBBI LTDA</t>
  </si>
  <si>
    <t>2.1.1.04.0213</t>
  </si>
  <si>
    <t>07668381/0001-20</t>
  </si>
  <si>
    <t>JONKOPING BUFFET LTDA</t>
  </si>
  <si>
    <t>2.1.1.04.0214</t>
  </si>
  <si>
    <t>10383122/0001-68</t>
  </si>
  <si>
    <t>GAS ENERGY CHEMICALS LTDA</t>
  </si>
  <si>
    <t>2.1.1.04.0215</t>
  </si>
  <si>
    <t>02606932/0001-08</t>
  </si>
  <si>
    <t>RM TREINAMENTO EMPRESARIAL LTDA</t>
  </si>
  <si>
    <t>2.1.1.04.0216</t>
  </si>
  <si>
    <t>01423190/0001-12</t>
  </si>
  <si>
    <t>R MAIA DESENVOLVIMENTO EMPRESARIAL LTDA</t>
  </si>
  <si>
    <t>2.1.1.04.0217</t>
  </si>
  <si>
    <t>10559255/0001-42</t>
  </si>
  <si>
    <t>ZACCHI E ZACCHI LTDA</t>
  </si>
  <si>
    <t>2.1.1.04.0218</t>
  </si>
  <si>
    <t>33636523/0001-88</t>
  </si>
  <si>
    <t>CENTRO INDUSTRIAL DO RJ - CIRJ</t>
  </si>
  <si>
    <t>2.1.1.04.0219</t>
  </si>
  <si>
    <t>33611617/0001-00</t>
  </si>
  <si>
    <t>ASSOCIACAO COMERCIAL DO RJ</t>
  </si>
  <si>
    <t>2.1.1.04.0220</t>
  </si>
  <si>
    <t>11061406/0001-09</t>
  </si>
  <si>
    <t>ZIVA RJ TECNOLOGIA E SOLUCOES</t>
  </si>
  <si>
    <t>2.1.1.04.0221</t>
  </si>
  <si>
    <t>03829453/0001-13</t>
  </si>
  <si>
    <t>CONGER ENCADERNACAO LTDA</t>
  </si>
  <si>
    <t>2.1.1.04.0222</t>
  </si>
  <si>
    <t>13775131/0001-92</t>
  </si>
  <si>
    <t>U DE ALMEIDA FARIA JUNIOR - BEM BOM</t>
  </si>
  <si>
    <t>2.1.1.04.0223</t>
  </si>
  <si>
    <t>04918514/0001-81</t>
  </si>
  <si>
    <t>MAPH - AUDITORIA E ASSESSORIA LTDA</t>
  </si>
  <si>
    <t>2.1.1.04.0224</t>
  </si>
  <si>
    <t>07544975/0001-20</t>
  </si>
  <si>
    <t>LUROVA AUTOMACAO INDUSTRIAL  E COME LTDA</t>
  </si>
  <si>
    <t>2.1.1.04.0225</t>
  </si>
  <si>
    <t>06939256/0001-45</t>
  </si>
  <si>
    <t>AUGE EVENTOS E AUDIOVISUAL</t>
  </si>
  <si>
    <t>2.1.1.04.0226</t>
  </si>
  <si>
    <t>13439080/0001-28</t>
  </si>
  <si>
    <t>JDG SERRALHERIA VIDRACARIA E SERV LTDA</t>
  </si>
  <si>
    <t>2.1.1.04.0227</t>
  </si>
  <si>
    <t>00572914/0001-27</t>
  </si>
  <si>
    <t>CENTRAL POINT COMERCIO E SERV LTDA</t>
  </si>
  <si>
    <t>2.1.1.04.0228</t>
  </si>
  <si>
    <t>07316919/0001-38</t>
  </si>
  <si>
    <t>GOVERNET EDITORA LTDA</t>
  </si>
  <si>
    <t>2.1.1.04.0229</t>
  </si>
  <si>
    <t>09663019/0001-92</t>
  </si>
  <si>
    <t>GBR CONSULTORIA ECONOMICA S/S LTDA</t>
  </si>
  <si>
    <t>2.1.1.04.0230</t>
  </si>
  <si>
    <t>03662199/0001-01</t>
  </si>
  <si>
    <t>BACHIANA POLIS PRODUCOES LTDA</t>
  </si>
  <si>
    <t>2.1.1.04.0231</t>
  </si>
  <si>
    <t>51978633/0001-00</t>
  </si>
  <si>
    <t>SEMINARIOS ADUANEIRAS SOCIEDADE SIMPLES</t>
  </si>
  <si>
    <t>2.1.1.04.0232</t>
  </si>
  <si>
    <t>00001172/0001-80</t>
  </si>
  <si>
    <t>S/A CORREIO BRAZILIENSE</t>
  </si>
  <si>
    <t>2.1.1.04.0233</t>
  </si>
  <si>
    <t>02537929/0001-80</t>
  </si>
  <si>
    <t>EIBSNET TREINAMENTO EM INFORMATICA</t>
  </si>
  <si>
    <t>2.1.1.04.0234</t>
  </si>
  <si>
    <t>02309061/0001-60</t>
  </si>
  <si>
    <t>BARBOSA E BARBOSA ENGENHARIA ELE LTDA</t>
  </si>
  <si>
    <t>2.1.1.04.0235</t>
  </si>
  <si>
    <t>01998348/0001-82</t>
  </si>
  <si>
    <t>BENICIO BIZ EDITORES ASSOCIADOS LTDA</t>
  </si>
  <si>
    <t>2.1.1.04.0236</t>
  </si>
  <si>
    <t>10762976/0001-55</t>
  </si>
  <si>
    <t>MINUTA COMUNICACAO LTDA - ME</t>
  </si>
  <si>
    <t>2.1.1.04.0237</t>
  </si>
  <si>
    <t>05154259/0001-00</t>
  </si>
  <si>
    <t>2M DESIGN LTDA</t>
  </si>
  <si>
    <t>2.1.1.04.0238</t>
  </si>
  <si>
    <t>04358563/0001-07</t>
  </si>
  <si>
    <t>NEOTROPICAL CONSUL. E ASSESS. AMB. LTDA</t>
  </si>
  <si>
    <t>2.1.1.04.0239</t>
  </si>
  <si>
    <t>40401341/0001-93</t>
  </si>
  <si>
    <t>HIDROFIRE COM DE MAT CONT INCENDIO LTDA</t>
  </si>
  <si>
    <t>2.1.1.04.0240</t>
  </si>
  <si>
    <t>28912970/0001-82</t>
  </si>
  <si>
    <t>ADEMIR DE OLIVEIRA TEIXEIRA</t>
  </si>
  <si>
    <t>2.1.1.04.0241</t>
  </si>
  <si>
    <t>10933120/0001-03</t>
  </si>
  <si>
    <t>ATOL CONSULTORIA AMBIENTAL LTDA</t>
  </si>
  <si>
    <t>2.1.1.04.0242</t>
  </si>
  <si>
    <t>04724924/0001-91</t>
  </si>
  <si>
    <t>ACTIVEWEB TECHNOLOGIES INFORMATICA LTDA</t>
  </si>
  <si>
    <t>2.1.1.04.0243</t>
  </si>
  <si>
    <t>33573791/0001-06</t>
  </si>
  <si>
    <t>CAMARA DE COMERCIO AMER. PARA O BRASIL</t>
  </si>
  <si>
    <t>2.1.1.04.0244</t>
  </si>
  <si>
    <t>50827039/0001-55</t>
  </si>
  <si>
    <t>ANTHROPOS CONSULTING LTDA</t>
  </si>
  <si>
    <t>2.1.1.04.0245</t>
  </si>
  <si>
    <t>07774090/0001-17</t>
  </si>
  <si>
    <t>ESCOLA DE NEG CONEX EDUC EMPRES LTDA</t>
  </si>
  <si>
    <t>2.1.1.04.0246</t>
  </si>
  <si>
    <t>42569459/0001-50</t>
  </si>
  <si>
    <t>ORG BRANCO DE MAQ E EQUIP LTDA - OBM</t>
  </si>
  <si>
    <t>2.1.1.04.0247</t>
  </si>
  <si>
    <t>09240519/0001-11</t>
  </si>
  <si>
    <t>TARGETWARE INFORMATICA LTDA</t>
  </si>
  <si>
    <t>2.1.1.04.0248</t>
  </si>
  <si>
    <t>39092598/0001-21</t>
  </si>
  <si>
    <t>BAKTRON MICROBIOLOGICA LTDA</t>
  </si>
  <si>
    <t>2.1.1.04.0249</t>
  </si>
  <si>
    <t>66582784/0001-11</t>
  </si>
  <si>
    <t>MAPDATA TECNOLOGIA, INFOR. COMERCIO LTDA</t>
  </si>
  <si>
    <t>2.1.1.04.0250</t>
  </si>
  <si>
    <t>07268152/0001-09</t>
  </si>
  <si>
    <t>VSDATA COMERCIAL DE INF. LTDA</t>
  </si>
  <si>
    <t>2.1.1.04.0251</t>
  </si>
  <si>
    <t>11563387/0001-00</t>
  </si>
  <si>
    <t>EDER DE SOUZA CAVALHEIRO ME</t>
  </si>
  <si>
    <t>2.1.1.04.0252</t>
  </si>
  <si>
    <t>05347213/0001-08</t>
  </si>
  <si>
    <t>HSRNET INFORMATICA LTDA</t>
  </si>
  <si>
    <t>2.1.1.04.0253</t>
  </si>
  <si>
    <t>11329948/0001-01</t>
  </si>
  <si>
    <t>SANET COMERCIO E SERV. INFOR. LTDA EPP</t>
  </si>
  <si>
    <t>2.1.1.04.0254</t>
  </si>
  <si>
    <t>01178068/0001-28</t>
  </si>
  <si>
    <t>ASSOCIACAO BRAS. DE GEOLOGOS DE PETROLEO</t>
  </si>
  <si>
    <t>2.1.1.04.0255</t>
  </si>
  <si>
    <t>05310737/0001-24</t>
  </si>
  <si>
    <t>IRJR PRINT CARTUCHOS E SERVICOS LTDA</t>
  </si>
  <si>
    <t>2.1.1.04.0256</t>
  </si>
  <si>
    <t>13200172/0001-50</t>
  </si>
  <si>
    <t>SHALLON INST. DE DRY WAL E PERSIANA LTDA</t>
  </si>
  <si>
    <t>2.1.1.04.0257</t>
  </si>
  <si>
    <t>07998546/0001-22</t>
  </si>
  <si>
    <t>UNIVERSO DO SOM ELET. LTDA - NALUBEL</t>
  </si>
  <si>
    <t>2.1.1.04.0258</t>
  </si>
  <si>
    <t>38066296/0001-16</t>
  </si>
  <si>
    <t>CRISTINA ROBERTO BUFFET PROD CULT. LTDA</t>
  </si>
  <si>
    <t>2.1.1.04.0259</t>
  </si>
  <si>
    <t>127.091.159-72</t>
  </si>
  <si>
    <t>ALUGUEL - ROBERTO DORNER</t>
  </si>
  <si>
    <t>2.1.1.04.0260</t>
  </si>
  <si>
    <t>04637111/0001-64</t>
  </si>
  <si>
    <t>MCPAR ENGEN. COMER. E SERV LTDA</t>
  </si>
  <si>
    <t>2.1.1.04.0261</t>
  </si>
  <si>
    <t>11662976/0001-46</t>
  </si>
  <si>
    <t>F CARDOSO SERV DE INFORMAÇÃO LTDA ME</t>
  </si>
  <si>
    <t>2.1.1.04.0262</t>
  </si>
  <si>
    <t>33787094/0001-40</t>
  </si>
  <si>
    <t>IBGE - INST. BRASI. DE GEO E ESTA.</t>
  </si>
  <si>
    <t>2.1.1.04.0263</t>
  </si>
  <si>
    <t>31925530/0001-74</t>
  </si>
  <si>
    <t>SHAFT CONSULTORIA LTDA</t>
  </si>
  <si>
    <t>2.1.1.04.0264</t>
  </si>
  <si>
    <t>06975694/0001-69</t>
  </si>
  <si>
    <t>ATM SIST. ENERG. INFOR. LTDA</t>
  </si>
  <si>
    <t>2.1.1.04.0265</t>
  </si>
  <si>
    <t>02309990/0001-70</t>
  </si>
  <si>
    <t>AZEVEDO E LUZ COMER. E SERV DE INFO. S/A</t>
  </si>
  <si>
    <t>2.1.1.04.0266</t>
  </si>
  <si>
    <t>08819627/0001-80</t>
  </si>
  <si>
    <t>DOMINIO CONTABILIDADE LTDA</t>
  </si>
  <si>
    <t>2.1.1.04.0267</t>
  </si>
  <si>
    <t>12347988/0001-49</t>
  </si>
  <si>
    <t>4Q TELECOMUNICACOES E MULTIMIDIA LTDA</t>
  </si>
  <si>
    <t>2.1.1.04.0268</t>
  </si>
  <si>
    <t>10484330/0001-53</t>
  </si>
  <si>
    <t>LOC MASTER AUTO LOCACAO LTDA</t>
  </si>
  <si>
    <t>2.1.1.04.0269</t>
  </si>
  <si>
    <t>33183724/0001-77</t>
  </si>
  <si>
    <t>MODERNOS HOTEIS DO BRASIL LTDA</t>
  </si>
  <si>
    <t>2.1.1.04.0270</t>
  </si>
  <si>
    <t>14294521/0001-03</t>
  </si>
  <si>
    <t>TOTAL FILM RJ INST. DE PELICULAS LTDA</t>
  </si>
  <si>
    <t>2.1.1.04.0271</t>
  </si>
  <si>
    <t>09323210/0001-95</t>
  </si>
  <si>
    <t>BRAGA E NOVAES LOC. DE VEIC. LTDA</t>
  </si>
  <si>
    <t>2.1.1.04.0272</t>
  </si>
  <si>
    <t>02558157/0014-87</t>
  </si>
  <si>
    <t>2.1.1.04.0273</t>
  </si>
  <si>
    <t>03873788/0001-39</t>
  </si>
  <si>
    <t>CANDELABRUS FESTAS LTDA - VIRGINIA D'ARC</t>
  </si>
  <si>
    <t>2.1.1.04.0274</t>
  </si>
  <si>
    <t>39074190/0006-31</t>
  </si>
  <si>
    <t>LE TOUR PROD. ALIMENTICIOS LTDA</t>
  </si>
  <si>
    <t>2.1.1.04.0275</t>
  </si>
  <si>
    <t>03025227/0001-80</t>
  </si>
  <si>
    <t>I C NASSER E CIA LTDA</t>
  </si>
  <si>
    <t>2.1.1.04.0276</t>
  </si>
  <si>
    <t>08961200/0001-12</t>
  </si>
  <si>
    <t>ATHENAS CONTABILIDADE LTDA</t>
  </si>
  <si>
    <t>2.1.1.04.0277</t>
  </si>
  <si>
    <t>13422884/0001-14</t>
  </si>
  <si>
    <t>NADJA REGIANE DO NASCIMENTO</t>
  </si>
  <si>
    <t>2.1.1.04.0278</t>
  </si>
  <si>
    <t>08003201/0001-54</t>
  </si>
  <si>
    <t>RL CLEAN SERV. DE LIMPEZA E CONS. LTDA</t>
  </si>
  <si>
    <t>2.1.1.04.0279</t>
  </si>
  <si>
    <t>49351919/0001-19</t>
  </si>
  <si>
    <t>ASSOC. NAC. DE TRANS. PUBLICOS - ANTP</t>
  </si>
  <si>
    <t>2.1.1.04.0280</t>
  </si>
  <si>
    <t>10341804/0001-08</t>
  </si>
  <si>
    <t>PIRES E SCHUNK DESIGN LTDA ME</t>
  </si>
  <si>
    <t>2.1.1.04.0281</t>
  </si>
  <si>
    <t>01754239/0005-43</t>
  </si>
  <si>
    <t>REFRIG DUFRIO COM E IMP LTDA</t>
  </si>
  <si>
    <t>2.1.1.04.0282</t>
  </si>
  <si>
    <t>03582662/0001-05</t>
  </si>
  <si>
    <t>TRADE CUSTOMS IMPORTE EXPORT LTDA</t>
  </si>
  <si>
    <t>2.1.1.04.0283</t>
  </si>
  <si>
    <t>78931474/0001-44</t>
  </si>
  <si>
    <t>REDISUL INFORMATICA LTDA</t>
  </si>
  <si>
    <t>2.1.1.04.0284</t>
  </si>
  <si>
    <t>02292557/0001-79</t>
  </si>
  <si>
    <t>SUPER TRAFOS INDUSTRIA E COMERCIO LTDA</t>
  </si>
  <si>
    <t>2.1.1.04.0285</t>
  </si>
  <si>
    <t>31424369/0001-55</t>
  </si>
  <si>
    <t>MULTITEC INSTRUMENTOS DE MEDICAO LTDA</t>
  </si>
  <si>
    <t>2.1.1.04.0286</t>
  </si>
  <si>
    <t>03142200/0001-77</t>
  </si>
  <si>
    <t>NORMATEC DE SAO CRISTOVAO LTDA</t>
  </si>
  <si>
    <t>2.1.1.04.0287</t>
  </si>
  <si>
    <t>03687592/0001-50</t>
  </si>
  <si>
    <t>VALOR ECONOMICO S.A</t>
  </si>
  <si>
    <t>2.1.1.04.0288</t>
  </si>
  <si>
    <t>14059340/0001-00</t>
  </si>
  <si>
    <t>PANDORA COM. DE MAT.  DE ESC. DE LIMP.</t>
  </si>
  <si>
    <t>2.1.1.04.0289</t>
  </si>
  <si>
    <t>26994285/0001-17</t>
  </si>
  <si>
    <t>TOPOCART TOPOGRAFIA ENG. E AEROL. LTDA</t>
  </si>
  <si>
    <t>2.1.1.04.0290</t>
  </si>
  <si>
    <t>03951066/0001-55</t>
  </si>
  <si>
    <t>FOCO ARQUITETOS ASSOCIADOS LTDA</t>
  </si>
  <si>
    <t>2.1.1.04.0291</t>
  </si>
  <si>
    <t>33717976/0001-39</t>
  </si>
  <si>
    <t>RIOTRON COMERCIO E INDUSTRIA DE MAQ LTDA</t>
  </si>
  <si>
    <t>2.1.1.04.0292</t>
  </si>
  <si>
    <t>04656762/0001-00</t>
  </si>
  <si>
    <t>WALPRINT GRAFICA E EDITORA LTDA</t>
  </si>
  <si>
    <t>2.1.1.04.0294</t>
  </si>
  <si>
    <t>15278683/0001-10</t>
  </si>
  <si>
    <t>TAYNAH KAUANY DE OLIV SILVA TRANSPORTE</t>
  </si>
  <si>
    <t>2.1.1.04.0295</t>
  </si>
  <si>
    <t>31249774/0001-84</t>
  </si>
  <si>
    <t>MENON COPIAS LTDA</t>
  </si>
  <si>
    <t>2.1.1.04.0296</t>
  </si>
  <si>
    <t>43217850/0001-59</t>
  </si>
  <si>
    <t>IOB INFORMACOES OBJ PUB JURIDICAS LTDA</t>
  </si>
  <si>
    <t>2.1.1.04.0297</t>
  </si>
  <si>
    <t>08740327/0001-01</t>
  </si>
  <si>
    <t>SYSTEM CARD 460 CONT DE ACESSO E IDENT.</t>
  </si>
  <si>
    <t>2.1.1.04.0298</t>
  </si>
  <si>
    <t>06281829/0001-96</t>
  </si>
  <si>
    <t>JP SMART VEND. OP. MAQ. AUTOMATICAS LTDA</t>
  </si>
  <si>
    <t>2.1.1.04.0299</t>
  </si>
  <si>
    <t>32922205/0001-10</t>
  </si>
  <si>
    <t>CENTRAL DE AVALIACAO E PERICIAS LTDA</t>
  </si>
  <si>
    <t>2.1.1.04.0300</t>
  </si>
  <si>
    <t>28015634/0003-07</t>
  </si>
  <si>
    <t>ESAD CONSULTORIA S/S LTDA</t>
  </si>
  <si>
    <t>2.1.1.04.0301</t>
  </si>
  <si>
    <t>33073800/0001-91</t>
  </si>
  <si>
    <t>DANIEL ADVOGADOS</t>
  </si>
  <si>
    <t>2.1.1.04.0302</t>
  </si>
  <si>
    <t>62277041/0001-87</t>
  </si>
  <si>
    <t>DISAL S.A</t>
  </si>
  <si>
    <t>2.1.1.04.0303</t>
  </si>
  <si>
    <t>10418927/0001-08</t>
  </si>
  <si>
    <t>ECO PLUS 92 NAT WEAR COM PROD ECOL LTDA</t>
  </si>
  <si>
    <t>2.1.1.04.0304</t>
  </si>
  <si>
    <t>33540014/0001-57</t>
  </si>
  <si>
    <t>UNIVERSIDADE DO ESTADO DO RIO DE JANEIRO</t>
  </si>
  <si>
    <t>2.1.1.04.0305</t>
  </si>
  <si>
    <t>05170462/0001-70</t>
  </si>
  <si>
    <t>SMH ASSESSORIA E CONSULTORIA EMPRE. LTDA</t>
  </si>
  <si>
    <t>2.1.1.04.0306</t>
  </si>
  <si>
    <t>05764629/0001-21</t>
  </si>
  <si>
    <t>DFTRANS</t>
  </si>
  <si>
    <t>2.1.1.04.0307</t>
  </si>
  <si>
    <t>06913480/0001-68</t>
  </si>
  <si>
    <t>CENTELHA EQUIPAMENTOS ELETRONICOS LTDA</t>
  </si>
  <si>
    <t>2.1.1.04.0308</t>
  </si>
  <si>
    <t>60455193/0001-05</t>
  </si>
  <si>
    <t>OPENCADD ADVANCED TECHNOLOGY LTDA</t>
  </si>
  <si>
    <t>2.1.1.04.0309</t>
  </si>
  <si>
    <t>INSTITUTO NAC. DE EFICIENCIA ENERGETICA</t>
  </si>
  <si>
    <t>2.1.1.04.0311</t>
  </si>
  <si>
    <t>02687045/0001-01</t>
  </si>
  <si>
    <t>ADMINISTRADORA SANTA CAROLINA LTDA</t>
  </si>
  <si>
    <t>2.1.1.04.0312</t>
  </si>
  <si>
    <t>33732991/0001-56</t>
  </si>
  <si>
    <t>ELETRICA ARTURO LTDA</t>
  </si>
  <si>
    <t>2.1.1.04.0313</t>
  </si>
  <si>
    <t>11425781/0001-82</t>
  </si>
  <si>
    <t>GRP SOLUTIONS INFORMATICA LTDA</t>
  </si>
  <si>
    <t>2.1.1.04.0314</t>
  </si>
  <si>
    <t>10354189/0001-74</t>
  </si>
  <si>
    <t>MACEIO SERVICOS LTDA</t>
  </si>
  <si>
    <t>2.1.1.04.0315</t>
  </si>
  <si>
    <t>39119656/0001-63</t>
  </si>
  <si>
    <t>MULTISUPRIMENTOS SUP E EQUIP P/ ESC INFO</t>
  </si>
  <si>
    <t>2.1.1.04.0316</t>
  </si>
  <si>
    <t>32265811/0001-00</t>
  </si>
  <si>
    <t>BOLSA DE NEGOCIO IMOBILARIOS DO RIO</t>
  </si>
  <si>
    <t>2.1.1.04.0317</t>
  </si>
  <si>
    <t>34135509/0001-63</t>
  </si>
  <si>
    <t>APIMEC RIO</t>
  </si>
  <si>
    <t>2.1.1.04.0318</t>
  </si>
  <si>
    <t>33368762/0001-02</t>
  </si>
  <si>
    <t>EMD RIO GUARDA MOVEIS E MUDANCAS LTDA</t>
  </si>
  <si>
    <t>2.1.1.04.0319</t>
  </si>
  <si>
    <t>32106536/0001-82</t>
  </si>
  <si>
    <t>EDITORA OBJETIVA LTDA</t>
  </si>
  <si>
    <t>2.1.1.04.0320</t>
  </si>
  <si>
    <t>33633561/0001-87</t>
  </si>
  <si>
    <t>LEME ENGENHARIA LTDA</t>
  </si>
  <si>
    <t>2.1.1.04.0321</t>
  </si>
  <si>
    <t>04911597/00001-87</t>
  </si>
  <si>
    <t>TREINAMENTO AVANCADO LTDA</t>
  </si>
  <si>
    <t>2.1.1.04.0322</t>
  </si>
  <si>
    <t>09512865/0001-01</t>
  </si>
  <si>
    <t>SANDERCOM COMERCIO DE INFORMATICA LTDA</t>
  </si>
  <si>
    <t>2.1.1.04.0323</t>
  </si>
  <si>
    <t>07522669/0001-92</t>
  </si>
  <si>
    <t>CEB DISTRIBUICAO</t>
  </si>
  <si>
    <t>2.1.1.04.0324</t>
  </si>
  <si>
    <t>08208924/0001-90</t>
  </si>
  <si>
    <t>FORT SAFE COMERCIO DE COFRE LTDA ME</t>
  </si>
  <si>
    <t>2.1.1.04.0325</t>
  </si>
  <si>
    <t>02605452/0001-22</t>
  </si>
  <si>
    <t>VIP SERVICE CLUB LOCADORA LTDA</t>
  </si>
  <si>
    <t>2.1.1.04.0326</t>
  </si>
  <si>
    <t>04982263/0001-02</t>
  </si>
  <si>
    <t>MONTALVO ADMINISTRACAO E PARTICIPACOES</t>
  </si>
  <si>
    <t>2.1.1.04.0327</t>
  </si>
  <si>
    <t>33569146/0001-01</t>
  </si>
  <si>
    <t>BAZAR DOS PRATOS LTDA</t>
  </si>
  <si>
    <t>2.1.1.04.0328</t>
  </si>
  <si>
    <t>09116592/0001-86</t>
  </si>
  <si>
    <t>BELLCOMS COM E PREST SERV INFORM LTDA</t>
  </si>
  <si>
    <t>2.1.1.04.0329</t>
  </si>
  <si>
    <t>62410352/0019-00</t>
  </si>
  <si>
    <t>LIVRARIA CULTURA S.A</t>
  </si>
  <si>
    <t>2.1.1.04.0330</t>
  </si>
  <si>
    <t>05977006/0001-37</t>
  </si>
  <si>
    <t>YP PERSIANAS LTDA</t>
  </si>
  <si>
    <t>2.1.1.04.0331</t>
  </si>
  <si>
    <t>15272192/0001-62</t>
  </si>
  <si>
    <t>NOVA TECNICA EDITORA LTDA</t>
  </si>
  <si>
    <t>2.1.1.04.0332</t>
  </si>
  <si>
    <t>12063470/0001-83</t>
  </si>
  <si>
    <t>ECOENERGIA EDITORA LTDA</t>
  </si>
  <si>
    <t>2.1.1.04.0333</t>
  </si>
  <si>
    <t>02990717/0001-53</t>
  </si>
  <si>
    <t>MACROPLAN PROSPECTVA ESTRATEGIA E GESTAO</t>
  </si>
  <si>
    <t>2.1.1.04.0334</t>
  </si>
  <si>
    <t>03584647/0001-04</t>
  </si>
  <si>
    <t>NELSON WILIANS E ADVOGADOS ASSOCIADOS</t>
  </si>
  <si>
    <t>2.1.1.04.0335</t>
  </si>
  <si>
    <t>07022584/0001-45</t>
  </si>
  <si>
    <t>LIVRARIA CAFE DO WILSINHO LTDA</t>
  </si>
  <si>
    <t>2.1.1.04.0337</t>
  </si>
  <si>
    <t>60215282/0001-76</t>
  </si>
  <si>
    <t>SOCIEDADE BRAS. DE PESQ. OPER. SOBRAPO</t>
  </si>
  <si>
    <t>2.1.1.04.0338</t>
  </si>
  <si>
    <t>05313684/0001-03</t>
  </si>
  <si>
    <t>MOURAO MARMORES E GRANITOS LTDA</t>
  </si>
  <si>
    <t>2.1.1.04.0339</t>
  </si>
  <si>
    <t>62958863/0001-23</t>
  </si>
  <si>
    <t>WGR INDUSTRIA COM. IMP. E EXP. LTDA</t>
  </si>
  <si>
    <t>2.1.1.04.0340</t>
  </si>
  <si>
    <t>02718533/0001-39</t>
  </si>
  <si>
    <t>SHOPPING HOUSE UTIL. PARA O LAR LTDA</t>
  </si>
  <si>
    <t>2.1.1.04.0341</t>
  </si>
  <si>
    <t>CRISDINBASTOS LTDA</t>
  </si>
  <si>
    <t>2.1.1.04.0342</t>
  </si>
  <si>
    <t>BAZAR FLOR DO ACRE LTDA</t>
  </si>
  <si>
    <t>2.1.1.04.0343</t>
  </si>
  <si>
    <t>00673757/0001-46</t>
  </si>
  <si>
    <t>INFNET EDUCACAO LTDA</t>
  </si>
  <si>
    <t>2.1.1.04.0344</t>
  </si>
  <si>
    <t>04927672/0001-06</t>
  </si>
  <si>
    <t>SC&amp;M COMER. DE MAT. DE ESCR. E INFO. LT</t>
  </si>
  <si>
    <t>2.1.1.04.0345</t>
  </si>
  <si>
    <t>02309765/0001-03</t>
  </si>
  <si>
    <t>EGIDE COM. DE VEST. E ELETROD. LTDA</t>
  </si>
  <si>
    <t>2.1.1.04.0346</t>
  </si>
  <si>
    <t>30069850/0001-07</t>
  </si>
  <si>
    <t>MAXPEL DIST. DE INFORM. E PAPELARIA LTDA</t>
  </si>
  <si>
    <t>2.1.1.04.0347</t>
  </si>
  <si>
    <t>03420926/0058-60</t>
  </si>
  <si>
    <t>GLOBAL VILLAGE TELECOM LTDA</t>
  </si>
  <si>
    <t>2.1.1.04.0348</t>
  </si>
  <si>
    <t>01085952/0001-18</t>
  </si>
  <si>
    <t>PRONTIDAO SERVICOS LTDA</t>
  </si>
  <si>
    <t>2.1.1.04.0349</t>
  </si>
  <si>
    <t>11114463/0001-09</t>
  </si>
  <si>
    <t>GRAF EDIT FORMU CONTI E ETIQUE F&amp;F LTDA</t>
  </si>
  <si>
    <t>2.1.1.04.0350</t>
  </si>
  <si>
    <t>03620596/0012-73</t>
  </si>
  <si>
    <t>DIDICO COMERCIO CONSULTORIA</t>
  </si>
  <si>
    <t>2.1.1.04.0351</t>
  </si>
  <si>
    <t>14314927/0001-00</t>
  </si>
  <si>
    <t>VEM QUE AQUI TEM INFORMATICA LTDA</t>
  </si>
  <si>
    <t>2.1.1.04.0352</t>
  </si>
  <si>
    <t>33085796/0001-81</t>
  </si>
  <si>
    <t>FERRAGENS SCALEA LTDA</t>
  </si>
  <si>
    <t>2.1.1.04.0353</t>
  </si>
  <si>
    <t>10979108/0001-21</t>
  </si>
  <si>
    <t>DHI BRASIL LTDA</t>
  </si>
  <si>
    <t>2.1.1.04.0354</t>
  </si>
  <si>
    <t>05875886/0001-30</t>
  </si>
  <si>
    <t>MENEGHITTIS GRAFICA E EDITORA LTDA</t>
  </si>
  <si>
    <t>2.1.1.04.0355</t>
  </si>
  <si>
    <t>01778924/0001-86</t>
  </si>
  <si>
    <t>GELSO ANTONIO LORENZI</t>
  </si>
  <si>
    <t>2.1.1.04.0356</t>
  </si>
  <si>
    <t>07267692/0001-88</t>
  </si>
  <si>
    <t>TIMELINE LEARNING SYSTEMS COMP GRAF LTDA</t>
  </si>
  <si>
    <t>2.1.1.04.0357</t>
  </si>
  <si>
    <t>02707366/0001-20</t>
  </si>
  <si>
    <t>AMS INFORMATICA LTDA</t>
  </si>
  <si>
    <t>2.1.1.04.0358</t>
  </si>
  <si>
    <t>01398737/0001-77</t>
  </si>
  <si>
    <t>CURSO ADV LTDA</t>
  </si>
  <si>
    <t>2.1.1.04.0359</t>
  </si>
  <si>
    <t>14208689/0001-59</t>
  </si>
  <si>
    <t>BARLOVENTO BRASIL ENERG RENOVAVEIS LTDA</t>
  </si>
  <si>
    <t>2.1.1.04.0360</t>
  </si>
  <si>
    <t>14798807/0001-26</t>
  </si>
  <si>
    <t>GENEBRA RESTAURANTE LTDA</t>
  </si>
  <si>
    <t>2.1.1.04.0361</t>
  </si>
  <si>
    <t>04073247/0001-99</t>
  </si>
  <si>
    <t>LEMA PROMOCOES E EVENTOS LTDA</t>
  </si>
  <si>
    <t>2.1.1.04.0362</t>
  </si>
  <si>
    <t>08964597/0001-04</t>
  </si>
  <si>
    <t>REPUBLICA DO SOM ELETRONICA LTDA</t>
  </si>
  <si>
    <t>2.1.1.04.0363</t>
  </si>
  <si>
    <t>51536795/0001-98</t>
  </si>
  <si>
    <t>SANTIAGO &amp; CINTRA IMPORT E EXPORT LTDA</t>
  </si>
  <si>
    <t>2.1.1.04.0364</t>
  </si>
  <si>
    <t>0448141/0001-52</t>
  </si>
  <si>
    <t>IGUACU TUR AGENC DE VIAG E TUR LTDA</t>
  </si>
  <si>
    <t>2.1.1.04.0365</t>
  </si>
  <si>
    <t>UNITECH-RIO COM. E SERV. LTDA</t>
  </si>
  <si>
    <t>2.1.1.04.0366</t>
  </si>
  <si>
    <t>01797423/0001-47</t>
  </si>
  <si>
    <t>GHS INDUSTRIA E SERVICOS LTDA</t>
  </si>
  <si>
    <t>2.1.1.04.0367</t>
  </si>
  <si>
    <t>05777480/0001-15</t>
  </si>
  <si>
    <t>JBP DOMINICI ME</t>
  </si>
  <si>
    <t>2.1.1.04.0368</t>
  </si>
  <si>
    <t>53828620/0001-80</t>
  </si>
  <si>
    <t>SOCIEDADE BRASILEIRA DE ICTIOLOGIA</t>
  </si>
  <si>
    <t>2.1.1.04.0369</t>
  </si>
  <si>
    <t>16687498/0001-42</t>
  </si>
  <si>
    <t>PEX SA</t>
  </si>
  <si>
    <t>2.1.1.04.0370</t>
  </si>
  <si>
    <t>05824164/0001-28</t>
  </si>
  <si>
    <t>IBDE INST BRAS DE EST DIREITO ENERGIA</t>
  </si>
  <si>
    <t>2.1.1.04.0371</t>
  </si>
  <si>
    <t>08311546/0001-75</t>
  </si>
  <si>
    <t>FRAGMEUSER COM D MAQ E EQUIP D ESCR LTDA</t>
  </si>
  <si>
    <t>2.1.1.04.0372</t>
  </si>
  <si>
    <t>10830126/000147</t>
  </si>
  <si>
    <t>RESOLUTION CONSUL EM GEST EMPRE E TECN D</t>
  </si>
  <si>
    <t>2.1.1.04.0373</t>
  </si>
  <si>
    <t>33769639/000195</t>
  </si>
  <si>
    <t>ELETRICA SANTO MICHELE LTDA</t>
  </si>
  <si>
    <t>2.1.1.04.0374</t>
  </si>
  <si>
    <t>04325027/0001-05</t>
  </si>
  <si>
    <t>CALIFORNIA 2001 INFO E MAT LIMPEZA LTDA</t>
  </si>
  <si>
    <t>2.1.1.04.0376</t>
  </si>
  <si>
    <t>62916366/0001-62</t>
  </si>
  <si>
    <t>SOCIEDADE BRASILEIRA DE GEOLOGIA</t>
  </si>
  <si>
    <t>2.1.1.04.0377</t>
  </si>
  <si>
    <t>10787431/0001-01</t>
  </si>
  <si>
    <t>INTITUTO BESC DE HUMANIDADE E ECONOMIA</t>
  </si>
  <si>
    <t>2.1.1.04.0378</t>
  </si>
  <si>
    <t>00771775/0001-60</t>
  </si>
  <si>
    <t>JOBAF REFORMAS DE MOVEIS LTDA</t>
  </si>
  <si>
    <t>2.1.1.04.0379</t>
  </si>
  <si>
    <t>13293067/0001-03</t>
  </si>
  <si>
    <t>MC QUILLING BRASIL SERV MARITIMOS LTDA</t>
  </si>
  <si>
    <t>2.1.1.04.0380</t>
  </si>
  <si>
    <t>07668045/0001-88</t>
  </si>
  <si>
    <t>IMAGEM SISTEMAS DE INFORMACOES LTDA</t>
  </si>
  <si>
    <t>2.1.1.04.0381</t>
  </si>
  <si>
    <t>14132747/0001-08</t>
  </si>
  <si>
    <t>ESCOLA DE AUDIT E GOVER CORPORATIVA LTDA</t>
  </si>
  <si>
    <t>2.1.1.04.0382</t>
  </si>
  <si>
    <t>02317176/0001-05</t>
  </si>
  <si>
    <t>ESCOLA DE ADMINISTRACAO FAZENDARIA</t>
  </si>
  <si>
    <t>2.1.1.04.0383</t>
  </si>
  <si>
    <t>06952344/000187</t>
  </si>
  <si>
    <t>CONSULTOC-CONSULTORIA E TREINAMENTO LTDA</t>
  </si>
  <si>
    <t>2.1.1.04.0384</t>
  </si>
  <si>
    <t>06229883/0001-92</t>
  </si>
  <si>
    <t>QUANTUM DO BRASIL LTDA</t>
  </si>
  <si>
    <t>2.1.1.04.0385</t>
  </si>
  <si>
    <t>INSTITUTO CAPACITAR DE EDUCACAO PROF</t>
  </si>
  <si>
    <t>2.1.1.04.0386</t>
  </si>
  <si>
    <t>13242948/0001-03</t>
  </si>
  <si>
    <t>DATAGRO MARKETS DADOS E ANALISES LTDA</t>
  </si>
  <si>
    <t>2.1.1.04.0387</t>
  </si>
  <si>
    <t>66542002/0017-88</t>
  </si>
  <si>
    <t>BLUE TREE HOTELS &amp; RESORTS DO BRASIL S.A</t>
  </si>
  <si>
    <t>2.1.1.04.0388</t>
  </si>
  <si>
    <t>73681603/0001-70</t>
  </si>
  <si>
    <t>NEO CARE CONSUL INFANTIL LTDA</t>
  </si>
  <si>
    <t>2.1.1.04.0389</t>
  </si>
  <si>
    <t>08493691/0001-14</t>
  </si>
  <si>
    <t>FLAMAM IND E COM DE FILTROS INDUS LTDA</t>
  </si>
  <si>
    <t>2.1.1.04.0390</t>
  </si>
  <si>
    <t>04629369/000119</t>
  </si>
  <si>
    <t>CA SIMPLES COMERCIO E TECNOLOGIA LTDA</t>
  </si>
  <si>
    <t>2.1.1.04.0391</t>
  </si>
  <si>
    <t>14242413/000197</t>
  </si>
  <si>
    <t>GL GARRAD HASSAN ENER RENOVAVEL BR LTDA</t>
  </si>
  <si>
    <t>2.1.1.04.0392</t>
  </si>
  <si>
    <t>32059016/0001-66</t>
  </si>
  <si>
    <t>ENGEPLAC SIST DE COM VISU LTDA</t>
  </si>
  <si>
    <t>2.1.1.04.0393</t>
  </si>
  <si>
    <t>13425600/0001-43</t>
  </si>
  <si>
    <t>SAID AUDIOVISUAL LOC DE EQUI P/ TRAD SIM</t>
  </si>
  <si>
    <t>2.1.1.04.0394</t>
  </si>
  <si>
    <t>11290557/0001-20</t>
  </si>
  <si>
    <t>FRANCA COM DE ELTR IMP E EXP</t>
  </si>
  <si>
    <t>2.1.1.04.0395</t>
  </si>
  <si>
    <t>28948222/0001-50</t>
  </si>
  <si>
    <t>PAPELARIA ZAP LTDA</t>
  </si>
  <si>
    <t>2.1.1.04.0396</t>
  </si>
  <si>
    <t>87270690/0001-87</t>
  </si>
  <si>
    <t>COMERCIO DE APAR MUSICAIS MIL SONS LTDA</t>
  </si>
  <si>
    <t>2.1.1.04.0397</t>
  </si>
  <si>
    <t>08463170/0003-86</t>
  </si>
  <si>
    <t>EDITORA WMF MARTINS FONTES LTDA</t>
  </si>
  <si>
    <t>2.1.1.04.0398</t>
  </si>
  <si>
    <t>32578387/0001-54</t>
  </si>
  <si>
    <t>UNITECH RIO COMERCIO E SERV LTDA</t>
  </si>
  <si>
    <t>2.1.1.04.0399</t>
  </si>
  <si>
    <t>07661783/0001-01</t>
  </si>
  <si>
    <t>AGC RIO FRETAMENTO E TURISMO LTDA</t>
  </si>
  <si>
    <t>2.1.1.04.0400</t>
  </si>
  <si>
    <t>27158039/0001-98</t>
  </si>
  <si>
    <t>AGEL COP SERVICOS GERAIS LTDA</t>
  </si>
  <si>
    <t>2.1.1.04.0401</t>
  </si>
  <si>
    <t>01000601/0001-57</t>
  </si>
  <si>
    <t>KAHN CONSULTORIA E TREINAMENTO</t>
  </si>
  <si>
    <t>2.1.1.04.0402</t>
  </si>
  <si>
    <t>07797967/0001-95</t>
  </si>
  <si>
    <t>NP-EVENTOS E SERVICOS LTDA</t>
  </si>
  <si>
    <t>2.1.1.04.0403</t>
  </si>
  <si>
    <t>54394630/0002-06</t>
  </si>
  <si>
    <t>SERVICES LIVRARIA E EDITORA LTDA</t>
  </si>
  <si>
    <t>2.1.1.04.0404</t>
  </si>
  <si>
    <t>02660104/0001-58</t>
  </si>
  <si>
    <t>LOGUS DETETIZADORA LTDA</t>
  </si>
  <si>
    <t>2.1.1.04.0405</t>
  </si>
  <si>
    <t>06326048/0001-70</t>
  </si>
  <si>
    <t>OVERSTRESS RIO SERVICOS DE RELAXAMENTO</t>
  </si>
  <si>
    <t>2.1.1.04.0406</t>
  </si>
  <si>
    <t>07271878/0001-00</t>
  </si>
  <si>
    <t>GRUPO JAM AGENC DE PUBLICIDADE LTDA</t>
  </si>
  <si>
    <t>2.1.1.04.0407</t>
  </si>
  <si>
    <t>81241515/0001-85</t>
  </si>
  <si>
    <t>AEROIMAGENS S/A</t>
  </si>
  <si>
    <t>2.1.1.04.0408</t>
  </si>
  <si>
    <t>01312265/0001-98</t>
  </si>
  <si>
    <t>VIRTUAL OFFICE COM E IND DE PROD</t>
  </si>
  <si>
    <t>2.1.1.04.0409</t>
  </si>
  <si>
    <t>05816526/0001-68</t>
  </si>
  <si>
    <t>ZIVA TECNOLOGIA E SOLUCOES</t>
  </si>
  <si>
    <t>2.1.1.04.0410</t>
  </si>
  <si>
    <t>35949858/0001-81</t>
  </si>
  <si>
    <t>ESCOLA DA MAGISTRATURA DO ESTADO RJ</t>
  </si>
  <si>
    <t>2.1.1.04.0411</t>
  </si>
  <si>
    <t>04183043/0001-00</t>
  </si>
  <si>
    <t>INNOLAB DO BRASIL LTDA</t>
  </si>
  <si>
    <t>2.1.1.04.0412</t>
  </si>
  <si>
    <t>62567821/0001-61</t>
  </si>
  <si>
    <t>ABEGAS - ASSOCIACAO BRASILEIRA DAS EMPRE</t>
  </si>
  <si>
    <t>2.1.1.04.0413</t>
  </si>
  <si>
    <t>02457524/0001-31</t>
  </si>
  <si>
    <t>PUBLINT-PUBL NAC E INT LTDA</t>
  </si>
  <si>
    <t>2.1.1.04.0414</t>
  </si>
  <si>
    <t>12711505/0001-43</t>
  </si>
  <si>
    <t>EDITORA PAPEIS NOVA ALIANCA LTDA</t>
  </si>
  <si>
    <t>2.1.1.04.0415</t>
  </si>
  <si>
    <t>12964018/0001-92</t>
  </si>
  <si>
    <t>AS MARIAS PROPAGANDA LTDA</t>
  </si>
  <si>
    <t>2.1.1.04.0416</t>
  </si>
  <si>
    <t>09385180/0001-41</t>
  </si>
  <si>
    <t>IMPRIMINDO CONHECIMENTOS GRAF EDIT LTDA</t>
  </si>
  <si>
    <t>2.1.1.04.0417</t>
  </si>
  <si>
    <t>04576573/0001-19</t>
  </si>
  <si>
    <t>IGPLAN INTELIGENCIA GEOGRAFICA LTDA</t>
  </si>
  <si>
    <t>2.1.1.04.0418</t>
  </si>
  <si>
    <t>11050925/0001-63</t>
  </si>
  <si>
    <t>GESEQ COMERCIO E SERVICOS DE SEGURANCA</t>
  </si>
  <si>
    <t>2.1.1.04.0419</t>
  </si>
  <si>
    <t>07134279/0001-45</t>
  </si>
  <si>
    <t>NOVATERRA GEOP. E CONS. EM MEIO AMBIENTE</t>
  </si>
  <si>
    <t>2.1.1.04.0420</t>
  </si>
  <si>
    <t>35808948/00001-52</t>
  </si>
  <si>
    <t>HABTEC ENGENHARIA SANITARIA E AMBIENTAL</t>
  </si>
  <si>
    <t>2.1.1.04.0421</t>
  </si>
  <si>
    <t>10785597/0001-80</t>
  </si>
  <si>
    <t>PALISADE COMERCIALIZADORA  DE SOFTWARES</t>
  </si>
  <si>
    <t>2.1.1.04.0422</t>
  </si>
  <si>
    <t>36084895/0001-37</t>
  </si>
  <si>
    <t>STRAICK CENTRO DE TREINAMENTO E INF LTDA</t>
  </si>
  <si>
    <t>2.1.1.04.0423</t>
  </si>
  <si>
    <t>31304371/00001-90</t>
  </si>
  <si>
    <t>JOALHERIA SILVA CAMPOS  LTDA</t>
  </si>
  <si>
    <t>2.1.1.04.0424</t>
  </si>
  <si>
    <t>08942118-0001/40</t>
  </si>
  <si>
    <t>ART DECOR CARPETES PISOS  E REVESTIMENTO</t>
  </si>
  <si>
    <t>2.1.1.04.0425</t>
  </si>
  <si>
    <t>05325136/0001-95</t>
  </si>
  <si>
    <t>UB BRASIL EVENTOS LTDA</t>
  </si>
  <si>
    <t>2.1.1.04.0426</t>
  </si>
  <si>
    <t>08824171/0003-09</t>
  </si>
  <si>
    <t>JCM NITEROI REFRIGERACAO LTDA</t>
  </si>
  <si>
    <t>2.1.1.04.0427</t>
  </si>
  <si>
    <t>35808088/0001-57</t>
  </si>
  <si>
    <t>P C E PROJETOS E CONSULT DE ENG LTDA</t>
  </si>
  <si>
    <t>2.1.1.04.0428</t>
  </si>
  <si>
    <t>03851171/0001-12</t>
  </si>
  <si>
    <t>SERVICO SOCIAL DA INDUSTRIA - SESI</t>
  </si>
  <si>
    <t>2.1.1.04.0429</t>
  </si>
  <si>
    <t>05396069/0001-08</t>
  </si>
  <si>
    <t>NOVO PONTO DIGITAL COMERCIO LTDA EPP</t>
  </si>
  <si>
    <t>2.1.1.04.0430</t>
  </si>
  <si>
    <t>11209430/0001-34</t>
  </si>
  <si>
    <t>EASYTS ASSESSORIA LINGUISTICA LTDA</t>
  </si>
  <si>
    <t>2.1.1.04.0431</t>
  </si>
  <si>
    <t>03928633/0017-10</t>
  </si>
  <si>
    <t>HOUTER DO BRASIL LTDA</t>
  </si>
  <si>
    <t>2.1.1.04.0432</t>
  </si>
  <si>
    <t>10411968/0001-64</t>
  </si>
  <si>
    <t>WOOD MACKENZE CONSULTORIA E ASSESSORIA</t>
  </si>
  <si>
    <t>2.1.1.04.0433</t>
  </si>
  <si>
    <t>72381189/0006-25</t>
  </si>
  <si>
    <t>DELL COMPUTADORES DO BRASIL LTDA</t>
  </si>
  <si>
    <t>2.1.1.04.0434</t>
  </si>
  <si>
    <t>01113391/0001-13</t>
  </si>
  <si>
    <t>DOCUMENTAR TECNOLOGIA E INFORMACAO  LTDA</t>
  </si>
  <si>
    <t>2.1.1.04.0435</t>
  </si>
  <si>
    <t>15208337/0001-66</t>
  </si>
  <si>
    <t>RICETE CONSERTOS E MANUTENCAO LTDA</t>
  </si>
  <si>
    <t>2.1.1.04.0436</t>
  </si>
  <si>
    <t>15276795/0001-32</t>
  </si>
  <si>
    <t>SERCOM SOLUCOES LTDA</t>
  </si>
  <si>
    <t>2.1.1.04.0437</t>
  </si>
  <si>
    <t>88766936/0001-79</t>
  </si>
  <si>
    <t>MARELLI MOVEIS PARA ESCRITORIO LTDA</t>
  </si>
  <si>
    <t>2.1.1.04.0438</t>
  </si>
  <si>
    <t>13098174/0001-80</t>
  </si>
  <si>
    <t>MACIEL AUDITORES S/S - EPP</t>
  </si>
  <si>
    <t>2.1.1.04.0439</t>
  </si>
  <si>
    <t>36207710/0001-34</t>
  </si>
  <si>
    <t>DUPLICA SOM IND. COM. LTDA</t>
  </si>
  <si>
    <t>2.1.1.04.0440</t>
  </si>
  <si>
    <t>07815873/0001-00</t>
  </si>
  <si>
    <t>FUNDACAO TROMPOWSKY</t>
  </si>
  <si>
    <t>2.1.1.04.0441</t>
  </si>
  <si>
    <t>04234330/0001-00</t>
  </si>
  <si>
    <t>MENEGATTI SOLUCOES SOFTWARE LTDA</t>
  </si>
  <si>
    <t>2.1.1.04.0442</t>
  </si>
  <si>
    <t>05102374/0001-31</t>
  </si>
  <si>
    <t>EXTINFIRE EXTINTORES LTDA</t>
  </si>
  <si>
    <t>2.1.1.04.0443</t>
  </si>
  <si>
    <t>07055987/0001-90</t>
  </si>
  <si>
    <t>INOVAMAX TELEINFORMATICA LTDA</t>
  </si>
  <si>
    <t>2.1.1.04.0444</t>
  </si>
  <si>
    <t>07799454/0001-13</t>
  </si>
  <si>
    <t>CENOFISCO CENTRO DE CAP. PROFISSIONAL</t>
  </si>
  <si>
    <t>2.1.1.04.0445</t>
  </si>
  <si>
    <t>09308557/0001-69</t>
  </si>
  <si>
    <t>BUREAURIO REPROGRAFIA E SERVICOS LTDA</t>
  </si>
  <si>
    <t>2.1.1.04.0446</t>
  </si>
  <si>
    <t>76703404/0001-03</t>
  </si>
  <si>
    <t>FERMA ENGENHARIA LTDA</t>
  </si>
  <si>
    <t>2.1.1.04.0448</t>
  </si>
  <si>
    <t>02249861/0001-33</t>
  </si>
  <si>
    <t>ASMEP ASSISTENCIAL DE MOLAS E PORTAS LTD</t>
  </si>
  <si>
    <t>2.1.1.04.0450</t>
  </si>
  <si>
    <t>INSTITUTO SOCIAL IRIS</t>
  </si>
  <si>
    <t>2.1.1.04.0451</t>
  </si>
  <si>
    <t>04672955/0001-46</t>
  </si>
  <si>
    <t>MR IRMAO MANSUR LTDA</t>
  </si>
  <si>
    <t>2.1.1.04.0452</t>
  </si>
  <si>
    <t>90051160/0001-52</t>
  </si>
  <si>
    <t>BORTOLINI INDUSTRIA DE MOVEIS LTDA</t>
  </si>
  <si>
    <t>2.1.1.04.0453</t>
  </si>
  <si>
    <t>31401128/0001-90</t>
  </si>
  <si>
    <t>META EXTINTORES LTDA</t>
  </si>
  <si>
    <t>2.1.1.04.0454</t>
  </si>
  <si>
    <t>17299828/0001-95</t>
  </si>
  <si>
    <t>JOSE ARMESINO RODRIGUES NETO</t>
  </si>
  <si>
    <t>2.1.1.04.0456</t>
  </si>
  <si>
    <t>06309379/0001-00</t>
  </si>
  <si>
    <t>NOVE ORGANIZACAO DE EVENTOS LTDA</t>
  </si>
  <si>
    <t>2.1.1.04.0457</t>
  </si>
  <si>
    <t>03734114/0001-53</t>
  </si>
  <si>
    <t>A. ALMEIDA NAVEGACAO E TURISMO LTDA - ME</t>
  </si>
  <si>
    <t>2.1.1.04.0458</t>
  </si>
  <si>
    <t>09545938/0001-61</t>
  </si>
  <si>
    <t>INDUSTRIA GOMES MOVEIS DE ACO LTDA</t>
  </si>
  <si>
    <t>2.1.1.04.0459</t>
  </si>
  <si>
    <t>01802270/0001-89</t>
  </si>
  <si>
    <t>SOCIEDADE BRASILEIRA DE METROLOGIA</t>
  </si>
  <si>
    <t>2.1.1.04.0460</t>
  </si>
  <si>
    <t>16455078/0001-30</t>
  </si>
  <si>
    <t>BRASILIMP LIMPEZA CERTA LTDA</t>
  </si>
  <si>
    <t>2.1.1.04.0461</t>
  </si>
  <si>
    <t>05276095/0001-94</t>
  </si>
  <si>
    <t>M. M. 36 MATERIAIS DE LIMPEZA LTDA</t>
  </si>
  <si>
    <t>2.1.1.04.0462</t>
  </si>
  <si>
    <t>08726836/0001-80</t>
  </si>
  <si>
    <t>SUPRIWEB COM E SERV INFORMATICA LTDA</t>
  </si>
  <si>
    <t>2.1.1.04.0463</t>
  </si>
  <si>
    <t>08255393/0001-96</t>
  </si>
  <si>
    <t>FOCO OPINIAO E MERCADO LTDA</t>
  </si>
  <si>
    <t>2.1.1.04.0464</t>
  </si>
  <si>
    <t>10213136/0001-33</t>
  </si>
  <si>
    <t>INDUSTEC COM. E SERV. DE EQUIP. ELET</t>
  </si>
  <si>
    <t>2.1.1.04.0465</t>
  </si>
  <si>
    <t>00276225/0001-75</t>
  </si>
  <si>
    <t>BELO HORIZONTE SISTEMAS LTDA</t>
  </si>
  <si>
    <t>2.1.1.04.0466</t>
  </si>
  <si>
    <t>30055164/0001-87</t>
  </si>
  <si>
    <t>ROSARIO PLACAS E CARIMBOS</t>
  </si>
  <si>
    <t>2.1.1.04.0467</t>
  </si>
  <si>
    <t>10828695/0001-58</t>
  </si>
  <si>
    <t>V3 AGENCIA DE PUBLICIDADE E EVENTOS LTDA</t>
  </si>
  <si>
    <t>2.1.1.04.0468</t>
  </si>
  <si>
    <t>18546745/0001-16</t>
  </si>
  <si>
    <t>LB SERVICOS DE INSTALACOES EIRELI EPP</t>
  </si>
  <si>
    <t>2.1.1.04.0469</t>
  </si>
  <si>
    <t>06954157/0001-32</t>
  </si>
  <si>
    <t>FRANCISCO A A MEDEIRO IND E COMERCIO</t>
  </si>
  <si>
    <t>2.1.1.04.0470</t>
  </si>
  <si>
    <t>10646995/0001-16</t>
  </si>
  <si>
    <t>DCL BRASIL DISTRIBUIDORA LTDA</t>
  </si>
  <si>
    <t>2.1.1.04.0472</t>
  </si>
  <si>
    <t>20198527/0001-80</t>
  </si>
  <si>
    <t>PABIO FERREIRA VILELA - ME</t>
  </si>
  <si>
    <t>2.1.1.04.0473</t>
  </si>
  <si>
    <t>UILIAN DE OLIVEIRA JUNIOR</t>
  </si>
  <si>
    <t>2.1.1.04.0474</t>
  </si>
  <si>
    <t>08060705/0001-06</t>
  </si>
  <si>
    <t>BCA SERVICOS DE INFORMATICA LTDA</t>
  </si>
  <si>
    <t>2.1.1.04.0475</t>
  </si>
  <si>
    <t>31823255/0001-88</t>
  </si>
  <si>
    <t>AGENCIA PORA LTDA ME</t>
  </si>
  <si>
    <t>2.1.1.04.0476</t>
  </si>
  <si>
    <t>08050705/0001-06</t>
  </si>
  <si>
    <t>2.1.1.04.0477</t>
  </si>
  <si>
    <t>INSTITUTO BRAMANTE DE DESEN PROFISSIONAL</t>
  </si>
  <si>
    <t>2.1.1.04.0478</t>
  </si>
  <si>
    <t>16887672/0001-09</t>
  </si>
  <si>
    <t>PROTON COM DE ELETRO-ELETRONICOS EIRELI</t>
  </si>
  <si>
    <t>2.1.1.04.0479</t>
  </si>
  <si>
    <t>03718164/0001-47</t>
  </si>
  <si>
    <t>WEINSTEIN INFORMATICA LTDA</t>
  </si>
  <si>
    <t>2.1.1.04.0480</t>
  </si>
  <si>
    <t>15165950/0001-43</t>
  </si>
  <si>
    <t>ATUALIZACAO PROFISSIONAL CONT E JUR LTDA</t>
  </si>
  <si>
    <t>2.1.1.04.0481</t>
  </si>
  <si>
    <t>06955770/0001-74</t>
  </si>
  <si>
    <t>P&amp;P TURISMO LTDA ME</t>
  </si>
  <si>
    <t>2.1.1.04.0482</t>
  </si>
  <si>
    <t>59527788/0002-12</t>
  </si>
  <si>
    <t>ERNST &amp; YOUNG ASSESSORIA EMPRESARIAL LTD</t>
  </si>
  <si>
    <t>2.1.1.04.0483</t>
  </si>
  <si>
    <t>49058654/0001-65</t>
  </si>
  <si>
    <t>FLEXFORM INDUSTRIA METALURGICA LTDA</t>
  </si>
  <si>
    <t>2.1.1.04.0484</t>
  </si>
  <si>
    <t>00714403/0001-80</t>
  </si>
  <si>
    <t>ELO CONSULTORIA EMP. E PROD. DE EVENTOS</t>
  </si>
  <si>
    <t>2.1.1.04.0485</t>
  </si>
  <si>
    <t>15691419/0001-04</t>
  </si>
  <si>
    <t>STRUTTURA COM E INST DE PERFIS MET LTDA</t>
  </si>
  <si>
    <t>2.1.1.04.0486</t>
  </si>
  <si>
    <t>17066652/0001-21</t>
  </si>
  <si>
    <t>COMFAST COMERCIO DE MATERIAL DE</t>
  </si>
  <si>
    <t>2.1.1.04.0487</t>
  </si>
  <si>
    <t>01516572/0001-90</t>
  </si>
  <si>
    <t>COMPUSOFTWARE INFORMATICA LTDA</t>
  </si>
  <si>
    <t>2.1.1.04.0488</t>
  </si>
  <si>
    <t>09604060/0001-98</t>
  </si>
  <si>
    <t>BRACIER - COMITE BRASILEIRO</t>
  </si>
  <si>
    <t>2.1.1.04.0489</t>
  </si>
  <si>
    <t>11373634/0001-06</t>
  </si>
  <si>
    <t>MEC ETIQUETAS E ROTULOS LTDA</t>
  </si>
  <si>
    <t>2.1.1.04.0490</t>
  </si>
  <si>
    <t>03148451/0001-69</t>
  </si>
  <si>
    <t>SECULLUM SOFTWARES LTDA EPP</t>
  </si>
  <si>
    <t>2.1.1.04.0491</t>
  </si>
  <si>
    <t>07639095/0001-37</t>
  </si>
  <si>
    <t>INTITUTO ILOS</t>
  </si>
  <si>
    <t>2.1.1.04.0492</t>
  </si>
  <si>
    <t>17869849/0001-07</t>
  </si>
  <si>
    <t>AIR TIME RJ AR CONDICIONADO LTDA</t>
  </si>
  <si>
    <t>2.1.1.04.0493</t>
  </si>
  <si>
    <t>18457113/0001-86</t>
  </si>
  <si>
    <t>ALL GOOD SUPRIMENTOS E EQUIPAMENTOS LTDA</t>
  </si>
  <si>
    <t>2.1.1.04.0494</t>
  </si>
  <si>
    <t>07341418/0001-01</t>
  </si>
  <si>
    <t>INFORMA ECONOMICS FNP CONSULT LTDA</t>
  </si>
  <si>
    <t>2.1.1.04.0495</t>
  </si>
  <si>
    <t>09388567/0001-51</t>
  </si>
  <si>
    <t>SHOW TECNOLOGIA DA INFORMACAO LTDA</t>
  </si>
  <si>
    <t>2.1.1.04.0496</t>
  </si>
  <si>
    <t>12157917/0001-83</t>
  </si>
  <si>
    <t>ELETRICA KVA LTDA</t>
  </si>
  <si>
    <t>2.1.1.04.0497</t>
  </si>
  <si>
    <t>16735032/0001-75</t>
  </si>
  <si>
    <t>FABIO DUTRA DECORACOES LTDA</t>
  </si>
  <si>
    <t>2.1.1.04.0498</t>
  </si>
  <si>
    <t>05673029/0001-58</t>
  </si>
  <si>
    <t>DROGARIA MONTANA LTDA</t>
  </si>
  <si>
    <t>2.1.1.04.0499</t>
  </si>
  <si>
    <t>04481410/000152</t>
  </si>
  <si>
    <t>NÃO USAR</t>
  </si>
  <si>
    <t>2.1.1.04.0501</t>
  </si>
  <si>
    <t>12432924/0001-46</t>
  </si>
  <si>
    <t>CASA VIVA EVENTOS AMBIENTAIS LTDA</t>
  </si>
  <si>
    <t>2.1.1.04.0502</t>
  </si>
  <si>
    <t>71584338/0001-86</t>
  </si>
  <si>
    <t>ELO ENGENHARIA COMERCIO E CONSTRUÇOES</t>
  </si>
  <si>
    <t>2.1.1.04.0503</t>
  </si>
  <si>
    <t>34275982/0001-46</t>
  </si>
  <si>
    <t>PAPELARIA APOLLO LTDA</t>
  </si>
  <si>
    <t>2.1.1.04.0504</t>
  </si>
  <si>
    <t>08881332/0001-34</t>
  </si>
  <si>
    <t>VOLGA ENGENHARIA DE PRODUCAO LTDA</t>
  </si>
  <si>
    <t>2.1.1.04.0505</t>
  </si>
  <si>
    <t>12622028/0001-40</t>
  </si>
  <si>
    <t>GLOBALPRINT EDITORA GRAFICA LTDA</t>
  </si>
  <si>
    <t>2.1.1.04.0506</t>
  </si>
  <si>
    <t>40389603/0001-41</t>
  </si>
  <si>
    <t>ESTOFADOS BEM NA MODA LTDA</t>
  </si>
  <si>
    <t>2.1.1.04.0507</t>
  </si>
  <si>
    <t>05340639/0001-30</t>
  </si>
  <si>
    <t>PRIME CONSULTORIA E ASSESSORIA EMP. LTDA</t>
  </si>
  <si>
    <t>2.1.1.04.0508</t>
  </si>
  <si>
    <t>40432544/0001-47</t>
  </si>
  <si>
    <t>CLARO S/A</t>
  </si>
  <si>
    <t>2.1.1.04.0509</t>
  </si>
  <si>
    <t>02191676/0001-35</t>
  </si>
  <si>
    <t>FORSEG COMERCIO DE EXTINTORES LTDA -ME</t>
  </si>
  <si>
    <t>2.1.1.04.0510</t>
  </si>
  <si>
    <t>07692685/0001-23</t>
  </si>
  <si>
    <t>J S R C GNV SEGURANCA CONTRA INCENDIO</t>
  </si>
  <si>
    <t>2.1.1.04.0511</t>
  </si>
  <si>
    <t>01513667/0001-50</t>
  </si>
  <si>
    <t>KA IQUE COMERCIO E SERVICOS EIRELI EPP</t>
  </si>
  <si>
    <t>2.1.1.04.0512</t>
  </si>
  <si>
    <t>05930146/0001-50</t>
  </si>
  <si>
    <t>FERNANDO JC PINASSO ASSESSORIA  EVENTOS</t>
  </si>
  <si>
    <t>2.1.1.04.0513</t>
  </si>
  <si>
    <t>00849315/0001-08</t>
  </si>
  <si>
    <t>FN EQUIP TECNOLOGICOS E  SEGURANCA LTDA</t>
  </si>
  <si>
    <t>2.1.1.04.0514</t>
  </si>
  <si>
    <t>10777099/0001-96</t>
  </si>
  <si>
    <t>BRXNQ TELECOMUNICACOES LTDA</t>
  </si>
  <si>
    <t>2.1.1.04.0515</t>
  </si>
  <si>
    <t>76535764/0001-43</t>
  </si>
  <si>
    <t>OI SA</t>
  </si>
  <si>
    <t>2.1.1.04.0516</t>
  </si>
  <si>
    <t>62652961/0001-38</t>
  </si>
  <si>
    <t>AGENCIA ESTADO S.A</t>
  </si>
  <si>
    <t>2.1.1.04.0517</t>
  </si>
  <si>
    <t>10727138/0001-40</t>
  </si>
  <si>
    <t>CVNI CENTRO DE VACINACAO NOVA IGUACU</t>
  </si>
  <si>
    <t>2.1.1.04.0518</t>
  </si>
  <si>
    <t>00055671/0001-50</t>
  </si>
  <si>
    <t>VAN MEX COMERCIAL E SERVIÇOS LTDA</t>
  </si>
  <si>
    <t>2.1.1.04.0519</t>
  </si>
  <si>
    <t>01436782/0001-79</t>
  </si>
  <si>
    <t>KANTRO SERVICOS TERCEIRIZADOS LTDA</t>
  </si>
  <si>
    <t>2.1.1.04.0520</t>
  </si>
  <si>
    <t>16465373/0001-78</t>
  </si>
  <si>
    <t>L R B NEVES GRAFICA EDITORA</t>
  </si>
  <si>
    <t>2.1.1.04.0521</t>
  </si>
  <si>
    <t>14438757/0001-76</t>
  </si>
  <si>
    <t>CAM TECNOLOGIA LTDA ME</t>
  </si>
  <si>
    <t>2.1.1.04.0522</t>
  </si>
  <si>
    <t>08286246/0001-83</t>
  </si>
  <si>
    <t>NEWCREATIVE ARTESHOW LTDA</t>
  </si>
  <si>
    <t>2.1.1.04.0523</t>
  </si>
  <si>
    <t>14644934/0001-70</t>
  </si>
  <si>
    <t>SOCIEDADE BRASILEIRA DE GEOFISICA</t>
  </si>
  <si>
    <t>2.1.1.04.0524</t>
  </si>
  <si>
    <t>INSTITUTO ACENDE BRASIL</t>
  </si>
  <si>
    <t>2.1.1.04.0525</t>
  </si>
  <si>
    <t>13060810/0001-85</t>
  </si>
  <si>
    <t>SUPRIZ COMERCIO DE SUPRIMENTOS LTDA</t>
  </si>
  <si>
    <t>2.1.1.04.0527</t>
  </si>
  <si>
    <t>INSTITUTO BRASILEIRO DE DIREITO PUBLICO</t>
  </si>
  <si>
    <t>2.1.1.04.0528</t>
  </si>
  <si>
    <t>10825457/0001-99</t>
  </si>
  <si>
    <t>IOC CAPACITACAO LTDA</t>
  </si>
  <si>
    <t>2.1.1.04.0529</t>
  </si>
  <si>
    <t>94526480/0001-72</t>
  </si>
  <si>
    <t>M R S ESTUDOS AMBIENTAIS LTDA</t>
  </si>
  <si>
    <t>2.1.1.04.0530</t>
  </si>
  <si>
    <t>08379106/0001-50</t>
  </si>
  <si>
    <t>PAPELARIA BASE DAS ARTES LTDA ME</t>
  </si>
  <si>
    <t>2.1.1.04.0531</t>
  </si>
  <si>
    <t>03746938/0001-43</t>
  </si>
  <si>
    <t>STAPLES BRASIL COM DE MATERIAIS DE ESCR</t>
  </si>
  <si>
    <t>2.1.1.04.0532</t>
  </si>
  <si>
    <t>19950386/0001-20</t>
  </si>
  <si>
    <t>SINERGIA COM E SERV DE EQUI ELETRO</t>
  </si>
  <si>
    <t>2.1.1.04.0533</t>
  </si>
  <si>
    <t>3259002/0001-74</t>
  </si>
  <si>
    <t>ARACAJU ELETRO FERRAGENS LTDA</t>
  </si>
  <si>
    <t>2.1.1.04.0534</t>
  </si>
  <si>
    <t>59105999/0001-86</t>
  </si>
  <si>
    <t>WHIRLPOOL SA</t>
  </si>
  <si>
    <t>2.1.1.04.0535</t>
  </si>
  <si>
    <t>18090313/0001-43</t>
  </si>
  <si>
    <t>DALA SERVICE AR CONDICIONADO LTDA</t>
  </si>
  <si>
    <t>2.1.1.04.0536</t>
  </si>
  <si>
    <t>06012731/0001-33</t>
  </si>
  <si>
    <t>ONE CURSOS-TREINAMENTO DESEN CAPACITACAO</t>
  </si>
  <si>
    <t>2.1.1.04.0538</t>
  </si>
  <si>
    <t>03090756/0001-67</t>
  </si>
  <si>
    <t>AMAZONAVES TÁXI AÉREO LTDA</t>
  </si>
  <si>
    <t>2.1.1.04.0539</t>
  </si>
  <si>
    <t>03618435/0001-92</t>
  </si>
  <si>
    <t>BRASILL INFORMATICA E PRODUTOS LTDA</t>
  </si>
  <si>
    <t>2.1.1.04.0540</t>
  </si>
  <si>
    <t>06161716/0001-57</t>
  </si>
  <si>
    <t>AVELAR &amp; DUARTE SERVIÇOS CULTURAIS LTDA</t>
  </si>
  <si>
    <t>2.1.1.04.0541</t>
  </si>
  <si>
    <t>03619767/0002-61</t>
  </si>
  <si>
    <t>TORINO INFORMATICA LTDA</t>
  </si>
  <si>
    <t>2.1.1.04.0542</t>
  </si>
  <si>
    <t>49045552/0001-05</t>
  </si>
  <si>
    <t>ELASTICOS OLIMPIA LTDA</t>
  </si>
  <si>
    <t>2.1.1.04.0543</t>
  </si>
  <si>
    <t>07446868/0001-69</t>
  </si>
  <si>
    <t>DANDY LOCAÇÃO DE VEÍCULOS LTDA.</t>
  </si>
  <si>
    <t>2.1.1.04.0544</t>
  </si>
  <si>
    <t>07101088/0001-87</t>
  </si>
  <si>
    <t>DEALWAY INFORMATICA LTDA</t>
  </si>
  <si>
    <t>2.1.1.04.0545</t>
  </si>
  <si>
    <t>04556971/0001-73</t>
  </si>
  <si>
    <t>ANGELTEC COPIADORA LTDA</t>
  </si>
  <si>
    <t>2.1.1.04.0546</t>
  </si>
  <si>
    <t>10548069/0001-08</t>
  </si>
  <si>
    <t>DANIELA RISSON - JORNALISTA</t>
  </si>
  <si>
    <t>2.1.1.04.0547</t>
  </si>
  <si>
    <t>33267642/0001-00</t>
  </si>
  <si>
    <t>GRAFICA EDITORA JORNAL DO COMERCIO S/A</t>
  </si>
  <si>
    <t>2.1.1.04.0548</t>
  </si>
  <si>
    <t>21051277/0001-13</t>
  </si>
  <si>
    <t>RT EDITORA E DISTRIBUIDORA DE PAPEIS</t>
  </si>
  <si>
    <t>2.1.1.04.0550</t>
  </si>
  <si>
    <t>18023708/0001-23</t>
  </si>
  <si>
    <t>ALFREDO ALVES DA COSTA NETO</t>
  </si>
  <si>
    <t>2.1.1.04.0551</t>
  </si>
  <si>
    <t>05214413/0001-92</t>
  </si>
  <si>
    <t>FUNDACAO MIGUEL DE CERVANTES DE APOIO</t>
  </si>
  <si>
    <t>2.1.1.04.0552</t>
  </si>
  <si>
    <t>22238694/0001-32</t>
  </si>
  <si>
    <t>BERNARDES COM E IND GRAF EIRELI</t>
  </si>
  <si>
    <t>2.1.1.04.0553</t>
  </si>
  <si>
    <t>03831133/0001-06</t>
  </si>
  <si>
    <t>ROTAPLAN GRAFICA E EDITORA LTDA</t>
  </si>
  <si>
    <t>2.1.1.04.0554</t>
  </si>
  <si>
    <t>73415655/0001-02</t>
  </si>
  <si>
    <t>TEMATICA CARTOGRAFO</t>
  </si>
  <si>
    <t>2.1.1.04.0555</t>
  </si>
  <si>
    <t>00274602/0001-37</t>
  </si>
  <si>
    <t>ART GLORIA SERRALHERIA LTDA</t>
  </si>
  <si>
    <t>2.1.1.04.0556</t>
  </si>
  <si>
    <t>54102785/0001-32</t>
  </si>
  <si>
    <t>EDITORIA NDJ LTDA</t>
  </si>
  <si>
    <t>2.1.1.04.0557</t>
  </si>
  <si>
    <t>12369441/0001-44</t>
  </si>
  <si>
    <t>CONSEG EQUP E SIST CONTRA INCENDIO LTDA</t>
  </si>
  <si>
    <t>2.1.1.04.0558</t>
  </si>
  <si>
    <t>24221596/0001-82</t>
  </si>
  <si>
    <t>EASY SR SERVICOS LTDA ME</t>
  </si>
  <si>
    <t>2.1.1.04.0559</t>
  </si>
  <si>
    <t>02550956/0001-92</t>
  </si>
  <si>
    <t>CASA DE IDEIAS COMUNICACAO LTDA</t>
  </si>
  <si>
    <t>2.1.1.04.0560</t>
  </si>
  <si>
    <t>04707003/0001-10</t>
  </si>
  <si>
    <t>SPRANGER ESTMATIVAS DE CUSTO LTDA</t>
  </si>
  <si>
    <t>2.1.1.04.0561</t>
  </si>
  <si>
    <t>08513498/0001-06</t>
  </si>
  <si>
    <t>CVI CURSOS E TREINAMENTOS EMPRESARIAIS</t>
  </si>
  <si>
    <t>2.1.1.04.0562</t>
  </si>
  <si>
    <t>11013199/0001-09</t>
  </si>
  <si>
    <t>INT PRINT SERVICOS DE INFORMATICA LTDA</t>
  </si>
  <si>
    <t>2.1.1.04.0563</t>
  </si>
  <si>
    <t>04154489/0001-07</t>
  </si>
  <si>
    <t>ABACO FORROS E DIVISORIAS LTDA</t>
  </si>
  <si>
    <t>2.1.1.04.0564</t>
  </si>
  <si>
    <t>09012638/0001-07</t>
  </si>
  <si>
    <t>J L CLEAN COM E SERV DE ART DE VESTUARIO</t>
  </si>
  <si>
    <t>2.1.1.04.0565</t>
  </si>
  <si>
    <t>ASSOCIAÇÃO DOS CONDÔMINIOS DO ED. DA AV.</t>
  </si>
  <si>
    <t>2.1.1.04.0566</t>
  </si>
  <si>
    <t>LABORINFO TECNOLOGIA DA INFORMAÇÃO LTDA</t>
  </si>
  <si>
    <t>2.1.1.04.0567</t>
  </si>
  <si>
    <t>AZURE PROPAGANDA LTDA</t>
  </si>
  <si>
    <t>2.1.1.04.0569</t>
  </si>
  <si>
    <t>15135210/0001-64</t>
  </si>
  <si>
    <t>TECPARTS IMP. E DISTRIB. DE PECAS LTDA</t>
  </si>
  <si>
    <t>2.1.1.04.0570</t>
  </si>
  <si>
    <t>15249200/0001-50</t>
  </si>
  <si>
    <t>CEOX - PLANEJAMENTO E OTIMIZAÇÃO LTDA</t>
  </si>
  <si>
    <t>2.1.1.04.0571</t>
  </si>
  <si>
    <t>147834160001/38</t>
  </si>
  <si>
    <t>GRUPOJAM MIDIA INTEGRADA EIRELI - ME</t>
  </si>
  <si>
    <t>2.1.1.04.0572</t>
  </si>
  <si>
    <t>10320951/0001-00</t>
  </si>
  <si>
    <t>TNS COMERCIAL LTDA</t>
  </si>
  <si>
    <t>2.1.1.04.0573</t>
  </si>
  <si>
    <t>SAUDE &amp; BEM ESTAR FISIOTERAPIA LTDA</t>
  </si>
  <si>
    <t>2.1.1.04.0574</t>
  </si>
  <si>
    <t>BSL COMÉRCIO, IMPORTAÇÃO E EXPORTAÇÃO</t>
  </si>
  <si>
    <t>2.1.1.04.0575</t>
  </si>
  <si>
    <t>CORTEX EVENTOS - ORGANIZAÇÃO DE FEIRAS E</t>
  </si>
  <si>
    <t>2.1.1.04.0576</t>
  </si>
  <si>
    <t>LIVRARIA BIOTEC LTDA</t>
  </si>
  <si>
    <t>2.1.1.04.0577</t>
  </si>
  <si>
    <t>THARGO AUDITORES E CONSULTORES</t>
  </si>
  <si>
    <t>2.1.1.04.0578</t>
  </si>
  <si>
    <t>EDITORA FORUM LTDA</t>
  </si>
  <si>
    <t>2.1.1.04.0579</t>
  </si>
  <si>
    <t>CABRERA CONSULT. CONTÁBIL E TRIBUTÁRIA L</t>
  </si>
  <si>
    <t>2.1.1.04.0580</t>
  </si>
  <si>
    <t>PRO VIDEO SERVIÇOS LTDA</t>
  </si>
  <si>
    <t>2.1.1.04.0581</t>
  </si>
  <si>
    <t>LIVRARIA ENGETEC LTDA</t>
  </si>
  <si>
    <t>2.1.1.04.0582</t>
  </si>
  <si>
    <t>SIP VOX TCNOLOGIA LTDA</t>
  </si>
  <si>
    <t>2.1.1.04.0583</t>
  </si>
  <si>
    <t>DIVINO LOCADORA DE VEÍCULOS LTDA</t>
  </si>
  <si>
    <t>2.1.1.04.0584</t>
  </si>
  <si>
    <t>APRC ENGENHARIA LTDA</t>
  </si>
  <si>
    <t>2.1.1.04.0585</t>
  </si>
  <si>
    <t>SOLARIZE SERVICOS EM TEC AMBIENTAL LTDA</t>
  </si>
  <si>
    <t>2.1.1.04.0586</t>
  </si>
  <si>
    <t>BE COACHING BRASIL LTDA</t>
  </si>
  <si>
    <t>2.1.1.04.0587</t>
  </si>
  <si>
    <t>BRASFILTER INDUSTRIA E COMÉRCIO LTDA</t>
  </si>
  <si>
    <t>2.1.1.04.0588</t>
  </si>
  <si>
    <t>BORTOLAI LIVROS LTDA - EPP</t>
  </si>
  <si>
    <t>2.1.1.04.0589</t>
  </si>
  <si>
    <t>MOLICAR PUBLICAÇÕES AUTOMOTIVAS S/A</t>
  </si>
  <si>
    <t>2.1.1.04.0590</t>
  </si>
  <si>
    <t>SECULO XXI COMERCIO DE LIVROS E LIVRARIA</t>
  </si>
  <si>
    <t>2.1.1.04.0592</t>
  </si>
  <si>
    <t>KAPX COMÉRCIO E SERVIÇOS LTDA - ME</t>
  </si>
  <si>
    <t>2.1.1.04.0593</t>
  </si>
  <si>
    <t>005705050001-91</t>
  </si>
  <si>
    <t>COOPER POWER SYSTEMS BRASIL LTDA</t>
  </si>
  <si>
    <t>2.1.1.04.0594</t>
  </si>
  <si>
    <t>30258404/0001-40</t>
  </si>
  <si>
    <t>ASSOCIAÇÃO DAS EMP. BRAS. DE TECNOLOGIA</t>
  </si>
  <si>
    <t>2.1.1.04.0595</t>
  </si>
  <si>
    <t>24602524/0001-10</t>
  </si>
  <si>
    <t>BIODIESELBR INFORMAÇÃO ESPECIALIZADA LTD</t>
  </si>
  <si>
    <t>2.1.1.04.0596</t>
  </si>
  <si>
    <t>08863523/0002-54</t>
  </si>
  <si>
    <t>ADVENTURE VIAGENS E ART ESPORTIVOS LTDA</t>
  </si>
  <si>
    <t>2.1.1.04.0597</t>
  </si>
  <si>
    <t>11318047/0001-14</t>
  </si>
  <si>
    <t>CONSULCANA - SOLUÇÕES APLICADAS A CANA</t>
  </si>
  <si>
    <t>2.1.1.04.0598</t>
  </si>
  <si>
    <t>05565257/0001-04</t>
  </si>
  <si>
    <t>ELETRONICA PLAY POWER LTDA - ME</t>
  </si>
  <si>
    <t>2.1.1.04.0599</t>
  </si>
  <si>
    <t>05500641/0001-29</t>
  </si>
  <si>
    <t>GIOM COMERCIO DE MOVEIS E REPRESENTAÇÕES</t>
  </si>
  <si>
    <t>2.1.1.04.0600</t>
  </si>
  <si>
    <t>03493782/0001-36</t>
  </si>
  <si>
    <t>INTEGRAÇÃO - ESCOLA DE NEGOCIOS LTDA</t>
  </si>
  <si>
    <t>2.1.1.04.0601</t>
  </si>
  <si>
    <t>NIMAWORLD LTDA - ME</t>
  </si>
  <si>
    <t>2.1.1.04.0602</t>
  </si>
  <si>
    <t>SOUZA E LOMBA COMÉRCIO DE BRINDES E PLAC</t>
  </si>
  <si>
    <t>2.1.1.04.0603</t>
  </si>
  <si>
    <t>UNITY BRINDES LTDA - ME</t>
  </si>
  <si>
    <t>2.1.1.04.0604</t>
  </si>
  <si>
    <t>ZAG CONSULTORIA EM EXP. DE PET.</t>
  </si>
  <si>
    <t>2.1.1.04.0605</t>
  </si>
  <si>
    <t>14784795/0001-80</t>
  </si>
  <si>
    <t>GIGA MATERIAIS ELETRICOS LTDA</t>
  </si>
  <si>
    <t>2.1.1.04.0606</t>
  </si>
  <si>
    <t>19509519/0001-28</t>
  </si>
  <si>
    <t>SOFTLINE INT BRASIL COM E LIC SOFTWARE</t>
  </si>
  <si>
    <t>2.1.1.04.0607</t>
  </si>
  <si>
    <t>ARGUS MEDIA BRASIL RELATÓRIOS DE PREÇOS</t>
  </si>
  <si>
    <t>2.1.1.04.0608</t>
  </si>
  <si>
    <t>ROMABOOKS EDUCAÇÃO E TURISMO EIRELI</t>
  </si>
  <si>
    <t>2.1.1.04.0609</t>
  </si>
  <si>
    <t>VENUS WORLD COM. DE EQUIP. E MAT.</t>
  </si>
  <si>
    <t>2.1.1.04.0610</t>
  </si>
  <si>
    <t>INQC - INSTITUTO NACIONAL DE QUALIFICAÇÃ</t>
  </si>
  <si>
    <t>2.1.1.04.0611</t>
  </si>
  <si>
    <t>10806106/000130</t>
  </si>
  <si>
    <t>R&amp;R EQUIPAMENTOS ELETRONICOS LTDA</t>
  </si>
  <si>
    <t>2.1.1.04.0612</t>
  </si>
  <si>
    <t>16951665/000110</t>
  </si>
  <si>
    <t>RB GRAFICA DIGITAL EIRELI ME</t>
  </si>
  <si>
    <t>2.1.1.04.0613</t>
  </si>
  <si>
    <t>18343644/000148</t>
  </si>
  <si>
    <t>SUPERMIX COM DE UTIL VARIEDADES LTDA</t>
  </si>
  <si>
    <t>2.1.1.04.0614</t>
  </si>
  <si>
    <t>02558157/0002-43</t>
  </si>
  <si>
    <t>2.1.1.04.0615</t>
  </si>
  <si>
    <t>02629884/0001-73</t>
  </si>
  <si>
    <t>CROMA ELETRONICA LTDA</t>
  </si>
  <si>
    <t>2.1.1.04.0616</t>
  </si>
  <si>
    <t>12480720/0001-80</t>
  </si>
  <si>
    <t>CENTRAL GLASS ALUMINIUM COMERCIO DE VIDR</t>
  </si>
  <si>
    <t>2.1.1.04.0617</t>
  </si>
  <si>
    <t>33000118/0001-79</t>
  </si>
  <si>
    <t>TELEMAR NORTE LESTE S/A</t>
  </si>
  <si>
    <t>2.1.1.04.0618</t>
  </si>
  <si>
    <t>INSTITUTO NEGOCIOS PUBLICOS DO BRASIL</t>
  </si>
  <si>
    <t>2.1.1.04.0619</t>
  </si>
  <si>
    <t>03014670/0001-55</t>
  </si>
  <si>
    <t>LAUTEC EQUIPE TECNICA ENGENHARIA S/C LTD</t>
  </si>
  <si>
    <t>2.1.1.04.0620</t>
  </si>
  <si>
    <t>37535259/0001-47</t>
  </si>
  <si>
    <t>SEDEP-SERVIÇO DE ENTREGA DE DESPACHOS E</t>
  </si>
  <si>
    <t>2.1.1.04.0621</t>
  </si>
  <si>
    <t>26528905/0001-47</t>
  </si>
  <si>
    <t>CONFIT ASSESSORIA E CONSULTORIA EMPRESAR</t>
  </si>
  <si>
    <t>2.1.1.04.0622</t>
  </si>
  <si>
    <t>05607657/0001-35</t>
  </si>
  <si>
    <t>SCANSOURCE BRASIL DISTRIBUIDORA DE TECNO</t>
  </si>
  <si>
    <t>2.1.1.04.0623</t>
  </si>
  <si>
    <t>61873469/0001-20</t>
  </si>
  <si>
    <t>ASSOCIAÇÃO DE ESPECIALISTAS LATINOAMERIC</t>
  </si>
  <si>
    <t>2.1.1.04.0624</t>
  </si>
  <si>
    <t>MONIQUE PERRONE AGUEDA ASSESSORIA DE EVE</t>
  </si>
  <si>
    <t>2.1.1.04.0625</t>
  </si>
  <si>
    <t>NINJA SOM COMERCIO DE ELETRONICOS LTDA</t>
  </si>
  <si>
    <t>2.1.1.04.0626</t>
  </si>
  <si>
    <t>OXFORD PORCELANAS S/A</t>
  </si>
  <si>
    <t>2.1.1.04.0627</t>
  </si>
  <si>
    <t>LINTER FILTROS INDUSTRIAIS LTDA</t>
  </si>
  <si>
    <t>2.1.1.04.0628</t>
  </si>
  <si>
    <t>QUALITEC ENGENHARIA DA QUALIDADE LTDA</t>
  </si>
  <si>
    <t>2.1.1.04.0629</t>
  </si>
  <si>
    <t>NEO DESIGN DECOR COMERCIO E DECORACOES</t>
  </si>
  <si>
    <t>2.1.1.04.0630</t>
  </si>
  <si>
    <t>ROCA SERVICOS CONTABEIS E FISCAIS LTDA</t>
  </si>
  <si>
    <t>2.1.1.04.0631</t>
  </si>
  <si>
    <t>WALLERRY FLECK &amp; CIA LTDA ME</t>
  </si>
  <si>
    <t>2.1.1.04.0634</t>
  </si>
  <si>
    <t>FUNDACAO PADRE LEONEL FRANCA</t>
  </si>
  <si>
    <t>2.1.1.04.0635</t>
  </si>
  <si>
    <t>PAULO RICARDO BRAGA - ME</t>
  </si>
  <si>
    <t>2.1.1.04.0636</t>
  </si>
  <si>
    <t>RTA - REDE DE TECNOLOGIA AVANÇADA LTDA</t>
  </si>
  <si>
    <t>2.1.1.04.0637</t>
  </si>
  <si>
    <t>BOBINA SUPER INDUSTRIA E COMERCIO EIRELI</t>
  </si>
  <si>
    <t>2.1.1.04.0638</t>
  </si>
  <si>
    <t>UNISOMA COMPUTAÇÃO LTDA</t>
  </si>
  <si>
    <t>2.1.1.04.0639</t>
  </si>
  <si>
    <t>ESCOLA DE GESTÃO TRIBUTÁRIA E AUDITORIA</t>
  </si>
  <si>
    <t>2.1.1.04.0640</t>
  </si>
  <si>
    <t>I GRAFICCI PROGRAMACAO VISUAL LTDA - ME</t>
  </si>
  <si>
    <t>2.1.1.04.0641</t>
  </si>
  <si>
    <t>PENTAC ACRILICOS</t>
  </si>
  <si>
    <t>2.1.1.04.0642</t>
  </si>
  <si>
    <t>TOTVS SERVICOS LTDA</t>
  </si>
  <si>
    <t>2.1.1.04.0643</t>
  </si>
  <si>
    <t>TIM CELULAR S.A.</t>
  </si>
  <si>
    <t>2.1.1.04.0644</t>
  </si>
  <si>
    <t>ECONET TREINAMENTO E DESENVOLVIMENTO</t>
  </si>
  <si>
    <t>2.1.1.04.0645</t>
  </si>
  <si>
    <t>NOVACANA EVENTOS LTDA - ME</t>
  </si>
  <si>
    <t>2.1.1.04.0646</t>
  </si>
  <si>
    <t>NOVACANA INFORMAÇÃO ESPECIALIZADA LTDA</t>
  </si>
  <si>
    <t>2.1.1.04.0647</t>
  </si>
  <si>
    <t>SOLAZER TRANSPORTES E TURISMO LTDA</t>
  </si>
  <si>
    <t>2.1.1.04.0649</t>
  </si>
  <si>
    <t>INOVA EMPRESA BRASILEIRA EM SOLUCOES E N</t>
  </si>
  <si>
    <t>2.1.1.04.0650</t>
  </si>
  <si>
    <t>PORTO NOVO PAPEL E MATERIAL DE ESCRITORI</t>
  </si>
  <si>
    <t>2.1.1.04.0651</t>
  </si>
  <si>
    <t>SHAREPRIME TECNOLOGIA LTDA</t>
  </si>
  <si>
    <t>2.1.1.04.0653</t>
  </si>
  <si>
    <t>DIVISANIT INSTALACOES E MONTAGENS LTDA</t>
  </si>
  <si>
    <t>2.1.1.04.0655</t>
  </si>
  <si>
    <t>EDITORA SIGNER LTDA</t>
  </si>
  <si>
    <t>2.1.1.04.0656</t>
  </si>
  <si>
    <t>JML MENDES &amp; LOPES PESQUISA, TREINAMENTO E</t>
  </si>
  <si>
    <t>2.1.1.04.0657</t>
  </si>
  <si>
    <t>JP DA SILVA SOUSA DIVISORIAS</t>
  </si>
  <si>
    <t>2.1.1.04.0658</t>
  </si>
  <si>
    <t>SEENERGIA SER ESPECIALIZADOS ENG SS</t>
  </si>
  <si>
    <t>2.1.1.04.0659</t>
  </si>
  <si>
    <t>MERCADO ARAGUAIA LTDA - ME</t>
  </si>
  <si>
    <t>2.1.1.04.0660</t>
  </si>
  <si>
    <t>CENTRO DE APERFEICOAMENTO DA VOZ FALA E</t>
  </si>
  <si>
    <t>2.1.1.04.0661</t>
  </si>
  <si>
    <t>UP MIDIA INTEGRADA EIRELI</t>
  </si>
  <si>
    <t>2.1.1.04.0662</t>
  </si>
  <si>
    <t>FUNDAÇÃO DO INSTITUTO DE BIOCIENCIAS - F</t>
  </si>
  <si>
    <t>2.1.1.04.0663</t>
  </si>
  <si>
    <t>INSTITUTO BRASILEIRO DE AVALIAÇÕES IBAPE</t>
  </si>
  <si>
    <t>2.1.1.04.0664</t>
  </si>
  <si>
    <t>LCM TREINAMENTO EMPRESARIAL LTDA</t>
  </si>
  <si>
    <t>2.1.1.04.0666</t>
  </si>
  <si>
    <t>MANAGEMENT SCIENCE LTDA ME</t>
  </si>
  <si>
    <t>2.1.1.04.0667</t>
  </si>
  <si>
    <t>ASSOC. PROF. DA IND. DE FABRIC. ALCOOL</t>
  </si>
  <si>
    <t>2.1.1.04.0668</t>
  </si>
  <si>
    <t>EDOCAVONI AUTOMAÇÃO E INFORMÁTICA LTDA</t>
  </si>
  <si>
    <t>2.1.1.04.0669</t>
  </si>
  <si>
    <t>ONE ENGLISH CULTURAL E EDUCACIONAL LTDA</t>
  </si>
  <si>
    <t>2.1.1.04.0670</t>
  </si>
  <si>
    <t>SINERCONSULT CONSULTORIA E TREIN. LTDA</t>
  </si>
  <si>
    <t>2.1.1.04.0671</t>
  </si>
  <si>
    <t>AMBIENTE DIRETO CONSULT.SOCIOAMBIENTAL L</t>
  </si>
  <si>
    <t>2.1.1.04.0672</t>
  </si>
  <si>
    <t>PRO OCEANO SERV.OCEANOGRAFICO E AMBIENTA</t>
  </si>
  <si>
    <t>2.1.1.04.0673</t>
  </si>
  <si>
    <t>RIO LETRAS LETREIROS LTDA. - ME</t>
  </si>
  <si>
    <t>2.1.1.04.0674</t>
  </si>
  <si>
    <t>IPEC TREINAMENTO LTDA</t>
  </si>
  <si>
    <t>2.1.1.04.0675</t>
  </si>
  <si>
    <t>PHONOWAY SOLUÇOES TELEINFORMATICA</t>
  </si>
  <si>
    <t>2.1.1.04.0676</t>
  </si>
  <si>
    <t>ARV BRADFORD CURSOS E TREINAMENTO</t>
  </si>
  <si>
    <t>2.1.1.04.0677</t>
  </si>
  <si>
    <t>GRUPO IBEMEC EDUCACIONAL S/A</t>
  </si>
  <si>
    <t>2.1.1.04.0678</t>
  </si>
  <si>
    <t>JRM HELOANI DESENVOLVIMENTO GERENCIAL</t>
  </si>
  <si>
    <t>2.1.1.04.0679</t>
  </si>
  <si>
    <t>LANTYX TECNOLOGIA E PUBLICIDADE EIRILE</t>
  </si>
  <si>
    <t>2.1.1.04.0680</t>
  </si>
  <si>
    <t>MUNDIVOX COMUNICAÇÕES LTDA</t>
  </si>
  <si>
    <t>2.1.1.04.0681</t>
  </si>
  <si>
    <t>SOLLUS COMERCIO EM TECNOLOGIA E CONTROLE</t>
  </si>
  <si>
    <t>2.1.1.04.0682</t>
  </si>
  <si>
    <t>CROMOS EDIT. E IND. GRAFICA LTDA</t>
  </si>
  <si>
    <t>2.1.1.04.0684</t>
  </si>
  <si>
    <t>GRUPO GENIAL ME LTDA</t>
  </si>
  <si>
    <t>2.1.1.04.0685</t>
  </si>
  <si>
    <t>GREEN RABBIT DESENV. DE SOFTWARE LTDA</t>
  </si>
  <si>
    <t>2.1.1.04.0686</t>
  </si>
  <si>
    <t>PRDW BRASIL ENGENHARIA LTDA</t>
  </si>
  <si>
    <t>2.1.1.04.0687</t>
  </si>
  <si>
    <t>FUNDAÇÃO DOM CABRAL</t>
  </si>
  <si>
    <t>2.1.1.04.0688</t>
  </si>
  <si>
    <t>REPROPAPER SERVIÇOS DE REPROGRAFIA LTDA</t>
  </si>
  <si>
    <t>2.1.1.04.0689</t>
  </si>
  <si>
    <t>TRANSTATHICA AG. DE VIAGEM E TURISMO</t>
  </si>
  <si>
    <t>2.1.1.04.0690</t>
  </si>
  <si>
    <t>FOX SMART BUSINESS DO BRASIL LTDA</t>
  </si>
  <si>
    <t>2.1.1.04.0691</t>
  </si>
  <si>
    <t>AX4B SISTEMAS DE INFORMATICA LTDA</t>
  </si>
  <si>
    <t>2.1.1.04.0692</t>
  </si>
  <si>
    <t>HSR SISTEMAS E REDES LTDA</t>
  </si>
  <si>
    <t>2.1.1.04.0693</t>
  </si>
  <si>
    <t>F5 SOFTWARE LTDA</t>
  </si>
  <si>
    <t>2.1.1.04.0694</t>
  </si>
  <si>
    <t>CARTÃO CORPORATIVO - SCDP</t>
  </si>
  <si>
    <t>2.1.1.04.0695</t>
  </si>
  <si>
    <t>PREMIER IT GLOBAL SERVICES LTDA</t>
  </si>
  <si>
    <t>2.1.1.04.0696</t>
  </si>
  <si>
    <t>CENTRO EMPRESARIAL INTERNACIONAL RIO</t>
  </si>
  <si>
    <t>2.1.1.04.0697</t>
  </si>
  <si>
    <t>PROJUD TECNOLOGIA LTDA</t>
  </si>
  <si>
    <t>2.1.1.04.0698</t>
  </si>
  <si>
    <t>ELO EVENTOS LTDA</t>
  </si>
  <si>
    <t>2.1.1.04.0699</t>
  </si>
  <si>
    <t>LEANDRO ANDRÉ DE QUEIROZ - MEI</t>
  </si>
  <si>
    <t>2.1.1.04.0700</t>
  </si>
  <si>
    <t>DIVIGAMA DIVISÓRIAS LTDA</t>
  </si>
  <si>
    <t>2.1.1.04.0701</t>
  </si>
  <si>
    <t>RA2 PRINT ETIQUETAS</t>
  </si>
  <si>
    <t>2.1.1.04.0702</t>
  </si>
  <si>
    <t>GENESIS COACHING TREIN. E DESENV. LTDA</t>
  </si>
  <si>
    <t>2.1.1.04.0703</t>
  </si>
  <si>
    <t>WALM ENG. E TEC. AMBIENTAL LTDA</t>
  </si>
  <si>
    <t>2.1.1.04.0704</t>
  </si>
  <si>
    <t>BIOTA PROJETOS E CONSULTORIA AMBIENTAL</t>
  </si>
  <si>
    <t>2.1.1.04.0705</t>
  </si>
  <si>
    <t>LUAN MACEDO FERNANDES EI</t>
  </si>
  <si>
    <t>2.1.1.04.0706</t>
  </si>
  <si>
    <t>CLAMED CLINICA VACINAÇÃO</t>
  </si>
  <si>
    <t>2.1.1.04.0707</t>
  </si>
  <si>
    <t>DANGERCOMERCIAL E INDUSTRIAL LTDA</t>
  </si>
  <si>
    <t>2.1.1.04.0708</t>
  </si>
  <si>
    <t>AEPE</t>
  </si>
  <si>
    <t>ASSOCIAÇÃO DOS EMPREGADOS DA EPE - AEPE</t>
  </si>
  <si>
    <t>2.1.1.04.0709</t>
  </si>
  <si>
    <t>LUANDA COM. SUPR. INFORMÁTICA LTDA</t>
  </si>
  <si>
    <t>2.1.1.04.0710</t>
  </si>
  <si>
    <t>ASSOCIAÇÃO BRASILEIRA DE ANTROPOLOGIA</t>
  </si>
  <si>
    <t>2.1.1.04.0711</t>
  </si>
  <si>
    <t>LIMA COM. DE MAT. E SERVIÇOS</t>
  </si>
  <si>
    <t>2.1.1.04.0712</t>
  </si>
  <si>
    <t>ASS.BRAS. DAS EMPRESAS DE SERV.COS.ENG</t>
  </si>
  <si>
    <t>2.1.1.04.0713</t>
  </si>
  <si>
    <t>ENGDTP E MULTIMÍDIA COMÉRCIO E PRESTAÇÃO</t>
  </si>
  <si>
    <t>2.1.1.04.0714</t>
  </si>
  <si>
    <t>ZUGNI GESTÃO DE CONHECIMENTO EIRELI - ME</t>
  </si>
  <si>
    <t>2.1.1.04.0715</t>
  </si>
  <si>
    <t>RSA SOLUÇÕES ELETRICAS LTDA - EPP</t>
  </si>
  <si>
    <t>2.1.1.04.0716</t>
  </si>
  <si>
    <t>TI ENGENHARIA COMERCIO E SERVIÇO DE INFO</t>
  </si>
  <si>
    <t>2.1.1.04.0717</t>
  </si>
  <si>
    <t>HICON ENGENHARIA LTDA</t>
  </si>
  <si>
    <t>2.1.1.04.0718</t>
  </si>
  <si>
    <t>INSTITUTO BRAS. DE ENGENHARIA DE CUSTOS</t>
  </si>
  <si>
    <t>2.1.1.04.0719</t>
  </si>
  <si>
    <t>GL EVENTSLIVE SA</t>
  </si>
  <si>
    <t>2.1.1.04.0720</t>
  </si>
  <si>
    <t>SAUDE E GINASTICA LABORAL</t>
  </si>
  <si>
    <t>2.1.1.04.0721</t>
  </si>
  <si>
    <t>GS TELECOM COMÉRCIO DE INFORMÁTICA LTDA</t>
  </si>
  <si>
    <t>2.1.1.04.0722</t>
  </si>
  <si>
    <t>INSTITUTO DE ARQUEOLOGIA BRASILEIRA</t>
  </si>
  <si>
    <t>2.1.1.04.0723</t>
  </si>
  <si>
    <t>HITSS DO BRASIL SERV. TECNOLOGICOS LTDA</t>
  </si>
  <si>
    <t>2.1.1.04.0724</t>
  </si>
  <si>
    <t>HOTELARIA ACCOR BRASIL</t>
  </si>
  <si>
    <t>2.1.1.04.0725</t>
  </si>
  <si>
    <t>FRG EVENTOS DO BRASIL LTDA</t>
  </si>
  <si>
    <t>2.1.1.04.0726</t>
  </si>
  <si>
    <t>M&amp;W COMUN. INTEGRADA LTDA</t>
  </si>
  <si>
    <t>2.1.1.04.0727</t>
  </si>
  <si>
    <t>CIRILO CABOS IMPORTAÇÃO EXPORTAÇÃO LTDA</t>
  </si>
  <si>
    <t>2.1.1.04.0728</t>
  </si>
  <si>
    <t>PRINTCOM ASSESSORIA DE COMUNICAÇÃO</t>
  </si>
  <si>
    <t>2.1.1.04.0729</t>
  </si>
  <si>
    <t>B2W COMPANHIA DIGITAL</t>
  </si>
  <si>
    <t>2.1.1.04.0730</t>
  </si>
  <si>
    <t>SUPERCOMMERCE LTDA</t>
  </si>
  <si>
    <t>2.1.1.04.0731</t>
  </si>
  <si>
    <t>CAFÉ BRASIL EDITORIAL LTDA</t>
  </si>
  <si>
    <t>2.1.1.04.0732</t>
  </si>
  <si>
    <t>INSTITUTO PIATAM</t>
  </si>
  <si>
    <t>2.1.1.04.0733</t>
  </si>
  <si>
    <t>REIVAX S.A AUTOMAÇÃO E CONTROLE</t>
  </si>
  <si>
    <t>2.1.1.04.0734</t>
  </si>
  <si>
    <t>EBSCO BRASIL LTDA</t>
  </si>
  <si>
    <t>2.1.1.04.0735</t>
  </si>
  <si>
    <t>INSTITUTO NACIONAL DE QUALIDADE DE VIDA</t>
  </si>
  <si>
    <t>2.1.1.04.0736</t>
  </si>
  <si>
    <t>TS1 IT SOLUTIONS</t>
  </si>
  <si>
    <t>2.1.1.04.0737</t>
  </si>
  <si>
    <t>HVNA DESIGN PROJETOS E CONSULTORIA LTDA</t>
  </si>
  <si>
    <t>2.1.1.04.0738</t>
  </si>
  <si>
    <t>GAF EVENTOS SPE LTDA</t>
  </si>
  <si>
    <t>2.1.1.04.0739</t>
  </si>
  <si>
    <t>MR PROMOÇÕES E EVENTOS</t>
  </si>
  <si>
    <t>2.1.1.04.0740</t>
  </si>
  <si>
    <t>KONO IT CONSULTORIA E TECNOLOGIA EIRELI</t>
  </si>
  <si>
    <t>2.1.1.04.0741</t>
  </si>
  <si>
    <t>PLANUS INFORMÁTICA E TECNOLOGIA LTDA</t>
  </si>
  <si>
    <t>2.1.1.04.0742</t>
  </si>
  <si>
    <t>TIM S.A</t>
  </si>
  <si>
    <t>2.1.1.04.0743</t>
  </si>
  <si>
    <t>REDE BRAS. PARA DESENV. METROLOGIA E TEC</t>
  </si>
  <si>
    <t>2.1.1.04.0745</t>
  </si>
  <si>
    <t>CONTROL C. COOP E TRANSPORTES LTDA</t>
  </si>
  <si>
    <t>2.1.1.04.0746</t>
  </si>
  <si>
    <t>BRIGHTNETWORKS COM. E SERV. TELECOMUN.</t>
  </si>
  <si>
    <t>2.1.1.04.0747</t>
  </si>
  <si>
    <t>TREINAMENTO MÍDIA E DESEN.PROFISSIONAL</t>
  </si>
  <si>
    <t>2.1.1.04.0749</t>
  </si>
  <si>
    <t>ZETECH MAN. SERV. EM ENERGIA LTDA</t>
  </si>
  <si>
    <t>2.1.1.04.0750</t>
  </si>
  <si>
    <t>MULTPAINEL SOL CORP VID DEC LTDA</t>
  </si>
  <si>
    <t>2.1.1.04.0751</t>
  </si>
  <si>
    <t>IHS INFORMAÇÕES E INSIGHTS LTDA</t>
  </si>
  <si>
    <t>2.1.1.04.0752</t>
  </si>
  <si>
    <t>FIPE FUNDAÇÃO INST.PESQUISAS ECONOMICAS</t>
  </si>
  <si>
    <t>2.1.1.04.0753</t>
  </si>
  <si>
    <t>IMPRENSA OF. DO ESTADO DO RIO DE JANEIRO</t>
  </si>
  <si>
    <t>2.1.1.04.0754</t>
  </si>
  <si>
    <t>CASTELO DE PAIVA VIDROS E FERRAGENS</t>
  </si>
  <si>
    <t>2.1.1.04.0755</t>
  </si>
  <si>
    <t>HOMER ENERGY</t>
  </si>
  <si>
    <t>2.1.1.04.0756</t>
  </si>
  <si>
    <t>EMERSON PROCESS MANAGEMENT</t>
  </si>
  <si>
    <t>2.1.1.04.0757</t>
  </si>
  <si>
    <t>VENTANA SYSTEMS</t>
  </si>
  <si>
    <t>2.1.1.04.0758</t>
  </si>
  <si>
    <t>A4A SOLUÇÕES E SERVIÇOS EIRELI</t>
  </si>
  <si>
    <t>2.1.1.04.0759</t>
  </si>
  <si>
    <t>MFC CONSULTORIA E ASS. EMPRESARIAL</t>
  </si>
  <si>
    <t>2.1.1.04.0760</t>
  </si>
  <si>
    <t>WORK TEMPORARY SERV. EMPRESARIAIS</t>
  </si>
  <si>
    <t>2.1.1.04.0762</t>
  </si>
  <si>
    <t>INFOJET COMÉRCIO E SERVIÇOS DE INFORMÁTI</t>
  </si>
  <si>
    <t>2.1.1.04.0763</t>
  </si>
  <si>
    <t>INST.BRAS.DO MEIO AMBIENTE IBAMA</t>
  </si>
  <si>
    <t>2.1.1.04.0764</t>
  </si>
  <si>
    <t>FRAMAR CONTABILIDADE LTDA</t>
  </si>
  <si>
    <t>2.1.1.04.0765</t>
  </si>
  <si>
    <t>GLOBAL DISTRIBUIÇÃO DE BENS DE CONSUMO</t>
  </si>
  <si>
    <t>2.1.1.04.0766</t>
  </si>
  <si>
    <t>EUNICE MARIA GONÇALVES DE OLIVEIRA - EPP</t>
  </si>
  <si>
    <t>2.1.1.04.0767</t>
  </si>
  <si>
    <t>CORUJET IMPORTAÇÃO E EXPORTAÇÃO LTDA ME</t>
  </si>
  <si>
    <t>2.1.1.04.0768</t>
  </si>
  <si>
    <t>MICROTECNICA INFORMATICA LTDA</t>
  </si>
  <si>
    <t>2.1.1.04.0769</t>
  </si>
  <si>
    <t>DATEN TECNOLOGIA LTDA</t>
  </si>
  <si>
    <t>2.1.1.04.0770</t>
  </si>
  <si>
    <t>UBM BRAZIL FEIRAS E EVENTOS LTDA</t>
  </si>
  <si>
    <t>2.1.1.04.0771</t>
  </si>
  <si>
    <t>ACQUA AIR MICROBIOLÓGICA ANÁLISES AMBIEN</t>
  </si>
  <si>
    <t>2.1.1.04.0772</t>
  </si>
  <si>
    <t>SANDECH CONSULTORIA EM ENGENHARIA E GEST</t>
  </si>
  <si>
    <t>2.1.1.04.0773</t>
  </si>
  <si>
    <t>MORENO BOOKSTORE LIVRARIA LTDA</t>
  </si>
  <si>
    <t>2.1.1.04.0774</t>
  </si>
  <si>
    <t>TL COMÉRCIO DE MATERIAL DE INFORMÁTICA</t>
  </si>
  <si>
    <t>2.1.1.04.0775</t>
  </si>
  <si>
    <t>GLOBAL TTI SOLUCOES EM TECNOLOGIA LTDA</t>
  </si>
  <si>
    <t>2.1.1.04.0776</t>
  </si>
  <si>
    <t>PRINT GRAF GRÁFICA E EDITORA LTDA.</t>
  </si>
  <si>
    <t>2.1.1.04.0778</t>
  </si>
  <si>
    <t>AEROGLASS BRASILEIRA SA FIBRAS DE VIDRO</t>
  </si>
  <si>
    <t>2.1.1.04.0779</t>
  </si>
  <si>
    <t>EDITORA IRACEMA LTDA-ME</t>
  </si>
  <si>
    <t>2.1.1.04.0780</t>
  </si>
  <si>
    <t>ASSOCIAÇÃO BRASILEIRA DE NORMAS TÉCNICAS</t>
  </si>
  <si>
    <t>2.1.1.04.0782</t>
  </si>
  <si>
    <t>R W REIS COMÉRCIO E SERVIÇOS LTDA-ME</t>
  </si>
  <si>
    <t>2.1.1.04.0783</t>
  </si>
  <si>
    <t>LIVRARIA STUDIUM</t>
  </si>
  <si>
    <t>2.1.1.04.0784</t>
  </si>
  <si>
    <t>SOCIEDADE BRASILEIRA DE ESPELEOLOGIA</t>
  </si>
  <si>
    <t>2.1.1.04.0785</t>
  </si>
  <si>
    <t>TAMANDUA PRESTADORA DE SERVIÇOS LTDA</t>
  </si>
  <si>
    <t>2.1.1.04.0786</t>
  </si>
  <si>
    <t>CERTSYS TECNOLOGIA DA INFORMAÇÃO LTDA</t>
  </si>
  <si>
    <t>2.1.1.04.0787</t>
  </si>
  <si>
    <t>AMERICAN CHAMBER OF COMMERCE FOR BRAZIL</t>
  </si>
  <si>
    <t>2.1.1.04.0788</t>
  </si>
  <si>
    <t>REFRIMEC REFRIGERAÇÃO LTDA</t>
  </si>
  <si>
    <t>2.1.1.04.0789</t>
  </si>
  <si>
    <t>NILZA ROGERIA DE ANDRADE NUNES</t>
  </si>
  <si>
    <t>2.1.1.04.0790</t>
  </si>
  <si>
    <t>PRESSCLIPPING PRODUÇÕES DE CLIPPING LTDA</t>
  </si>
  <si>
    <t>2.1.1.04.0791</t>
  </si>
  <si>
    <t>SOLO NETWORK BRASIL S/A</t>
  </si>
  <si>
    <t>2.1.1.04.0792</t>
  </si>
  <si>
    <t>RIOMEGA SERVIÇOS GRAFICOS LTDA ME</t>
  </si>
  <si>
    <t>2.1.1.04.0793</t>
  </si>
  <si>
    <t>HM ROUPAS PROFISSIONAIS EIRELI</t>
  </si>
  <si>
    <t>2.1.1.04.0794</t>
  </si>
  <si>
    <t>ARANDA EVENTOS E CONGRESSOS LTDA</t>
  </si>
  <si>
    <t>2.1.1.04.0795</t>
  </si>
  <si>
    <t>ASSOCIAÇÃO BRASILEIRA INDÚSTRIA QUÍMICA</t>
  </si>
  <si>
    <t>2.1.1.04.0796</t>
  </si>
  <si>
    <t>ROTA 183 EVENTOS EIRELI</t>
  </si>
  <si>
    <t>2.1.1.04.0797</t>
  </si>
  <si>
    <t>IVAN LEONARDO MACHADO</t>
  </si>
  <si>
    <t>2.1.1.04.0798</t>
  </si>
  <si>
    <t>INSTITUTO BRASILEIRO PRO-CIDADANIA</t>
  </si>
  <si>
    <t>2.1.1.04.0799</t>
  </si>
  <si>
    <t>COND. DO ED.CENTRO EMPRESARIAL RB1</t>
  </si>
  <si>
    <t>2.1.1.04.0800</t>
  </si>
  <si>
    <t>V OFFICE CONSULTORES ASSOCIADOS LTDA</t>
  </si>
  <si>
    <t>2.1.1.04.0801</t>
  </si>
  <si>
    <t>KA SOLUTION INFORMATICA LTDA</t>
  </si>
  <si>
    <t>2.1.1.04.0802</t>
  </si>
  <si>
    <t>FUNDAÇÃO INST PESQ CONT ATUARIAIS E FINA</t>
  </si>
  <si>
    <t>2.1.1.04.0803</t>
  </si>
  <si>
    <t>TRUE SERV E CONSULTORIA EM ENERGIA LTDA</t>
  </si>
  <si>
    <t>2.1.1.04.0804</t>
  </si>
  <si>
    <t>DCIDE LTDA EPP</t>
  </si>
  <si>
    <t>2.1.1.04.0805</t>
  </si>
  <si>
    <t>INST NEGÓCIOS PÚBLICOS DO BRASIL -FILIAL</t>
  </si>
  <si>
    <t>2.1.1.04.0806</t>
  </si>
  <si>
    <t>DPI COMERCIO DE ELETRO EIRELI</t>
  </si>
  <si>
    <t>2.1.1.04.0807</t>
  </si>
  <si>
    <t>REFINITIV BRASIL SERVIÇOS ECONOMICOS LTD</t>
  </si>
  <si>
    <t>2.1.1.04.0808</t>
  </si>
  <si>
    <t>LR SOLUÇÕES LTDA</t>
  </si>
  <si>
    <t>2.1.1.04.0809</t>
  </si>
  <si>
    <t>RH CURSOS E TREINAMENTO EMPRESARIAL LTDA</t>
  </si>
  <si>
    <t>2.1.1.04.0810</t>
  </si>
  <si>
    <t>IDEALLE EDITORA E PUBLICIDADE LTDA ME</t>
  </si>
  <si>
    <t>2.1.1.04.0812</t>
  </si>
  <si>
    <t>ASSOCIAÇÃO CULTURAL E DE PESQ NOEL ROSA</t>
  </si>
  <si>
    <t>2.1.1.04.0813</t>
  </si>
  <si>
    <t>INSTITUTO PROMUNDO</t>
  </si>
  <si>
    <t>2.1.1.04.0814</t>
  </si>
  <si>
    <t>JOSE RODRIGUES DE SOUZA NETO</t>
  </si>
  <si>
    <t>2.1.1.04.0815</t>
  </si>
  <si>
    <t>MM DESENVOLVIMENTO LTDA</t>
  </si>
  <si>
    <t>2.1.1.04.0816</t>
  </si>
  <si>
    <t>NORTE EDUCAÇÃO EXECUTIVA LTDA ME</t>
  </si>
  <si>
    <t>2.1.1.04.0817</t>
  </si>
  <si>
    <t>VINICIUS JOSE EUGENIO - ME</t>
  </si>
  <si>
    <t>2.1.1.04.0818</t>
  </si>
  <si>
    <t>ENE TREINAMENTOS CURSOS E EVENTOS EIRELI</t>
  </si>
  <si>
    <t>2.1.1.04.0819</t>
  </si>
  <si>
    <t>ASS BRASILEIRA DE RECURSOS HIDRICOS</t>
  </si>
  <si>
    <t>2.1.1.04.0820</t>
  </si>
  <si>
    <t>UNITIZA CONSULTORIA EM ENERGIA LTDA</t>
  </si>
  <si>
    <t>2.1.1.04.0821</t>
  </si>
  <si>
    <t>CEDIN-CENTRO DE ESTUDOS EM DIR E NEG LTD</t>
  </si>
  <si>
    <t>2.1.1.04.0822</t>
  </si>
  <si>
    <t>LAUDOS ENGENHARIA LTDA</t>
  </si>
  <si>
    <t>2.1.1.04.0823</t>
  </si>
  <si>
    <t>FL SOLUCOES COORPORATIVAS INTELIGENTES L</t>
  </si>
  <si>
    <t>2.1.1.04.0824</t>
  </si>
  <si>
    <t>AL NETTO COMERCIAL E SERVIÇOS EIRELI ME</t>
  </si>
  <si>
    <t>2.1.1.04.0825</t>
  </si>
  <si>
    <t>O2 SOLUÇÕES EM TECNOLOGIA DIGITAL LTDA</t>
  </si>
  <si>
    <t>2.1.1.04.0826</t>
  </si>
  <si>
    <t>AGBT TRADUCOES LTDA</t>
  </si>
  <si>
    <t>2.1.1.04.0827</t>
  </si>
  <si>
    <t>LVD SOLUÇÕES EM INFORMÁTICA EIRELI</t>
  </si>
  <si>
    <t>2.1.1.04.0828</t>
  </si>
  <si>
    <t>TIKINET EDICAO LTDA</t>
  </si>
  <si>
    <t>2.1.1.04.0829</t>
  </si>
  <si>
    <t>ARQUITETURA PROCESSUAL INTELIGENTE</t>
  </si>
  <si>
    <t>2.1.1.04.0830</t>
  </si>
  <si>
    <t>AC ARQUITETURA E CONSULTORIA</t>
  </si>
  <si>
    <t>2.1.1.04.0831</t>
  </si>
  <si>
    <t>SUPER ACESSO INFORMAÇÃO LTDA ME</t>
  </si>
  <si>
    <t>2.1.1.04.0832</t>
  </si>
  <si>
    <t>EFICAZ GESTÃO EM SAUDE LTDA</t>
  </si>
  <si>
    <t>2.1.1.04.0833</t>
  </si>
  <si>
    <t>IHS MARKIT AGRIBUSINESS BRAZIL</t>
  </si>
  <si>
    <t>2.1.1.04.0835</t>
  </si>
  <si>
    <t>NP TREINAMENTOS E CURSOS LTDA</t>
  </si>
  <si>
    <t>2.1.1.04.0836</t>
  </si>
  <si>
    <t>AUTODATA EDITORA E EVENTOS LTDA</t>
  </si>
  <si>
    <t>2.1.1.04.0837</t>
  </si>
  <si>
    <t>HOLLANDA LOPES IMUNIZAÇÃO E VACINAÇÃO</t>
  </si>
  <si>
    <t>2.1.1.04.0838</t>
  </si>
  <si>
    <t>INSTITUTO DOS AUDITORES INTERNOS BRASIL</t>
  </si>
  <si>
    <t>2.1.1.04.0839</t>
  </si>
  <si>
    <t>INSTITUTO NACIONAL DE CAPACITAÇÃO EPP</t>
  </si>
  <si>
    <t>2.1.1.04.0841</t>
  </si>
  <si>
    <t>REAL PROTECT INFORMÁTICA LTDA ME</t>
  </si>
  <si>
    <t>2.1.1.04.0845</t>
  </si>
  <si>
    <t>M2P ENGENHARIA LTDA</t>
  </si>
  <si>
    <t>2.1.1.04.0846</t>
  </si>
  <si>
    <t>ELETROMAGNETICS TEC. E INF. LTDA</t>
  </si>
  <si>
    <t>2.1.1.04.0847</t>
  </si>
  <si>
    <t>QSP - CENTRO DE Q. SEG. E PROD. P/BR E A</t>
  </si>
  <si>
    <t>2.1.1.04.0848</t>
  </si>
  <si>
    <t>TRAINSEC SEGURANCA EIRELI</t>
  </si>
  <si>
    <t>2.1.1.04.0849</t>
  </si>
  <si>
    <t>MAGNOPLAN GERENCIAMENTO DE PROJETOS LTDA</t>
  </si>
  <si>
    <t>2.1.1.04.0850</t>
  </si>
  <si>
    <t>SENAI RN</t>
  </si>
  <si>
    <t>2.1.1.04.0851</t>
  </si>
  <si>
    <t>ROBERTO FERREIRA DOS SANTOS</t>
  </si>
  <si>
    <t>2.1.1.04.0852</t>
  </si>
  <si>
    <t>ECOAMB CONSULTORIA ECONOMICA</t>
  </si>
  <si>
    <t>2.1.1.04.0853</t>
  </si>
  <si>
    <t>ASSOCIAÇÃO BRASILEIRA DE ENERGIA SOLAR</t>
  </si>
  <si>
    <t>2.1.1.04.0854</t>
  </si>
  <si>
    <t>AP12 FILMES E PRODUÇÕES LTDA</t>
  </si>
  <si>
    <t>2.1.1.04.0855</t>
  </si>
  <si>
    <t>UNIEDUCAR INTELIGÊNCIA EDUCACIONAL LTDA</t>
  </si>
  <si>
    <t>2.1.1.04.0856</t>
  </si>
  <si>
    <t>WORKING ASSOCIAÇÃO DE INTEGRAÇÃO PROFIS</t>
  </si>
  <si>
    <t>2.1.1.04.0857</t>
  </si>
  <si>
    <t>AMM TECNOLOGIA E SERV. INF. LTDA</t>
  </si>
  <si>
    <t>2.1.1.04.0858</t>
  </si>
  <si>
    <t>FUNCAMP - FUND. DE DES. DA UNICAMP</t>
  </si>
  <si>
    <t>2.1.1.04.0860</t>
  </si>
  <si>
    <t>AF FIGUEIREDO - PALESTRAS, CURSOS E CONGR.</t>
  </si>
  <si>
    <t>2.1.1.04.0861</t>
  </si>
  <si>
    <t>IQUALI - INST. DE QUALIFICAÇÃO PROFISSIONAL</t>
  </si>
  <si>
    <t>2.1.1.04.0862</t>
  </si>
  <si>
    <t>JAIRO ADELINO DOS SANTOS</t>
  </si>
  <si>
    <t>2.1.1.04.0863</t>
  </si>
  <si>
    <t>TREINAR CAPACITAÇÃO E DESENVOLVIMENTO</t>
  </si>
  <si>
    <t>2.1.1.04.0864</t>
  </si>
  <si>
    <t>LEANDRO NOBREGA GULLO</t>
  </si>
  <si>
    <t>2.1.1.04.0865</t>
  </si>
  <si>
    <t>NELISE CARDOSO DOS SANTOS WALDER ME</t>
  </si>
  <si>
    <t>2.1.1.04.0866</t>
  </si>
  <si>
    <t>BRAZIL IT SOLUÇÕES EM INFORMÁTICA</t>
  </si>
  <si>
    <t>2.1.1.04.0867</t>
  </si>
  <si>
    <t>CLINICARE MEDICINA E SEGURANÇA</t>
  </si>
  <si>
    <t>2.1.1.04.0868</t>
  </si>
  <si>
    <t>PROPULSÃO SERVIÇOS DE TRANSPORTE</t>
  </si>
  <si>
    <t>2.1.1.04.0869</t>
  </si>
  <si>
    <t>AUSTRAL SEGURADORA S.A.</t>
  </si>
  <si>
    <t>2.1.1.04.0870</t>
  </si>
  <si>
    <t>FIGENER ENGENHEIROS ASSOCIADOS LTDA</t>
  </si>
  <si>
    <t>2.1.1.04.0871</t>
  </si>
  <si>
    <t>QUALITY SOFTWARE S/A</t>
  </si>
  <si>
    <t>2.1.1.04.0873</t>
  </si>
  <si>
    <t>TECHDOC SERVICOS TECNOLOGICOS LTDA</t>
  </si>
  <si>
    <t>2.1.1.04.0874</t>
  </si>
  <si>
    <t>SOLUTIAL SOLUCOES E ANALISE DE DADOS LTDA</t>
  </si>
  <si>
    <t>2.1.1.04.0875</t>
  </si>
  <si>
    <t>ESTATER TECNOLOGIA E SERVICOS LTDA</t>
  </si>
  <si>
    <t>2.1.1.04.0876</t>
  </si>
  <si>
    <t>LEONARDO AGUIAR MARTIN</t>
  </si>
  <si>
    <t>2.1.1.04.0877</t>
  </si>
  <si>
    <t>GFARIAS EDUCAÇÃO LTDA</t>
  </si>
  <si>
    <t>2.1.1.04.0878</t>
  </si>
  <si>
    <t>MARIA DAS NEVES FERREIRA PINTO VIEIRA</t>
  </si>
  <si>
    <t>2.1.1.04.0879</t>
  </si>
  <si>
    <t>PROSA DO MUNDO SERV. EDITORIAS</t>
  </si>
  <si>
    <t>2.1.1.04.0882</t>
  </si>
  <si>
    <t>R PEOTTA ENGENHARIA E CONSULTORIA</t>
  </si>
  <si>
    <t>2.1.1.04.0883</t>
  </si>
  <si>
    <t>JSM SOLUÇÕES LOGÍSTICAS E TRANSPORTE</t>
  </si>
  <si>
    <t>2.1.1.04.0884</t>
  </si>
  <si>
    <t>CENOFISCO EDIT. DE PUBLICAÇÕES TRIBUTÁRIAS</t>
  </si>
  <si>
    <t>2.1.1.04.0885</t>
  </si>
  <si>
    <t>CHÁ COM NOZES PROPAGANDA LTDA</t>
  </si>
  <si>
    <t>2.1.1.04.0887</t>
  </si>
  <si>
    <t>SINAPSIS INOVACAO EM ENERGIA S/S LTDA</t>
  </si>
  <si>
    <t>2.1.1.04.0888</t>
  </si>
  <si>
    <t>MIRIAN ISABEL SAY - MEI</t>
  </si>
  <si>
    <t>2.1.1.04.0889</t>
  </si>
  <si>
    <t>M&amp;D CURSOS E TREINAMENTOS</t>
  </si>
  <si>
    <t>2.1.1.04.0890</t>
  </si>
  <si>
    <t>INSTITUTO NACIONAL DA PROPRIEDADE INDUSTRIAL</t>
  </si>
  <si>
    <t>2.1.1.04.0891</t>
  </si>
  <si>
    <t>CAPACITY TREINAMENTO E APERFEIÇOAMENTO</t>
  </si>
  <si>
    <t>2.1.1.04.0893</t>
  </si>
  <si>
    <t>WETALK TECNOLOGIA DA INFORMAÇÃO</t>
  </si>
  <si>
    <t>2.1.1.04.0894</t>
  </si>
  <si>
    <t>GET CLEAN HIGIENIZACAO EIRELI</t>
  </si>
  <si>
    <t>2.1.1.04.0895</t>
  </si>
  <si>
    <t>INSPER INST. DE ENSINO E PESQUISA</t>
  </si>
  <si>
    <t>2.1.1.04.0896</t>
  </si>
  <si>
    <t>UNIVET SERVIÇOS ESPECIALIZADOS DE DESINSETIZAÇAO LTDA</t>
  </si>
  <si>
    <t>2.1.1.04.0898</t>
  </si>
  <si>
    <t>SISTAB TEC-COMERCIO E SERVIÇOS</t>
  </si>
  <si>
    <t>2.1.1.04.0899</t>
  </si>
  <si>
    <t>VACIVITTA IMUNIZAÇÃO HUMANA</t>
  </si>
  <si>
    <t>2.1.1.04.0900</t>
  </si>
  <si>
    <t>CVE EVENTOS LTDA</t>
  </si>
  <si>
    <t>2.1.1.04.0902</t>
  </si>
  <si>
    <t>JARDEL BECK PALESTRAS MAGICAS EIRELI</t>
  </si>
  <si>
    <t>2.1.1.04.0903</t>
  </si>
  <si>
    <t>OFFICELESS EMPREENDEDORISMO E CONSULTORIA</t>
  </si>
  <si>
    <t>2.1.1.04.0904</t>
  </si>
  <si>
    <t>ASSOCIAÇÃO BRASILEIRA DE ORÇAMENTO PÚBLICO</t>
  </si>
  <si>
    <t>2.1.1.04.0905</t>
  </si>
  <si>
    <t>BUYSOFT DO BRASIL LTDA</t>
  </si>
  <si>
    <t>2.1.1.04.0908</t>
  </si>
  <si>
    <t>LSF COM. E SERV. DE IMPRESSAO EIRELLI-EPP</t>
  </si>
  <si>
    <t>2.1.1.04.0909</t>
  </si>
  <si>
    <t>CONPROVE TECNOLOGIA E PESQUISAS LTDA - EPP</t>
  </si>
  <si>
    <t>2.1.1.04.0910</t>
  </si>
  <si>
    <t>POTENCIA DIVERSA CONSULTORIA</t>
  </si>
  <si>
    <t>2.1.1.04.0913</t>
  </si>
  <si>
    <t>SOCIEDADE BRASILEIRA DE ECONOMIA ECOLOGICA</t>
  </si>
  <si>
    <t>2.1.1.04.0914</t>
  </si>
  <si>
    <t>WAYCARBON SOLUCOES AMBIENTAIS E PROJETOS DE CARBONO LT</t>
  </si>
  <si>
    <t>2.1.1.04.0915</t>
  </si>
  <si>
    <t>BSD CONSULTORIA LTDA</t>
  </si>
  <si>
    <t>2.1.1.04.0916</t>
  </si>
  <si>
    <t>ASSOCIAÇÃO BRASILEIRA DE GERADORAS TERMELETRICAS ABRAG</t>
  </si>
  <si>
    <t>2.1.1.04.0917</t>
  </si>
  <si>
    <t>NAYANA AGNI LOURENÇO MARINS</t>
  </si>
  <si>
    <t>2.1.1.04.0918</t>
  </si>
  <si>
    <t>DIEGO MARCELO F. TRAVEZ</t>
  </si>
  <si>
    <t>2.1.1.04.0919</t>
  </si>
  <si>
    <t>NÚCLEO DE INFORMAÇÃO E COORDENAÇÃO DO PONTO BR - NIC.BR</t>
  </si>
  <si>
    <t>2.1.1.04.0920</t>
  </si>
  <si>
    <t>RAPHAEL DIAS XAVIER</t>
  </si>
  <si>
    <t>2.1.1.04.0921</t>
  </si>
  <si>
    <t>ASSOCIAÇÃO BRASILEIRA DE AGENCIAS DE REGULAÇÃO - ABAR</t>
  </si>
  <si>
    <t>2.1.1.04.0922</t>
  </si>
  <si>
    <t>000000004906-95</t>
  </si>
  <si>
    <t>BANCO DO BRASIL S/A</t>
  </si>
  <si>
    <t>2.1.1.04.0923</t>
  </si>
  <si>
    <t>X VOTE SISTEMAS DE VOTACAO ELETRONICA LTDA</t>
  </si>
  <si>
    <t>2.1.1.04.0924</t>
  </si>
  <si>
    <t>SINERGYA TREINAMENTOS LTDA</t>
  </si>
  <si>
    <t>2.1.1.04.0925</t>
  </si>
  <si>
    <t>DM CRIACAO E DISTRIBUICAO DE CONTEUDO EIRELI</t>
  </si>
  <si>
    <t>2.1.1.04.0927</t>
  </si>
  <si>
    <t>DIANA BONAR SACILOTTI CURRIE DESENVOLVIMENTO</t>
  </si>
  <si>
    <t>2.1.1.04.0928</t>
  </si>
  <si>
    <t>DAIMON ENGENHARIA E SISTEMAS S/S LTDA</t>
  </si>
  <si>
    <t>2.1.1.04.0929</t>
  </si>
  <si>
    <t>FREE JOBS DESENVOLVIMENTO DE SOFTWARE LTDA</t>
  </si>
  <si>
    <t>2.1.1.04.0931</t>
  </si>
  <si>
    <t>KANELS VAREJO ESPECIALIZADO EM EQUIPAMENTOS DE AUDIO E VIDEO EIRELI</t>
  </si>
  <si>
    <t>2.1.1.04.0933</t>
  </si>
  <si>
    <t>GRAPHIX COPIAS E IMPRESSOES EIRELI ME</t>
  </si>
  <si>
    <t>2.1.1.04.0934</t>
  </si>
  <si>
    <t>PSYDEMY ENGENHARIA LTDA</t>
  </si>
  <si>
    <t>2.1.1.04.0935</t>
  </si>
  <si>
    <t>A &amp; A TRADUCOES E INTERPRETACOES LTDA</t>
  </si>
  <si>
    <t>2.1.1.04.0936</t>
  </si>
  <si>
    <t>CONQUER HOLDING EDUCACIONAL S.A.</t>
  </si>
  <si>
    <t>2.1.1.04.0938</t>
  </si>
  <si>
    <t>KEILA AMORIM DE MELO</t>
  </si>
  <si>
    <t>2.1.1.04.0939</t>
  </si>
  <si>
    <t>DELOITTE TOUCHE TOHMATSU CONSULTORES LTDA</t>
  </si>
  <si>
    <t>2.1.1.04.0940</t>
  </si>
  <si>
    <t>APPROACH COMUNICAÇÃO INTEGRADA LTDA</t>
  </si>
  <si>
    <t>2.1.1.04.0941</t>
  </si>
  <si>
    <t>GD TREINAMENTOS LTDA</t>
  </si>
  <si>
    <t>2.1.1.04.0944</t>
  </si>
  <si>
    <t>THIAGO PINTO MARTINS</t>
  </si>
  <si>
    <t>2.1.1.04.0945</t>
  </si>
  <si>
    <t>CALESMON ENGENHARIA LTDA</t>
  </si>
  <si>
    <t>2.1.1.04.0946</t>
  </si>
  <si>
    <t>THYMOS ENERGIA ENGENHARIA E CONSULTORIA LTDA</t>
  </si>
  <si>
    <t>2.1.1.04.0947</t>
  </si>
  <si>
    <t>DRIKA INDUSTRIA E COMERCIO DE PRODUTOS PROMOCIONAIS EIRELI</t>
  </si>
  <si>
    <t>2.1.1.04.0949</t>
  </si>
  <si>
    <t>FUNCIONAL MOVEIS DE AÇO LTDA</t>
  </si>
  <si>
    <t>2.1.1.04.0950</t>
  </si>
  <si>
    <t>FUNDACAO COORDENACAO DE PROJETOS PESQUISAS E ESTUDOS</t>
  </si>
  <si>
    <t>2.1.1.04.0951</t>
  </si>
  <si>
    <t>INOVE TREINAMENTOS LTDA-ME</t>
  </si>
  <si>
    <t>2.1.1.04.0952</t>
  </si>
  <si>
    <t>HIGH SERVICOS DE COMPLIANCE LTDA</t>
  </si>
  <si>
    <t>2.1.1.04.0953</t>
  </si>
  <si>
    <t>STCP - ENGENHARIA DE PROJETOS LTDA</t>
  </si>
  <si>
    <t>2.1.1.04.0956</t>
  </si>
  <si>
    <t>SPUTNIK CURSOS LTDA</t>
  </si>
  <si>
    <t>2.1.1.04.0958</t>
  </si>
  <si>
    <t>SHIELD SEGURANÇA DA INFORMAÇÃO E CONSULTORIA LTDA</t>
  </si>
  <si>
    <t>2.1.1.04.0959</t>
  </si>
  <si>
    <t>GLEICE DE SOUZA SILVA</t>
  </si>
  <si>
    <t>2.1.1.04.0960</t>
  </si>
  <si>
    <t>DIVERSA CONSULTORIA E PLANEJAMENTO EM SUSTENTABILIDADE</t>
  </si>
  <si>
    <t>2.1.1.04.0961</t>
  </si>
  <si>
    <t>EMERSON PROCESS MANAGEMENT LTDA</t>
  </si>
  <si>
    <t>2.1.1.04.0962</t>
  </si>
  <si>
    <t>CARLOS EDUARDO ALVES DE ABREU</t>
  </si>
  <si>
    <t>2.1.1.04.0963</t>
  </si>
  <si>
    <t>MENEZES NIEBUHR SOCIEDADE DE ADVOGADOS</t>
  </si>
  <si>
    <t>2.1.1.04.0964</t>
  </si>
  <si>
    <t>KPMG CONSULTORIA LTDA</t>
  </si>
  <si>
    <t>2.1.1.04.0965</t>
  </si>
  <si>
    <t>FUNDAÇÃO DE APOIO AO DESENVOLVIMENTO DA COMPUTAÇÃO</t>
  </si>
  <si>
    <t>2.1.1.04.0966</t>
  </si>
  <si>
    <t>OBRA RIO REFORMAS REPAROS E COMERCIO LTDA</t>
  </si>
  <si>
    <t>2.1.1.04.0968</t>
  </si>
  <si>
    <t>06.977.747/0002-61</t>
  </si>
  <si>
    <t>AGEM TECNOLOGIA DISTRIBUIDORA LTDA</t>
  </si>
  <si>
    <t>2.1.1.04.0969</t>
  </si>
  <si>
    <t>Bruno Soares Moreira Cesar Borba</t>
  </si>
  <si>
    <t>2.1.1.04.0971</t>
  </si>
  <si>
    <t>CENTRO LATINO-AMERICANO DE ESTUDOS JURIDICOS LTDA</t>
  </si>
  <si>
    <t>2.1.1.04.0972</t>
  </si>
  <si>
    <t>CONSELHO REGIONAL DE ENGENHARIA E AGRONOMIA DO RIO DE JANEIRO</t>
  </si>
  <si>
    <t>2.1.1.04.0973</t>
  </si>
  <si>
    <t>FS TECNOLOGIA TREINAMENTO EM DESENVOLVIMENTO</t>
  </si>
  <si>
    <t>2.1.1.04.0974</t>
  </si>
  <si>
    <t>LD 209 MAGALHÃES</t>
  </si>
  <si>
    <t>2.1.1.04.0975</t>
  </si>
  <si>
    <t>IDESP - INSTITUTO DARYUS DE ENSINO SUPERIOR PAULISTA</t>
  </si>
  <si>
    <t>2.1.1.04.0976</t>
  </si>
  <si>
    <t>ENGEDUTO ENGENHARIA E INDUSTRIA LTDA</t>
  </si>
  <si>
    <t>2.1.1.04.0977</t>
  </si>
  <si>
    <t>IMAGINE RISKS CONSULTORIA E SOFTWARE LTDA</t>
  </si>
  <si>
    <t>2.1.1.04.0978</t>
  </si>
  <si>
    <t>ASSOCIAÇÃO BRASILEIRA DE CERÂMICA</t>
  </si>
  <si>
    <t>2.1.1.04.0980</t>
  </si>
  <si>
    <t>FABRICIO RACHADEL COSTA</t>
  </si>
  <si>
    <t>2.1.1.04.0981</t>
  </si>
  <si>
    <t>SANEMIX MUNDO DOS SERVICOS EIRELI</t>
  </si>
  <si>
    <t>2.1.1.04.0982</t>
  </si>
  <si>
    <t>2.1.1.04.0984</t>
  </si>
  <si>
    <t>SANDRA TERESA PETRUNGARO JORDAO</t>
  </si>
  <si>
    <t>2.1.1.04.0985</t>
  </si>
  <si>
    <t>ALFA COMERCIO E DISTRIBUIDORA DE PLASTICOS LTDA</t>
  </si>
  <si>
    <t>2.1.1.04.0986</t>
  </si>
  <si>
    <t>EXACTTUS CONSULTORIA ATUARIAL LTDA</t>
  </si>
  <si>
    <t>2.1.1.04.0988</t>
  </si>
  <si>
    <t>ASSOCIACAO CCS BRASIL</t>
  </si>
  <si>
    <t>2.1.1.04.0989</t>
  </si>
  <si>
    <t>DIGITALNET BRASIL SISTEMAS DE COLABORACAO LTDA</t>
  </si>
  <si>
    <t>2.1.1.04.0990</t>
  </si>
  <si>
    <t>WOOD CENTER COMERCIO - EIRELI</t>
  </si>
  <si>
    <t>2.1.1.04.0991</t>
  </si>
  <si>
    <t>M &amp; J OFICINA DE CADEIRAS EIRELI ME</t>
  </si>
  <si>
    <t>2.1.1.04.0992</t>
  </si>
  <si>
    <t>SOLAR SOLUTIONS SOLUÇÕES SOLARES LTDA</t>
  </si>
  <si>
    <t>2.1.1.04.0993</t>
  </si>
  <si>
    <t>MARILIA REBELLO &amp; ASSOCIADOS LTDA</t>
  </si>
  <si>
    <t>2.1.1.04.0994</t>
  </si>
  <si>
    <t>AVALOR ENGENHARIA DE AVALIACOES LTDA</t>
  </si>
  <si>
    <t>2.1.1.04.0995</t>
  </si>
  <si>
    <t>CURSOS VAI QUE DA LTDA - ME</t>
  </si>
  <si>
    <t>2.1.1.04.0997</t>
  </si>
  <si>
    <t>BARCINO TREINAMENTO E GESTAO LTDA-ME</t>
  </si>
  <si>
    <t>2.1.1.04.0999</t>
  </si>
  <si>
    <t>Provisão de Fornecedores</t>
  </si>
  <si>
    <t>2.1.1.04.1000</t>
  </si>
  <si>
    <t>PREMIER CURSOS LTDA</t>
  </si>
  <si>
    <t>2.1.1.04.1001</t>
  </si>
  <si>
    <t>EXXPRESS BRINDES LTDA</t>
  </si>
  <si>
    <t>2.1.1.04.1003</t>
  </si>
  <si>
    <t>MTSI COMERCIO E SERVICOS DE IMPRESSAO EIRELI</t>
  </si>
  <si>
    <t>2.1.1.04.1004</t>
  </si>
  <si>
    <t>JORDAO CONSULTORIA E PROJETOS LTDA</t>
  </si>
  <si>
    <t>2.1.1.04.1005</t>
  </si>
  <si>
    <t>FBM ESCOLA DE NEGOCIOS LTDA</t>
  </si>
  <si>
    <t>2.1.1.04.1006</t>
  </si>
  <si>
    <t>ABIOGAS - ASSOCIACAO BRASILEIRA DO BIOGAS E DO BIOMETAN</t>
  </si>
  <si>
    <t>2.1.1.04.1007</t>
  </si>
  <si>
    <t>IDEALPRINT PRODUÇÕES GRAFICAS LTDA</t>
  </si>
  <si>
    <t>2.1.1.04.1008</t>
  </si>
  <si>
    <t>SYSTECH SISTEMAS E TECNOLOGIA EM INFORMÁTICA</t>
  </si>
  <si>
    <t>2.1.1.04.1009</t>
  </si>
  <si>
    <t>ANUBIS INFORMATICA LTDA</t>
  </si>
  <si>
    <t>2.1.1.04.1010</t>
  </si>
  <si>
    <t>THAP BRINDES LTDA</t>
  </si>
  <si>
    <t>2.1.1.04.1011</t>
  </si>
  <si>
    <t>PRIMETECH INFORMATICA EIRELI</t>
  </si>
  <si>
    <t>2.1.1.04.1014</t>
  </si>
  <si>
    <t>SATELITE COMERCIO DE MATERIAIS DE ESCRITORIO DE LIMPEZA</t>
  </si>
  <si>
    <t>2.1.1.04.1016</t>
  </si>
  <si>
    <t>5F SOLUÇÕES, SERVIÇOS E COMERCIO DE PRODUTOS DE INFORMATICA</t>
  </si>
  <si>
    <t>2.1.1.04.1017</t>
  </si>
  <si>
    <t>FUNDACAO UNIVERSITARIA JOSE BONIFACIO</t>
  </si>
  <si>
    <t>2.1.1.04.1018</t>
  </si>
  <si>
    <t>SERVICO FEDERAL DE PROCESSAMENTO DE DADOS SERPRO</t>
  </si>
  <si>
    <t>2.1.1.04.1019</t>
  </si>
  <si>
    <t>GEOWORKS CONSULTING SERVICES LTDA</t>
  </si>
  <si>
    <t>2.1.1.04.1020</t>
  </si>
  <si>
    <t>2.1.1.04.1023</t>
  </si>
  <si>
    <t>ANKLESA INCORPORAÇÃO DE EMPREENDIMENTOS LTDA</t>
  </si>
  <si>
    <t>2.1.1.04.1024</t>
  </si>
  <si>
    <t>SOLUCOES INTERATIVAS PERSONALIZADAS LTDA</t>
  </si>
  <si>
    <t>2.1.1.04.1025</t>
  </si>
  <si>
    <t>NALI FRETAMENTO TURISMO E LOCADORA LTDA ME</t>
  </si>
  <si>
    <t>2.1.1.04.1026</t>
  </si>
  <si>
    <t>GAR-6 CONSULTORIA EM RELAÇÕES TRABALHISTAS LTDA ME</t>
  </si>
  <si>
    <t>2.1.1.04.1027</t>
  </si>
  <si>
    <t>ESCAPE RIO RECREAÇÃO E TREINAMENTO LTDA</t>
  </si>
  <si>
    <t>2.1.1.04.1028</t>
  </si>
  <si>
    <t>ASSOCIAÇÃO BRASILEIRA DE PEQUENAS CENTRAIS HIDRELETRICAS</t>
  </si>
  <si>
    <t>2.1.1.04.1029</t>
  </si>
  <si>
    <t>ENGEPOWER ENGENHARIA E COMÉRCIO LTDA</t>
  </si>
  <si>
    <t>2.1.1.04.1030</t>
  </si>
  <si>
    <t>NARCISIA SANTOS CONSULTORIA, PROJETOS E CURSOS LTDA</t>
  </si>
  <si>
    <t>2.1.1.04.1032</t>
  </si>
  <si>
    <t>DLS TREINAMENTOS LTDA</t>
  </si>
  <si>
    <t>2.1.1.04.1033</t>
  </si>
  <si>
    <t>GREENER CONSULTORIA LTDA</t>
  </si>
  <si>
    <t>2.1.1.04.1034</t>
  </si>
  <si>
    <t>VALOR CRUCIAL TREINAMENTOS EPP LTDA</t>
  </si>
  <si>
    <t>2.1.1.04.1035</t>
  </si>
  <si>
    <t>SBERA - SOCIEDADE BRASILEIRA DOS ESPECIALISTAS EM RESIDUOS</t>
  </si>
  <si>
    <t>2.1.1.04.1036</t>
  </si>
  <si>
    <t>AGENCIA BRASILEIRA DE PROMOCAO DE EXPORTACOES E INVESTIMENTOS</t>
  </si>
  <si>
    <t>2.1.1.04.1037</t>
  </si>
  <si>
    <t>MARTINS BRITTO DESENVOLVIMENTO PESSOAL E TECNOLOGICO LTDA</t>
  </si>
  <si>
    <t>2.1.1.04.1038</t>
  </si>
  <si>
    <t>INSTITUTO BRAS DE AVALIACOES PERICIAS DE ENGENHARIA SP</t>
  </si>
  <si>
    <t>2.1.1.04.1040</t>
  </si>
  <si>
    <t>NSI TRAINING TECNOLOGIA S/C LTDA</t>
  </si>
  <si>
    <t>2.1.1.04.1041</t>
  </si>
  <si>
    <t>CAIO ALEXANDRE A DE SOUZA EVENTOS</t>
  </si>
  <si>
    <t>2.1.1.04.1044</t>
  </si>
  <si>
    <t>LEGRAND BRASIL LTDA</t>
  </si>
  <si>
    <t>2.1.1.04.1055</t>
  </si>
  <si>
    <t>ADRIELY MAIARA FRANCA DO NASCIMENTO</t>
  </si>
  <si>
    <t>2.1.1.04.1056</t>
  </si>
  <si>
    <t>SOCIEDADE BRASILEIRA DE COMPUTACAO</t>
  </si>
  <si>
    <t>2.1.1.04.1057</t>
  </si>
  <si>
    <t>INFORTRAIN TREINAMENTO LTDA</t>
  </si>
  <si>
    <t>2.1.1.04.1058</t>
  </si>
  <si>
    <t>ASSOCIACAO BRASILEIRA DE RECURSOS HUMANOS</t>
  </si>
  <si>
    <t>2.1.1.04.1059</t>
  </si>
  <si>
    <t>UNIABRAPP - UNIVERSIDADE CORPORATIVA DA PREVIDENCIA COM</t>
  </si>
  <si>
    <t>2.1.1.04.1060</t>
  </si>
  <si>
    <t>KONVERGENTE TELECOMUNICACOES LTDA</t>
  </si>
  <si>
    <t>2.1.1.04.1061</t>
  </si>
  <si>
    <t>BARRA LIVRE EVENTOS E PROMOCOES EIRELI</t>
  </si>
  <si>
    <t>2.1.1.04.1062</t>
  </si>
  <si>
    <t>HSR SOLUCOES E SERVICOS LTDA</t>
  </si>
  <si>
    <t>2.1.1.04.1063</t>
  </si>
  <si>
    <t>SYMBIOS-ID CONTROLE DE ACESSO E IDENTIFICAO EIRELI</t>
  </si>
  <si>
    <t>2.1.1.04.1064</t>
  </si>
  <si>
    <t>HIRIA A NUERNBERGMESSE BRASIL BUSINESS E EVENTOS LTDA</t>
  </si>
  <si>
    <t>2.1.1.04.1065</t>
  </si>
  <si>
    <t>R&amp;F SOLUCOES EM TECNOLOGIA DA INFORMACAO LTDA</t>
  </si>
  <si>
    <t>2.1.1.04.1066</t>
  </si>
  <si>
    <t>MUNDO DO LED COMERCIO DE MATERIAL ELETRICO LTDA</t>
  </si>
  <si>
    <t>2.1.1.04.1067</t>
  </si>
  <si>
    <t>ASSOCIACAO NAC DE POS GRADUACAO E PESQ CIENCIAS SOCIAIS</t>
  </si>
  <si>
    <t>2.1.1.04.1068</t>
  </si>
  <si>
    <t>FOXTEC COMERCIO E SERVICOS DIGITAIS EIRELI</t>
  </si>
  <si>
    <t>2.1.1.04.1069</t>
  </si>
  <si>
    <t>CK TREINAMENTO PROFISSIONAL LTDA</t>
  </si>
  <si>
    <t>2.1.1.04.1070</t>
  </si>
  <si>
    <t>FUNDAÇÃO ARTHUR BERNARDES</t>
  </si>
  <si>
    <t>2.1.1.04.1071</t>
  </si>
  <si>
    <t>UNIVERSIDADE PATATIVA DO ASSARE</t>
  </si>
  <si>
    <t>2.1.1.04.1072</t>
  </si>
  <si>
    <t>EDITORA GLOBO S/A</t>
  </si>
  <si>
    <t>2.1.1.04.1073</t>
  </si>
  <si>
    <t>PITMEN ASSESSORIA CONTABIL E EMPRESARIAL LTDA.</t>
  </si>
  <si>
    <t>2.1.1.04.1074</t>
  </si>
  <si>
    <t>MICROSOFT INFORMATICA LTDA</t>
  </si>
  <si>
    <t>2.1.1.04.1076</t>
  </si>
  <si>
    <t>NETWAY TELECOM LTDA</t>
  </si>
  <si>
    <t>2.1.1.04.1077</t>
  </si>
  <si>
    <t>JM YOUNGEST COMERCIO E SERVICOS DE INTERMEDIACAO LTDA</t>
  </si>
  <si>
    <t>2.1.1.04.1078</t>
  </si>
  <si>
    <t>QUANTAGEO TECNOLOGIA LTDA</t>
  </si>
  <si>
    <t>2.1.1.04.1079</t>
  </si>
  <si>
    <t>VIVIAN CRISTINA RIO STELLA</t>
  </si>
  <si>
    <t>2.1.1.04.1080</t>
  </si>
  <si>
    <t>FOKO GEOTECNOLOGIAS LTDA</t>
  </si>
  <si>
    <t>2.1.1.04.1081</t>
  </si>
  <si>
    <t>FUNDACAO INSTITUTO DE ADMINISTRACAO</t>
  </si>
  <si>
    <t>2.1.1.04.1082</t>
  </si>
  <si>
    <t>E-SETH TECNOLOGIA LTDA</t>
  </si>
  <si>
    <t>2.1.1.04.1083</t>
  </si>
  <si>
    <t>MCI BRASIL S/A</t>
  </si>
  <si>
    <t>2.1.1.04.1084</t>
  </si>
  <si>
    <t>R&amp;F TREINAMENTOS TECNICOS E GERENCIAIS LTDA</t>
  </si>
  <si>
    <t>2.1.1.04.1085</t>
  </si>
  <si>
    <t>SOCIEDADE BRASILEIRA DE ECONOMETRIA</t>
  </si>
  <si>
    <t>2.1.1.04.1086</t>
  </si>
  <si>
    <t>SERVIÇO NACIONAL DE APRENDIZAGEM INDUSTRIAL</t>
  </si>
  <si>
    <t>2.1.1.04.1087</t>
  </si>
  <si>
    <t>FUTURA AGENCIA DE VIAGENS E TURISMO LTDA</t>
  </si>
  <si>
    <t>2.1.1.04.1088</t>
  </si>
  <si>
    <t>EUROFORM MOVEIS PARA ESCRITORIO LTDA</t>
  </si>
  <si>
    <t>2.1.1.04.1089</t>
  </si>
  <si>
    <t>GALVAO &amp; BERNARDES SOCIEDADE DE ADVOGADOS</t>
  </si>
  <si>
    <t>2.1.1.04.1090</t>
  </si>
  <si>
    <t>E-SAFER CYBERSECURITY SOLUCOES E SERVICOS EM SEGURANCA DA INFORMACAO LTDA</t>
  </si>
  <si>
    <t>2.1.1.04.1091</t>
  </si>
  <si>
    <t>QUANTICA EMPRESA DE CONSULTORIA E SERVICOS LTDA</t>
  </si>
  <si>
    <t>a</t>
  </si>
  <si>
    <t>n/a</t>
  </si>
  <si>
    <t>2.1.1.04.1092</t>
  </si>
  <si>
    <t>RIO DATA CONSULTORIA EMPRESARIAL E SISTEMAS LTDA</t>
  </si>
  <si>
    <t>2.1.1.04.1093</t>
  </si>
  <si>
    <t>MW ENERGIA - MARKETING E SERVIÇOS LTDA</t>
  </si>
  <si>
    <t xml:space="preserve">2.1.1.04.1094 </t>
  </si>
  <si>
    <t xml:space="preserve">VERISK DO BRASIL INFORMACOES ANALITICAS LTDA </t>
  </si>
  <si>
    <t>2.1.1.04.1095</t>
  </si>
  <si>
    <t>TARGET ENGENHARIA E CONSULTORIA LTDA</t>
  </si>
  <si>
    <t>2.1.1.04.1096</t>
  </si>
  <si>
    <t>ACR 117 RECORTES DE DIARIOS OFICIAIS LTDA</t>
  </si>
  <si>
    <t>2.1.1.04.1097</t>
  </si>
  <si>
    <t xml:space="preserve"> C R MOREIRA SANTOS LTDA</t>
  </si>
  <si>
    <t>2.1.1.04.1098</t>
  </si>
  <si>
    <t>N MARCHON OLIVEIRA COMERCIO ONLINE</t>
  </si>
  <si>
    <t>2.1.1.04.1099</t>
  </si>
  <si>
    <t>SCORPION INFORMATICA LTDA</t>
  </si>
  <si>
    <t>2.1.1.04.1100</t>
  </si>
  <si>
    <t>HEAD ENERGIA TREINAMENTOS LTDA</t>
  </si>
  <si>
    <t>2.1.1.04.1101</t>
  </si>
  <si>
    <t xml:space="preserve">SAE BRASIL </t>
  </si>
  <si>
    <t>2.1.1.04.1102</t>
  </si>
  <si>
    <t>FUTURE LAW EDTECH EDUCACAO E CONSULTORIA LTD</t>
  </si>
  <si>
    <t>2.1.1.04.1103</t>
  </si>
  <si>
    <t>DANIEL DA COSTA SOUZA</t>
  </si>
  <si>
    <t>2.1.1.04.1104</t>
  </si>
  <si>
    <t>VACINE SERVICOS DE SAUDE LTDA</t>
  </si>
  <si>
    <t>2.1.1.04.1105</t>
  </si>
  <si>
    <t>CENTRO DE APROFUNDAMENTO E DESENVOLVIMENTO PROFISSIONAL</t>
  </si>
  <si>
    <t>2.1.1.04.1106</t>
  </si>
  <si>
    <t>TECPARTS IMPORTACAO E DISTRIBUICAO DE PECAS LTDA</t>
  </si>
  <si>
    <t>2.1.1.04.1107</t>
  </si>
  <si>
    <t>SALVI PROJETOS E DESENHOS TECNICOS LTDA</t>
  </si>
  <si>
    <t>2.1.1.04.1108</t>
  </si>
  <si>
    <t>BASE MONTAGENS E SERVIÇOS PROMOCIONAIS LTDA</t>
  </si>
  <si>
    <t>2.1.1.04.1109</t>
  </si>
  <si>
    <t>ASSOCIACAO BRASILEIRA DE ECONOMIA DA ENERGIA - ABEE</t>
  </si>
  <si>
    <t>2.1.1.04.1110</t>
  </si>
  <si>
    <t>PRUDENTIAL DO BRASIL VIDA EM GRUPO S.A.</t>
  </si>
  <si>
    <t>2.1.1.04.1111</t>
  </si>
  <si>
    <t>IDR EDUCACAO INFINITA LTDA</t>
  </si>
  <si>
    <t>2.1.1.04.1112</t>
  </si>
  <si>
    <t>INOVECAPACITACAO - CONSULTORIA E TREINAMENTOS LTDA</t>
  </si>
  <si>
    <t>2.1.1.04.1113</t>
  </si>
  <si>
    <t>BLUE OCEAN EVENTOS LTDA</t>
  </si>
  <si>
    <t>2.1.1.04.1114</t>
  </si>
  <si>
    <t>CAMISA DIMONA E MALHAS LTDA</t>
  </si>
  <si>
    <t>2.1.1.04.1115</t>
  </si>
  <si>
    <t>CARRINHO BRASIL INDUSTRIA COM E SERV CARRINHO LTDA ME</t>
  </si>
  <si>
    <t>2.1.1.04.1116</t>
  </si>
  <si>
    <t>OLIVANTEL SERVICE TELECOM LTDA</t>
  </si>
  <si>
    <t>2.1.1.04.1117</t>
  </si>
  <si>
    <t>VIPE COMERCIAL LTDA. EPP</t>
  </si>
  <si>
    <t>2.1.1.04.1118</t>
  </si>
  <si>
    <t>XP ON CONSULTORIA LTDA</t>
  </si>
  <si>
    <t>2.1.1.04.1119</t>
  </si>
  <si>
    <t>M. G. AGUILA COMERCIO DE PRODUTOS ELETRONICOS LTDA</t>
  </si>
  <si>
    <t>2.1.1.04.1120</t>
  </si>
  <si>
    <t>INSTITUTO BRASILEIRO DE DIREITO ADMINISTRATIVO</t>
  </si>
  <si>
    <t>2.1.1.04.1121</t>
  </si>
  <si>
    <t>ASSOCIAÇÃO ESCOLA SUPERIOR DE PROPAGANDA E MARKETING - ESPM</t>
  </si>
  <si>
    <t>2.1.1.04.1122</t>
  </si>
  <si>
    <t>CENTRAL DOS INTÉRPRETES LTDA</t>
  </si>
  <si>
    <t>2.1.1.04.1123</t>
  </si>
  <si>
    <t>FUNDAÇÃO BRASILEIRA DE CONTABILIDADE</t>
  </si>
  <si>
    <t>2.1.1.04.1124</t>
  </si>
  <si>
    <t>REDE MANIA COMERCIO DE MIDIAS LTDA EPP</t>
  </si>
  <si>
    <t>2.1.1.04.1125</t>
  </si>
  <si>
    <t>MCR SISTEMAS E CONSULTORIA LTDA</t>
  </si>
  <si>
    <t>2.1.1.04.1126</t>
  </si>
  <si>
    <t>A COSTTA PRODUCOES LTDA</t>
  </si>
  <si>
    <t>2.1.1.04.1127</t>
  </si>
  <si>
    <t>DNV CLASSIFICACAO, CERTIFICACAO E CONSULTORIA BRASIL LT</t>
  </si>
  <si>
    <t>2.1.1.04.1128</t>
  </si>
  <si>
    <t>HOPE RIO DISTRIBUIDORA LTDA</t>
  </si>
  <si>
    <t>2.1.1.04.1129</t>
  </si>
  <si>
    <t>AGGIO SOLUCOES EM COMUNICACAO VISUAL LTDA</t>
  </si>
  <si>
    <t>2.1.1.04.1130</t>
  </si>
  <si>
    <t>CANAL SOLAR COMUNICACAO E MIDIA LTDA</t>
  </si>
  <si>
    <t>2.1.1.04.1131</t>
  </si>
  <si>
    <t>J. CLOSKO CURSOS E TREINAMENTOS</t>
  </si>
  <si>
    <t>2.1.1.04.1132</t>
  </si>
  <si>
    <t>GEOWELLEX PESQUISA, DESENVOLVIMENTO E INOVACAO LTDA</t>
  </si>
  <si>
    <t>2.1.1.04.1133</t>
  </si>
  <si>
    <t>ABTD ASSOCIACAO BRASILEIRA DE TREINAMENTO</t>
  </si>
  <si>
    <t>2.1.1.04.1134</t>
  </si>
  <si>
    <t>ESCOLA SUPERIOR DE CONTABILIDADE, TRIBUTOS E RH LTDA</t>
  </si>
  <si>
    <t>2.1.1.04.1135</t>
  </si>
  <si>
    <t>HASHTAG TREINAMENTOS LTDA</t>
  </si>
  <si>
    <t>2.1.1.04.1136</t>
  </si>
  <si>
    <t>FABRICADS SOLUCOES EM TECNOLOGIA DA INFORMACAO LTDA</t>
  </si>
  <si>
    <t>2.1.1.04.1137</t>
  </si>
  <si>
    <t>BIZPOKE SOLUCOES EM SOFTWARE LTDA</t>
  </si>
  <si>
    <t>2.1.1.04.1138</t>
  </si>
  <si>
    <t>CENTRA MOVEIS S.A.</t>
  </si>
  <si>
    <t>2.1.1.04.1139</t>
  </si>
  <si>
    <t>ERM BRASIL LTDA</t>
  </si>
  <si>
    <t>2.1.1.04.1140</t>
  </si>
  <si>
    <t>7THE EXECUTIVE CLUB LTDA</t>
  </si>
  <si>
    <t>2.1.1.04.1141</t>
  </si>
  <si>
    <t>FAGUNDEZ DISTRIBUICAO LTDA</t>
  </si>
  <si>
    <t>2.1.1.04.1142</t>
  </si>
  <si>
    <t>INOVARE GOURMET LTDA</t>
  </si>
  <si>
    <t>2.1.1.04.1143</t>
  </si>
  <si>
    <t>PONTIFICIA UNIVERSIDADE CATOLICA DE MINAS GERAIS</t>
  </si>
  <si>
    <t>2.1.1.04.1144</t>
  </si>
  <si>
    <t>R6 ESTATISTICA E TREINAMENTOS LTDA</t>
  </si>
  <si>
    <t>2.1.1.04.1145</t>
  </si>
  <si>
    <t>METALLUM CONGRESSOS LTDA</t>
  </si>
  <si>
    <t>2.1.1.04.1146</t>
  </si>
  <si>
    <t>PERALLIS CONSULTORIA E CAPACITAÇÃO EM TI LTDA</t>
  </si>
  <si>
    <t>2.1.1.04.1147</t>
  </si>
  <si>
    <t>SLLIMA COMERCIO E SERVICOS OFFSHORE LTDA</t>
  </si>
  <si>
    <t>2.1.1.04.1148</t>
  </si>
  <si>
    <t>TARGET SOLUCOES ELETRONICAS</t>
  </si>
  <si>
    <t>2.1.1.04.1149</t>
  </si>
  <si>
    <t>FAROFA BRASIL BUFFET E EVENTOS LTDA</t>
  </si>
  <si>
    <t>2.1.1.04.1150</t>
  </si>
  <si>
    <t>GUSTAVO BINENBOJM &amp; ADVOGADOS ASSOCIADOS</t>
  </si>
  <si>
    <t>2.1.1.04.1151</t>
  </si>
  <si>
    <t>CLAVIS BBR CONSULTORIA EM INFORMATICA S.A.</t>
  </si>
  <si>
    <t>2.1.1.04.1152</t>
  </si>
  <si>
    <t>TSE CONSULTING LTDA</t>
  </si>
  <si>
    <t>2.1.1.04.1153</t>
  </si>
  <si>
    <t>DATAPREV S.A.</t>
  </si>
  <si>
    <t>2.1.1.04.1154</t>
  </si>
  <si>
    <t>LOGICA ASSESSORIA E CONSULTORIA ATUARIAL LTDA</t>
  </si>
  <si>
    <t>2.1.1.04.1155</t>
  </si>
  <si>
    <t>ELITE TECH SUPRIMENTOS LTDA</t>
  </si>
  <si>
    <t>2.1.1.04.1156</t>
  </si>
  <si>
    <t>RL INFORMATICA LTDA</t>
  </si>
  <si>
    <t>2.1.1.04.1157</t>
  </si>
  <si>
    <t>00071422/0001-58</t>
  </si>
  <si>
    <t>FABIO GUIMARAES PACHECO</t>
  </si>
  <si>
    <t>2.1.1.04.1158</t>
  </si>
  <si>
    <t>GEN - GRUPO EDITORIAL NACIONAL PARTICIPACOES S.A.</t>
  </si>
  <si>
    <t>2.1.1.04.1159</t>
  </si>
  <si>
    <t>48707842000104</t>
  </si>
  <si>
    <t>CBD BILHETE DIGITAL</t>
  </si>
  <si>
    <t>2.1.1.04.1160</t>
  </si>
  <si>
    <t>MAIRA COSTA MACHADO</t>
  </si>
  <si>
    <t>2.1.1.04.1161</t>
  </si>
  <si>
    <t>ASSOCIACAO BRASILEIRA DE ECONOMIA INDUSTR</t>
  </si>
  <si>
    <t>2.1.1.04.1162</t>
  </si>
  <si>
    <t>ASSOCIACAO DOS EMPREGADOS DA EMPRESA DE P</t>
  </si>
  <si>
    <t>2.1.1.04.1163</t>
  </si>
  <si>
    <t>ELETROS SAUDE - ASSOCIACAO DE ASSISTENCIA</t>
  </si>
  <si>
    <t>2.1.1.04.1164</t>
  </si>
  <si>
    <t>SINDICATO DOS ENGENHEIROS NO ESTADO DO RI</t>
  </si>
  <si>
    <t>2.1.1.04.1165</t>
  </si>
  <si>
    <t>SINDICATO DOS TRABALHADORES NAS EMPRESAS</t>
  </si>
  <si>
    <t>2.1.1.04.1166</t>
  </si>
  <si>
    <t>I4PROCESSAMENTO E SISTEMAS DE INFORMAÇÕES</t>
  </si>
  <si>
    <t>2.1.1.04.1167</t>
  </si>
  <si>
    <t>SERVICO FEDERAL DE PROCESSAMENTO DE DADOS</t>
  </si>
  <si>
    <t>2.1.1.04.1168</t>
  </si>
  <si>
    <t>ELEVA SOLUCOES PUBLICAS LTDA</t>
  </si>
  <si>
    <t>2.1.1.04.1169</t>
  </si>
  <si>
    <t>BKR - LOPES &amp; MACHADO ASSESSORIA TRIBUTAR</t>
  </si>
  <si>
    <t>2.1.1.04.1170</t>
  </si>
  <si>
    <t>50974018/0001-62</t>
  </si>
  <si>
    <t>VIX EVENTOS E SERVICOS LTDA</t>
  </si>
  <si>
    <t>2.1.1.04.1171</t>
  </si>
  <si>
    <t>15595641/0001-03</t>
  </si>
  <si>
    <t>PARSON TECNOLOGIA LTDA</t>
  </si>
  <si>
    <t>2.1.1.04.1172</t>
  </si>
  <si>
    <t>IMPACT GESTAO PARA RESULTADOS LTDA</t>
  </si>
  <si>
    <t>2.1.1.04.1173</t>
  </si>
  <si>
    <t>MAIS MOBI SERVICOS LTDA</t>
  </si>
  <si>
    <t>2.1.1.04.1174</t>
  </si>
  <si>
    <t>ASSOCIACAO REDE DE METROLOGIA E ENSAIOS DO RIO G SUL</t>
  </si>
  <si>
    <t>2.1.1.04.1175</t>
  </si>
  <si>
    <t>CGK SISTEMAS DE INFORMACAO LTDA</t>
  </si>
  <si>
    <t>2.1.1.04.1176</t>
  </si>
  <si>
    <t>77 EVENTOS E TREINAMENTOS LTDA</t>
  </si>
  <si>
    <t>2.1.1.04.1177</t>
  </si>
  <si>
    <t>ENG SMART LEAD - SOLUCOES INTELIGENTES DE ENGENHARIA L</t>
  </si>
  <si>
    <t>2.1.1.04.1178</t>
  </si>
  <si>
    <t>DUBAI COMERCIO DE BRINDES LTDA</t>
  </si>
  <si>
    <t>2.1.1.04.1179</t>
  </si>
  <si>
    <t>EDIGRAPH LTDA</t>
  </si>
  <si>
    <t>2.1.1.04.1181</t>
  </si>
  <si>
    <t>CONSOLIDAR DESENVOLVIMENTO PROFISSIONAL E GE</t>
  </si>
  <si>
    <t>2.1.1.04.1182</t>
  </si>
  <si>
    <t xml:space="preserve">GFARIAS EDUCACAO LTDA </t>
  </si>
  <si>
    <t>2.1.1.04.1183</t>
  </si>
  <si>
    <t xml:space="preserve">CLG TREINAMENTO PROFISSIONAL LTDA  </t>
  </si>
  <si>
    <t>2.1.1.04.1184</t>
  </si>
  <si>
    <t xml:space="preserve">REPORT COMUNICACAO LTDA  </t>
  </si>
  <si>
    <t>2.1.1.04.1185</t>
  </si>
  <si>
    <t xml:space="preserve">SOBENA - SOCIEDADE BRASILEIRA DE ENGENHARIA </t>
  </si>
  <si>
    <t>2.1.1.04.1186</t>
  </si>
  <si>
    <t xml:space="preserve">BRINDES RJ &amp; COUROMIX LTDA  </t>
  </si>
  <si>
    <t>2.1.1.04.1188</t>
  </si>
  <si>
    <t xml:space="preserve">KAP AVALIACOES E PERICIAS DE ENGENHARIA LTDA </t>
  </si>
  <si>
    <t>2.1.1.04.1189</t>
  </si>
  <si>
    <t xml:space="preserve">ALVARO DE MOURA MARTINS 09296863732  </t>
  </si>
  <si>
    <t>2.1.1.04.1190</t>
  </si>
  <si>
    <t xml:space="preserve">PSR SOLUCOES E CONSULTORIA EM ENERGIA LTDA. </t>
  </si>
  <si>
    <t>2.1.1.04.1191</t>
  </si>
  <si>
    <t xml:space="preserve">CONTAGOV LTDA  </t>
  </si>
  <si>
    <t>2.1.1.04.1192</t>
  </si>
  <si>
    <t xml:space="preserve">GOSHME SOLUÇÕES PARA INTERNET LTDA  </t>
  </si>
  <si>
    <t>2.1.1.04.1193</t>
  </si>
  <si>
    <t xml:space="preserve">IBM BRASIL INDUSTRIA MAQUINAS E SERVIÇOS  </t>
  </si>
  <si>
    <t>2.1.1.04.1194</t>
  </si>
  <si>
    <t xml:space="preserve">NECTA COMUNICACAO E EVENTOS LTDA  </t>
  </si>
  <si>
    <t>2.1.1.04.1195</t>
  </si>
  <si>
    <t xml:space="preserve">QUALIPIX TECNOLOGIA EM EQUIPAMENTOS AUDIOVIS </t>
  </si>
  <si>
    <t>2.1.1.04.1196</t>
  </si>
  <si>
    <t xml:space="preserve">SINTESE- COMERCIO, ORGANIZACAO E PRODUCAO DE </t>
  </si>
  <si>
    <t>2.1.1.04.1197</t>
  </si>
  <si>
    <t xml:space="preserve">VIRTU SOLUCOES EM GESTAO PUBLICA LTDA  </t>
  </si>
  <si>
    <t>2.1.1.04.1198</t>
  </si>
  <si>
    <t xml:space="preserve">SUPREME TREINAMENTOS LTDA  </t>
  </si>
  <si>
    <t>2.1.1.04.1199</t>
  </si>
  <si>
    <t xml:space="preserve">IBM BRASIL-INDUSTRIA MAQUINAS E SERVICOS LIM </t>
  </si>
  <si>
    <t>2.1.1.04.1200</t>
  </si>
  <si>
    <t>3M&amp;T SERVICE LTDA</t>
  </si>
  <si>
    <t>2.1.1.04.1201</t>
  </si>
  <si>
    <t>ABRAPP - ASSOCIACAO BRASILEIRA DAS ENTIDADES</t>
  </si>
  <si>
    <t>2.1.1.04.1202</t>
  </si>
  <si>
    <t>CLINICA DE PSICOLOGIA VITALIS LTDA</t>
  </si>
  <si>
    <t>2.1.1.04.1203</t>
  </si>
  <si>
    <t>J &amp; K COMERCIAL LTDA</t>
  </si>
  <si>
    <t>2.1.1.04.1204</t>
  </si>
  <si>
    <t>ASSOCIACAO BRASILEIRA DE PESQUISA, DESENVOLV</t>
  </si>
  <si>
    <t>2.1.1.04.1205</t>
  </si>
  <si>
    <t>AVA EVENTOS E TECNOLOGIA LTDA</t>
  </si>
  <si>
    <t>2.1.1.04.1206</t>
  </si>
  <si>
    <t>CELERIT SERVIÇOS DE INFORMATICA LTDA</t>
  </si>
  <si>
    <t>2.1.1.04.1207</t>
  </si>
  <si>
    <t>VIEIRA, REZENDE E GUERREIRO ADVOGADOS</t>
  </si>
  <si>
    <t>2.1.1.04.1208</t>
  </si>
  <si>
    <t>ELETROWAY LTDA</t>
  </si>
  <si>
    <t>2.1.1.04.1209</t>
  </si>
  <si>
    <t>ONE CURSOS - TREINAMENTO, DESENVOLVIMENTO E</t>
  </si>
  <si>
    <t>2.1.1.04.1210</t>
  </si>
  <si>
    <t>RTA COMERCIO E SERVICOS DE ASSISTENCIA TECNI</t>
  </si>
  <si>
    <t>2.1.1.04.1211</t>
  </si>
  <si>
    <t xml:space="preserve">IDEMP EDUCACAO CORPORATIVA LTDA </t>
  </si>
  <si>
    <t>2.1.1.04.1212</t>
  </si>
  <si>
    <t xml:space="preserve">RALEDUC TECNOLOGIA E EDUCACAO LTDA </t>
  </si>
  <si>
    <t>2.1.1.04.1213</t>
  </si>
  <si>
    <t xml:space="preserve">CONSCIENCIA, CONSULTORIA &amp; EDITORA LTDA </t>
  </si>
  <si>
    <t>2.1.1.04.1214</t>
  </si>
  <si>
    <t xml:space="preserve">CERRADO VIAGENS LTDA </t>
  </si>
  <si>
    <t>2.1.1.04.1215</t>
  </si>
  <si>
    <t xml:space="preserve">G M R EQUIPAMENTOS ELETRICOS LTDA </t>
  </si>
  <si>
    <t>2.1.1.04.1216</t>
  </si>
  <si>
    <t xml:space="preserve">BRASO SOLUCOES TECNOLOGICAS LIMITADA </t>
  </si>
  <si>
    <t>2.1.1.04.1217</t>
  </si>
  <si>
    <t xml:space="preserve">LIBERTY EDUCATION DO BRASIL LTDA </t>
  </si>
  <si>
    <t>2.1.1.04.1218</t>
  </si>
  <si>
    <t xml:space="preserve">IMAGEM GEOSISTEMAS E COMERCIO LTDA </t>
  </si>
  <si>
    <t>2.1.1.04.1219</t>
  </si>
  <si>
    <t xml:space="preserve">GLOBAL AG DATA DADOS E ANALISES LTDA </t>
  </si>
  <si>
    <t>2.1.1.04.1220</t>
  </si>
  <si>
    <t xml:space="preserve">ASSOCIACAO NACIONAL DE PESQUISA E ENSINO EM </t>
  </si>
  <si>
    <t>2.1.1.04.1221</t>
  </si>
  <si>
    <t xml:space="preserve">VLP INDUSTRIA ELETRONICA LTDA </t>
  </si>
  <si>
    <t>2.1.1.04.1222</t>
  </si>
  <si>
    <t xml:space="preserve">CLM SOFTWARE COMERCIO IMPORTACAO E EXPORTACA </t>
  </si>
  <si>
    <t>2.1.1.04.1223</t>
  </si>
  <si>
    <t xml:space="preserve">NMAN FACILITIES LTDA </t>
  </si>
  <si>
    <t>2.1.1.04.1224</t>
  </si>
  <si>
    <t xml:space="preserve">RICPEL COMERCIO E DISTRIBUIDORA LTDA </t>
  </si>
  <si>
    <t>2.1.1.04.1225</t>
  </si>
  <si>
    <t xml:space="preserve">INSTITUTO BRASILEIRO DE MINERACAO IBRAM </t>
  </si>
  <si>
    <t>2.1.1.04.1226</t>
  </si>
  <si>
    <t xml:space="preserve">GRUPO CENTRUM CAPACITACAO E EVENTOS LTDA </t>
  </si>
  <si>
    <t>2.1.1.04.1227</t>
  </si>
  <si>
    <t xml:space="preserve">RYSTAD ENERGY DO BRASIL CONSULTORIA LTDA </t>
  </si>
  <si>
    <t>2.1.1.04.1228</t>
  </si>
  <si>
    <t xml:space="preserve">UDIMAXBR COMERCIO LTDA </t>
  </si>
  <si>
    <t>2.1.1.04.1229</t>
  </si>
  <si>
    <t xml:space="preserve">JUNTA COMERCIAL INDUSTRIAL E SERVICOS DO DIS </t>
  </si>
  <si>
    <t>2.1.1.04.1230</t>
  </si>
  <si>
    <t xml:space="preserve">LGM BRINDES LTDA </t>
  </si>
  <si>
    <t>2.1.1.04.1231</t>
  </si>
  <si>
    <t xml:space="preserve">ASSOC NACIONAL DE CENTROS DE POS GRADUACAO E </t>
  </si>
  <si>
    <t>2.1.1.04.1232</t>
  </si>
  <si>
    <t>JETHER JOSE DA SILVA FILHO LTDA</t>
  </si>
  <si>
    <t>2.1.1.04.1233</t>
  </si>
  <si>
    <t>J &amp; L - PROMOCAO DE VENDAS EM IN</t>
  </si>
  <si>
    <t>2.1.1.04.1234</t>
  </si>
  <si>
    <t>EDIOURO PIBLICAÇÕES DE LAZER E C</t>
  </si>
  <si>
    <t>2.1.1.04.1235</t>
  </si>
  <si>
    <t>GRUPO CASA MUNDI LTDA 0,00 0,00</t>
  </si>
  <si>
    <t>2.1.1.04.1236</t>
  </si>
  <si>
    <t>RECRUTA EASY TECNOLOGIA EM RECRU</t>
  </si>
  <si>
    <t>2.1.1.04.1237</t>
  </si>
  <si>
    <t>WORLD AGRI CONSULTORIA E EVENTOS</t>
  </si>
  <si>
    <t>2.1.1.04.1238</t>
  </si>
  <si>
    <t>INSTITUTO TOTUM DE DESENVOLVIMEN</t>
  </si>
  <si>
    <t>2.1.1.04.1239</t>
  </si>
  <si>
    <t>EVOLUE SERVICOS LTDA</t>
  </si>
  <si>
    <t>2.1.1.04.1240</t>
  </si>
  <si>
    <t>F A FERRARI DE SOUZA</t>
  </si>
  <si>
    <t>2.1.1.04.1241</t>
  </si>
  <si>
    <t>ESCOLA DE NEGOCIOS CONEXXOES</t>
  </si>
  <si>
    <t>2.1.1.04.1242</t>
  </si>
  <si>
    <t>INSTITUTO BRASILEIRO DE CERTIFIC</t>
  </si>
  <si>
    <t>2.1.1.04.1243</t>
  </si>
  <si>
    <t>EDIOURO PUBLICACOES DE LAZER E CULTURA LTDA</t>
  </si>
  <si>
    <t>2.1.1.04.1244</t>
  </si>
  <si>
    <t>BIODIESELBR INFORMACAO ESPECIALIZADA LTDA</t>
  </si>
  <si>
    <t>2.1.1.04.1245</t>
  </si>
  <si>
    <t>AMBMET CONSULTORIA LTDA</t>
  </si>
  <si>
    <t>2.1.1.04.1246</t>
  </si>
  <si>
    <t>AMERICA TECNOLOGIA DE INFORMATICA E ELETRO-E</t>
  </si>
  <si>
    <t>2.1.1.04.1247</t>
  </si>
  <si>
    <t>ILOS/LGSC- INSTITUTO DE LOGISTICA E SUPPLY C</t>
  </si>
  <si>
    <t>2.1.1.04.1248</t>
  </si>
  <si>
    <t>COMITÊ NACIONAL BRASILEIRO DE PRODUÇÃO E TRA</t>
  </si>
  <si>
    <t>2.1.1.04.1249</t>
  </si>
  <si>
    <t>2.1.1.04.1250</t>
  </si>
  <si>
    <t>ASSOCIACAO BRASILEIRA DE DIREITO FINANCEIRO</t>
  </si>
  <si>
    <t>2.1.1.04.1252</t>
  </si>
  <si>
    <t>CONECTA CONHECIMENTO LTDA</t>
  </si>
  <si>
    <t>2.1.1.04.1253</t>
  </si>
  <si>
    <t>HASTAG PARA EMPRESAS LTDA</t>
  </si>
  <si>
    <t>2.1.1.04.1254</t>
  </si>
  <si>
    <t>ABERJE ASSOCIAÇÃO BRASILEIRA DE COMUNICAÇÃO</t>
  </si>
  <si>
    <t>2.1.1.04.1255</t>
  </si>
  <si>
    <t>RIOCREATIVE CONFERENCES LTDA</t>
  </si>
  <si>
    <t>2.1.1.04.1256</t>
  </si>
  <si>
    <t>SEK SECURITY ECOSYSTEM KNOWLEDGE S A</t>
  </si>
  <si>
    <t>2.1.1.04.1257</t>
  </si>
  <si>
    <t>WEB SUMMIT RIO LTDA</t>
  </si>
  <si>
    <t>2.1.1.04.1258</t>
  </si>
  <si>
    <t>C. M. O. MARTINS CONSULTORIA LTDA</t>
  </si>
  <si>
    <t>2.1.1.04.1260</t>
  </si>
  <si>
    <t xml:space="preserve">ELETRICA JUREMA LTDA M E </t>
  </si>
  <si>
    <t>2.1.1.05</t>
  </si>
  <si>
    <t>Fornecedores Estrangeiros</t>
  </si>
  <si>
    <t>2.1.1.05.0999</t>
  </si>
  <si>
    <t>Fornecedores de Materiais e Serviços</t>
  </si>
  <si>
    <t>2.1.1.06.0001</t>
  </si>
  <si>
    <t>IRPJ a Recolher</t>
  </si>
  <si>
    <t>Imposto de renda</t>
  </si>
  <si>
    <t>2.1.1.06.0004</t>
  </si>
  <si>
    <t>ICMS a Recolher</t>
  </si>
  <si>
    <t>2.1.1.06.0005</t>
  </si>
  <si>
    <t>ISS a Recolher</t>
  </si>
  <si>
    <t>2.1.1.06.0006</t>
  </si>
  <si>
    <t>IPTU a Recolher</t>
  </si>
  <si>
    <t>2.1.1.06.0007</t>
  </si>
  <si>
    <t>CSLL a Recolher</t>
  </si>
  <si>
    <t>Contribuição social sobre o lucro liquido</t>
  </si>
  <si>
    <t>2.1.1.06.0008</t>
  </si>
  <si>
    <t>CIDE s/Remessas p/ o exterior a Recolher</t>
  </si>
  <si>
    <t>2.1.1.06.0009</t>
  </si>
  <si>
    <t>Tributos a Recolher - Exerc Ant</t>
  </si>
  <si>
    <t>2.1.1.07.0002</t>
  </si>
  <si>
    <t>IRRF a Recolher de Terceiros</t>
  </si>
  <si>
    <t>2.1.1.07.0004</t>
  </si>
  <si>
    <t>PIS</t>
  </si>
  <si>
    <t>PIS/PASEP de Terceiros</t>
  </si>
  <si>
    <t>2.1.1.07.0005</t>
  </si>
  <si>
    <t>COFINS</t>
  </si>
  <si>
    <t>COFINS de Terceiros</t>
  </si>
  <si>
    <t>2.1.1.07.0006</t>
  </si>
  <si>
    <t>CSLL de Terceiros</t>
  </si>
  <si>
    <t>2.1.1.07.0007</t>
  </si>
  <si>
    <t>IRPJ de Terceiros</t>
  </si>
  <si>
    <t>2.1.1.07.0011</t>
  </si>
  <si>
    <t>Ret IN 539/05 - IR/CS/PIS/COFINS - 2,20%</t>
  </si>
  <si>
    <t>2.1.1.07.0012</t>
  </si>
  <si>
    <t>Ret IN 539/05 - IR/CS/PIS/COFINS - 4,89%</t>
  </si>
  <si>
    <t>2.1.1.07.0013</t>
  </si>
  <si>
    <t>Ret IN 539/05 - IR/CS/PIS/COFINS - 3,40%</t>
  </si>
  <si>
    <t>2.1.1.07.0014</t>
  </si>
  <si>
    <t>IRRF Pessoa Física</t>
  </si>
  <si>
    <t>2.1.1.07.0016</t>
  </si>
  <si>
    <t>Ret  IR e Contrib. 6147 Conv. 035</t>
  </si>
  <si>
    <t>2.1.1.07.0017</t>
  </si>
  <si>
    <t>Ret IR e Contrib. 6147 Conv. 039</t>
  </si>
  <si>
    <t>2.1.1.07.0018</t>
  </si>
  <si>
    <t>Ret IR e Contrib. 6190 Conv. 032</t>
  </si>
  <si>
    <t>2.1.1.07.0019</t>
  </si>
  <si>
    <t>Ret IR e Contrib. 6190 Conv. 034</t>
  </si>
  <si>
    <t>2.1.1.07.0020</t>
  </si>
  <si>
    <t>Ret. ISS de Terceiros Conv. 013</t>
  </si>
  <si>
    <t>2.1.1.07.0021</t>
  </si>
  <si>
    <t>Ret. ISS de Terceiros Conv. 039</t>
  </si>
  <si>
    <t>2.1.1.07.0022</t>
  </si>
  <si>
    <t>Ret. INSS de Terceiros Conv. 013</t>
  </si>
  <si>
    <t>2.1.1.07.0023</t>
  </si>
  <si>
    <t>Ret. INSS de Terceiros Conv. 039</t>
  </si>
  <si>
    <t>2.1.1.07.0024</t>
  </si>
  <si>
    <t>Ret  IR e Contrib. 6147 Conv. 022</t>
  </si>
  <si>
    <t>2.1.1.07.0025</t>
  </si>
  <si>
    <t>Ret  IR e Contrib. 6190 Conv. 022</t>
  </si>
  <si>
    <t>2.1.1.07.0026</t>
  </si>
  <si>
    <t>Ret  IR e Contrib. 6190 Conv. 013</t>
  </si>
  <si>
    <t>2.1.1.07.0027</t>
  </si>
  <si>
    <t>Ret  IR e Contrib. 6147 Conv. 029</t>
  </si>
  <si>
    <t>2.1.1.07.0028</t>
  </si>
  <si>
    <t>Ret  IR e Contrib. 6190 Conv. 029</t>
  </si>
  <si>
    <t>2.1.1.07.0029</t>
  </si>
  <si>
    <t>Ret  IR e Contrib. 6147 Conv. 013</t>
  </si>
  <si>
    <t>2.1.1.07.0030</t>
  </si>
  <si>
    <t>Ret  IR e Contrib. 6175 Conv. 034</t>
  </si>
  <si>
    <t>2.1.1.07.0031</t>
  </si>
  <si>
    <t>Ret  IR e Contrib. 6175 Conv. 035</t>
  </si>
  <si>
    <t>2.1.1.07.0032</t>
  </si>
  <si>
    <t>Ret  IR e Contrib. 6175 Conv. 013</t>
  </si>
  <si>
    <t>2.1.1.07.0033</t>
  </si>
  <si>
    <t>Ret  IR e Contrib. 6190 Conv. 039</t>
  </si>
  <si>
    <t>2.1.1.07.0034</t>
  </si>
  <si>
    <t>Ret  IR e Contrib. 6175 Conv. 039</t>
  </si>
  <si>
    <t>2.1.1.07.0035</t>
  </si>
  <si>
    <t>Ret  IR e Contrib. 6175 Conv. 029</t>
  </si>
  <si>
    <t>2.1.1.07.0036</t>
  </si>
  <si>
    <t>Ret  IR e Contrib. 6190 Conv. 031</t>
  </si>
  <si>
    <t>2.1.1.07.0037</t>
  </si>
  <si>
    <t>Ret  IR e Contrib. 6190 Conv. 030</t>
  </si>
  <si>
    <t>2.1.1.07.0038</t>
  </si>
  <si>
    <t>Ret  IR e Contrib. 6190 Conv. 033</t>
  </si>
  <si>
    <t>2.1.1.07.0039</t>
  </si>
  <si>
    <t>Ret  IR e Contrib. 6175 Conv. 033</t>
  </si>
  <si>
    <t>2.1.1.07.0040</t>
  </si>
  <si>
    <t>Ret. INSS de Terceiros Conv. 022</t>
  </si>
  <si>
    <t>2.1.1.07.0041</t>
  </si>
  <si>
    <t>Ret  IR e Contrib. 6190 Conv. 025</t>
  </si>
  <si>
    <t>2.1.1.07.0042</t>
  </si>
  <si>
    <t>Ret  IR e Contrib. 6190 Conv. 035</t>
  </si>
  <si>
    <t>2.1.1.07.0043</t>
  </si>
  <si>
    <t>Ret  IR e Contrib. 6190 Conv. 023</t>
  </si>
  <si>
    <t>2.1.1.07.0044</t>
  </si>
  <si>
    <t>Ret  IR e Contrib. 6175 Conv. 032</t>
  </si>
  <si>
    <t>2.1.1.07.0045</t>
  </si>
  <si>
    <t>Ret  IR e Contrib. 6190 Conv. 026</t>
  </si>
  <si>
    <t>2.1.1.07.0046</t>
  </si>
  <si>
    <t>IRRF a Recolher de Terceiros Conv. 026</t>
  </si>
  <si>
    <t>2.1.1.07.0047</t>
  </si>
  <si>
    <t>PIS/PASEP de Terceiros Conv. 026</t>
  </si>
  <si>
    <t>2.1.1.07.0048</t>
  </si>
  <si>
    <t>CSLL de Terceiros Conv. 026</t>
  </si>
  <si>
    <t>2.1.1.07.0049</t>
  </si>
  <si>
    <t>Ret  IR e Contrib. 6175 Conv. 025</t>
  </si>
  <si>
    <t>2.1.1.07.0050</t>
  </si>
  <si>
    <t>Ret  IR e Contrib. 6175 Conv. 028</t>
  </si>
  <si>
    <t>2.1.1.07.0051</t>
  </si>
  <si>
    <t>Ret. ISS de Terceiros Conv. 032</t>
  </si>
  <si>
    <t>2.1.1.07.0052</t>
  </si>
  <si>
    <t>Ret. ISS de Terceiros Conv. 033</t>
  </si>
  <si>
    <t>2.1.1.07.0053</t>
  </si>
  <si>
    <t>Ret. ISS de Terceiros Conv. 034</t>
  </si>
  <si>
    <t>2.1.1.07.0054</t>
  </si>
  <si>
    <t>Ret. ISS de Terceiros Conv. 029</t>
  </si>
  <si>
    <t>2.1.1.07.0055</t>
  </si>
  <si>
    <t>Ret  IR e Contrib. 6175 Conv. 023</t>
  </si>
  <si>
    <t>2.1.1.07.0056</t>
  </si>
  <si>
    <t>Ret  IR e Contrib. 6175 Conv. 030</t>
  </si>
  <si>
    <t>2.1.1.07.0057</t>
  </si>
  <si>
    <t>Ret  IR e Contrib. 6175 Conv. 031</t>
  </si>
  <si>
    <t>2.1.1.07.0058</t>
  </si>
  <si>
    <t>Ret. ISS de Terceiros Conv. 035</t>
  </si>
  <si>
    <t>2.1.1.07.0059</t>
  </si>
  <si>
    <t>Ret. INSS de Terceiros Conv. 030</t>
  </si>
  <si>
    <t>2.1.1.07.0060</t>
  </si>
  <si>
    <t>Ret. ISS de Terceiros Conv. 025</t>
  </si>
  <si>
    <t>2.1.1.07.0061</t>
  </si>
  <si>
    <t>Ret. ISS de Terceiros Conv. 022</t>
  </si>
  <si>
    <t>2.1.1.07.0062</t>
  </si>
  <si>
    <t>Ret. ISS de Terceiros Conv. 030</t>
  </si>
  <si>
    <t>2.1.1.07.0063</t>
  </si>
  <si>
    <t>Ret  IR e Contrib. 6175 Conv. 022</t>
  </si>
  <si>
    <t>2.1.1.07.0064</t>
  </si>
  <si>
    <t>Ret  IR e Contrib. 6175 Conv. 026</t>
  </si>
  <si>
    <t>2.1.1.07.0065</t>
  </si>
  <si>
    <t>Ret  IR e Contrib. 6175 Conv. 027</t>
  </si>
  <si>
    <t>2.1.1.07.0066</t>
  </si>
  <si>
    <t>Ret  IR e Contrib. 6190 Conv. 034</t>
  </si>
  <si>
    <t>2.1.1.07.0067</t>
  </si>
  <si>
    <t>Ret  IR e Contrib. 6147 Conv. 026</t>
  </si>
  <si>
    <t>2.1.1.07.0068</t>
  </si>
  <si>
    <t>Retenção IN 480/2004 - IRPJ</t>
  </si>
  <si>
    <t>2.1.1.07.0069</t>
  </si>
  <si>
    <t>Retenção IN 480/2004 - CSLL</t>
  </si>
  <si>
    <t>2.1.1.07.0070</t>
  </si>
  <si>
    <t>Retenção IN 480/2004 - COFINS</t>
  </si>
  <si>
    <t>2.1.1.07.0071</t>
  </si>
  <si>
    <t>Retenção IN 480/2004 - PIS</t>
  </si>
  <si>
    <t>2.1.1.07.0072</t>
  </si>
  <si>
    <t>IRRF - ALUGUEL PF</t>
  </si>
  <si>
    <t>2.1.1.07.0075</t>
  </si>
  <si>
    <t>Ret IN 539/05 - PIS - 0,65%</t>
  </si>
  <si>
    <t>2.1.1.07.0076</t>
  </si>
  <si>
    <t xml:space="preserve">Ret IN 539/05 - COFINS - 3% </t>
  </si>
  <si>
    <t>2.1.1.07.0999</t>
  </si>
  <si>
    <t>A Classificar</t>
  </si>
  <si>
    <t>2.1.1.08.0014</t>
  </si>
  <si>
    <t>2.1.1.08.0015</t>
  </si>
  <si>
    <t>2.1.1.08.0016</t>
  </si>
  <si>
    <t>Mensalidade Eletros - Saúde</t>
  </si>
  <si>
    <t>2.1.1.08.0017</t>
  </si>
  <si>
    <t>Coparticipação Eletros - Saúde</t>
  </si>
  <si>
    <t>2.1.1.09</t>
  </si>
  <si>
    <t>Obrigações c/ Acionistas e Diretores</t>
  </si>
  <si>
    <t>2.1.1.09.0001</t>
  </si>
  <si>
    <t>Dividendos a Pagar</t>
  </si>
  <si>
    <t>2.1.1.09.0002</t>
  </si>
  <si>
    <t>Juros Sobre o Capital Próprio a Pagar</t>
  </si>
  <si>
    <t>2.1.1.09.0003</t>
  </si>
  <si>
    <t>2.1.1.09.0004</t>
  </si>
  <si>
    <t>Honorários dos Conselhos</t>
  </si>
  <si>
    <t>2.1.1.09.0005</t>
  </si>
  <si>
    <t>Dividendos Complementar a Pagar</t>
  </si>
  <si>
    <t>2.1.1.09.0006</t>
  </si>
  <si>
    <t>Juros s/ Dividendos a Pagar</t>
  </si>
  <si>
    <t>2.1.1.09.0020</t>
  </si>
  <si>
    <t>2.1.1.10</t>
  </si>
  <si>
    <t>Provisões Societárias</t>
  </si>
  <si>
    <t>2.1.1.10.0001</t>
  </si>
  <si>
    <t>Dividendos Propostos</t>
  </si>
  <si>
    <t>2.1.1.10.0002</t>
  </si>
  <si>
    <t>Participações nos Lucros - Diretores</t>
  </si>
  <si>
    <t>2.1.1.10.0003</t>
  </si>
  <si>
    <t>Participações nos Lucros - Empregados</t>
  </si>
  <si>
    <t>2.1.1.11</t>
  </si>
  <si>
    <t>2.1.1.11.0001</t>
  </si>
  <si>
    <t>2.1.1.11.0002</t>
  </si>
  <si>
    <t>2.1.1.11.0003</t>
  </si>
  <si>
    <t>2.1.1.12</t>
  </si>
  <si>
    <t>Convênios</t>
  </si>
  <si>
    <t>2.1.1.12.0001</t>
  </si>
  <si>
    <t>Convênio 013 Bco. Brasil - 420.729-7</t>
  </si>
  <si>
    <t>2.1.1.12.0002</t>
  </si>
  <si>
    <t>Pagamentos por Conta de Convênios</t>
  </si>
  <si>
    <t>2.1.1.12.0003</t>
  </si>
  <si>
    <t>Convênio 022 Bco. Brasil - 420.712-2</t>
  </si>
  <si>
    <t>2.1.1.12.0004</t>
  </si>
  <si>
    <t>Convênio 023 Bco. Brasil - 420.713-0</t>
  </si>
  <si>
    <t>2.1.1.12.0005</t>
  </si>
  <si>
    <t>Convênio 024 Bco. Brasil - 420.714-9</t>
  </si>
  <si>
    <t>2.1.1.12.0006</t>
  </si>
  <si>
    <t>Convênio 025 Bco. Brasil - 420.715-7</t>
  </si>
  <si>
    <t>2.1.1.12.0007</t>
  </si>
  <si>
    <t>Convênio 026 Bco. Brasil - 420.716-5</t>
  </si>
  <si>
    <t>2.1.1.12.0008</t>
  </si>
  <si>
    <t>Convênio 027 Bco. Brasil - 420.718-1</t>
  </si>
  <si>
    <t>2.1.1.12.0009</t>
  </si>
  <si>
    <t>Convênio 028 Bco  Brasil - 420.717-3</t>
  </si>
  <si>
    <t>2.1.1.12.0010</t>
  </si>
  <si>
    <t>Convênio 029 Bco. Brasil - 420.719-X</t>
  </si>
  <si>
    <t>2.1.1.12.0011</t>
  </si>
  <si>
    <t>Convênio 030 Bco. Brasil - 420.720-3</t>
  </si>
  <si>
    <t>2.1.1.12.0012</t>
  </si>
  <si>
    <t>Convênio 031 Bco. Brasil - 420.721-1</t>
  </si>
  <si>
    <t>2.1.1.12.0013</t>
  </si>
  <si>
    <t>Convênio 032 Bco. Brasil - 420.722-X</t>
  </si>
  <si>
    <t>2.1.1.12.0014</t>
  </si>
  <si>
    <t>Convênio 033 Bco. Brasil - 420.723-8</t>
  </si>
  <si>
    <t>2.1.1.12.0015</t>
  </si>
  <si>
    <t>Convênio 034 Bco. Brasil - 420.724-6</t>
  </si>
  <si>
    <t>2.1.1.12.0016</t>
  </si>
  <si>
    <t>Convênio 035 Bco. Brasil - 420.725-4</t>
  </si>
  <si>
    <t>2.1.1.12.0017</t>
  </si>
  <si>
    <t>Convênio 036 Bco. Brasil - 420.726-2</t>
  </si>
  <si>
    <t>2.1.1.12.0018</t>
  </si>
  <si>
    <t>Convênio 039 Bco. Brasil - 420.727-0</t>
  </si>
  <si>
    <t>2.1.1.13</t>
  </si>
  <si>
    <t>Contratos</t>
  </si>
  <si>
    <t>2.1.1.13.0001</t>
  </si>
  <si>
    <t>Adiantamentos por Conta de Contratos</t>
  </si>
  <si>
    <t>2.1.1.13.0002</t>
  </si>
  <si>
    <t>RETENCÕES CONTRATUAIS</t>
  </si>
  <si>
    <t>2.1.1.14.0001</t>
  </si>
  <si>
    <t>Órgãos Públicos e Empresas Estatais</t>
  </si>
  <si>
    <t>2.1.1.14.0002</t>
  </si>
  <si>
    <t>Obrigações com a Petrobras</t>
  </si>
  <si>
    <t>2.1.1.14.0003</t>
  </si>
  <si>
    <t>Obrigações com Furnas</t>
  </si>
  <si>
    <t>2.1.1.14.0004</t>
  </si>
  <si>
    <t>Obrigações com a Cepel</t>
  </si>
  <si>
    <t>2.1.1.14.0006</t>
  </si>
  <si>
    <t>Obrigações com a SEDES</t>
  </si>
  <si>
    <t>2.1.1.14.0007</t>
  </si>
  <si>
    <t>Obrigações com a USP</t>
  </si>
  <si>
    <t>2.1.1.14.0008</t>
  </si>
  <si>
    <t>Obrigações com o Banco do Brasil</t>
  </si>
  <si>
    <t>2.1.1.16.0001</t>
  </si>
  <si>
    <t>2.1.1.16.0002</t>
  </si>
  <si>
    <t>( - ) AVP - Juros a Apropriar Arrendamento Imóvel - Ed. M. dos Reis - Praça Pio X</t>
  </si>
  <si>
    <t>2.1.1.98</t>
  </si>
  <si>
    <t>Parcelamentos a Pagar</t>
  </si>
  <si>
    <t>2.1.1.99</t>
  </si>
  <si>
    <t>Outras Obrigações</t>
  </si>
  <si>
    <t>2.1.1.99.0001</t>
  </si>
  <si>
    <t>Adiantamento de Clientes</t>
  </si>
  <si>
    <t>2.1.1.99.0002</t>
  </si>
  <si>
    <t>Retenções Contratuais</t>
  </si>
  <si>
    <t>2.1.1.99.0003</t>
  </si>
  <si>
    <t>Cauções em Garantia e Concorrências</t>
  </si>
  <si>
    <t>2.1.1.99.0004</t>
  </si>
  <si>
    <t>Adiantamento p/ Seminários - Patrocínios</t>
  </si>
  <si>
    <t>2.1.1.99.0005</t>
  </si>
  <si>
    <t>Fundação Escola Nacional de Administração Pública – ENAP</t>
  </si>
  <si>
    <t>2.1.1.99.0998</t>
  </si>
  <si>
    <t>Serviços de Pessoa Física</t>
  </si>
  <si>
    <t>2.1.1.99.0999</t>
  </si>
  <si>
    <t>Outras Contas a Pagar</t>
  </si>
  <si>
    <t>2.1.2</t>
  </si>
  <si>
    <t>Passivo Assoc a Ativos Mantidos p/ Venda</t>
  </si>
  <si>
    <t>2.2.1.01</t>
  </si>
  <si>
    <t>2.2.1.01.0001</t>
  </si>
  <si>
    <t>2.2.1.01.0002</t>
  </si>
  <si>
    <t>2.2.1.02</t>
  </si>
  <si>
    <t>2.2.1.02.0001</t>
  </si>
  <si>
    <t>2.2.1.02.0002</t>
  </si>
  <si>
    <t>2.2.1.03</t>
  </si>
  <si>
    <t>2.2.1.05.0004</t>
  </si>
  <si>
    <t>Provisões p/ Contingências Processo Administrativo</t>
  </si>
  <si>
    <t>2.2.1.06</t>
  </si>
  <si>
    <t>2.2.1.06.0001</t>
  </si>
  <si>
    <t>2.2.1.07</t>
  </si>
  <si>
    <t>2.2.1.07.0001</t>
  </si>
  <si>
    <t>2.2.1.08.0001</t>
  </si>
  <si>
    <t>2.2.1.08.0002</t>
  </si>
  <si>
    <t>( - ) AVP - Juros a Apropriar - Arrendamento Imóvel - Ed. M. dos Reis - Praça Pio X</t>
  </si>
  <si>
    <t>2.2.1.98</t>
  </si>
  <si>
    <t>2.2.1.99</t>
  </si>
  <si>
    <t>Outras Passivos Exigível a Longo Prazo</t>
  </si>
  <si>
    <t>2.2.1.99.0001</t>
  </si>
  <si>
    <t>2.2.1.99.0002</t>
  </si>
  <si>
    <t>CSLL Diferido</t>
  </si>
  <si>
    <t>2.3</t>
  </si>
  <si>
    <t>Resultados de Exercícios Futuros</t>
  </si>
  <si>
    <t>2.4.1.02</t>
  </si>
  <si>
    <t>(-) Capital a Integralizar</t>
  </si>
  <si>
    <t>2.4.1.02.0001</t>
  </si>
  <si>
    <t>2.4.2</t>
  </si>
  <si>
    <t>Reservas de Lucros</t>
  </si>
  <si>
    <t>2.4.2.01</t>
  </si>
  <si>
    <t>Reserva Legal</t>
  </si>
  <si>
    <t>2.4.2.01.0001</t>
  </si>
  <si>
    <t>2.4.2.02</t>
  </si>
  <si>
    <t>Reservas Estatutárias</t>
  </si>
  <si>
    <t>2.4.2.03</t>
  </si>
  <si>
    <t>Reservas p/ Contingências</t>
  </si>
  <si>
    <t>2.4.2.04</t>
  </si>
  <si>
    <t>Reserva de Lucros para Investimento</t>
  </si>
  <si>
    <t>2.4.2.04.0001</t>
  </si>
  <si>
    <t>2.4.2.05</t>
  </si>
  <si>
    <t>Dividendo Adicional Proposto</t>
  </si>
  <si>
    <t>2.4.2.05.0001</t>
  </si>
  <si>
    <t>2.4.2.07</t>
  </si>
  <si>
    <t>Reserva Especial p/ Dividendos</t>
  </si>
  <si>
    <t>2.4.2.07.0001</t>
  </si>
  <si>
    <t>2.4.4</t>
  </si>
  <si>
    <t>Reservas de Capital</t>
  </si>
  <si>
    <t>2.4.4.01</t>
  </si>
  <si>
    <t>Ágio</t>
  </si>
  <si>
    <t>2.4.5</t>
  </si>
  <si>
    <t>Ações em Tesouraria</t>
  </si>
  <si>
    <t>2.4.6.01</t>
  </si>
  <si>
    <t>Lucros Acumulados</t>
  </si>
  <si>
    <t>2.4.6.01.0001</t>
  </si>
  <si>
    <t>2.4.6.01.0002</t>
  </si>
  <si>
    <t>Lucros Acumulados - Ajust Exerc Ant</t>
  </si>
  <si>
    <t>2.4.6.01.0003</t>
  </si>
  <si>
    <t>Lucros Acumulados - DMO</t>
  </si>
  <si>
    <t>2.4.6.02.0001</t>
  </si>
  <si>
    <t>(-) Prejuízo Acumulado de 2005</t>
  </si>
  <si>
    <t>2.4.6.02.0003</t>
  </si>
  <si>
    <t>(-) Prejuízo Acumulado de 2009</t>
  </si>
  <si>
    <t>2.4.6.02.0004</t>
  </si>
  <si>
    <t>(-) Prejuízo Acumulado - Ajust Exerc Ant</t>
  </si>
  <si>
    <t>2.4.6.03</t>
  </si>
  <si>
    <t>Ajustes de Exercícios Anteriores</t>
  </si>
  <si>
    <t>2.4.6.03.0001</t>
  </si>
  <si>
    <t>Lucros Acumulados Ajustes Exerc. Ant.</t>
  </si>
  <si>
    <t>2.4.6.03.0002</t>
  </si>
  <si>
    <t>Prejuízos Acumulados Ajustes Exerc. Ant.</t>
  </si>
  <si>
    <t>2.4.8</t>
  </si>
  <si>
    <t>2.4.8.01</t>
  </si>
  <si>
    <t>Ajustes Exercícios Anteriores</t>
  </si>
  <si>
    <t>2.4.9</t>
  </si>
  <si>
    <t>Outros Resultados Abrangentes</t>
  </si>
  <si>
    <t>2.4.9.01</t>
  </si>
  <si>
    <t>3.2</t>
  </si>
  <si>
    <t>Receitas Operacionais</t>
  </si>
  <si>
    <t>3.2.1</t>
  </si>
  <si>
    <t>Receitas de Prestações de Serviços</t>
  </si>
  <si>
    <t>3.2.1.01</t>
  </si>
  <si>
    <t>Prestação de Serviços a Órgãos Públicos</t>
  </si>
  <si>
    <t>3.2.1.01.0001</t>
  </si>
  <si>
    <t>Rec. Serv. Prest. a Órgãos Públicos</t>
  </si>
  <si>
    <t>3.2.1.02</t>
  </si>
  <si>
    <t>Prestação Serviços a Empresas Estatais</t>
  </si>
  <si>
    <t>3.2.1.02.0001</t>
  </si>
  <si>
    <t>Rec. Serv. Prest. a Empresas Estatais</t>
  </si>
  <si>
    <t>3.2.1.03</t>
  </si>
  <si>
    <t>Prestação Serviços a Empresas Privadas</t>
  </si>
  <si>
    <t>3.2.1.03.0001</t>
  </si>
  <si>
    <t>Rec. Serv. Prest. a Empresas Privadas</t>
  </si>
  <si>
    <t>3.2.2</t>
  </si>
  <si>
    <t>(-) Deduções da Receita Bruta</t>
  </si>
  <si>
    <t>3.2.2.01</t>
  </si>
  <si>
    <t>(-) Tributos Incidentes s/ Vendas</t>
  </si>
  <si>
    <t>3.2.2.01.0001</t>
  </si>
  <si>
    <t>3.2.2.01.0002</t>
  </si>
  <si>
    <t>PASEP</t>
  </si>
  <si>
    <t>3.2.2.01.0003</t>
  </si>
  <si>
    <t>3.2.2.02</t>
  </si>
  <si>
    <t>(-) Abatimentos e Devoluções</t>
  </si>
  <si>
    <t>3.2.3</t>
  </si>
  <si>
    <t>Receitas de Vendas de Mercadorias</t>
  </si>
  <si>
    <t>3.2.3.01</t>
  </si>
  <si>
    <t>3.2.3.01.0001</t>
  </si>
  <si>
    <t>Venda a Órgãos Públicos e Empresas Estat</t>
  </si>
  <si>
    <t>3.2.3.01.0002</t>
  </si>
  <si>
    <t>Venda a Empresas Privadas</t>
  </si>
  <si>
    <t>3.2.3.01.0003</t>
  </si>
  <si>
    <t>Venda a Pessoas Físicas</t>
  </si>
  <si>
    <t>3.3.1.01.0001</t>
  </si>
  <si>
    <t>Rendas de Juros Moratórios</t>
  </si>
  <si>
    <t>3.3.1.01.0002</t>
  </si>
  <si>
    <t>Rendas de Multas Aplicadas</t>
  </si>
  <si>
    <t>3.3.1.01.0005</t>
  </si>
  <si>
    <t>Variações Monetárias(Dep.Jud.)</t>
  </si>
  <si>
    <t>3.3.1.01.0006</t>
  </si>
  <si>
    <t>Variações Monetárias(Imp. a Rec)</t>
  </si>
  <si>
    <t>3.3.1.01.0007</t>
  </si>
  <si>
    <t>Variações Monetárias(Reem. ANEEL)</t>
  </si>
  <si>
    <t>3.3.1.01.0999</t>
  </si>
  <si>
    <t>Outras Rendas</t>
  </si>
  <si>
    <t>3.3.1.02</t>
  </si>
  <si>
    <t>Receitas s/ Transações Bancárias</t>
  </si>
  <si>
    <t>3.3.1.02.0001</t>
  </si>
  <si>
    <t>Rendas de Aplicações Financeiras</t>
  </si>
  <si>
    <t>3.3.1.02.0999</t>
  </si>
  <si>
    <t>3.3.1.03</t>
  </si>
  <si>
    <t>Receitas de Títulos e Valores Mobiliário</t>
  </si>
  <si>
    <t>3.3.1.03.0001</t>
  </si>
  <si>
    <t>Lucro na Venda de Ações</t>
  </si>
  <si>
    <t>3.3.1.03.0002</t>
  </si>
  <si>
    <t>Divid. e Juros s/ Cap. Próprio Recebidos</t>
  </si>
  <si>
    <t>3.3.1.05</t>
  </si>
  <si>
    <t>Atualização Monetária – Créd. Tributário</t>
  </si>
  <si>
    <t>3.3.1.05.0001</t>
  </si>
  <si>
    <t>Tributos a Recup ou Compens – Federais</t>
  </si>
  <si>
    <t>3.3.1.05.0002</t>
  </si>
  <si>
    <t>Tributos a Recup ou Compens – Estaduais</t>
  </si>
  <si>
    <t>3.3.1.05.0003</t>
  </si>
  <si>
    <t>Tributos a Recup ou Compens – Municipais</t>
  </si>
  <si>
    <t>3.3.1.99</t>
  </si>
  <si>
    <t>Outras Receitas Financeiras</t>
  </si>
  <si>
    <t>3.3.1.99.0999</t>
  </si>
  <si>
    <t>3.3.2.01.0001</t>
  </si>
  <si>
    <t>Leilões ANEEL – Geração de Energia</t>
  </si>
  <si>
    <t>Reversão de Provisões</t>
  </si>
  <si>
    <t>3.3.6.01</t>
  </si>
  <si>
    <t>Reversão de Provisões - Contingência</t>
  </si>
  <si>
    <t>3.3.6.01.0001</t>
  </si>
  <si>
    <t>Contingência Trabalhistas</t>
  </si>
  <si>
    <t>3.3.6.01.0002</t>
  </si>
  <si>
    <t>Contingência Civis</t>
  </si>
  <si>
    <t>3.3.6.01.0003</t>
  </si>
  <si>
    <t>Contingência Fiscais</t>
  </si>
  <si>
    <t>3.3.6.01.0004</t>
  </si>
  <si>
    <t>Reversão Variação Monetária Contingências</t>
  </si>
  <si>
    <t>3.3.6.02</t>
  </si>
  <si>
    <t>Reversão de Devedores Duvidosos</t>
  </si>
  <si>
    <t>3.3.9</t>
  </si>
  <si>
    <t>3.3.9.01</t>
  </si>
  <si>
    <t>Receitas Alienação do Permanente</t>
  </si>
  <si>
    <t>3.3.9.01.0001</t>
  </si>
  <si>
    <t>Ganho Alienação - Investimentos</t>
  </si>
  <si>
    <t>3.3.9.01.0002</t>
  </si>
  <si>
    <t>Ganho Alienação - Imobilizado</t>
  </si>
  <si>
    <t>3.3.9.01.0003</t>
  </si>
  <si>
    <t>Ganho Alienação - Intangível</t>
  </si>
  <si>
    <t>3.3.9.02</t>
  </si>
  <si>
    <t>Receitas com Doações</t>
  </si>
  <si>
    <t>3.3.9.02.0001</t>
  </si>
  <si>
    <t>Doações Recebidas</t>
  </si>
  <si>
    <t>3.3.9.03</t>
  </si>
  <si>
    <t>Reversão de Custos/Despesas</t>
  </si>
  <si>
    <t>3.3.9.03.0001</t>
  </si>
  <si>
    <t>3.3.9.03.0002</t>
  </si>
  <si>
    <t>Reversão Provisão de Contingências</t>
  </si>
  <si>
    <t>3.3.9.04</t>
  </si>
  <si>
    <t>Receita de Alienação de Investimento</t>
  </si>
  <si>
    <t>3.3.9.04.0001</t>
  </si>
  <si>
    <t>Ganhos na Alienação de Investimentos</t>
  </si>
  <si>
    <t>3.3.9.05</t>
  </si>
  <si>
    <t>Receitas de Equivalência Patrimonial</t>
  </si>
  <si>
    <t>3.3.9.05.0001</t>
  </si>
  <si>
    <t>Resultado Positivo de Equiv. Patrimonial</t>
  </si>
  <si>
    <t>3.3.9.06</t>
  </si>
  <si>
    <t>Receita de Alienação de Imobilizado</t>
  </si>
  <si>
    <t>3.3.9.06.0001</t>
  </si>
  <si>
    <t>Ganho na Alienação de Imobilizado</t>
  </si>
  <si>
    <t>3.3.9.07</t>
  </si>
  <si>
    <t>Receitas de Alienação de Diferido</t>
  </si>
  <si>
    <t>3.3.9.07.0001</t>
  </si>
  <si>
    <t>Ganho na Alienação de Diferido</t>
  </si>
  <si>
    <t>3.3.9.08</t>
  </si>
  <si>
    <t>Reversão de Perda com Impairment</t>
  </si>
  <si>
    <t>3.3.9.08.0001</t>
  </si>
  <si>
    <t>3.3.9.09</t>
  </si>
  <si>
    <t>Receita Concurso Público</t>
  </si>
  <si>
    <t>3.3.9.09.0001</t>
  </si>
  <si>
    <t>Receita de Concurso Público</t>
  </si>
  <si>
    <t>3.3.9.99</t>
  </si>
  <si>
    <t>3.3.9.99.0001</t>
  </si>
  <si>
    <t>3.3.9.99.0002</t>
  </si>
  <si>
    <t>3.3.9.10.0001</t>
  </si>
  <si>
    <t>4.1.1.01.0002</t>
  </si>
  <si>
    <t>Gratificações</t>
  </si>
  <si>
    <t>4.1.1.01.0003</t>
  </si>
  <si>
    <t>Adicionais por Tempo de Serviço</t>
  </si>
  <si>
    <t>4.1.1.01.0004</t>
  </si>
  <si>
    <t>Horas Extraordinárias</t>
  </si>
  <si>
    <t>4.1.1.01.0005</t>
  </si>
  <si>
    <t>Abonos</t>
  </si>
  <si>
    <t>4.1.1.01.0006</t>
  </si>
  <si>
    <t>Aviso Prévio e Indenizações</t>
  </si>
  <si>
    <t>4.1.1.01.0010</t>
  </si>
  <si>
    <t>4.1.1.01.0999</t>
  </si>
  <si>
    <t>Outras Remunerações</t>
  </si>
  <si>
    <t>4.1.1.02.0003</t>
  </si>
  <si>
    <t>Contribuições Sindicais</t>
  </si>
  <si>
    <t>4.1.1.02.0999</t>
  </si>
  <si>
    <t>Outros Encargos</t>
  </si>
  <si>
    <t>4.1.1.03.0004</t>
  </si>
  <si>
    <t>4.1.1.03.0007</t>
  </si>
  <si>
    <t>Seguro de Vida</t>
  </si>
  <si>
    <t>4.1.1.03.0008</t>
  </si>
  <si>
    <t>Recreação e Lazer</t>
  </si>
  <si>
    <t>4.1.1.03.0009</t>
  </si>
  <si>
    <t>Assistência e Capacitação Profissional</t>
  </si>
  <si>
    <t>4.1.1.03.0013</t>
  </si>
  <si>
    <t>Auxílio PCD</t>
  </si>
  <si>
    <t>4.1.1.03.0999</t>
  </si>
  <si>
    <t>Outros benefícios</t>
  </si>
  <si>
    <t>4.1.1.09</t>
  </si>
  <si>
    <t>Outros Gastos de Pessoal</t>
  </si>
  <si>
    <t>4.1.1.09.0999</t>
  </si>
  <si>
    <t>Outros Custos</t>
  </si>
  <si>
    <t>4.1.1.99</t>
  </si>
  <si>
    <t>(-) Reembolso de Custos de Pessoal</t>
  </si>
  <si>
    <t>4.1.1.99.0998</t>
  </si>
  <si>
    <t>(-) Reembolso de custos - Convênios</t>
  </si>
  <si>
    <t>4.1.2</t>
  </si>
  <si>
    <t>Custos com Materiais - Serviços</t>
  </si>
  <si>
    <t>4.1.2.01</t>
  </si>
  <si>
    <t>Materiais Nacionais</t>
  </si>
  <si>
    <t>4.1.2.01.0001</t>
  </si>
  <si>
    <t>4.1.2.01.0002</t>
  </si>
  <si>
    <t>Combustíveis e Lubrificantes</t>
  </si>
  <si>
    <t>4.1.2.01.0003</t>
  </si>
  <si>
    <t>Materiais e Equipamentos</t>
  </si>
  <si>
    <t>4.1.2.01.0998</t>
  </si>
  <si>
    <t>(-) Reemb. Custos  de Materiais Convenio</t>
  </si>
  <si>
    <t>4.1.2.01.0999</t>
  </si>
  <si>
    <t>Outros Materiais Nacionais</t>
  </si>
  <si>
    <t>4.1.2.02</t>
  </si>
  <si>
    <t>Materiais Estrangeiros</t>
  </si>
  <si>
    <t>4.1.2.02.0001</t>
  </si>
  <si>
    <t>4.1.2.02.0999</t>
  </si>
  <si>
    <t>Outros Materiais Estrangeiros</t>
  </si>
  <si>
    <t>4.1.2.99</t>
  </si>
  <si>
    <t>(-) Reembolso de Custos de Materiais</t>
  </si>
  <si>
    <t>4.1.2.99.0998</t>
  </si>
  <si>
    <t>(-) Reemb. de  Custos - Convênios</t>
  </si>
  <si>
    <t>4.1.3.01.0003</t>
  </si>
  <si>
    <t>4.1.3.01.0004</t>
  </si>
  <si>
    <t>Publicidade</t>
  </si>
  <si>
    <t>4.1.3.01.0006</t>
  </si>
  <si>
    <t>4.1.3.01.0007</t>
  </si>
  <si>
    <t>Serviços de Manut. Equip. de Informática</t>
  </si>
  <si>
    <t>4.1.3.01.0008</t>
  </si>
  <si>
    <t>Serv. Contábeis, Folha Pgto e  Auditoria</t>
  </si>
  <si>
    <t>4.1.3.01.0009</t>
  </si>
  <si>
    <t>Serviços de Limpeza</t>
  </si>
  <si>
    <t>4.1.3.01.0010</t>
  </si>
  <si>
    <t>Serviços de Segurança</t>
  </si>
  <si>
    <t>4.1.3.01.0011</t>
  </si>
  <si>
    <t>Gastos com licença ambiental</t>
  </si>
  <si>
    <t>4.1.3.01.0012</t>
  </si>
  <si>
    <t>4.1.3.01.0013</t>
  </si>
  <si>
    <t>4.1.3.01.0015</t>
  </si>
  <si>
    <t>Serviços de Clipping e Multimídia</t>
  </si>
  <si>
    <t>4.1.3.01.0018</t>
  </si>
  <si>
    <t>Custos com Jovens Aprendiz</t>
  </si>
  <si>
    <t>4.1.3.01.0998</t>
  </si>
  <si>
    <t>(-) Reemb. de custos - Convênios</t>
  </si>
  <si>
    <t>4.1.3.01.0999</t>
  </si>
  <si>
    <t>Outros Serviços</t>
  </si>
  <si>
    <t>4.1.3.02</t>
  </si>
  <si>
    <t>Serviços de Terceiros Estrangeiros</t>
  </si>
  <si>
    <t>4.1.3.02.0001</t>
  </si>
  <si>
    <t>4.1.3.02.0002</t>
  </si>
  <si>
    <t>4.1.3.02.0999</t>
  </si>
  <si>
    <t>4.1.4.01.0001</t>
  </si>
  <si>
    <t>ITR</t>
  </si>
  <si>
    <t>4.1.4.01.0003</t>
  </si>
  <si>
    <t>IPVA</t>
  </si>
  <si>
    <t>4.1.4.01.0004</t>
  </si>
  <si>
    <t>Taxas Municipais</t>
  </si>
  <si>
    <t>4.1.4.01.0005</t>
  </si>
  <si>
    <t>Taxas de Licenciamento Ambiental Município</t>
  </si>
  <si>
    <t>4.1.4.01.0006</t>
  </si>
  <si>
    <t>Outros Impostos e Taxas</t>
  </si>
  <si>
    <t>4.1.4.01.0007</t>
  </si>
  <si>
    <t>Taxas de Licenciamento Ambiental Estado</t>
  </si>
  <si>
    <t>4.1.5</t>
  </si>
  <si>
    <t>Custos c/ Provisões - Serviços</t>
  </si>
  <si>
    <t>4.1.5.01</t>
  </si>
  <si>
    <t>Provisões p/Contingências</t>
  </si>
  <si>
    <t>4.1.5.01.0001</t>
  </si>
  <si>
    <t>4.1.5.01.0002</t>
  </si>
  <si>
    <t>Provisões p/ Contingências Cíveis</t>
  </si>
  <si>
    <t>Contingências fiscais</t>
  </si>
  <si>
    <t>4.1.5.01.0003</t>
  </si>
  <si>
    <t>Provisões p/ Contingências Fiscais</t>
  </si>
  <si>
    <t>4.1.5.01.0999</t>
  </si>
  <si>
    <t>Outras Provisões</t>
  </si>
  <si>
    <t xml:space="preserve">Outras </t>
  </si>
  <si>
    <t>4.1.6.01.0002</t>
  </si>
  <si>
    <t>4.1.6.01.0003</t>
  </si>
  <si>
    <t>4.1.6.01.0005</t>
  </si>
  <si>
    <t>Água e Esgoto</t>
  </si>
  <si>
    <t>4.1.6.01.0007</t>
  </si>
  <si>
    <t>4.1.6.01.0008</t>
  </si>
  <si>
    <t>Reproduções</t>
  </si>
  <si>
    <t>4.1.6.01.0009</t>
  </si>
  <si>
    <t>Seguros</t>
  </si>
  <si>
    <t>4.1.6.01.0011</t>
  </si>
  <si>
    <t>4.1.6.01.0013</t>
  </si>
  <si>
    <t>Aluguel de Eq de Processamento de Dados</t>
  </si>
  <si>
    <t>4.1.6.01.0998</t>
  </si>
  <si>
    <t>4.1.6.01.0999</t>
  </si>
  <si>
    <t>Outros Custos Func. das Instalações</t>
  </si>
  <si>
    <t>4.1.6.02.0003</t>
  </si>
  <si>
    <t>Custos com Estagiários</t>
  </si>
  <si>
    <t>4.1.6.02.0005</t>
  </si>
  <si>
    <t>Custos de Viagens - Hospedagens</t>
  </si>
  <si>
    <t xml:space="preserve">Assinatura Banco de Dados e Portais </t>
  </si>
  <si>
    <t>4.1.6.02.0008</t>
  </si>
  <si>
    <t>Donativos e Contribuições</t>
  </si>
  <si>
    <t>4.1.6.02.0009</t>
  </si>
  <si>
    <t>Custos Legais e Judiciais</t>
  </si>
  <si>
    <t>4.1.6.02.0011</t>
  </si>
  <si>
    <t>DESPESAS NÃO DEDUTIVEIS</t>
  </si>
  <si>
    <t>4.1.6.02.0998</t>
  </si>
  <si>
    <t>4.1.6.02.0999</t>
  </si>
  <si>
    <t>Outros Custos Gerais da Administração</t>
  </si>
  <si>
    <t>4.1.6.02.0020</t>
  </si>
  <si>
    <t>4.1.6.02.0021</t>
  </si>
  <si>
    <t>4.1.6.03</t>
  </si>
  <si>
    <t>4.1.6.03.0001</t>
  </si>
  <si>
    <t>Outras Indenizações</t>
  </si>
  <si>
    <t>4.1.7</t>
  </si>
  <si>
    <t>4.1.7.01</t>
  </si>
  <si>
    <t>Redução ao Valor Recuperável Impairment</t>
  </si>
  <si>
    <t>4.1.7.01.0001</t>
  </si>
  <si>
    <t>4.1.9</t>
  </si>
  <si>
    <t>Custo das Mercadorias Vendidas</t>
  </si>
  <si>
    <t>4.1.9.01</t>
  </si>
  <si>
    <t>4.1.9.01.0001</t>
  </si>
  <si>
    <t>4.2.1.01.0002</t>
  </si>
  <si>
    <t>4.2.1.01.0003</t>
  </si>
  <si>
    <t>4.2.1.01.0004</t>
  </si>
  <si>
    <t>4.2.1.01.0005</t>
  </si>
  <si>
    <t>4.2.1.01.0006</t>
  </si>
  <si>
    <t>4.2.1.01.0014</t>
  </si>
  <si>
    <t>4.2.1.01.0998</t>
  </si>
  <si>
    <t>(-)Reemb. Despesas de Remunerações Conve</t>
  </si>
  <si>
    <t>4.2.1.01.0999</t>
  </si>
  <si>
    <t>4.2.1.02.0003</t>
  </si>
  <si>
    <t>4.2.1.02.0999</t>
  </si>
  <si>
    <t>4.2.1.03.0007</t>
  </si>
  <si>
    <t>4.2.1.03.0008</t>
  </si>
  <si>
    <t>4.2.1.03.0009</t>
  </si>
  <si>
    <t>4.2.1.03.0013</t>
  </si>
  <si>
    <t>4.2.1.03.0999</t>
  </si>
  <si>
    <t>4.2.1.04</t>
  </si>
  <si>
    <t>4.2.1.04.0999</t>
  </si>
  <si>
    <t>Outras Despesas</t>
  </si>
  <si>
    <t>4.2.1.05</t>
  </si>
  <si>
    <t>4.2.1.05.0001</t>
  </si>
  <si>
    <t>4.2.2.01.0002</t>
  </si>
  <si>
    <t>4.2.2.01.0003</t>
  </si>
  <si>
    <t>4.2.2.01.0004</t>
  </si>
  <si>
    <t>4.2.2.01.0098</t>
  </si>
  <si>
    <t>(-)  Reemb. Despesas de Materiais Conven</t>
  </si>
  <si>
    <t>4.2.2.02</t>
  </si>
  <si>
    <t>Despesas com Materiais Estrangeiros</t>
  </si>
  <si>
    <t>4.2.2.02.0001</t>
  </si>
  <si>
    <t>4.2.2.02.0999</t>
  </si>
  <si>
    <t>4.2.3.01.0004</t>
  </si>
  <si>
    <t>4.2.3.01.0009</t>
  </si>
  <si>
    <t>4.2.3.01.0010</t>
  </si>
  <si>
    <t>4.2.3.01.0011</t>
  </si>
  <si>
    <t>Serviços de Reforma das Instalações</t>
  </si>
  <si>
    <t>4.2.3.01.0012</t>
  </si>
  <si>
    <t>Servicos Gerais</t>
  </si>
  <si>
    <t>4.2.3.01.0018</t>
  </si>
  <si>
    <t>Despesas com Eventos e Confraternizações</t>
  </si>
  <si>
    <t>4.2.3.01.0997</t>
  </si>
  <si>
    <t>4.2.3.01.0998</t>
  </si>
  <si>
    <t>(-) Reemb. de desp. c/ Serviço de Terc.</t>
  </si>
  <si>
    <t>4.2.3.01.0999</t>
  </si>
  <si>
    <t>4.2.3.02</t>
  </si>
  <si>
    <t>Desp.c/Serv. de Terceiros - Estrangeiros</t>
  </si>
  <si>
    <t>4.2.3.02.0001</t>
  </si>
  <si>
    <t>4.2.3.02.0002</t>
  </si>
  <si>
    <t>4.2.3.02.0999</t>
  </si>
  <si>
    <t>4.2.4.01.0001</t>
  </si>
  <si>
    <t>4.2.4.01.0003</t>
  </si>
  <si>
    <t>4.2.4.01.0004</t>
  </si>
  <si>
    <t>4.2.4.01.0007</t>
  </si>
  <si>
    <t>ICMS</t>
  </si>
  <si>
    <t>4.2.4.01.0008</t>
  </si>
  <si>
    <t>4.2.4.01.0009</t>
  </si>
  <si>
    <t>REFORMA DAS INSTALAÇÕES</t>
  </si>
  <si>
    <t>4.2.4.01.0010</t>
  </si>
  <si>
    <t>Despesas com IRPJ - Anos Anteriores</t>
  </si>
  <si>
    <t>4.2.4.01.0011</t>
  </si>
  <si>
    <t>Despesas com CSLL - Anos Anteriores</t>
  </si>
  <si>
    <t>4.2.4.01.0013</t>
  </si>
  <si>
    <t>Perdas de Créditos Tributários</t>
  </si>
  <si>
    <t>4.2.5.01.0002</t>
  </si>
  <si>
    <t>Provisao p/ IRPJ Diferido</t>
  </si>
  <si>
    <t>4.2.5.02.0002</t>
  </si>
  <si>
    <t>Provisao p/ CSLL Diferido</t>
  </si>
  <si>
    <t>4.2.5.03</t>
  </si>
  <si>
    <t>Desp. c/ Provisões-Retific. de Créditos</t>
  </si>
  <si>
    <t>4.2.5.03.0001</t>
  </si>
  <si>
    <t>Provisões p/ Devedores Duvidosos</t>
  </si>
  <si>
    <t>4.2.5.03.0002</t>
  </si>
  <si>
    <t>Provisões p/Perdas em Valores Mobiliário</t>
  </si>
  <si>
    <t>4.2.5.04.0002</t>
  </si>
  <si>
    <t>4.2.5.04.0003</t>
  </si>
  <si>
    <t>4.2.5.04.0004</t>
  </si>
  <si>
    <t>Provisões p/ Contingências Processos Administrativos</t>
  </si>
  <si>
    <t>4.2.5.04.0999</t>
  </si>
  <si>
    <t xml:space="preserve">Aluguéis </t>
  </si>
  <si>
    <t>4.2.6.01.0002</t>
  </si>
  <si>
    <t>4.2.6.01.0005</t>
  </si>
  <si>
    <t>4.2.6.01.0008</t>
  </si>
  <si>
    <t>4.2.6.01.0009</t>
  </si>
  <si>
    <t>4.2.6.01.0013</t>
  </si>
  <si>
    <t>4.2.6.01.0015</t>
  </si>
  <si>
    <t>Projeto de Eficiência Energética</t>
  </si>
  <si>
    <t>4.2.6.01.0018</t>
  </si>
  <si>
    <t>Amortização Arrend. Mercantil / Direito de Uso Bens Arrendados</t>
  </si>
  <si>
    <t>4.2.6.01.0998</t>
  </si>
  <si>
    <t>(-) Reemb despesas Gerais de funcionamen</t>
  </si>
  <si>
    <t>4.2.6.01.0999</t>
  </si>
  <si>
    <t>4.2.6.02.0003</t>
  </si>
  <si>
    <t>Despesas com Estagiários</t>
  </si>
  <si>
    <t>4.2.6.02.0005</t>
  </si>
  <si>
    <t>Despesas de Viagens - Hospedagens</t>
  </si>
  <si>
    <t>4.2.6.02.0008</t>
  </si>
  <si>
    <t>4.2.6.02.0011</t>
  </si>
  <si>
    <t>Doação de Livros Técnicos</t>
  </si>
  <si>
    <t>4.2.6.02.0012</t>
  </si>
  <si>
    <t>DESPESAS NAO DEDUTIVEIS</t>
  </si>
  <si>
    <t>4.2.6.02.0013</t>
  </si>
  <si>
    <t>4.2.6.02.0998</t>
  </si>
  <si>
    <t>(-) Reemb. de desp. Gerais da Administ.</t>
  </si>
  <si>
    <t>4.2.6.02.0999</t>
  </si>
  <si>
    <t>4.2.6.02.1001</t>
  </si>
  <si>
    <t>Despesas com Concurso Publico</t>
  </si>
  <si>
    <t>4.2.6.02.0020</t>
  </si>
  <si>
    <t>4.2.6.02.0021</t>
  </si>
  <si>
    <t>4.2.7.01.0002</t>
  </si>
  <si>
    <t>Descontos Concedidos</t>
  </si>
  <si>
    <t>4.2.7.01.0003</t>
  </si>
  <si>
    <t>Comissões e Despesas Bancárias</t>
  </si>
  <si>
    <t>4.2.7.01.0004</t>
  </si>
  <si>
    <t>4.2.7.01.0005</t>
  </si>
  <si>
    <t>Despesas Financeiras Comerciais</t>
  </si>
  <si>
    <t>4.2.7.01.0006</t>
  </si>
  <si>
    <t>Multas</t>
  </si>
  <si>
    <t>4.2.7.01.0007</t>
  </si>
  <si>
    <t>CPMF</t>
  </si>
  <si>
    <t>4.2.7.01.0008</t>
  </si>
  <si>
    <t>Perda na Venda de Ações</t>
  </si>
  <si>
    <t>4.2.7.01.0009</t>
  </si>
  <si>
    <t>Despesa c/Juros s/Capital Próprio</t>
  </si>
  <si>
    <t>4.2.7.01.0010</t>
  </si>
  <si>
    <t>Multas Indedutiveis</t>
  </si>
  <si>
    <t>4.2.7.01.0021</t>
  </si>
  <si>
    <t>Prov. Contingências Multas</t>
  </si>
  <si>
    <t>4.2.7.01.0022</t>
  </si>
  <si>
    <t>4.2.7.01.0023</t>
  </si>
  <si>
    <t>Reversão de Juros Selic</t>
  </si>
  <si>
    <t>4.2.7.01.0999</t>
  </si>
  <si>
    <t>Outras Despesas Financeiras</t>
  </si>
  <si>
    <t>4.2.8</t>
  </si>
  <si>
    <t>Despesas com Indenizações</t>
  </si>
  <si>
    <t>4.2.8.01</t>
  </si>
  <si>
    <t>4.2.8.01.0001</t>
  </si>
  <si>
    <t>4.2.8.01.0002</t>
  </si>
  <si>
    <t>Indenizações Civeis</t>
  </si>
  <si>
    <t>4.2.8.01.0003</t>
  </si>
  <si>
    <t>Indenizações Fiscais</t>
  </si>
  <si>
    <t>4.2.9</t>
  </si>
  <si>
    <t>4.2.9.01</t>
  </si>
  <si>
    <t>Perdas de Alienação de Investimento</t>
  </si>
  <si>
    <t>4.2.9.01.0001</t>
  </si>
  <si>
    <t>Result. Negativo Venda de Investimentos</t>
  </si>
  <si>
    <t>4.2.9.02</t>
  </si>
  <si>
    <t>Perdas de Equivalência Patrimonial</t>
  </si>
  <si>
    <t>4.2.9.02.0001</t>
  </si>
  <si>
    <t>Result.Negativo Equivalência Patrimonial</t>
  </si>
  <si>
    <t>4.2.9.03</t>
  </si>
  <si>
    <t>Perdas na Alienação de Imobilizado</t>
  </si>
  <si>
    <t>4.2.9.03.0001</t>
  </si>
  <si>
    <t>Result. Negativo na Venda de Imobilizado</t>
  </si>
  <si>
    <t>4.2.9.03.0002</t>
  </si>
  <si>
    <t>PERDA DE BENS NO IMOBILIZADO</t>
  </si>
  <si>
    <t>4.2.9.03.0003</t>
  </si>
  <si>
    <t>4.2.9.04</t>
  </si>
  <si>
    <t>Perdas na Alienação de Diferido</t>
  </si>
  <si>
    <t>4.2.9.04.0001</t>
  </si>
  <si>
    <t>Resultado Negativo na Venda de Diferido</t>
  </si>
  <si>
    <t>4.2.9.05</t>
  </si>
  <si>
    <t>Outras Despesas não Operacionais</t>
  </si>
  <si>
    <t>4.2.9.06</t>
  </si>
  <si>
    <t>Participações nos Lucros ou  Resultados</t>
  </si>
  <si>
    <t>4.2.9.06.0001</t>
  </si>
  <si>
    <t>Empregados</t>
  </si>
  <si>
    <t>4.2.9.06.0002</t>
  </si>
  <si>
    <t>Administradores</t>
  </si>
  <si>
    <t>4.2.9.08</t>
  </si>
  <si>
    <t>Reversão de Juros s/Capital Proprio</t>
  </si>
  <si>
    <t>4.2.9.08.0001</t>
  </si>
  <si>
    <t>4.2.9.09</t>
  </si>
  <si>
    <t>Perdas com Bens do Ativo Permanente</t>
  </si>
  <si>
    <t>4.2.9.09.0001</t>
  </si>
  <si>
    <t>Perdas com Alienações - Investimento</t>
  </si>
  <si>
    <t>4.2.9.09.0002</t>
  </si>
  <si>
    <t>Perdas com Alienações - Imobilizado</t>
  </si>
  <si>
    <t>4.2.9.09.0003</t>
  </si>
  <si>
    <t>Perdas com Alienações - Intangível</t>
  </si>
  <si>
    <t>4.2.9.09.0004</t>
  </si>
  <si>
    <t>Perdas com Extravio de Bens</t>
  </si>
  <si>
    <t>4.2.9.09.0005</t>
  </si>
  <si>
    <t>Perdas com Obsolescência de Bens</t>
  </si>
  <si>
    <t>4.2.9.09.0006</t>
  </si>
  <si>
    <t>INVENTARIO FISICO  - AJUSTE</t>
  </si>
  <si>
    <t>4.2.9.09.0007</t>
  </si>
  <si>
    <t>Doações de Imobilizado</t>
  </si>
  <si>
    <t>4.2.9.09.0008</t>
  </si>
  <si>
    <t>4.2.9.10</t>
  </si>
  <si>
    <t>Despesas Concurso Público</t>
  </si>
  <si>
    <t>4.2.9.10.0001</t>
  </si>
  <si>
    <t>Despesa de Concurso Público</t>
  </si>
  <si>
    <t>Lucro (prejuízo) do exercício</t>
  </si>
  <si>
    <t>5.1.1.03</t>
  </si>
  <si>
    <t>5.1.1.05</t>
  </si>
  <si>
    <t>5.1.1.07</t>
  </si>
  <si>
    <t>5.1.1.08</t>
  </si>
  <si>
    <t>5.1.1.09</t>
  </si>
  <si>
    <t>Setembro</t>
  </si>
  <si>
    <t>5.1.1.10</t>
  </si>
  <si>
    <t>Outubro</t>
  </si>
  <si>
    <t>5.1.1.11</t>
  </si>
  <si>
    <t>Novembro</t>
  </si>
  <si>
    <t>5.1.1.12</t>
  </si>
  <si>
    <t>Dezembro</t>
  </si>
  <si>
    <t>5.1.2.01</t>
  </si>
  <si>
    <t>5.1.2.02</t>
  </si>
  <si>
    <t>5.1.2.04</t>
  </si>
  <si>
    <t>5.1.2.06</t>
  </si>
  <si>
    <t>5.1.2.09</t>
  </si>
  <si>
    <t>5.1.2.10</t>
  </si>
  <si>
    <t>5.1.2.11</t>
  </si>
  <si>
    <t>5.1.2.12</t>
  </si>
  <si>
    <t>RESULTADO DO EXERCÍCIO DO ANO</t>
  </si>
  <si>
    <t>6.1</t>
  </si>
  <si>
    <t>01/07/2023 a 31/08/2023</t>
  </si>
  <si>
    <t>Conversão em milhar</t>
  </si>
  <si>
    <t>arredondamento</t>
  </si>
  <si>
    <t>DFC MOV</t>
  </si>
  <si>
    <t>Arrendamento mercantil, adoção CPC 06</t>
  </si>
  <si>
    <t>Remunerações Custos</t>
  </si>
  <si>
    <t>Encargos Sociais Custos</t>
  </si>
  <si>
    <t>Benefícios Custos</t>
  </si>
  <si>
    <t>Materiais Custos</t>
  </si>
  <si>
    <t>Serviços de Terceiros Custos</t>
  </si>
  <si>
    <t>Gerais de Funcionamento das Instalações Custos</t>
  </si>
  <si>
    <t>Gerais da Administração Custos</t>
  </si>
  <si>
    <t>Impostos, Taxas e Contribuições Custos</t>
  </si>
  <si>
    <t>Provisão para contigênciais</t>
  </si>
  <si>
    <t>Recuperação de Despesas e Custos</t>
  </si>
  <si>
    <t xml:space="preserve">Outros Créditos </t>
  </si>
  <si>
    <t>01/01/2024 a 31/03/2024</t>
  </si>
  <si>
    <t>Emissão: 09/04/2024</t>
  </si>
  <si>
    <t>Cod. C. Part.</t>
  </si>
  <si>
    <t>VALOR REFERENTE PRESTACAO DE SERVICO - PASSAGEM NACIONAL - CT-EPE-014/2019 - FATURA   132965. VALOR BRUTO DA FATURA DE R$ 31.515,56. FOI DEDUZIDO DO VALOR BRUTO A GLOSA DE R$ 10.715,17</t>
  </si>
  <si>
    <t>VALOR REFERENTE PAGAMENTO DO SALDO DA CONTRATACAO QUE CONSTA EM RESTO A PAGAR RECLAMADO PELO CREDOR. PROCESSOS ENVOLVIDOS VIRTUS 48002.901276/2023-18 48002.901265/2023-38 - DL.EPE.104/2023 - COD. DGC: 00387 NF 281238 E 281239.</t>
  </si>
  <si>
    <t>281238 E 28123</t>
  </si>
  <si>
    <t>VALOR REFERENTE CANCELAMENTO NF. -441891301 ALGAR SERVIÇOS E TELECOMUNICAÇÕES.</t>
  </si>
  <si>
    <t>71208516/0001</t>
  </si>
  <si>
    <t>VALOR REFERENTE ESTORNO NF 445066501 - ALGAR SERVIÇOS E TELECOMUNICAÇÕES</t>
  </si>
  <si>
    <t>VALOR REFERENTE REEMBOLSO DE PASSAGENS AEREAS CONFORME OFICIO Nº 012/2024 - IDEIAS TURISMO LTDA</t>
  </si>
  <si>
    <t>2024RA000023</t>
  </si>
  <si>
    <t>VALOR REFERENTE RESTITUICAO A EMPRESA DE PESQUISA ENERGETICA  POR MEIO DE GRU NUMERO 325001 - PROCESSO 10166-903.837/2014-87</t>
  </si>
  <si>
    <t>2024RA000032</t>
  </si>
  <si>
    <t>VALOR REFERENTE RESTITUICAO A EMPRESA DE PESQUISA ENERGETICA  POR MEIO DE GRU NUMERO 325001 - PROCESSO 10166-900.331/2017-69</t>
  </si>
  <si>
    <t>2024RA000035</t>
  </si>
  <si>
    <t>PARK PLACE TECHNOLOGIES BRAZIL LTDA</t>
  </si>
  <si>
    <t>DOMINI GESTÃO EMPRESARIAL</t>
  </si>
  <si>
    <t>I4PROCESSAMENTO E SISTEMAS DE INFORMAÇÕES LTDA</t>
  </si>
  <si>
    <t>BKR - LOPES &amp; MACHADO ASSESSORIA TRIBUTARIA E EMPRESARIAL LTDA</t>
  </si>
  <si>
    <t>PSR SOLUCOES E CONSULTORIA EM ENERGIA LTDA.</t>
  </si>
  <si>
    <t>GOSHME SOLUÇÕES PARA INTERNET LTDA</t>
  </si>
  <si>
    <t>IBM BRASIL INDUSTRIA MAQUINAS E SERVIÇOS</t>
  </si>
  <si>
    <t>IBM BRASIL-INDUSTRIA MAQUINAS E SERVICOS LIMI</t>
  </si>
  <si>
    <t>CONSCIENCIA, CONSULTORIA &amp; EDITORA LTDA</t>
  </si>
  <si>
    <t>CERRADO VIAGENS LTDA</t>
  </si>
  <si>
    <t>G M R EQUIPAMENTOS ELETRICOS LTDA</t>
  </si>
  <si>
    <t>BRASO SOLUCOES TECNOLOGICAS LIMITADA</t>
  </si>
  <si>
    <t>IMAGEM GEOSISTEMAS E COMERCIO LTDA</t>
  </si>
  <si>
    <t>CLM SOFTWARE COMERCIO IMPORTACAO E EXPORTACAO LTDA</t>
  </si>
  <si>
    <t>EDIOURO PIBLICAÇÕES DE LAZER E CULTURA LTDA</t>
  </si>
  <si>
    <t>GRUPO CASA MUNDI LTDA</t>
  </si>
  <si>
    <t>RECRUTA EASY TECNOLOGIA EM RECRUTAMENTO LTDA</t>
  </si>
  <si>
    <t>WORLD AGRI CONSULTORIA E EVENTOS LTDA</t>
  </si>
  <si>
    <t>INSTITUTO TOTUM DE DESENVOLVIMENTO E GESTAO EMPRESARIAL</t>
  </si>
  <si>
    <t>ESCOLA DE NEGOCIOS CONEXXOES - EDUCACAO EMPRESARIAL LTD</t>
  </si>
  <si>
    <t>INSTITUTO BRASILEIRO DE CERTIFICAÇÃO E MONITORAMENTO - IBRACEM</t>
  </si>
  <si>
    <t>AMERICA TECNOLOGIA DE INFORMATICA E ELETRO-ELETRONICOS</t>
  </si>
  <si>
    <t>COMITÊ NACIONAL BRASILEIRO DE PRODUÇÃO E TRANSMISSÃO DE ENERGIA ELÉTRICA CIGRÉ- BRASIL</t>
  </si>
  <si>
    <t>HASHTAG PARA EMPRESAS LTDA</t>
  </si>
  <si>
    <t>ABERJE ASSOCIACAO BRASILEIRA DE COMUNICACAO EMPRESARIAL</t>
  </si>
  <si>
    <t>RIO CREATIVE CONFERENCES LTDA</t>
  </si>
  <si>
    <t>C.M.O. MARTINS CONSULTORIA LTDA</t>
  </si>
  <si>
    <t>ELETRICA JUREMA LTDA M E</t>
  </si>
  <si>
    <t>01/01/2023 a 31/03/2023</t>
  </si>
  <si>
    <t>VALOR REFERENTE CANCELAMENTO DA NF 409582106 - ALGAR SERVIÇOS E TELECOMUNICAÇÕES.</t>
  </si>
  <si>
    <t>VALOR REFERENTE ESTORNO DE PROVISÃO PARA REQUISITADOS CONFORME ENCERRAMENTO DE FUNCIONÁRIO CEDIDO.</t>
  </si>
  <si>
    <t>01_2023</t>
  </si>
  <si>
    <t>VALOR REFERENTE BAIXA DE NF. 76112 - CONSELHO REGIONAL DE ENGENHARIA E AGRONOMIA DO RIO DE JANEIRO</t>
  </si>
  <si>
    <t>3426060000000</t>
  </si>
  <si>
    <t>VALOR REFERENTE DEPOSITO REFERENTE AO PROCESSO 0100723-64.2019.5.01.0048 QUE NÃO CONSTAVA NOS RELATORIOS ANTERIORES</t>
  </si>
  <si>
    <t>02_2020</t>
  </si>
  <si>
    <t>VALOR REFERENTE DEPOSITO JUDICIAL PROCESSO 5045000-02.2019.4.02.5101 QUE NÃO HAVIA NOS RELATÓRIOS ANTERIORES</t>
  </si>
  <si>
    <t>09_2022</t>
  </si>
  <si>
    <t>VALOR REFERENTE AGENCIA REMETENTE 0625 RJ OF 510009346026</t>
  </si>
  <si>
    <t>SERVIÇOS DE TERCEIROS</t>
  </si>
  <si>
    <t>DEPÓSITOS</t>
  </si>
  <si>
    <t>01/01/2024 a 29/02/2024</t>
  </si>
  <si>
    <t>Emissão: 14/03/2024</t>
  </si>
  <si>
    <t>VALOR REFERENTE ATUALIZAÇÃO VARIAÇÃO MONETÁRIA - TRABALHISTA</t>
  </si>
  <si>
    <t>01_2024</t>
  </si>
  <si>
    <t>VALOR REFERENTE PROVISÃO PARA CONTINGÊNCIAS - TRABALHISTA.</t>
  </si>
  <si>
    <t>02_2024</t>
  </si>
  <si>
    <t>VALOR REFERENTE REVERSÃO DE PROCESSO 14152.099415/2020  14185017352/2020-40</t>
  </si>
  <si>
    <t>03_2024</t>
  </si>
  <si>
    <t>VALOR REFERENTE REVERSÃO DE VARIAÇÃO MONETÁRIA CONTINGÊNCIAS - TRABALHISTA.</t>
  </si>
  <si>
    <t>04_2024</t>
  </si>
  <si>
    <t>05_2024</t>
  </si>
  <si>
    <t>VALOR REFERENTE BAIXA DE PROCESSO TRABALHISTA - 0101376-93.2016.5.01.0073 CONFORME RELATÓRIO DA CONJUR COMP. 06/2024</t>
  </si>
  <si>
    <t>06_2024</t>
  </si>
  <si>
    <t>VALOR REFERENTE PROCESSO TRABALHISTA Nº 0101050-89.2023.5.01.0073</t>
  </si>
  <si>
    <t>VALOR REFERENTE REVERSÃO DE PROVISÃO P/ CONTINGÊNCIA TRABALHISTA COMP. 06/2024</t>
  </si>
  <si>
    <t>VALOR REFERENTE ATUALIZAÇÃO VARIAÇÃO MONETÁRIA - CIVIL</t>
  </si>
  <si>
    <t>VALOR REFERENTE PROVISÃO PARA CONTINGÊNCIAS - CIVIL</t>
  </si>
  <si>
    <t>VALOR REFERENTE REVERSÃO DE VARIAÇÃO MONETÁRIA CONTINGÊNCIAS - CIVEIS.</t>
  </si>
  <si>
    <t>VALOR REFERENTE PROVISÃO PARA CONTINGÊNCIAS - CIVEIS.</t>
  </si>
  <si>
    <t>VALOR REFERENTE REVERSÃO DE PROVISÕES P/ CONTINGÊNCIA CIVEL COMP. 06/2024</t>
  </si>
  <si>
    <t>VALOR REFERENTE ATUALIZAÇÃO VARIAÇÃO MONETÁRIA - TRIBUTARIA</t>
  </si>
  <si>
    <t>VALOR REFERENTE PROVISÃO PARA CONTINGÊNCIAS - TRIBUTÁRIA.</t>
  </si>
  <si>
    <t>VALOR REFERENTE PROVISÃO PARA CONTINGÊNCIAS - TRIBUTÁRIAS.</t>
  </si>
  <si>
    <t>VALOR REFERENTE REVERSÃO DE PROVISÃO P/ CONTINGÊNCIAS FISCAIS COMP. 06/2024</t>
  </si>
  <si>
    <t>Baixa</t>
  </si>
  <si>
    <t>reversão</t>
  </si>
  <si>
    <t>novo processo</t>
  </si>
  <si>
    <t>limite de saque por fonte - UG 325001 - JUL 2024</t>
  </si>
  <si>
    <t>Páginas:</t>
  </si>
  <si>
    <t>Mês Lançamento: JUL/2024</t>
  </si>
  <si>
    <t>Conta Contábil</t>
  </si>
  <si>
    <t>Item Informação</t>
  </si>
  <si>
    <t>72</t>
  </si>
  <si>
    <t>#SG "LIMITE DE SAQUE DIVERSOS"</t>
  </si>
  <si>
    <t>Fonte Recursos Detalhada</t>
  </si>
  <si>
    <t>Saldo - R$ (Item Informação)</t>
  </si>
  <si>
    <t>111122001</t>
  </si>
  <si>
    <t>'= LIMITE DE SAQUE COM VINCULACAO DE PGTO - OFSS</t>
  </si>
  <si>
    <t>1000000000</t>
  </si>
  <si>
    <t>RECURSOS LIVRES DA UNIAO</t>
  </si>
  <si>
    <t>1050000066</t>
  </si>
  <si>
    <t>REC.PROP.LIV.UO-EPE</t>
  </si>
  <si>
    <t>1050000260</t>
  </si>
  <si>
    <t>REC.PROP.LIV.UO-MME</t>
  </si>
  <si>
    <t>1080000000</t>
  </si>
  <si>
    <t>EXPANSAO DO SISTEMA ENERGETICO</t>
  </si>
  <si>
    <t>3050000066</t>
  </si>
  <si>
    <t>RECURSOS PRÓPRIOS</t>
  </si>
  <si>
    <t>RECURSO TESOURO</t>
  </si>
  <si>
    <t>limite de saque por fonte - UG 325001 - DEZ 2023</t>
  </si>
  <si>
    <t>Mês Lançamento: DEZ/2023</t>
  </si>
  <si>
    <t>71</t>
  </si>
  <si>
    <t>LIMITES DE SAQUE (OFSS, DIVIDA, BACEN E PREV)</t>
  </si>
  <si>
    <t>111122003</t>
  </si>
  <si>
    <t>LIM DE SAQUE C/VINC.PAGTO</t>
  </si>
  <si>
    <t>1491000000</t>
  </si>
  <si>
    <t>RECURSOS DIVERSOS</t>
  </si>
  <si>
    <t>RECURSOS TESOURO</t>
  </si>
  <si>
    <t>Partida</t>
  </si>
  <si>
    <t>VALOR REFERENTE ATUALIZAÇÃO MONETÁRIA MÊS 01/2024 - SELIC 0,97%</t>
  </si>
  <si>
    <t>VALOR REFERENTE ATUALIZAÇÃO MONETÁRIA MÊS 02/2024 - SELIC 0,80%</t>
  </si>
  <si>
    <t>VALOR REFERENTE ATUALIZAÇÃO MONETÁRIA MÊS 03/2024 - SELIC 0,83%</t>
  </si>
  <si>
    <t>VALOR REFERENTE ATUALIZAÇÃO MONETÁRIA MÊS 04/2024 - SELIC 0,89%</t>
  </si>
  <si>
    <t>VALOR REFERENTE ATUALIZAÇÃO MONETÁRIA MÊS 05/2024 - SELIC 0,83%</t>
  </si>
  <si>
    <t>VALOR REFERENTE ATUALIZAÇÃO MONETÁRIA MÊS 06/2024 - SELIC 0,79%</t>
  </si>
  <si>
    <t>VALOR REFERENTE ATUALIZAÇÃO MONETÁRIA MÊS 07/2024 - SELIC 0,91%</t>
  </si>
  <si>
    <t>07_2024</t>
  </si>
  <si>
    <t>VALOR REFERENTE ATUALIZAÇÃO MONETÁRIA MÊS 08/2024 - SELIC 0,87%</t>
  </si>
  <si>
    <t>08_2024</t>
  </si>
  <si>
    <t>VALOR REFERENTE ATUALIZAÇÃO MONETÁRIA MÊS 09/2024 - SELIC 0,84%</t>
  </si>
  <si>
    <t>09_2024</t>
  </si>
  <si>
    <t>VALOR REFERENTE ATUALIZAÇÃO MONETÁRIA MÊS 10/2024 - SELIC 0,93%</t>
  </si>
  <si>
    <t>10_2024</t>
  </si>
  <si>
    <t>VALOR REFERENTE ATUALIZAÇÃO MONETÁRIA MÊS 11/2024 - SELIC 0,79%</t>
  </si>
  <si>
    <t>11_2024</t>
  </si>
  <si>
    <t>VALOR REFERENTE ATUALIZAÇÃO MONETÁRIA MÊS 12/2024 - SELIC 0,93%</t>
  </si>
  <si>
    <t>12_2024</t>
  </si>
  <si>
    <t>VALOR REFERENTE TRANSFERENCIA DE SALDO PARA SALDO NEGATIVO DE IRPJ ESTIMATIVA 2023.</t>
  </si>
  <si>
    <t>VALOR REFERENTE RESTITUICAO A EMPRESA DE PESQUISA ENERGETICA  POR MEIO DE GRU NUMERO 325001</t>
  </si>
  <si>
    <t>2024RA000031</t>
  </si>
  <si>
    <t>VALOR REFERENTE APROPRIAÇÃO IRPJ A RECOLHER COMP. 01.05.2014 - CONFORME PROCESSO 10166.905.813/2023-53</t>
  </si>
  <si>
    <t>VALOR REFERENTE REVERSÃO DE JUROS SELIC CONFORME PROCESSO 10166.905.813/2023-53</t>
  </si>
  <si>
    <t>2024RA000033</t>
  </si>
  <si>
    <t>VALOR REFERENTE COMPENSAÇÃO DE CRÉDITO CONFORME PERD/COMP. 28031.80086.170124.1.2.02-4778</t>
  </si>
  <si>
    <t>VALOR REFERENTE COMPENSAÇÃO DE PIS CONFORME PERD/COMP Nº 14833.36063.170124.1.2.03-7118</t>
  </si>
  <si>
    <t>VALOR REFERENTE COMPENSAÇÃO DE COFINS CONFORME PERD/COMP Nº 14833.36063.170124.1.2.03-7118</t>
  </si>
  <si>
    <t>VALOR REFERENTE COMPENSAÇÃO DE IMPOSTOS VIA PERD COMP Nº 31118.66349.190824.1.3.03-4910</t>
  </si>
  <si>
    <t>VALOR REFERENTE ATUALIZAÇÃO DE SELIC CONFORME PERD COMP Nº 31118.66349.190824.1.3.03-4910</t>
  </si>
  <si>
    <t>VALOR REFERENTE COMPENSAÇÃO DE IMPOSTO CONFORME PERD/COMP 12342.26124.091024.1.2.02-1078</t>
  </si>
  <si>
    <t>VALOR REFERENTE COMPLEMENTO DE ATUALIZAÇÃO DE SELIC COMP. 11/2024</t>
  </si>
  <si>
    <t>VALOR REFERENTE TRANSFERENCIA DE SALDO PARA SALDO NEGATIVO DE CSLL ESTIMATIVA 2023.</t>
  </si>
  <si>
    <t>APROPRIACAO REPROCESSAMENTO DA FOLHA DE INSS COMP. 07.2024 APÓS O ENCERRAMENTO DO MANDATO DE CAIO CEZAR E LUDMILLA DE MELO.</t>
  </si>
  <si>
    <t>Atualização Monetária</t>
  </si>
  <si>
    <t>Saída bancária</t>
  </si>
  <si>
    <t>VALOR REFERENTE ATUALIZAÇÃO DE DEPÓSITOS JUDICIAIS - INDICE IPCA-E.</t>
  </si>
  <si>
    <t>VALOR REFERENTE ATUALIZAÇÃO MONETÁRIA DE DEPÓSITOS JUDICIAIS - INDICE IPCA-E.</t>
  </si>
  <si>
    <t>VALOR REFERENTE ATUALIZAÇÃO MONETÁRIA DEPÓSITOS JUDICIAIS - INDICE IPCA-E.</t>
  </si>
  <si>
    <t>VALOR REFERENTE ATUALIZAÇÃO DE DEPÓSITOS JUDICIAIS - INDICE IPCA-E</t>
  </si>
  <si>
    <t>VALOR REFERENTE  ATUALIZAÇÃO MONETÁRIA DEPÓSITOS JUDICIAIS - INDICE IPCA-E.</t>
  </si>
  <si>
    <t>VALOR REFERENTE ESTORNO DE ATUALIZAÇÃO DE DEPÓSITOS JUDICIAIS - INDICE IPCA-E.</t>
  </si>
  <si>
    <t>VALOR REFERENTE ATUALIZAÇÃO MONETÁRIA DEPÓSITOS JUDICIAIS - INDICE POUPANÇA.</t>
  </si>
  <si>
    <t>VALOR REFERENTE ATUALIZAÇÃO MONETÁRIA DE DEPÓSITOS JUDICIAIS - INDICE POUPANÇA.</t>
  </si>
  <si>
    <t>VALOR REFERENTE BAIXA DE DEPÓSITO TRABALHISTA PROCESSO Nº 0100431-72.2021.05.01.0060 - DIA 22/03/2022</t>
  </si>
  <si>
    <t>VALOR REFERENTE BAIXA DE DEPÓSITO TRABALHISTA PROCESSO Nº 0100431-72.2021.05.01.0060 - DIA 24/01/2023</t>
  </si>
  <si>
    <t>VALOR REFERENTE BAIXA DE DEPÓSITO TRABALHISTA PROCESSO Nº 0100431-72.2021.05.01.0060 - ATUALIZAÇÃO DE SELIC</t>
  </si>
  <si>
    <t>VALOR REFERENTE BAIXA DE DEPÓSITO TRABALHISTA PROCESSO Nº 0100646-78.2022.5.01.0071 - 26/10/2022</t>
  </si>
  <si>
    <t>VALOR REFERENTE BAIXA DE DEPÓSITO TRABALHISTA PROCESSO Nº 0100646-78.2022.5.01.0071 - 26/05/2023</t>
  </si>
  <si>
    <t>VALOR REFERENTE BAIXA DE DEPÓSITO TRABALHISTA PROCESSO Nº 0100646-78.2022.5.01.0071  - ATUALIZAÇÃO DE SELIC</t>
  </si>
  <si>
    <t>VALOR REFERENTE ATUALIZAÇÃO DEPÓSITOS JUDICIAIS - INDICE IPCA.</t>
  </si>
  <si>
    <t>VALOR REFERENTE BAIXA DE DEPÓSITO TRABALHISTA PROCESSO Nº 0100646-78.2022.5.01.0071  - 17/10/2023</t>
  </si>
  <si>
    <t>VALOR REFERENTE ESTORNO DE BAIXA DO PROCESSO Nº 0100431-72.2021.5.01.0060</t>
  </si>
  <si>
    <t>VALOR REFERENTE DEPÓSITO JUDICIAL - PROCESSO Nº 0100431-72.2021.5.01.0060</t>
  </si>
  <si>
    <t>VALOR REFERENTE REGISTRO DA CLASSIFICACAO DA ARRECADACAO DE GUIAS DE RECOLHIMENTO             DA UNIAO DO DIA: 18SET24</t>
  </si>
  <si>
    <t>2024RA000175</t>
  </si>
  <si>
    <t>VALOR REFERENTE ESTORNO DE SELIC A MAIOR PROCESSO Nº 0100.645.52.2022.5.01.0020 RECEBIDO EM 19/09/2024</t>
  </si>
  <si>
    <t>VALOR REFERENTE COMPLEMENTO DE ATUALIZAÇÃO MONETARIA DE DEPÓSITOS JUDICIAIS - INDICE POUPANÇA.</t>
  </si>
  <si>
    <t>VALOR REFERENTE COMPLEMENTO ATUALIZAÇÃO MONETÁRIA - INDICE IPCA.</t>
  </si>
  <si>
    <t>12_2023</t>
  </si>
  <si>
    <t>VALOR REFERENTE ATUALIZAÇÃO MONETÁRIA DE DEPÓSITOS JUDICIAIS - INDICE IPCA.</t>
  </si>
  <si>
    <t>VALOR REFERENTE ATUALIZAÇÃO MONETÁRIA DEPÓSITOS JUDICIAIS - INDICE IPCA.</t>
  </si>
  <si>
    <t>VALOR REFERENTE COMPLEMENTO DE ATUALIZAÇÃO MONETÁRIA DE DEPÓSITOS JUDICIAIS - INDICE IPCA.</t>
  </si>
  <si>
    <t>VALOR REFERENTE ESTORNO ATUALIZAÇÃO MONETÁRIA DE DEPÓSITOS JUDICIAIS - INDICE IPCA.</t>
  </si>
  <si>
    <t>VALOR REFERENTE COMPLEMENTO DE ATUALIZAÇÃO DE DEPÓSITOS JUDICIAIS - INDICE IPCA.</t>
  </si>
  <si>
    <t>VALOR REFERENTE ATUALIZAÇÃO DE DEPÓSITOS JUDICIAIS - INDICE IPCA.</t>
  </si>
  <si>
    <t>VALOR REFERENTE COMPLEMENTO ATUALIZAÇÃO DEPÓSITOS JUDICIAIS - INDICE IPCA.</t>
  </si>
  <si>
    <t>VALOR REFERENTE ESTORNO ATUALIZAÇÃO MONETÁRIA DEPÓSITOS JUDICIAIS - INDICE IPCA.</t>
  </si>
  <si>
    <t>VALOR REFERENTE  ATUALIZAÇÃO MONETÁRIA DEPÓSITOS JUDICIAIS - INDICE IPCA.</t>
  </si>
  <si>
    <t>VALOR REFERENTE COMPLEMENTO DE ATUALIZAÇÃO MONETÁRIA DEPÓSITOS JUDICIAIS - INDICE IPCA.</t>
  </si>
  <si>
    <t>VALOR REFERENTE ESTORNO DE ATUALIZAÇÃO DE DEPÓSITOS JUDICIAIS - INDICE IPCA.</t>
  </si>
  <si>
    <t>VALOR REFERENTE COMPLEMENTO ATUALIZAÇÃO MONETÁRIA DEPÓSITOS JUDICIAIS - INDICE IPCA.</t>
  </si>
  <si>
    <t>Saída bancaria</t>
  </si>
  <si>
    <t>Baixa de depósitos</t>
  </si>
  <si>
    <t>Processos</t>
  </si>
  <si>
    <t>01/01/2025 a 31/01/2025</t>
  </si>
  <si>
    <t>Emissão: 10/02/2025</t>
  </si>
  <si>
    <t>VALOR REFERENTE ATUALIZAÇÃO MONETÁRIA MÊS 01/2025 - SELIC 1,01%</t>
  </si>
  <si>
    <t>01_2025</t>
  </si>
  <si>
    <t>33116</t>
  </si>
  <si>
    <t>VALOR REFERENTE ATUALIZAÇÃO MONETÁRIA MÊS 02/2025 - SELIC 0,99%</t>
  </si>
  <si>
    <t>VALOR REFERENTE ATUALIZAÇÃO MONETÁRIA MÊS 03/2025 - SELIC 0,96%</t>
  </si>
  <si>
    <t>03_2025</t>
  </si>
  <si>
    <t>VALOR REFERENTE ATUALIZAÇÃO MONETÁRIA MÊS 04/2025 - SELIC 1,06%</t>
  </si>
  <si>
    <t>04_2025</t>
  </si>
  <si>
    <t>VALOR REFERENTE ATUALIZAÇÃO MONETÁRIA MÊS 05/2025 - SELIC 1,14%</t>
  </si>
  <si>
    <t>05_2025</t>
  </si>
  <si>
    <t>VALOR REFERENTE ATUALIZAÇÃO MONETÁRIA MÊS 06/2025 - SELIC 1,10%</t>
  </si>
  <si>
    <t>06_2025</t>
  </si>
  <si>
    <t>VALOR REFERENTE ATUALIZAÇÃO MONETÁRIA MÊS 07/2025 - SELIC 1,28%</t>
  </si>
  <si>
    <t>07_2025</t>
  </si>
  <si>
    <t>VALOR REFERENTE ATUALIZAÇÃO MONETÁRIA MÊS 08/2025 - SELIC 1,16%</t>
  </si>
  <si>
    <t>08_2025</t>
  </si>
  <si>
    <t>VALOR REFERENTE ATUALIZAÇÃO MONETÁRIA MÊS 09/2025 - SELIC 1,22%</t>
  </si>
  <si>
    <t>09_2025</t>
  </si>
  <si>
    <t>VALOR REFERENTE ATUALIZAÇÃO MONETÁRIA MÊS 10/2025 - SELIC 1,28%</t>
  </si>
  <si>
    <t>10_2025</t>
  </si>
  <si>
    <t>VALOR REFERENTE ATUALIZAÇÃO MONETÁRIA MÊS 11/2025 - SELIC 1,05%</t>
  </si>
  <si>
    <t>11_2025</t>
  </si>
  <si>
    <t>VALOR REFERENTE TRANSFERENCIA PARA IRPJ ESTIMATIVA 2024</t>
  </si>
  <si>
    <t>112340</t>
  </si>
  <si>
    <t>VALOR REFERENTE IRPJ ESTIMATIVA COMP. 02/2025</t>
  </si>
  <si>
    <t>42511</t>
  </si>
  <si>
    <t>VALOR REFERENTE IRPJ ESTIMATIVA COMP.: 03/2025</t>
  </si>
  <si>
    <t>VALOR REFERENTE TRANSFERENCIA PARA CSLL ESTIMATIVA 2024</t>
  </si>
  <si>
    <t>112341</t>
  </si>
  <si>
    <t>VALOR REFERENTE CSLL ESTIMATIVA COMP. 02/2025</t>
  </si>
  <si>
    <t>42521</t>
  </si>
  <si>
    <t>VALOR REFERENTE CSLL ESTIMATIVA COMP.: 03/2025</t>
  </si>
  <si>
    <t>VALOR REFERENTE INSCRIÇÃO DE 01 EMPREGADO NO EVENTO HSM+ 2024 - NF 21485 - RETENÇÃO INDEVIDA.</t>
  </si>
  <si>
    <t>6190</t>
  </si>
  <si>
    <t>VALOR REFERENTE RESTITUICAO DE PAGAMENTO INDEVIDO OU A MAIOR CODIGO 6190 CONFORME PROC. 10166919959/2025</t>
  </si>
  <si>
    <t>2025RA000075</t>
  </si>
  <si>
    <t>1.1.2.03.0040</t>
  </si>
  <si>
    <t>112316</t>
  </si>
  <si>
    <t>1.1.2.03.0041</t>
  </si>
  <si>
    <t>VALOR REFERENTE TRANSFERENCIA PARA NÃO CIRCULANTE CONFORME SOLICITAÇÃO DA AUDITORIA BERKAN.</t>
  </si>
  <si>
    <t>VALOR REFERENTE TRANSFERENCIA PARA NÃO CIRCULANTE CONFORME SOLICITAÇÃO DA AUDITORIA BERKAN</t>
  </si>
  <si>
    <t>Pagamento</t>
  </si>
  <si>
    <t>VALOR REFERENTE ATUALIZAÇÃO MONETARIA DEPÓSITOS JUDICIAIS - INDICE IPCA-E.</t>
  </si>
  <si>
    <t>VALOR REFERENTE PROVISÃO DEPÓSITOS JUDICIAIS - INDICE IPCA-E.</t>
  </si>
  <si>
    <t>VALOR REFERENTE PAGAMENTO DE DEPOSITO JUDICIAL - PROCESSO N¤ 0100723-64.2019.5.01.0048, DOCUMENTO 03289000325250311, EM QUE FIGURAM COMO PARTES: PEDRO AMERICO MORETZ SOHN DAVID - RECLAMANTE E EPE - RECLAMADA.</t>
  </si>
  <si>
    <t>2025OB000302</t>
  </si>
  <si>
    <t>VALOR REFERENTE CUSTAS JUDICIAIS PARA INTERPOSICAO DE RECURSO JUNTO AO TRIBUNAL REGIONAL FEDERAL DA 1ª REGIAO NO PROCESSO N.º 1001396-65.2025.4.01.3100.</t>
  </si>
  <si>
    <t>2025OB000517</t>
  </si>
  <si>
    <t>VALOR REFERENTE ESTORNO DE ATUALIZAÇÃO DE SELIC CONFORME BAIXA DE DEPÓSITOS JUDICIAIS.</t>
  </si>
  <si>
    <t>VALOR REFERENTE PAGAMENTO DE DEPOSITO RECURSAL - INTERPOSICAO DE RECURSO JUNTO AO TRIBUNAL REGIONAL FEDERAL DA 5ª REGIAO, NO PROCESSO N.º 0823238-28.2024.4.05.8300</t>
  </si>
  <si>
    <t>2025GR800007</t>
  </si>
  <si>
    <t>VALOR REFERENTE PAGAMENTO DE DEPOSITO JUDICIAL DO PROCESSO JUDICIAL Nº 0101581-53.2017.5.01.0020 (RECLAMANTE: SERGIO ARAUJO DE SOUZA). DOCUMENTO DE PAGAMENTO 81280000012515354.</t>
  </si>
  <si>
    <t>2025OB000763</t>
  </si>
  <si>
    <t>VALOR REFERENTE PROCESSO N° 0000852.08.2011.5.01.0027 BAIXA DE DEPÓSITO</t>
  </si>
  <si>
    <t>2025RA000059</t>
  </si>
  <si>
    <t>VALOR REFERENTE BAIXA DEPÓSITOS JUDICIAIS - PROCESSO TRABALHISTA 0011113.21.2015.01.0244</t>
  </si>
  <si>
    <t>VALOR REFERENTE AJUSTE ATUALIZAÇÃO DE DEPÓSITOS JUDICIAIS - PROCESSO TRABALHISTA 0100723-64.2019.5.01.0048</t>
  </si>
  <si>
    <t>VALOR REFERENTE ESTORNO DE ATUALIZAÇÃO DE SELIC CONFORME BAIXA DE DEPÓSITOS JUDICIAIS - PROC. N° 0000852.08.2011.5.01.0027</t>
  </si>
  <si>
    <t>VALOR REFERENTE AJUSTE ATUALIZAÇÃO DE DEPÓSITOS JUDICIAIS - PROCESSO TRABALHISTA 0011113.21.2015.01.0244</t>
  </si>
  <si>
    <t>VALOR REFERENTE BAIXA DEPÓSITOS JUDICIAIS - PROCESSO TRABALHISTA 0000852.08.2011.5.01.0027</t>
  </si>
  <si>
    <t>VALOR REFERENTE AJUSTE ATUALIZAÇÃO DE DEPÓSITOS JUDICIAIS - PROCESSO TRABALHISTA 0000852.08.2011.5.01.0027</t>
  </si>
  <si>
    <t>VALOR REFERENTE BAIXA DEPÓSITOS JUDICIAIS - PROCESSO TRABALHISTA 0100723-64.2019.5.01.0048</t>
  </si>
  <si>
    <t>VALOR REFERENTE BAIXA DEPÓSITOS JUDICIAIS - PROCESSO TRABALHISTA N° 7892920115010044</t>
  </si>
  <si>
    <t>RA000061</t>
  </si>
  <si>
    <t>VALOR REFERENTE AJUSTE ATUALIZAÇÃO DE DEPÓSITOS JUDICIAIS - PROCESSO TRABALHISTA N° 7892920115010044 - TASSIA</t>
  </si>
  <si>
    <t>VALOR REFERENTE COMPLEMENTO PROVISÃO DEPÓSITOS JUDICIAIS - INDICE IPCA.</t>
  </si>
  <si>
    <t>VALOR REFERENTE RECLA. PROVISÃO DEPÓSITOS JUDICIAIS - INDICE IPCA.</t>
  </si>
  <si>
    <t>EMPRESA DE PESQUISA ENERGÉTICA - 06.977747/0001-80</t>
  </si>
  <si>
    <t>PLANILHA DE APURAÇÃO IRPJ E CSLL - ANO CALENDÁRIO 2024</t>
  </si>
  <si>
    <t>TRIBUTAÇÃO Lucro Real/Estimativa mensal</t>
  </si>
  <si>
    <t>CONTRIBUIÇÃO SOCIAL - CSLL</t>
  </si>
  <si>
    <t>conta reduzida balancete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</si>
  <si>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</si>
  <si>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</si>
  <si>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</si>
  <si>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</si>
  <si>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</si>
  <si>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</si>
  <si>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</si>
  <si>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</si>
  <si>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</si>
  <si>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</si>
  <si>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</si>
  <si>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</si>
  <si>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LUCRO LÍQUIDO CONTÁBIL  - ANTES DOS AJUSTES RTT LEI 11.638 MP 449</t>
  </si>
  <si>
    <t>Resultado com IRPJ e CSLL</t>
  </si>
  <si>
    <t>42511 e 42521</t>
  </si>
  <si>
    <t>Provisão p/ IRPJ e  Provisão p/ CSLL</t>
  </si>
  <si>
    <t>LUCRO ANTES DA CSLL</t>
  </si>
  <si>
    <t xml:space="preserve">(+)ADIÇÕES </t>
  </si>
  <si>
    <t>DESPESAS NÃO DEDUTÍVEIS</t>
  </si>
  <si>
    <t>Salario Maternidade  - Prorrogação</t>
  </si>
  <si>
    <t>Despesas não Dedutíveis</t>
  </si>
  <si>
    <t>Provisões p/ Contingências Trabalhi</t>
  </si>
  <si>
    <t>Provisão P/ Contingências Cíveis</t>
  </si>
  <si>
    <t>Prov. Contingências Variações Monet</t>
  </si>
  <si>
    <t>Despesas com IRPJ - anos anteriores</t>
  </si>
  <si>
    <t>Aprop. Juros Arrendamento mercantil</t>
  </si>
  <si>
    <t>TOTAL DE ADIÇÕES</t>
  </si>
  <si>
    <t>(-)EXCLUSÕES</t>
  </si>
  <si>
    <t>Arrendamento mercantil - Imóvel PIO X</t>
  </si>
  <si>
    <t>REVERSÃO DE PROVISÃO OPERACIONAL</t>
  </si>
  <si>
    <t>reversão Variação Monetária Contingências</t>
  </si>
  <si>
    <t>TOTAL DE EXCLUSÕES</t>
  </si>
  <si>
    <t>BASE DE CÁLCULO ANTES COMP. BASE NEGATIVA</t>
  </si>
  <si>
    <t xml:space="preserve">(-) COMP. BASE NEGATVA </t>
  </si>
  <si>
    <t>LUCRO REAL APÓS COM. PREJUÍZOS FISCAIS</t>
  </si>
  <si>
    <t xml:space="preserve">CSLL ALÍQUOTA 9% </t>
  </si>
  <si>
    <t>(-)DEDUÇÕES DE PAGAMENTO</t>
  </si>
  <si>
    <t>CSLL PAGO POR ESTIMATIVAS ATÉ MÊS ANTERIOR</t>
  </si>
  <si>
    <t>CSLL PAGO A MAIOR ANOS ANTERIORES</t>
  </si>
  <si>
    <t>TOTAL DE DEDUÇÕES DE PAGAMENTO</t>
  </si>
  <si>
    <t>CSLL A PAGAR NO MÊS COD 2484</t>
  </si>
  <si>
    <t>IMPOSTO DE RENDA - IRPJ</t>
  </si>
  <si>
    <t>Resultado Liquido</t>
  </si>
  <si>
    <t>Lucro Antes do IR</t>
  </si>
  <si>
    <t>RESULTADO ANTES DO IR</t>
  </si>
  <si>
    <t>LUCRO REAL ANTES COMP. PREJUÍZOS FISCAIS</t>
  </si>
  <si>
    <t>(-) COMP. DE PREJUÍZOS FISCAIS</t>
  </si>
  <si>
    <t>IRPJ ALÍQUOTA 15%</t>
  </si>
  <si>
    <t>ADICIONAL DO IR ALÍQUOTA 10%</t>
  </si>
  <si>
    <t>TOTAL DO IRPJ ANTES DOS INCENTIVOS FISCAIS</t>
  </si>
  <si>
    <t>(-)INCENTIVOS FISCAIS</t>
  </si>
  <si>
    <t>PAT-LIMITE 4% DO IRPJ (SEM ADICIONAL)</t>
  </si>
  <si>
    <t>TOTAL DE INCENTIVOS FISCAIS</t>
  </si>
  <si>
    <t xml:space="preserve">IRPJ APÓS INCENTIVOS FISCAIS </t>
  </si>
  <si>
    <t>(-)DEDUÇÕES DE PAGAMENTOS</t>
  </si>
  <si>
    <t>IRPJ PAGO POR ESTIMATIVA ATÉ MÊS ANTERIOR</t>
  </si>
  <si>
    <t>IRPJ PAGO A MAIOR ANOS ANTERIORES</t>
  </si>
  <si>
    <t>TOTAL DEDUÇÕES DE PAGAMENTOS</t>
  </si>
  <si>
    <t>IRPJ A PAGAR NO MÊS COD 2362</t>
  </si>
  <si>
    <t>COMPENSAÇÃO - BASE NEGATIVA 2024</t>
  </si>
  <si>
    <t>BASE NEGATIVA 2023</t>
  </si>
  <si>
    <t xml:space="preserve">(-) COMPENSAÇÃO BASE NEGATIVA </t>
  </si>
  <si>
    <t xml:space="preserve">SALDO BASE NEGATIVA </t>
  </si>
  <si>
    <t>INCENTIVO DE ALIMENTAÇÃO AO TRABALHADOR</t>
  </si>
  <si>
    <t>Despesa acumulada c/ alimentação trabalhador</t>
  </si>
  <si>
    <t>total</t>
  </si>
  <si>
    <t>Incentivo dedutível - 15%</t>
  </si>
  <si>
    <t>limite de 4% do Imposto de Renda devido</t>
  </si>
  <si>
    <t>(Nº de funcion X R$ 1,99 X nº Dias Trabalhado no mês X nº de mês)x15%</t>
  </si>
  <si>
    <t>Excesso a compensar em apurações subseqüentes</t>
  </si>
  <si>
    <t>REVERSÃO</t>
  </si>
  <si>
    <t>PAGAMENTO</t>
  </si>
  <si>
    <t xml:space="preserve">CSLL </t>
  </si>
  <si>
    <t>D: 112317</t>
  </si>
  <si>
    <t>D: 42521</t>
  </si>
  <si>
    <t>C: 42521</t>
  </si>
  <si>
    <t>C: 21167</t>
  </si>
  <si>
    <t>D:112316</t>
  </si>
  <si>
    <t>D: 42511</t>
  </si>
  <si>
    <t>C: 42511</t>
  </si>
  <si>
    <t>C: 21161</t>
  </si>
  <si>
    <t>PLANILHA DE APURAÇÃO IRPJ E CSLL - ANO CALENDÁRIO 2026</t>
  </si>
  <si>
    <t>TRIBUTAÇÃO Lucro Real Trimestral</t>
  </si>
  <si>
    <t>CSLL A PAGAR NO MÊS COD 6012</t>
  </si>
  <si>
    <t>IRPJ A PAGAR NO MÊS COD 3373</t>
  </si>
  <si>
    <t>COMPENSAÇÃO - BASE NEGATIVA 2025</t>
  </si>
  <si>
    <t>BASE NEGATIVA 2025</t>
  </si>
  <si>
    <t>SINTESE- COMERCIO, ORGANIZACAO E PRODUCAO DE EVENTOS LTDA</t>
  </si>
  <si>
    <t>UDIMAXBR COMERCIO LTDA</t>
  </si>
  <si>
    <t>LGM BRINDES LTDA</t>
  </si>
  <si>
    <t>ASSOC NACIONAL DE CENTROS DE POS GRADUACAO EM ECONOMIA</t>
  </si>
  <si>
    <t>J &amp; L - PROMOCAO DE VENDAS EM INFORMATICA LTDA</t>
  </si>
  <si>
    <t>01/01/2023 a 28/02/2023</t>
  </si>
  <si>
    <t>Emissão: 13/03/2024</t>
  </si>
  <si>
    <t>VALOR REFERENTE ATUALIZAÇÃO MONETÁRIA MÊS 01/2023 - SELIC 1,12%</t>
  </si>
  <si>
    <t>VALOR REFERENTE ATUALIZAÇÃO MONETÁRIA MÊS 02/2023 - SELIC 0,92%</t>
  </si>
  <si>
    <t>02_2023</t>
  </si>
  <si>
    <t>VALOR REFERENTE VALOR REFERENTE PAGAMENTO POR ESTIMATIVA 2022.</t>
  </si>
  <si>
    <t>VALOR REFERENTE ANTECIPAÇÃO DE IRRF COMP. 12/2022</t>
  </si>
  <si>
    <t>VALOR REFERENTE IRRF SOBRE REPROCESSAMENTO DE FÉRIAS PAGAS PARA CAMILA DE ARAUJO FERRAZ. 02/01/2023 A 20/01/2023.</t>
  </si>
  <si>
    <t>VALOR REFERENTE ATUALIZAÇÃO DEPÓSITOS JUDICIAIS - INDICE IPCA-E.</t>
  </si>
  <si>
    <t>VALOR REFERENTE PAGAMENTO DE DEPOSITO RECURSAL - PROCESSO JUDICIAL DE N¤ 0100431-72.2021.5.01.0060, EM QUE FIGURAM COMO PARTES MARIA DE FATIMA DE CARVALHO GAMA, RECLAMANTE, E EMPRESA DE PESQUISA ENERGETICA - EPE, RECLAMADA.</t>
  </si>
  <si>
    <t>2023OB800068</t>
  </si>
  <si>
    <t>VALOR REFERENTE ATUALIZAÇÃO DEPÓSITOS JUDICIAIS - INDICE POUPANÇA.</t>
  </si>
  <si>
    <t>VALOR REFERENTE ESTORNO ATUALIZAÇÃO DEPÓSITOS JUDICIAIS - INDICE IPCA.</t>
  </si>
  <si>
    <t>PLANILHA DE APURAÇÃO IRPJ E CSLL - ANO CALENDÁRIO 2023</t>
  </si>
  <si>
    <t>Provisões p/ Contigências Processuais</t>
  </si>
  <si>
    <t>Provisões p/ Contingências Processuais</t>
  </si>
  <si>
    <t>COMPENSAÇÃO - BASE NEGATIVA 2022</t>
  </si>
  <si>
    <t>BASE NEGATIVA 2022</t>
  </si>
  <si>
    <t xml:space="preserve">                               -  </t>
  </si>
  <si>
    <t>Despesa de imposto de renda (IRPJ) e contribuição social (CSLL)</t>
  </si>
  <si>
    <t>3 meses findos em</t>
  </si>
  <si>
    <t>Licença partenidade e maternidade prorrogada</t>
  </si>
  <si>
    <t>Provisões de processos trabalhistas</t>
  </si>
  <si>
    <t>Provisões de processos Fiscais</t>
  </si>
  <si>
    <t>Provisões de contigências Processuais</t>
  </si>
  <si>
    <t>Ajustes de despesas de periodos anteriores</t>
  </si>
  <si>
    <t>Despesa corrente efetiva do período</t>
  </si>
  <si>
    <t>6 meses findos em</t>
  </si>
  <si>
    <t>Benfeitorias em Andamento</t>
  </si>
  <si>
    <t xml:space="preserve">              -</t>
  </si>
  <si>
    <t>Transferência</t>
  </si>
  <si>
    <t>Baixa de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</si>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</sst>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&quot;R$&quot;\ #,##0.00;[Red]\-&quot;R$&quot;\ #,##0.00"/>
    <numFmt numFmtId="165" formatCode="_-&quot;R$&quot;\ * #,##0.00_-;\-&quot;R$&quot;\ * #,##0.00_-;_-&quot;R$&quot;\ * &quot;-&quot;??_-;_-@_-"/>
    <numFmt numFmtId="166" formatCode="_(* #,##0_);_(* \(#,##0\);_(* &quot;-&quot;_);_(@_)"/>
    <numFmt numFmtId="167" formatCode="dd/mm/yyyy;@"/>
    <numFmt numFmtId="168" formatCode="_-* #,##0_-;\-* #,##0_-;_-* &quot;-&quot;??_-;_-@_-"/>
    <numFmt numFmtId="169" formatCode="_-* #,##0.00000_-;\-* #,##0.00000_-;_-* &quot;-&quot;??_-;_-@_-"/>
    <numFmt numFmtId="170" formatCode="d/mm/yyyy;@"/>
    <numFmt numFmtId="171" formatCode="_(* #,##0_);_(* \(#,##0\);_(* &quot;-&quot;??_);_(@_)"/>
    <numFmt numFmtId="172" formatCode="_(* #,##0.00_);_(* \(#,##0.00\);_(* &quot;-&quot;??_);_(@_)"/>
    <numFmt numFmtId="173" formatCode="&quot;R$&quot;\ #,##0.00"/>
    <numFmt numFmtId="174" formatCode="_-[$R$-416]\ * #,##0.00_-;\-[$R$-416]\ * #,##0.00_-;_-[$R$-416]\ * &quot;-&quot;??_-;_-@_-"/>
    <numFmt numFmtId="175" formatCode="#,##0.00_);\(#,##0.00\)"/>
    <numFmt numFmtId="176" formatCode="_-* #,##0_-;\-* #,###_-;_-* &quot;-&quot;??_-;_-@_-"/>
    <numFmt numFmtId="177" formatCode="_-* #,##0.00_-;* \(#,##0.00\)_-;_-* &quot;-&quot;??_-;_-@_-"/>
    <numFmt numFmtId="178" formatCode="_-* #,##0_-;* \(#,##0\)_-;_-* &quot;-&quot;??_-;_-@_-"/>
    <numFmt numFmtId="179" formatCode="0.0000%"/>
    <numFmt numFmtId="180" formatCode="0.000%"/>
  </numFmts>
  <fonts count="7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3"/>
      <color theme="1"/>
      <name val="Arial Narrow"/>
      <family val="2"/>
    </font>
    <font>
      <sz val="9"/>
      <name val="Arial"/>
      <family val="2"/>
    </font>
    <font>
      <b/>
      <sz val="10"/>
      <color rgb="FF000000"/>
      <name val="Courier New"/>
      <family val="3"/>
    </font>
    <font>
      <sz val="10"/>
      <color rgb="FF000000"/>
      <name val="Courier New"/>
      <family val="3"/>
    </font>
    <font>
      <sz val="10"/>
      <color theme="1"/>
      <name val="Calibri"/>
      <family val="2"/>
      <scheme val="minor"/>
    </font>
    <font>
      <sz val="13"/>
      <color rgb="FFFF0000"/>
      <name val="Arial Narrow"/>
      <family val="2"/>
    </font>
    <font>
      <b/>
      <sz val="13"/>
      <color theme="1"/>
      <name val="Arial Narrow"/>
      <family val="2"/>
    </font>
    <font>
      <sz val="13"/>
      <color rgb="FF000000"/>
      <name val="Arial Narrow"/>
      <family val="2"/>
    </font>
    <font>
      <sz val="13"/>
      <name val="Arial Narrow"/>
      <family val="2"/>
    </font>
    <font>
      <b/>
      <sz val="22"/>
      <color theme="1"/>
      <name val="Arial Narrow"/>
      <family val="2"/>
    </font>
    <font>
      <b/>
      <sz val="16"/>
      <color theme="1"/>
      <name val="Arial Narrow"/>
      <family val="2"/>
    </font>
    <font>
      <b/>
      <sz val="13"/>
      <name val="Arial Narrow"/>
      <family val="2"/>
    </font>
    <font>
      <b/>
      <sz val="16"/>
      <name val="Arial Narrow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rgb="FF000000"/>
      <name val="Arial Narrow"/>
      <family val="2"/>
    </font>
    <font>
      <b/>
      <u/>
      <sz val="12"/>
      <color rgb="FF000000"/>
      <name val="Arial Narrow"/>
      <family val="2"/>
    </font>
    <font>
      <sz val="12"/>
      <color rgb="FF000000"/>
      <name val="Arial Narrow"/>
      <family val="2"/>
    </font>
    <font>
      <u/>
      <sz val="12"/>
      <color theme="1"/>
      <name val="Arial Narrow"/>
      <family val="2"/>
    </font>
    <font>
      <i/>
      <sz val="12"/>
      <color theme="1"/>
      <name val="Arial Narrow"/>
      <family val="2"/>
    </font>
    <font>
      <i/>
      <sz val="12"/>
      <color rgb="FF000000"/>
      <name val="Arial Narrow"/>
      <family val="2"/>
    </font>
    <font>
      <sz val="12"/>
      <color rgb="FFFF0000"/>
      <name val="Arial Narrow"/>
      <family val="2"/>
    </font>
    <font>
      <sz val="10"/>
      <color rgb="FF000000"/>
      <name val="Arial"/>
      <family val="2"/>
    </font>
    <font>
      <sz val="1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8"/>
      <name val="Verdana"/>
      <family val="2"/>
    </font>
    <font>
      <sz val="10"/>
      <color theme="3" tint="0.39997558519241921"/>
      <name val="Arial"/>
      <family val="2"/>
    </font>
    <font>
      <b/>
      <sz val="10"/>
      <color rgb="FFFF000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u/>
      <sz val="10"/>
      <color rgb="FF000000"/>
      <name val="Arial"/>
      <family val="2"/>
    </font>
    <font>
      <sz val="12"/>
      <color theme="1"/>
      <name val="Times New Roman"/>
      <family val="1"/>
    </font>
    <font>
      <i/>
      <sz val="10"/>
      <color rgb="FF000000"/>
      <name val="Arial"/>
      <family val="2"/>
    </font>
    <font>
      <sz val="11"/>
      <color rgb="FF000000"/>
      <name val="Calibri"/>
      <family val="2"/>
    </font>
    <font>
      <sz val="8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i/>
      <sz val="10"/>
      <color rgb="FF000000"/>
      <name val="Arial"/>
      <family val="2"/>
    </font>
    <font>
      <u/>
      <sz val="10"/>
      <color theme="1"/>
      <name val="Arial"/>
      <family val="2"/>
    </font>
    <font>
      <b/>
      <sz val="7"/>
      <color theme="1"/>
      <name val="Times New Roman"/>
      <family val="1"/>
    </font>
    <font>
      <b/>
      <sz val="7"/>
      <color rgb="FFFF0000"/>
      <name val="Times New Roman"/>
      <family val="1"/>
    </font>
    <font>
      <b/>
      <sz val="9.5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sz val="8"/>
      <color theme="1"/>
      <name val="Verdana"/>
      <family val="2"/>
    </font>
    <font>
      <b/>
      <sz val="13"/>
      <color rgb="FFFF0000"/>
      <name val="Arial Narrow"/>
      <family val="2"/>
    </font>
    <font>
      <sz val="8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8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C0C0C0"/>
      </right>
      <top style="thin">
        <color rgb="FF808080"/>
      </top>
      <bottom/>
      <diagonal/>
    </border>
    <border>
      <left style="thin">
        <color rgb="FFC0C0C0"/>
      </left>
      <right style="thin">
        <color rgb="FFC0C0C0"/>
      </right>
      <top style="thin">
        <color rgb="FF808080"/>
      </top>
      <bottom/>
      <diagonal/>
    </border>
    <border>
      <left style="thin">
        <color rgb="FF80808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80808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/>
      <bottom style="mediumDashed">
        <color rgb="FF7F7F7F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rgb="FF7F7F7F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A9D08E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808080"/>
      </bottom>
      <diagonal/>
    </border>
    <border>
      <left/>
      <right style="thin">
        <color rgb="FFC0C0C0"/>
      </right>
      <top style="thin">
        <color rgb="FFC0C0C0"/>
      </top>
      <bottom style="thin">
        <color rgb="FF808080"/>
      </bottom>
      <diagonal/>
    </border>
    <border>
      <left style="thin">
        <color rgb="FF808080"/>
      </left>
      <right/>
      <top style="thin">
        <color rgb="FFC0C0C0"/>
      </top>
      <bottom style="thin">
        <color rgb="FF808080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4" fillId="0" borderId="0"/>
    <xf numFmtId="0" fontId="4" fillId="0" borderId="0"/>
    <xf numFmtId="0" fontId="67" fillId="0" borderId="0"/>
  </cellStyleXfs>
  <cellXfs count="1253">
    <xf numFmtId="0" fontId="0" fillId="0" borderId="0" xfId="0"/>
    <xf numFmtId="0" fontId="4" fillId="2" borderId="0" xfId="0" applyFont="1" applyFill="1"/>
    <xf numFmtId="0" fontId="6" fillId="2" borderId="0" xfId="0" applyFont="1" applyFill="1"/>
    <xf numFmtId="166" fontId="6" fillId="0" borderId="3" xfId="1" applyNumberFormat="1" applyFont="1" applyFill="1" applyBorder="1"/>
    <xf numFmtId="166" fontId="6" fillId="0" borderId="0" xfId="1" applyNumberFormat="1" applyFont="1" applyFill="1"/>
    <xf numFmtId="166" fontId="6" fillId="0" borderId="0" xfId="1" applyNumberFormat="1" applyFont="1" applyFill="1" applyBorder="1"/>
    <xf numFmtId="166" fontId="4" fillId="0" borderId="0" xfId="1" applyNumberFormat="1" applyFont="1" applyFill="1"/>
    <xf numFmtId="43" fontId="4" fillId="2" borderId="0" xfId="1" applyFont="1" applyFill="1"/>
    <xf numFmtId="43" fontId="4" fillId="2" borderId="0" xfId="0" applyNumberFormat="1" applyFont="1" applyFill="1"/>
    <xf numFmtId="166" fontId="4" fillId="2" borderId="0" xfId="0" applyNumberFormat="1" applyFont="1" applyFill="1"/>
    <xf numFmtId="4" fontId="4" fillId="2" borderId="0" xfId="0" applyNumberFormat="1" applyFont="1" applyFill="1"/>
    <xf numFmtId="166" fontId="4" fillId="0" borderId="0" xfId="0" applyNumberFormat="1" applyFont="1"/>
    <xf numFmtId="0" fontId="7" fillId="0" borderId="0" xfId="0" applyFont="1"/>
    <xf numFmtId="0" fontId="4" fillId="0" borderId="0" xfId="0" applyFont="1"/>
    <xf numFmtId="4" fontId="4" fillId="0" borderId="0" xfId="0" applyNumberFormat="1" applyFont="1"/>
    <xf numFmtId="3" fontId="11" fillId="0" borderId="0" xfId="1" applyNumberFormat="1" applyFont="1" applyFill="1" applyBorder="1"/>
    <xf numFmtId="166" fontId="4" fillId="0" borderId="0" xfId="1" applyNumberFormat="1" applyFont="1" applyFill="1" applyBorder="1"/>
    <xf numFmtId="3" fontId="4" fillId="0" borderId="0" xfId="1" applyNumberFormat="1" applyFont="1" applyFill="1" applyBorder="1"/>
    <xf numFmtId="3" fontId="6" fillId="0" borderId="0" xfId="1" applyNumberFormat="1" applyFont="1" applyFill="1" applyBorder="1"/>
    <xf numFmtId="166" fontId="6" fillId="0" borderId="2" xfId="1" applyNumberFormat="1" applyFont="1" applyFill="1" applyBorder="1"/>
    <xf numFmtId="3" fontId="4" fillId="0" borderId="0" xfId="1" applyNumberFormat="1" applyFont="1" applyFill="1"/>
    <xf numFmtId="166" fontId="6" fillId="0" borderId="5" xfId="1" applyNumberFormat="1" applyFont="1" applyFill="1" applyBorder="1"/>
    <xf numFmtId="0" fontId="6" fillId="0" borderId="0" xfId="0" applyFont="1"/>
    <xf numFmtId="39" fontId="4" fillId="0" borderId="0" xfId="0" applyNumberFormat="1" applyFont="1"/>
    <xf numFmtId="0" fontId="6" fillId="0" borderId="0" xfId="0" applyFont="1" applyAlignment="1">
      <alignment horizontal="left" vertical="center"/>
    </xf>
    <xf numFmtId="43" fontId="4" fillId="0" borderId="0" xfId="1" applyFont="1" applyFill="1"/>
    <xf numFmtId="3" fontId="6" fillId="0" borderId="0" xfId="1" quotePrefix="1" applyNumberFormat="1" applyFont="1" applyFill="1" applyBorder="1" applyAlignment="1">
      <alignment horizontal="right"/>
    </xf>
    <xf numFmtId="3" fontId="11" fillId="0" borderId="1" xfId="1" applyNumberFormat="1" applyFont="1" applyFill="1" applyBorder="1"/>
    <xf numFmtId="14" fontId="6" fillId="0" borderId="1" xfId="0" applyNumberFormat="1" applyFont="1" applyBorder="1" applyAlignment="1">
      <alignment horizontal="center" wrapText="1"/>
    </xf>
    <xf numFmtId="0" fontId="9" fillId="0" borderId="0" xfId="4" applyFont="1" applyAlignment="1">
      <alignment horizontal="left" vertical="top"/>
    </xf>
    <xf numFmtId="166" fontId="9" fillId="0" borderId="0" xfId="4" applyNumberFormat="1" applyFont="1" applyAlignment="1">
      <alignment horizontal="left" vertical="top"/>
    </xf>
    <xf numFmtId="0" fontId="13" fillId="0" borderId="0" xfId="0" applyFont="1"/>
    <xf numFmtId="0" fontId="4" fillId="2" borderId="0" xfId="0" applyFont="1" applyFill="1" applyAlignment="1">
      <alignment vertical="center"/>
    </xf>
    <xf numFmtId="166" fontId="6" fillId="2" borderId="0" xfId="0" applyNumberFormat="1" applyFont="1" applyFill="1"/>
    <xf numFmtId="0" fontId="10" fillId="2" borderId="0" xfId="0" applyFont="1" applyFill="1"/>
    <xf numFmtId="166" fontId="6" fillId="0" borderId="8" xfId="1" applyNumberFormat="1" applyFont="1" applyFill="1" applyBorder="1"/>
    <xf numFmtId="3" fontId="4" fillId="0" borderId="0" xfId="1" quotePrefix="1" applyNumberFormat="1" applyFont="1" applyFill="1" applyBorder="1" applyAlignment="1">
      <alignment horizontal="right"/>
    </xf>
    <xf numFmtId="3" fontId="6" fillId="0" borderId="6" xfId="1" quotePrefix="1" applyNumberFormat="1" applyFont="1" applyFill="1" applyBorder="1" applyAlignment="1">
      <alignment horizontal="right"/>
    </xf>
    <xf numFmtId="166" fontId="6" fillId="0" borderId="7" xfId="1" applyNumberFormat="1" applyFont="1" applyFill="1" applyBorder="1"/>
    <xf numFmtId="43" fontId="7" fillId="0" borderId="0" xfId="1" applyFont="1"/>
    <xf numFmtId="166" fontId="4" fillId="2" borderId="0" xfId="0" quotePrefix="1" applyNumberFormat="1" applyFont="1" applyFill="1" applyAlignment="1">
      <alignment horizontal="center"/>
    </xf>
    <xf numFmtId="170" fontId="6" fillId="0" borderId="0" xfId="0" applyNumberFormat="1" applyFont="1" applyAlignment="1">
      <alignment horizontal="center" vertical="center" wrapText="1"/>
    </xf>
    <xf numFmtId="166" fontId="6" fillId="0" borderId="0" xfId="2" applyNumberFormat="1" applyFont="1" applyFill="1" applyBorder="1" applyAlignment="1">
      <alignment horizontal="right"/>
    </xf>
    <xf numFmtId="166" fontId="4" fillId="0" borderId="0" xfId="2" applyNumberFormat="1" applyFont="1" applyFill="1" applyBorder="1" applyAlignment="1">
      <alignment horizontal="right"/>
    </xf>
    <xf numFmtId="166" fontId="4" fillId="0" borderId="0" xfId="2" applyNumberFormat="1" applyFont="1" applyFill="1" applyBorder="1"/>
    <xf numFmtId="166" fontId="10" fillId="2" borderId="0" xfId="0" applyNumberFormat="1" applyFont="1" applyFill="1"/>
    <xf numFmtId="166" fontId="4" fillId="2" borderId="0" xfId="0" applyNumberFormat="1" applyFont="1" applyFill="1" applyAlignment="1">
      <alignment horizontal="left"/>
    </xf>
    <xf numFmtId="166" fontId="4" fillId="0" borderId="0" xfId="2" applyNumberFormat="1" applyFont="1" applyFill="1" applyBorder="1" applyAlignment="1">
      <alignment horizontal="center"/>
    </xf>
    <xf numFmtId="166" fontId="6" fillId="0" borderId="0" xfId="2" applyNumberFormat="1" applyFont="1" applyFill="1" applyBorder="1"/>
    <xf numFmtId="166" fontId="6" fillId="2" borderId="0" xfId="0" applyNumberFormat="1" applyFont="1" applyFill="1" applyAlignment="1">
      <alignment vertical="center"/>
    </xf>
    <xf numFmtId="166" fontId="4" fillId="2" borderId="0" xfId="0" applyNumberFormat="1" applyFont="1" applyFill="1" applyAlignment="1">
      <alignment vertical="center"/>
    </xf>
    <xf numFmtId="166" fontId="6" fillId="0" borderId="3" xfId="2" applyNumberFormat="1" applyFont="1" applyFill="1" applyBorder="1" applyAlignment="1">
      <alignment vertical="center"/>
    </xf>
    <xf numFmtId="166" fontId="6" fillId="0" borderId="0" xfId="2" applyNumberFormat="1" applyFont="1" applyFill="1" applyBorder="1" applyAlignment="1">
      <alignment vertical="center"/>
    </xf>
    <xf numFmtId="166" fontId="4" fillId="0" borderId="0" xfId="2" applyNumberFormat="1" applyFont="1" applyFill="1"/>
    <xf numFmtId="166" fontId="6" fillId="0" borderId="0" xfId="2" applyNumberFormat="1" applyFont="1" applyFill="1"/>
    <xf numFmtId="43" fontId="6" fillId="0" borderId="0" xfId="2" applyFont="1" applyFill="1" applyBorder="1"/>
    <xf numFmtId="3" fontId="6" fillId="0" borderId="0" xfId="2" applyNumberFormat="1" applyFont="1" applyFill="1" applyBorder="1"/>
    <xf numFmtId="43" fontId="4" fillId="0" borderId="0" xfId="0" applyNumberFormat="1" applyFont="1"/>
    <xf numFmtId="166" fontId="4" fillId="0" borderId="4" xfId="2" applyNumberFormat="1" applyFont="1" applyFill="1" applyBorder="1"/>
    <xf numFmtId="166" fontId="4" fillId="0" borderId="4" xfId="2" applyNumberFormat="1" applyFont="1" applyFill="1" applyBorder="1" applyAlignment="1">
      <alignment horizontal="right"/>
    </xf>
    <xf numFmtId="170" fontId="6" fillId="0" borderId="1" xfId="0" applyNumberFormat="1" applyFont="1" applyBorder="1" applyAlignment="1">
      <alignment horizontal="center" vertical="center" wrapText="1"/>
    </xf>
    <xf numFmtId="168" fontId="4" fillId="0" borderId="0" xfId="1" applyNumberFormat="1" applyFont="1" applyFill="1"/>
    <xf numFmtId="169" fontId="4" fillId="0" borderId="0" xfId="1" applyNumberFormat="1" applyFont="1" applyFill="1"/>
    <xf numFmtId="166" fontId="4" fillId="0" borderId="0" xfId="1" applyNumberFormat="1" applyFont="1" applyFill="1" applyAlignment="1">
      <alignment horizontal="right"/>
    </xf>
    <xf numFmtId="3" fontId="6" fillId="0" borderId="0" xfId="1" applyNumberFormat="1" applyFont="1" applyFill="1" applyBorder="1" applyAlignment="1">
      <alignment horizontal="center"/>
    </xf>
    <xf numFmtId="166" fontId="4" fillId="0" borderId="0" xfId="1" applyNumberFormat="1" applyFont="1" applyFill="1" applyAlignment="1">
      <alignment horizontal="center"/>
    </xf>
    <xf numFmtId="166" fontId="6" fillId="0" borderId="0" xfId="1" applyNumberFormat="1" applyFont="1" applyFill="1" applyBorder="1" applyAlignment="1">
      <alignment horizontal="center"/>
    </xf>
    <xf numFmtId="3" fontId="4" fillId="0" borderId="0" xfId="1" applyNumberFormat="1" applyFont="1" applyFill="1" applyAlignment="1">
      <alignment horizontal="center"/>
    </xf>
    <xf numFmtId="166" fontId="6" fillId="0" borderId="0" xfId="1" applyNumberFormat="1" applyFont="1" applyFill="1" applyAlignment="1">
      <alignment horizontal="center"/>
    </xf>
    <xf numFmtId="3" fontId="6" fillId="0" borderId="0" xfId="1" quotePrefix="1" applyNumberFormat="1" applyFont="1" applyFill="1" applyBorder="1" applyAlignment="1">
      <alignment horizontal="center"/>
    </xf>
    <xf numFmtId="43" fontId="0" fillId="0" borderId="0" xfId="1" applyFont="1"/>
    <xf numFmtId="43" fontId="13" fillId="0" borderId="0" xfId="1" applyFont="1" applyAlignment="1">
      <alignment horizontal="center" vertical="center"/>
    </xf>
    <xf numFmtId="43" fontId="7" fillId="0" borderId="0" xfId="1" applyFont="1" applyAlignment="1">
      <alignment horizontal="right" vertical="center" wrapText="1"/>
    </xf>
    <xf numFmtId="43" fontId="13" fillId="0" borderId="0" xfId="1" applyFont="1" applyAlignment="1">
      <alignment horizontal="right" vertical="center" wrapText="1"/>
    </xf>
    <xf numFmtId="43" fontId="13" fillId="0" borderId="0" xfId="1" applyFont="1" applyAlignment="1">
      <alignment horizontal="center" vertical="center" wrapText="1"/>
    </xf>
    <xf numFmtId="43" fontId="9" fillId="0" borderId="0" xfId="1" applyFont="1" applyAlignment="1">
      <alignment horizontal="right" shrinkToFit="1"/>
    </xf>
    <xf numFmtId="43" fontId="9" fillId="0" borderId="0" xfId="1" applyFont="1" applyFill="1" applyAlignment="1">
      <alignment horizontal="right" shrinkToFit="1"/>
    </xf>
    <xf numFmtId="43" fontId="0" fillId="0" borderId="0" xfId="1" applyFont="1" applyFill="1"/>
    <xf numFmtId="43" fontId="16" fillId="0" borderId="0" xfId="1" applyFont="1" applyAlignment="1">
      <alignment vertical="center"/>
    </xf>
    <xf numFmtId="43" fontId="13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8" fillId="0" borderId="0" xfId="1" applyFont="1" applyFill="1" applyAlignment="1">
      <alignment horizontal="right" shrinkToFit="1"/>
    </xf>
    <xf numFmtId="43" fontId="7" fillId="0" borderId="0" xfId="1" applyFont="1" applyFill="1" applyAlignment="1">
      <alignment vertical="center"/>
    </xf>
    <xf numFmtId="41" fontId="6" fillId="0" borderId="3" xfId="5" applyNumberFormat="1" applyFont="1" applyFill="1" applyBorder="1"/>
    <xf numFmtId="0" fontId="17" fillId="0" borderId="0" xfId="0" applyFont="1"/>
    <xf numFmtId="168" fontId="0" fillId="0" borderId="0" xfId="1" applyNumberFormat="1" applyFont="1"/>
    <xf numFmtId="9" fontId="7" fillId="0" borderId="0" xfId="7" applyFont="1" applyAlignment="1">
      <alignment horizontal="right" vertical="center" wrapText="1"/>
    </xf>
    <xf numFmtId="43" fontId="16" fillId="0" borderId="0" xfId="1" applyFont="1" applyFill="1" applyAlignment="1">
      <alignment vertical="center"/>
    </xf>
    <xf numFmtId="43" fontId="13" fillId="0" borderId="0" xfId="1" applyFont="1" applyFill="1" applyAlignment="1">
      <alignment horizontal="center" vertical="center"/>
    </xf>
    <xf numFmtId="43" fontId="13" fillId="0" borderId="0" xfId="1" applyFont="1" applyFill="1" applyAlignment="1">
      <alignment vertical="center"/>
    </xf>
    <xf numFmtId="43" fontId="7" fillId="0" borderId="4" xfId="1" applyFont="1" applyFill="1" applyBorder="1" applyAlignment="1">
      <alignment vertical="center"/>
    </xf>
    <xf numFmtId="43" fontId="13" fillId="0" borderId="4" xfId="1" applyFont="1" applyFill="1" applyBorder="1" applyAlignment="1">
      <alignment vertical="center"/>
    </xf>
    <xf numFmtId="43" fontId="13" fillId="0" borderId="4" xfId="1" applyFont="1" applyFill="1" applyBorder="1" applyAlignment="1">
      <alignment horizontal="right" vertical="center" wrapText="1"/>
    </xf>
    <xf numFmtId="9" fontId="7" fillId="0" borderId="4" xfId="7" applyFont="1" applyFill="1" applyBorder="1" applyAlignment="1">
      <alignment horizontal="center" vertical="center" wrapText="1"/>
    </xf>
    <xf numFmtId="4" fontId="0" fillId="0" borderId="0" xfId="0" applyNumberFormat="1"/>
    <xf numFmtId="0" fontId="0" fillId="4" borderId="0" xfId="0" applyFill="1"/>
    <xf numFmtId="0" fontId="0" fillId="0" borderId="0" xfId="0" applyAlignment="1">
      <alignment horizontal="center"/>
    </xf>
    <xf numFmtId="14" fontId="0" fillId="0" borderId="0" xfId="0" applyNumberFormat="1"/>
    <xf numFmtId="168" fontId="7" fillId="0" borderId="0" xfId="1" applyNumberFormat="1" applyFont="1" applyFill="1" applyAlignment="1">
      <alignment horizontal="right" vertical="center"/>
    </xf>
    <xf numFmtId="168" fontId="7" fillId="0" borderId="0" xfId="1" applyNumberFormat="1" applyFont="1" applyAlignment="1">
      <alignment horizontal="right" vertical="center"/>
    </xf>
    <xf numFmtId="168" fontId="13" fillId="0" borderId="0" xfId="1" applyNumberFormat="1" applyFont="1" applyAlignment="1">
      <alignment horizontal="right" vertical="center"/>
    </xf>
    <xf numFmtId="168" fontId="8" fillId="0" borderId="0" xfId="1" applyNumberFormat="1" applyFont="1" applyFill="1" applyAlignment="1">
      <alignment horizontal="right" shrinkToFit="1"/>
    </xf>
    <xf numFmtId="168" fontId="13" fillId="0" borderId="0" xfId="1" applyNumberFormat="1" applyFont="1" applyFill="1" applyAlignment="1">
      <alignment horizontal="right" vertical="center"/>
    </xf>
    <xf numFmtId="168" fontId="0" fillId="0" borderId="0" xfId="1" applyNumberFormat="1" applyFont="1" applyFill="1"/>
    <xf numFmtId="43" fontId="4" fillId="2" borderId="0" xfId="1" applyFont="1" applyFill="1" applyAlignment="1">
      <alignment vertical="center"/>
    </xf>
    <xf numFmtId="43" fontId="6" fillId="2" borderId="0" xfId="0" applyNumberFormat="1" applyFont="1" applyFill="1"/>
    <xf numFmtId="4" fontId="17" fillId="0" borderId="0" xfId="0" applyNumberFormat="1" applyFont="1"/>
    <xf numFmtId="166" fontId="4" fillId="0" borderId="0" xfId="3" applyNumberFormat="1"/>
    <xf numFmtId="168" fontId="9" fillId="0" borderId="4" xfId="1" applyNumberFormat="1" applyFont="1" applyFill="1" applyBorder="1" applyAlignment="1">
      <alignment horizontal="right" shrinkToFit="1"/>
    </xf>
    <xf numFmtId="168" fontId="8" fillId="0" borderId="4" xfId="1" applyNumberFormat="1" applyFont="1" applyFill="1" applyBorder="1" applyAlignment="1">
      <alignment horizontal="right" shrinkToFit="1"/>
    </xf>
    <xf numFmtId="43" fontId="4" fillId="0" borderId="0" xfId="1" applyFont="1" applyFill="1" applyBorder="1"/>
    <xf numFmtId="43" fontId="17" fillId="0" borderId="0" xfId="1" applyFont="1"/>
    <xf numFmtId="43" fontId="0" fillId="0" borderId="0" xfId="0" applyNumberFormat="1"/>
    <xf numFmtId="0" fontId="17" fillId="0" borderId="0" xfId="0" applyFont="1" applyAlignment="1">
      <alignment horizontal="center"/>
    </xf>
    <xf numFmtId="43" fontId="12" fillId="2" borderId="0" xfId="1" applyFont="1" applyFill="1"/>
    <xf numFmtId="166" fontId="6" fillId="0" borderId="6" xfId="2" applyNumberFormat="1" applyFont="1" applyFill="1" applyBorder="1" applyAlignment="1">
      <alignment horizontal="right"/>
    </xf>
    <xf numFmtId="3" fontId="6" fillId="0" borderId="1" xfId="1" applyNumberFormat="1" applyFont="1" applyFill="1" applyBorder="1"/>
    <xf numFmtId="0" fontId="0" fillId="11" borderId="0" xfId="0" applyFill="1"/>
    <xf numFmtId="0" fontId="17" fillId="4" borderId="0" xfId="0" applyFont="1" applyFill="1"/>
    <xf numFmtId="168" fontId="4" fillId="0" borderId="0" xfId="1" applyNumberFormat="1" applyFont="1" applyFill="1" applyAlignment="1">
      <alignment horizontal="right" vertical="center"/>
    </xf>
    <xf numFmtId="43" fontId="17" fillId="0" borderId="0" xfId="1" applyFont="1" applyBorder="1"/>
    <xf numFmtId="43" fontId="0" fillId="0" borderId="0" xfId="1" applyFont="1" applyBorder="1"/>
    <xf numFmtId="43" fontId="17" fillId="0" borderId="0" xfId="1" applyFont="1" applyBorder="1" applyAlignment="1">
      <alignment horizontal="center" wrapText="1"/>
    </xf>
    <xf numFmtId="168" fontId="0" fillId="0" borderId="0" xfId="1" applyNumberFormat="1" applyFont="1" applyBorder="1"/>
    <xf numFmtId="14" fontId="0" fillId="0" borderId="0" xfId="1" applyNumberFormat="1" applyFont="1" applyBorder="1"/>
    <xf numFmtId="0" fontId="18" fillId="0" borderId="0" xfId="0" applyFont="1"/>
    <xf numFmtId="43" fontId="18" fillId="0" borderId="0" xfId="1" applyFont="1"/>
    <xf numFmtId="164" fontId="18" fillId="0" borderId="0" xfId="0" applyNumberFormat="1" applyFont="1"/>
    <xf numFmtId="43" fontId="18" fillId="0" borderId="0" xfId="0" applyNumberFormat="1" applyFont="1"/>
    <xf numFmtId="0" fontId="4" fillId="0" borderId="0" xfId="3" applyProtection="1">
      <protection hidden="1"/>
    </xf>
    <xf numFmtId="0" fontId="4" fillId="0" borderId="0" xfId="3" applyAlignment="1" applyProtection="1">
      <alignment horizontal="left"/>
      <protection hidden="1"/>
    </xf>
    <xf numFmtId="172" fontId="0" fillId="13" borderId="25" xfId="9" applyFont="1" applyFill="1" applyBorder="1" applyProtection="1">
      <protection hidden="1"/>
    </xf>
    <xf numFmtId="0" fontId="4" fillId="13" borderId="26" xfId="3" applyFill="1" applyBorder="1" applyAlignment="1" applyProtection="1">
      <alignment horizontal="left"/>
      <protection hidden="1"/>
    </xf>
    <xf numFmtId="0" fontId="4" fillId="13" borderId="20" xfId="3" applyFill="1" applyBorder="1" applyProtection="1">
      <protection hidden="1"/>
    </xf>
    <xf numFmtId="172" fontId="0" fillId="2" borderId="27" xfId="9" applyFont="1" applyFill="1" applyBorder="1" applyProtection="1">
      <protection locked="0"/>
    </xf>
    <xf numFmtId="0" fontId="4" fillId="0" borderId="26" xfId="3" applyBorder="1" applyAlignment="1" applyProtection="1">
      <alignment horizontal="left"/>
      <protection hidden="1"/>
    </xf>
    <xf numFmtId="0" fontId="19" fillId="0" borderId="20" xfId="3" applyFont="1" applyBorder="1" applyProtection="1">
      <protection hidden="1"/>
    </xf>
    <xf numFmtId="172" fontId="0" fillId="0" borderId="27" xfId="9" applyFont="1" applyBorder="1" applyProtection="1">
      <protection hidden="1"/>
    </xf>
    <xf numFmtId="0" fontId="4" fillId="0" borderId="20" xfId="3" applyBorder="1" applyProtection="1">
      <protection hidden="1"/>
    </xf>
    <xf numFmtId="172" fontId="11" fillId="6" borderId="27" xfId="9" applyFont="1" applyFill="1" applyBorder="1" applyAlignment="1" applyProtection="1">
      <alignment horizontal="right"/>
      <protection locked="0"/>
    </xf>
    <xf numFmtId="43" fontId="11" fillId="8" borderId="27" xfId="10" applyFont="1" applyFill="1" applyBorder="1" applyAlignment="1" applyProtection="1">
      <alignment horizontal="right"/>
      <protection locked="0"/>
    </xf>
    <xf numFmtId="172" fontId="11" fillId="8" borderId="27" xfId="9" applyFont="1" applyFill="1" applyBorder="1" applyAlignment="1" applyProtection="1">
      <alignment horizontal="right"/>
      <protection locked="0"/>
    </xf>
    <xf numFmtId="1" fontId="21" fillId="0" borderId="29" xfId="0" applyNumberFormat="1" applyFont="1" applyBorder="1" applyAlignment="1">
      <alignment horizontal="center"/>
    </xf>
    <xf numFmtId="0" fontId="4" fillId="0" borderId="21" xfId="3" applyBorder="1" applyProtection="1">
      <protection hidden="1"/>
    </xf>
    <xf numFmtId="1" fontId="21" fillId="0" borderId="26" xfId="0" applyNumberFormat="1" applyFont="1" applyBorder="1" applyAlignment="1">
      <alignment horizontal="center"/>
    </xf>
    <xf numFmtId="0" fontId="10" fillId="0" borderId="23" xfId="3" applyFont="1" applyBorder="1" applyAlignment="1" applyProtection="1">
      <alignment horizontal="center"/>
      <protection hidden="1"/>
    </xf>
    <xf numFmtId="0" fontId="10" fillId="0" borderId="26" xfId="3" applyFont="1" applyBorder="1" applyAlignment="1" applyProtection="1">
      <alignment horizontal="left"/>
      <protection hidden="1"/>
    </xf>
    <xf numFmtId="0" fontId="10" fillId="0" borderId="20" xfId="3" applyFont="1" applyBorder="1" applyProtection="1">
      <protection hidden="1"/>
    </xf>
    <xf numFmtId="0" fontId="4" fillId="0" borderId="22" xfId="3" applyBorder="1" applyProtection="1">
      <protection hidden="1"/>
    </xf>
    <xf numFmtId="0" fontId="22" fillId="0" borderId="0" xfId="0" applyFont="1"/>
    <xf numFmtId="164" fontId="18" fillId="0" borderId="17" xfId="0" applyNumberFormat="1" applyFont="1" applyBorder="1"/>
    <xf numFmtId="0" fontId="18" fillId="0" borderId="2" xfId="0" applyFont="1" applyBorder="1"/>
    <xf numFmtId="0" fontId="18" fillId="0" borderId="26" xfId="0" applyFont="1" applyBorder="1"/>
    <xf numFmtId="164" fontId="23" fillId="0" borderId="17" xfId="0" applyNumberFormat="1" applyFont="1" applyBorder="1"/>
    <xf numFmtId="164" fontId="18" fillId="0" borderId="30" xfId="0" applyNumberFormat="1" applyFont="1" applyBorder="1"/>
    <xf numFmtId="0" fontId="24" fillId="9" borderId="17" xfId="0" applyFont="1" applyFill="1" applyBorder="1" applyAlignment="1">
      <alignment horizontal="center"/>
    </xf>
    <xf numFmtId="164" fontId="24" fillId="9" borderId="23" xfId="1" applyNumberFormat="1" applyFont="1" applyFill="1" applyBorder="1"/>
    <xf numFmtId="43" fontId="18" fillId="0" borderId="0" xfId="1" applyFont="1" applyBorder="1"/>
    <xf numFmtId="164" fontId="18" fillId="0" borderId="17" xfId="1" applyNumberFormat="1" applyFont="1" applyBorder="1"/>
    <xf numFmtId="164" fontId="18" fillId="0" borderId="30" xfId="1" applyNumberFormat="1" applyFont="1" applyBorder="1"/>
    <xf numFmtId="43" fontId="18" fillId="0" borderId="17" xfId="1" applyFont="1" applyBorder="1"/>
    <xf numFmtId="0" fontId="18" fillId="0" borderId="17" xfId="0" applyFont="1" applyBorder="1"/>
    <xf numFmtId="43" fontId="24" fillId="9" borderId="23" xfId="1" applyFont="1" applyFill="1" applyBorder="1"/>
    <xf numFmtId="172" fontId="18" fillId="0" borderId="17" xfId="1" applyNumberFormat="1" applyFont="1" applyBorder="1"/>
    <xf numFmtId="0" fontId="23" fillId="0" borderId="17" xfId="0" applyFont="1" applyBorder="1" applyAlignment="1">
      <alignment horizontal="center" vertical="center"/>
    </xf>
    <xf numFmtId="43" fontId="18" fillId="0" borderId="17" xfId="1" applyFont="1" applyFill="1" applyBorder="1"/>
    <xf numFmtId="164" fontId="18" fillId="2" borderId="17" xfId="1" applyNumberFormat="1" applyFont="1" applyFill="1" applyBorder="1"/>
    <xf numFmtId="43" fontId="18" fillId="2" borderId="17" xfId="1" applyFont="1" applyFill="1" applyBorder="1"/>
    <xf numFmtId="43" fontId="18" fillId="0" borderId="17" xfId="1" applyFont="1" applyBorder="1" applyAlignment="1">
      <alignment vertical="center" wrapText="1"/>
    </xf>
    <xf numFmtId="43" fontId="24" fillId="0" borderId="17" xfId="1" applyFont="1" applyBorder="1"/>
    <xf numFmtId="0" fontId="24" fillId="0" borderId="17" xfId="0" applyFont="1" applyBorder="1"/>
    <xf numFmtId="172" fontId="24" fillId="9" borderId="23" xfId="1" applyNumberFormat="1" applyFont="1" applyFill="1" applyBorder="1"/>
    <xf numFmtId="0" fontId="18" fillId="0" borderId="0" xfId="0" applyFont="1" applyAlignment="1">
      <alignment vertical="center"/>
    </xf>
    <xf numFmtId="43" fontId="18" fillId="0" borderId="0" xfId="1" applyFont="1" applyAlignment="1">
      <alignment vertical="center"/>
    </xf>
    <xf numFmtId="43" fontId="18" fillId="0" borderId="17" xfId="0" applyNumberFormat="1" applyFont="1" applyBorder="1"/>
    <xf numFmtId="0" fontId="18" fillId="0" borderId="17" xfId="0" applyFont="1" applyBorder="1" applyAlignment="1">
      <alignment vertical="center"/>
    </xf>
    <xf numFmtId="1" fontId="25" fillId="0" borderId="17" xfId="0" applyNumberFormat="1" applyFont="1" applyBorder="1" applyAlignment="1">
      <alignment horizontal="center"/>
    </xf>
    <xf numFmtId="0" fontId="18" fillId="2" borderId="17" xfId="0" applyFont="1" applyFill="1" applyBorder="1"/>
    <xf numFmtId="43" fontId="18" fillId="0" borderId="30" xfId="1" applyFont="1" applyBorder="1"/>
    <xf numFmtId="0" fontId="18" fillId="0" borderId="30" xfId="0" applyFont="1" applyBorder="1"/>
    <xf numFmtId="43" fontId="18" fillId="0" borderId="22" xfId="1" applyFont="1" applyBorder="1"/>
    <xf numFmtId="0" fontId="18" fillId="0" borderId="22" xfId="0" applyFont="1" applyBorder="1"/>
    <xf numFmtId="0" fontId="18" fillId="2" borderId="0" xfId="0" applyFont="1" applyFill="1"/>
    <xf numFmtId="43" fontId="18" fillId="0" borderId="0" xfId="1" applyFont="1" applyFill="1"/>
    <xf numFmtId="164" fontId="24" fillId="0" borderId="23" xfId="0" applyNumberFormat="1" applyFont="1" applyBorder="1"/>
    <xf numFmtId="43" fontId="24" fillId="0" borderId="23" xfId="0" applyNumberFormat="1" applyFont="1" applyBorder="1"/>
    <xf numFmtId="164" fontId="23" fillId="0" borderId="22" xfId="0" applyNumberFormat="1" applyFont="1" applyBorder="1"/>
    <xf numFmtId="43" fontId="26" fillId="0" borderId="30" xfId="1" applyFont="1" applyBorder="1"/>
    <xf numFmtId="43" fontId="18" fillId="0" borderId="31" xfId="1" applyFont="1" applyBorder="1"/>
    <xf numFmtId="0" fontId="18" fillId="0" borderId="31" xfId="0" applyFont="1" applyBorder="1"/>
    <xf numFmtId="164" fontId="18" fillId="12" borderId="23" xfId="1" applyNumberFormat="1" applyFont="1" applyFill="1" applyBorder="1"/>
    <xf numFmtId="43" fontId="18" fillId="12" borderId="23" xfId="1" applyFont="1" applyFill="1" applyBorder="1"/>
    <xf numFmtId="164" fontId="18" fillId="12" borderId="24" xfId="1" applyNumberFormat="1" applyFont="1" applyFill="1" applyBorder="1"/>
    <xf numFmtId="43" fontId="18" fillId="12" borderId="24" xfId="1" applyFont="1" applyFill="1" applyBorder="1"/>
    <xf numFmtId="43" fontId="24" fillId="12" borderId="24" xfId="1" applyFont="1" applyFill="1" applyBorder="1"/>
    <xf numFmtId="43" fontId="24" fillId="12" borderId="23" xfId="1" applyFont="1" applyFill="1" applyBorder="1"/>
    <xf numFmtId="1" fontId="25" fillId="0" borderId="22" xfId="0" applyNumberFormat="1" applyFont="1" applyBorder="1" applyAlignment="1">
      <alignment horizontal="center"/>
    </xf>
    <xf numFmtId="0" fontId="18" fillId="2" borderId="0" xfId="0" applyFont="1" applyFill="1" applyAlignment="1">
      <alignment horizontal="center" vertical="center" wrapText="1"/>
    </xf>
    <xf numFmtId="1" fontId="25" fillId="2" borderId="22" xfId="0" applyNumberFormat="1" applyFont="1" applyFill="1" applyBorder="1" applyAlignment="1">
      <alignment horizontal="center"/>
    </xf>
    <xf numFmtId="0" fontId="18" fillId="2" borderId="30" xfId="0" applyFont="1" applyFill="1" applyBorder="1"/>
    <xf numFmtId="1" fontId="25" fillId="2" borderId="30" xfId="0" applyNumberFormat="1" applyFont="1" applyFill="1" applyBorder="1" applyAlignment="1">
      <alignment horizontal="center"/>
    </xf>
    <xf numFmtId="0" fontId="24" fillId="12" borderId="10" xfId="0" applyFont="1" applyFill="1" applyBorder="1" applyAlignment="1">
      <alignment vertical="center"/>
    </xf>
    <xf numFmtId="0" fontId="24" fillId="12" borderId="13" xfId="0" applyFont="1" applyFill="1" applyBorder="1" applyAlignment="1">
      <alignment vertical="center"/>
    </xf>
    <xf numFmtId="43" fontId="18" fillId="0" borderId="0" xfId="0" applyNumberFormat="1" applyFont="1" applyAlignment="1">
      <alignment vertical="center"/>
    </xf>
    <xf numFmtId="164" fontId="18" fillId="7" borderId="23" xfId="1" applyNumberFormat="1" applyFont="1" applyFill="1" applyBorder="1"/>
    <xf numFmtId="164" fontId="24" fillId="7" borderId="23" xfId="1" applyNumberFormat="1" applyFont="1" applyFill="1" applyBorder="1"/>
    <xf numFmtId="43" fontId="24" fillId="7" borderId="23" xfId="1" applyFont="1" applyFill="1" applyBorder="1"/>
    <xf numFmtId="0" fontId="18" fillId="2" borderId="17" xfId="0" applyFont="1" applyFill="1" applyBorder="1" applyAlignment="1">
      <alignment vertical="center"/>
    </xf>
    <xf numFmtId="1" fontId="25" fillId="2" borderId="17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43" fontId="18" fillId="0" borderId="30" xfId="0" applyNumberFormat="1" applyFont="1" applyBorder="1"/>
    <xf numFmtId="43" fontId="18" fillId="0" borderId="17" xfId="0" applyNumberFormat="1" applyFont="1" applyBorder="1" applyAlignment="1">
      <alignment horizontal="right"/>
    </xf>
    <xf numFmtId="0" fontId="18" fillId="0" borderId="30" xfId="0" applyFont="1" applyBorder="1" applyAlignment="1">
      <alignment vertical="center"/>
    </xf>
    <xf numFmtId="1" fontId="25" fillId="0" borderId="30" xfId="0" applyNumberFormat="1" applyFont="1" applyBorder="1" applyAlignment="1">
      <alignment horizontal="center"/>
    </xf>
    <xf numFmtId="0" fontId="24" fillId="7" borderId="10" xfId="0" applyFont="1" applyFill="1" applyBorder="1" applyAlignment="1">
      <alignment vertical="center"/>
    </xf>
    <xf numFmtId="164" fontId="24" fillId="5" borderId="23" xfId="1" applyNumberFormat="1" applyFont="1" applyFill="1" applyBorder="1" applyAlignment="1">
      <alignment horizontal="right"/>
    </xf>
    <xf numFmtId="165" fontId="24" fillId="5" borderId="23" xfId="1" applyNumberFormat="1" applyFont="1" applyFill="1" applyBorder="1" applyAlignment="1">
      <alignment horizontal="right"/>
    </xf>
    <xf numFmtId="43" fontId="24" fillId="5" borderId="23" xfId="1" applyFont="1" applyFill="1" applyBorder="1" applyAlignment="1">
      <alignment horizontal="right"/>
    </xf>
    <xf numFmtId="43" fontId="18" fillId="0" borderId="22" xfId="1" applyFont="1" applyFill="1" applyBorder="1" applyAlignment="1">
      <alignment horizontal="right"/>
    </xf>
    <xf numFmtId="164" fontId="18" fillId="0" borderId="22" xfId="1" applyNumberFormat="1" applyFont="1" applyFill="1" applyBorder="1" applyAlignment="1">
      <alignment horizontal="right"/>
    </xf>
    <xf numFmtId="0" fontId="18" fillId="0" borderId="31" xfId="0" applyFont="1" applyBorder="1" applyAlignment="1">
      <alignment horizontal="center"/>
    </xf>
    <xf numFmtId="0" fontId="18" fillId="2" borderId="22" xfId="0" applyFont="1" applyFill="1" applyBorder="1" applyAlignment="1">
      <alignment vertical="center" wrapText="1"/>
    </xf>
    <xf numFmtId="43" fontId="24" fillId="3" borderId="17" xfId="1" applyFont="1" applyFill="1" applyBorder="1" applyAlignment="1">
      <alignment horizontal="right"/>
    </xf>
    <xf numFmtId="164" fontId="24" fillId="3" borderId="17" xfId="1" applyNumberFormat="1" applyFont="1" applyFill="1" applyBorder="1" applyAlignment="1">
      <alignment horizontal="right"/>
    </xf>
    <xf numFmtId="165" fontId="24" fillId="3" borderId="17" xfId="1" applyNumberFormat="1" applyFont="1" applyFill="1" applyBorder="1" applyAlignment="1">
      <alignment horizontal="right"/>
    </xf>
    <xf numFmtId="173" fontId="18" fillId="0" borderId="22" xfId="0" applyNumberFormat="1" applyFont="1" applyBorder="1"/>
    <xf numFmtId="164" fontId="18" fillId="0" borderId="17" xfId="1" applyNumberFormat="1" applyFont="1" applyFill="1" applyBorder="1" applyAlignment="1">
      <alignment horizontal="right"/>
    </xf>
    <xf numFmtId="0" fontId="18" fillId="0" borderId="22" xfId="0" applyFont="1" applyBorder="1" applyAlignment="1">
      <alignment horizontal="center"/>
    </xf>
    <xf numFmtId="0" fontId="24" fillId="0" borderId="17" xfId="0" applyFont="1" applyBorder="1" applyAlignment="1">
      <alignment horizontal="center"/>
    </xf>
    <xf numFmtId="173" fontId="18" fillId="0" borderId="17" xfId="0" applyNumberFormat="1" applyFont="1" applyBorder="1"/>
    <xf numFmtId="0" fontId="18" fillId="0" borderId="17" xfId="0" applyFont="1" applyBorder="1" applyAlignment="1">
      <alignment horizontal="center"/>
    </xf>
    <xf numFmtId="164" fontId="24" fillId="5" borderId="17" xfId="0" applyNumberFormat="1" applyFont="1" applyFill="1" applyBorder="1" applyAlignment="1">
      <alignment horizontal="center"/>
    </xf>
    <xf numFmtId="0" fontId="24" fillId="5" borderId="17" xfId="0" applyFont="1" applyFill="1" applyBorder="1" applyAlignment="1">
      <alignment horizontal="center"/>
    </xf>
    <xf numFmtId="0" fontId="24" fillId="5" borderId="17" xfId="0" applyFont="1" applyFill="1" applyBorder="1" applyAlignment="1">
      <alignment horizontal="center" wrapText="1"/>
    </xf>
    <xf numFmtId="164" fontId="24" fillId="14" borderId="4" xfId="0" applyNumberFormat="1" applyFont="1" applyFill="1" applyBorder="1"/>
    <xf numFmtId="0" fontId="18" fillId="14" borderId="4" xfId="0" applyFont="1" applyFill="1" applyBorder="1"/>
    <xf numFmtId="0" fontId="24" fillId="14" borderId="4" xfId="0" applyFont="1" applyFill="1" applyBorder="1" applyAlignment="1">
      <alignment horizontal="center" wrapText="1"/>
    </xf>
    <xf numFmtId="164" fontId="24" fillId="14" borderId="6" xfId="0" applyNumberFormat="1" applyFont="1" applyFill="1" applyBorder="1"/>
    <xf numFmtId="0" fontId="18" fillId="14" borderId="0" xfId="0" applyFont="1" applyFill="1"/>
    <xf numFmtId="0" fontId="24" fillId="14" borderId="0" xfId="0" applyFont="1" applyFill="1" applyAlignment="1">
      <alignment horizontal="center" wrapText="1"/>
    </xf>
    <xf numFmtId="164" fontId="18" fillId="0" borderId="17" xfId="1" applyNumberFormat="1" applyFont="1" applyFill="1" applyBorder="1"/>
    <xf numFmtId="164" fontId="18" fillId="0" borderId="32" xfId="1" applyNumberFormat="1" applyFont="1" applyBorder="1"/>
    <xf numFmtId="164" fontId="18" fillId="0" borderId="33" xfId="1" applyNumberFormat="1" applyFont="1" applyBorder="1"/>
    <xf numFmtId="164" fontId="24" fillId="5" borderId="17" xfId="1" applyNumberFormat="1" applyFont="1" applyFill="1" applyBorder="1" applyAlignment="1">
      <alignment horizontal="right"/>
    </xf>
    <xf numFmtId="164" fontId="24" fillId="5" borderId="18" xfId="1" applyNumberFormat="1" applyFont="1" applyFill="1" applyBorder="1" applyAlignment="1">
      <alignment horizontal="right"/>
    </xf>
    <xf numFmtId="164" fontId="24" fillId="0" borderId="17" xfId="1" applyNumberFormat="1" applyFont="1" applyBorder="1"/>
    <xf numFmtId="164" fontId="18" fillId="0" borderId="32" xfId="0" applyNumberFormat="1" applyFont="1" applyBorder="1"/>
    <xf numFmtId="164" fontId="29" fillId="2" borderId="33" xfId="1" applyNumberFormat="1" applyFont="1" applyFill="1" applyBorder="1"/>
    <xf numFmtId="164" fontId="29" fillId="2" borderId="30" xfId="1" applyNumberFormat="1" applyFont="1" applyFill="1" applyBorder="1"/>
    <xf numFmtId="43" fontId="29" fillId="2" borderId="30" xfId="1" applyFont="1" applyFill="1" applyBorder="1"/>
    <xf numFmtId="43" fontId="29" fillId="2" borderId="34" xfId="1" applyFont="1" applyFill="1" applyBorder="1"/>
    <xf numFmtId="43" fontId="29" fillId="2" borderId="17" xfId="1" applyFont="1" applyFill="1" applyBorder="1"/>
    <xf numFmtId="173" fontId="29" fillId="2" borderId="17" xfId="1" applyNumberFormat="1" applyFont="1" applyFill="1" applyBorder="1"/>
    <xf numFmtId="0" fontId="29" fillId="0" borderId="17" xfId="0" applyFont="1" applyBorder="1"/>
    <xf numFmtId="43" fontId="24" fillId="12" borderId="16" xfId="1" applyFont="1" applyFill="1" applyBorder="1"/>
    <xf numFmtId="43" fontId="24" fillId="12" borderId="35" xfId="1" applyFont="1" applyFill="1" applyBorder="1"/>
    <xf numFmtId="0" fontId="26" fillId="0" borderId="0" xfId="0" applyFont="1"/>
    <xf numFmtId="43" fontId="18" fillId="2" borderId="30" xfId="1" applyFont="1" applyFill="1" applyBorder="1"/>
    <xf numFmtId="0" fontId="18" fillId="0" borderId="0" xfId="0" applyFont="1" applyAlignment="1">
      <alignment horizontal="center" vertical="center" wrapText="1"/>
    </xf>
    <xf numFmtId="43" fontId="18" fillId="2" borderId="31" xfId="1" applyFont="1" applyFill="1" applyBorder="1"/>
    <xf numFmtId="164" fontId="18" fillId="2" borderId="31" xfId="1" applyNumberFormat="1" applyFont="1" applyFill="1" applyBorder="1"/>
    <xf numFmtId="164" fontId="18" fillId="0" borderId="31" xfId="1" applyNumberFormat="1" applyFont="1" applyFill="1" applyBorder="1"/>
    <xf numFmtId="0" fontId="24" fillId="12" borderId="23" xfId="0" applyFont="1" applyFill="1" applyBorder="1" applyAlignment="1">
      <alignment vertical="center"/>
    </xf>
    <xf numFmtId="174" fontId="18" fillId="0" borderId="0" xfId="0" applyNumberFormat="1" applyFont="1" applyAlignment="1">
      <alignment vertical="center"/>
    </xf>
    <xf numFmtId="174" fontId="24" fillId="7" borderId="10" xfId="1" applyNumberFormat="1" applyFont="1" applyFill="1" applyBorder="1" applyAlignment="1">
      <alignment vertical="center"/>
    </xf>
    <xf numFmtId="173" fontId="18" fillId="0" borderId="0" xfId="0" applyNumberFormat="1" applyFont="1"/>
    <xf numFmtId="173" fontId="29" fillId="5" borderId="23" xfId="1" applyNumberFormat="1" applyFont="1" applyFill="1" applyBorder="1" applyAlignment="1">
      <alignment horizontal="right"/>
    </xf>
    <xf numFmtId="0" fontId="18" fillId="0" borderId="30" xfId="0" applyFont="1" applyBorder="1" applyAlignment="1">
      <alignment horizontal="center"/>
    </xf>
    <xf numFmtId="0" fontId="18" fillId="2" borderId="30" xfId="0" applyFont="1" applyFill="1" applyBorder="1" applyAlignment="1">
      <alignment vertical="center" wrapText="1"/>
    </xf>
    <xf numFmtId="173" fontId="29" fillId="0" borderId="23" xfId="0" applyNumberFormat="1" applyFont="1" applyBorder="1"/>
    <xf numFmtId="164" fontId="29" fillId="0" borderId="23" xfId="0" applyNumberFormat="1" applyFont="1" applyBorder="1"/>
    <xf numFmtId="165" fontId="18" fillId="0" borderId="17" xfId="8" applyFont="1" applyFill="1" applyBorder="1"/>
    <xf numFmtId="0" fontId="24" fillId="0" borderId="0" xfId="0" applyFont="1"/>
    <xf numFmtId="43" fontId="24" fillId="0" borderId="0" xfId="1" applyFont="1" applyFill="1"/>
    <xf numFmtId="0" fontId="30" fillId="0" borderId="4" xfId="0" applyFont="1" applyBorder="1"/>
    <xf numFmtId="0" fontId="26" fillId="0" borderId="0" xfId="0" applyFont="1" applyAlignment="1">
      <alignment horizontal="left"/>
    </xf>
    <xf numFmtId="43" fontId="26" fillId="0" borderId="0" xfId="1" applyFont="1" applyFill="1" applyAlignment="1">
      <alignment horizontal="left"/>
    </xf>
    <xf numFmtId="0" fontId="30" fillId="0" borderId="0" xfId="0" applyFont="1" applyAlignment="1">
      <alignment vertical="center"/>
    </xf>
    <xf numFmtId="164" fontId="30" fillId="0" borderId="0" xfId="0" applyNumberFormat="1" applyFont="1"/>
    <xf numFmtId="0" fontId="30" fillId="0" borderId="0" xfId="0" applyFont="1"/>
    <xf numFmtId="164" fontId="26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14" fontId="17" fillId="0" borderId="4" xfId="1" applyNumberFormat="1" applyFont="1" applyFill="1" applyBorder="1" applyAlignment="1">
      <alignment horizontal="center" vertical="center"/>
    </xf>
    <xf numFmtId="172" fontId="0" fillId="0" borderId="0" xfId="1" applyNumberFormat="1" applyFont="1" applyFill="1"/>
    <xf numFmtId="0" fontId="17" fillId="0" borderId="0" xfId="0" applyFont="1" applyAlignment="1">
      <alignment wrapText="1"/>
    </xf>
    <xf numFmtId="172" fontId="17" fillId="0" borderId="0" xfId="1" applyNumberFormat="1" applyFont="1" applyFill="1"/>
    <xf numFmtId="10" fontId="0" fillId="0" borderId="0" xfId="7" applyNumberFormat="1" applyFont="1" applyFill="1"/>
    <xf numFmtId="0" fontId="0" fillId="0" borderId="0" xfId="0" applyAlignment="1">
      <alignment horizontal="left" wrapText="1"/>
    </xf>
    <xf numFmtId="172" fontId="0" fillId="0" borderId="0" xfId="7" applyNumberFormat="1" applyFont="1" applyFill="1"/>
    <xf numFmtId="0" fontId="17" fillId="0" borderId="0" xfId="0" applyFont="1" applyAlignment="1">
      <alignment horizontal="left" wrapText="1"/>
    </xf>
    <xf numFmtId="172" fontId="17" fillId="0" borderId="3" xfId="1" applyNumberFormat="1" applyFont="1" applyFill="1" applyBorder="1"/>
    <xf numFmtId="43" fontId="17" fillId="0" borderId="0" xfId="0" applyNumberFormat="1" applyFont="1"/>
    <xf numFmtId="164" fontId="0" fillId="0" borderId="0" xfId="7" applyNumberFormat="1" applyFont="1" applyFill="1"/>
    <xf numFmtId="10" fontId="17" fillId="0" borderId="3" xfId="7" applyNumberFormat="1" applyFont="1" applyFill="1" applyBorder="1" applyAlignment="1">
      <alignment horizontal="right" indent="1"/>
    </xf>
    <xf numFmtId="1" fontId="25" fillId="4" borderId="17" xfId="0" applyNumberFormat="1" applyFont="1" applyFill="1" applyBorder="1" applyAlignment="1">
      <alignment horizontal="center"/>
    </xf>
    <xf numFmtId="0" fontId="18" fillId="4" borderId="17" xfId="0" applyFont="1" applyFill="1" applyBorder="1" applyAlignment="1">
      <alignment vertical="center"/>
    </xf>
    <xf numFmtId="43" fontId="18" fillId="4" borderId="17" xfId="0" applyNumberFormat="1" applyFont="1" applyFill="1" applyBorder="1"/>
    <xf numFmtId="173" fontId="18" fillId="4" borderId="17" xfId="0" applyNumberFormat="1" applyFont="1" applyFill="1" applyBorder="1"/>
    <xf numFmtId="0" fontId="18" fillId="4" borderId="17" xfId="0" applyFont="1" applyFill="1" applyBorder="1"/>
    <xf numFmtId="164" fontId="17" fillId="0" borderId="0" xfId="0" applyNumberFormat="1" applyFont="1"/>
    <xf numFmtId="171" fontId="17" fillId="0" borderId="0" xfId="1" applyNumberFormat="1" applyFont="1" applyFill="1"/>
    <xf numFmtId="171" fontId="0" fillId="0" borderId="0" xfId="1" applyNumberFormat="1" applyFont="1" applyFill="1"/>
    <xf numFmtId="171" fontId="17" fillId="0" borderId="3" xfId="1" applyNumberFormat="1" applyFont="1" applyFill="1" applyBorder="1"/>
    <xf numFmtId="14" fontId="0" fillId="4" borderId="0" xfId="0" applyNumberFormat="1" applyFill="1"/>
    <xf numFmtId="4" fontId="0" fillId="4" borderId="0" xfId="0" applyNumberFormat="1" applyFill="1"/>
    <xf numFmtId="0" fontId="17" fillId="15" borderId="0" xfId="0" applyFont="1" applyFill="1"/>
    <xf numFmtId="4" fontId="17" fillId="4" borderId="0" xfId="0" applyNumberFormat="1" applyFont="1" applyFill="1"/>
    <xf numFmtId="4" fontId="17" fillId="15" borderId="0" xfId="0" applyNumberFormat="1" applyFont="1" applyFill="1"/>
    <xf numFmtId="43" fontId="0" fillId="4" borderId="0" xfId="0" applyNumberFormat="1" applyFill="1"/>
    <xf numFmtId="4" fontId="0" fillId="11" borderId="0" xfId="0" applyNumberFormat="1" applyFill="1"/>
    <xf numFmtId="43" fontId="0" fillId="11" borderId="0" xfId="0" applyNumberFormat="1" applyFill="1"/>
    <xf numFmtId="168" fontId="4" fillId="0" borderId="4" xfId="1" applyNumberFormat="1" applyFont="1" applyFill="1" applyBorder="1" applyAlignment="1">
      <alignment horizontal="right" vertical="center"/>
    </xf>
    <xf numFmtId="168" fontId="7" fillId="0" borderId="4" xfId="1" applyNumberFormat="1" applyFont="1" applyFill="1" applyBorder="1" applyAlignment="1">
      <alignment horizontal="right" vertical="center"/>
    </xf>
    <xf numFmtId="172" fontId="0" fillId="0" borderId="0" xfId="1" applyNumberFormat="1" applyFont="1" applyFill="1" applyBorder="1" applyAlignment="1">
      <alignment horizontal="center" vertical="center"/>
    </xf>
    <xf numFmtId="14" fontId="17" fillId="0" borderId="0" xfId="1" applyNumberFormat="1" applyFont="1" applyFill="1" applyBorder="1" applyAlignment="1">
      <alignment horizontal="center" vertical="center"/>
    </xf>
    <xf numFmtId="172" fontId="17" fillId="0" borderId="0" xfId="1" applyNumberFormat="1" applyFont="1" applyFill="1" applyBorder="1"/>
    <xf numFmtId="10" fontId="17" fillId="0" borderId="0" xfId="7" applyNumberFormat="1" applyFont="1" applyFill="1" applyBorder="1" applyAlignment="1">
      <alignment horizontal="right" indent="1"/>
    </xf>
    <xf numFmtId="0" fontId="31" fillId="0" borderId="0" xfId="0" applyFont="1"/>
    <xf numFmtId="0" fontId="17" fillId="12" borderId="0" xfId="0" applyFont="1" applyFill="1"/>
    <xf numFmtId="171" fontId="2" fillId="0" borderId="0" xfId="1" applyNumberFormat="1" applyFont="1" applyFill="1"/>
    <xf numFmtId="168" fontId="32" fillId="0" borderId="0" xfId="1" applyNumberFormat="1" applyFont="1" applyFill="1" applyBorder="1"/>
    <xf numFmtId="166" fontId="6" fillId="0" borderId="0" xfId="1" quotePrefix="1" applyNumberFormat="1" applyFont="1" applyFill="1" applyBorder="1"/>
    <xf numFmtId="171" fontId="17" fillId="0" borderId="0" xfId="0" applyNumberFormat="1" applyFont="1"/>
    <xf numFmtId="10" fontId="0" fillId="0" borderId="0" xfId="0" applyNumberFormat="1"/>
    <xf numFmtId="9" fontId="0" fillId="0" borderId="0" xfId="0" applyNumberFormat="1"/>
    <xf numFmtId="171" fontId="0" fillId="0" borderId="0" xfId="0" applyNumberFormat="1"/>
    <xf numFmtId="14" fontId="17" fillId="0" borderId="2" xfId="1" applyNumberFormat="1" applyFont="1" applyFill="1" applyBorder="1" applyAlignment="1">
      <alignment horizontal="center" vertical="center"/>
    </xf>
    <xf numFmtId="0" fontId="0" fillId="0" borderId="2" xfId="0" applyBorder="1"/>
    <xf numFmtId="3" fontId="39" fillId="0" borderId="15" xfId="0" applyNumberFormat="1" applyFont="1" applyBorder="1" applyAlignment="1">
      <alignment horizontal="right" vertical="center" wrapText="1"/>
    </xf>
    <xf numFmtId="3" fontId="37" fillId="0" borderId="14" xfId="0" applyNumberFormat="1" applyFont="1" applyBorder="1" applyAlignment="1">
      <alignment horizontal="right" vertical="center" wrapText="1"/>
    </xf>
    <xf numFmtId="0" fontId="48" fillId="0" borderId="17" xfId="0" applyFont="1" applyBorder="1" applyAlignment="1">
      <alignment horizontal="center" wrapText="1"/>
    </xf>
    <xf numFmtId="0" fontId="48" fillId="0" borderId="41" xfId="0" applyFont="1" applyBorder="1" applyAlignment="1">
      <alignment horizontal="left" vertical="center" wrapText="1"/>
    </xf>
    <xf numFmtId="175" fontId="48" fillId="0" borderId="17" xfId="0" applyNumberFormat="1" applyFont="1" applyBorder="1" applyAlignment="1">
      <alignment horizontal="right" vertical="center"/>
    </xf>
    <xf numFmtId="0" fontId="39" fillId="0" borderId="14" xfId="0" applyFont="1" applyBorder="1" applyAlignment="1">
      <alignment horizontal="left" vertical="center" wrapText="1"/>
    </xf>
    <xf numFmtId="0" fontId="39" fillId="0" borderId="0" xfId="0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/>
    </xf>
    <xf numFmtId="0" fontId="17" fillId="5" borderId="0" xfId="0" applyFont="1" applyFill="1"/>
    <xf numFmtId="0" fontId="17" fillId="5" borderId="0" xfId="0" applyFont="1" applyFill="1" applyAlignment="1">
      <alignment horizontal="center"/>
    </xf>
    <xf numFmtId="3" fontId="0" fillId="0" borderId="0" xfId="0" applyNumberFormat="1" applyAlignment="1">
      <alignment horizontal="center"/>
    </xf>
    <xf numFmtId="0" fontId="49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43" fontId="6" fillId="0" borderId="0" xfId="1" applyFont="1" applyFill="1"/>
    <xf numFmtId="0" fontId="0" fillId="0" borderId="0" xfId="0" applyAlignment="1">
      <alignment horizontal="left"/>
    </xf>
    <xf numFmtId="43" fontId="2" fillId="0" borderId="0" xfId="1" applyFont="1" applyFill="1"/>
    <xf numFmtId="43" fontId="14" fillId="0" borderId="0" xfId="0" applyNumberFormat="1" applyFont="1"/>
    <xf numFmtId="0" fontId="14" fillId="0" borderId="0" xfId="0" applyFont="1"/>
    <xf numFmtId="11" fontId="0" fillId="0" borderId="0" xfId="0" applyNumberFormat="1" applyAlignment="1">
      <alignment horizontal="left"/>
    </xf>
    <xf numFmtId="0" fontId="14" fillId="0" borderId="0" xfId="0" applyFont="1" applyAlignment="1">
      <alignment horizontal="left"/>
    </xf>
    <xf numFmtId="168" fontId="14" fillId="0" borderId="0" xfId="1" applyNumberFormat="1" applyFont="1" applyFill="1"/>
    <xf numFmtId="176" fontId="6" fillId="0" borderId="0" xfId="1" applyNumberFormat="1" applyFont="1" applyFill="1" applyAlignment="1">
      <alignment horizontal="right"/>
    </xf>
    <xf numFmtId="0" fontId="12" fillId="0" borderId="0" xfId="4" applyFont="1" applyAlignment="1">
      <alignment horizontal="left" vertical="top"/>
    </xf>
    <xf numFmtId="0" fontId="12" fillId="0" borderId="0" xfId="0" applyFont="1"/>
    <xf numFmtId="166" fontId="12" fillId="0" borderId="0" xfId="0" applyNumberFormat="1" applyFont="1"/>
    <xf numFmtId="0" fontId="12" fillId="2" borderId="0" xfId="0" applyFont="1" applyFill="1" applyAlignment="1">
      <alignment horizontal="center"/>
    </xf>
    <xf numFmtId="166" fontId="12" fillId="2" borderId="0" xfId="0" applyNumberFormat="1" applyFont="1" applyFill="1"/>
    <xf numFmtId="0" fontId="12" fillId="0" borderId="0" xfId="0" quotePrefix="1" applyFont="1" applyAlignment="1">
      <alignment horizontal="center"/>
    </xf>
    <xf numFmtId="170" fontId="50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166" fontId="50" fillId="0" borderId="0" xfId="2" applyNumberFormat="1" applyFont="1" applyFill="1" applyBorder="1" applyAlignment="1">
      <alignment horizontal="right"/>
    </xf>
    <xf numFmtId="166" fontId="12" fillId="0" borderId="0" xfId="2" applyNumberFormat="1" applyFont="1" applyFill="1" applyBorder="1" applyAlignment="1">
      <alignment horizontal="right"/>
    </xf>
    <xf numFmtId="166" fontId="12" fillId="0" borderId="4" xfId="2" applyNumberFormat="1" applyFont="1" applyFill="1" applyBorder="1" applyAlignment="1">
      <alignment horizontal="right"/>
    </xf>
    <xf numFmtId="166" fontId="50" fillId="0" borderId="0" xfId="2" applyNumberFormat="1" applyFont="1" applyFill="1" applyBorder="1"/>
    <xf numFmtId="166" fontId="12" fillId="0" borderId="0" xfId="2" applyNumberFormat="1" applyFont="1" applyFill="1" applyBorder="1" applyAlignment="1">
      <alignment horizontal="center"/>
    </xf>
    <xf numFmtId="166" fontId="12" fillId="0" borderId="0" xfId="2" applyNumberFormat="1" applyFont="1" applyFill="1" applyBorder="1"/>
    <xf numFmtId="166" fontId="50" fillId="0" borderId="3" xfId="2" applyNumberFormat="1" applyFont="1" applyFill="1" applyBorder="1" applyAlignment="1">
      <alignment vertical="center"/>
    </xf>
    <xf numFmtId="166" fontId="12" fillId="0" borderId="0" xfId="2" applyNumberFormat="1" applyFont="1" applyFill="1"/>
    <xf numFmtId="166" fontId="50" fillId="0" borderId="0" xfId="2" applyNumberFormat="1" applyFont="1" applyFill="1"/>
    <xf numFmtId="166" fontId="50" fillId="0" borderId="6" xfId="2" applyNumberFormat="1" applyFont="1" applyFill="1" applyBorder="1" applyAlignment="1">
      <alignment horizontal="right"/>
    </xf>
    <xf numFmtId="0" fontId="12" fillId="2" borderId="0" xfId="0" applyFont="1" applyFill="1"/>
    <xf numFmtId="0" fontId="0" fillId="2" borderId="0" xfId="0" applyFill="1" applyAlignment="1">
      <alignment vertical="center"/>
    </xf>
    <xf numFmtId="0" fontId="33" fillId="2" borderId="0" xfId="12" applyFont="1" applyFill="1" applyAlignment="1">
      <alignment vertical="center"/>
    </xf>
    <xf numFmtId="0" fontId="17" fillId="7" borderId="19" xfId="0" applyFont="1" applyFill="1" applyBorder="1" applyAlignment="1">
      <alignment horizontal="right" vertical="center"/>
    </xf>
    <xf numFmtId="177" fontId="17" fillId="7" borderId="18" xfId="1" applyNumberFormat="1" applyFont="1" applyFill="1" applyBorder="1" applyAlignment="1">
      <alignment vertical="center" wrapText="1"/>
    </xf>
    <xf numFmtId="0" fontId="17" fillId="7" borderId="19" xfId="0" applyFont="1" applyFill="1" applyBorder="1" applyAlignment="1">
      <alignment vertical="center"/>
    </xf>
    <xf numFmtId="14" fontId="17" fillId="7" borderId="18" xfId="0" applyNumberFormat="1" applyFont="1" applyFill="1" applyBorder="1" applyAlignment="1">
      <alignment horizontal="right" vertical="center"/>
    </xf>
    <xf numFmtId="14" fontId="17" fillId="7" borderId="10" xfId="0" applyNumberFormat="1" applyFont="1" applyFill="1" applyBorder="1" applyAlignment="1">
      <alignment horizontal="right" vertical="center"/>
    </xf>
    <xf numFmtId="14" fontId="6" fillId="0" borderId="0" xfId="0" applyNumberFormat="1" applyFont="1" applyAlignment="1">
      <alignment horizontal="center" wrapText="1"/>
    </xf>
    <xf numFmtId="0" fontId="0" fillId="3" borderId="0" xfId="0" applyFill="1"/>
    <xf numFmtId="43" fontId="0" fillId="3" borderId="0" xfId="1" applyFont="1" applyFill="1"/>
    <xf numFmtId="41" fontId="0" fillId="0" borderId="0" xfId="0" applyNumberFormat="1" applyAlignment="1">
      <alignment vertical="center"/>
    </xf>
    <xf numFmtId="14" fontId="0" fillId="15" borderId="0" xfId="0" applyNumberFormat="1" applyFill="1"/>
    <xf numFmtId="0" fontId="0" fillId="15" borderId="0" xfId="0" applyFill="1"/>
    <xf numFmtId="4" fontId="0" fillId="15" borderId="0" xfId="0" applyNumberFormat="1" applyFill="1"/>
    <xf numFmtId="14" fontId="0" fillId="10" borderId="0" xfId="0" applyNumberFormat="1" applyFill="1"/>
    <xf numFmtId="0" fontId="0" fillId="10" borderId="0" xfId="0" applyFill="1"/>
    <xf numFmtId="4" fontId="0" fillId="10" borderId="0" xfId="0" applyNumberFormat="1" applyFill="1"/>
    <xf numFmtId="14" fontId="0" fillId="11" borderId="0" xfId="0" applyNumberFormat="1" applyFill="1"/>
    <xf numFmtId="0" fontId="34" fillId="0" borderId="0" xfId="12" applyFont="1" applyAlignment="1">
      <alignment vertical="center"/>
    </xf>
    <xf numFmtId="0" fontId="0" fillId="0" borderId="0" xfId="0" applyAlignment="1">
      <alignment vertical="center"/>
    </xf>
    <xf numFmtId="177" fontId="2" fillId="0" borderId="0" xfId="1" applyNumberFormat="1" applyFont="1" applyFill="1" applyAlignment="1">
      <alignment vertical="center" wrapText="1"/>
    </xf>
    <xf numFmtId="0" fontId="17" fillId="0" borderId="0" xfId="0" applyFont="1" applyAlignment="1">
      <alignment vertical="center"/>
    </xf>
    <xf numFmtId="177" fontId="17" fillId="0" borderId="0" xfId="1" applyNumberFormat="1" applyFont="1" applyFill="1" applyAlignment="1">
      <alignment vertical="center" wrapText="1"/>
    </xf>
    <xf numFmtId="0" fontId="8" fillId="0" borderId="0" xfId="4" applyFont="1" applyAlignment="1">
      <alignment horizontal="left" vertical="top"/>
    </xf>
    <xf numFmtId="41" fontId="17" fillId="0" borderId="0" xfId="0" applyNumberFormat="1" applyFont="1" applyAlignment="1">
      <alignment vertical="center"/>
    </xf>
    <xf numFmtId="41" fontId="0" fillId="0" borderId="0" xfId="0" applyNumberFormat="1" applyAlignment="1">
      <alignment horizontal="right" vertical="center"/>
    </xf>
    <xf numFmtId="177" fontId="2" fillId="0" borderId="4" xfId="1" applyNumberFormat="1" applyFont="1" applyFill="1" applyBorder="1" applyAlignment="1">
      <alignment vertical="center" wrapText="1"/>
    </xf>
    <xf numFmtId="14" fontId="17" fillId="0" borderId="0" xfId="0" applyNumberFormat="1" applyFont="1" applyAlignment="1">
      <alignment horizontal="right" vertical="center"/>
    </xf>
    <xf numFmtId="0" fontId="35" fillId="0" borderId="0" xfId="0" applyFont="1"/>
    <xf numFmtId="0" fontId="36" fillId="0" borderId="0" xfId="0" applyFont="1"/>
    <xf numFmtId="0" fontId="37" fillId="0" borderId="12" xfId="0" applyFont="1" applyBorder="1" applyAlignment="1">
      <alignment horizontal="left" vertical="center"/>
    </xf>
    <xf numFmtId="14" fontId="37" fillId="0" borderId="19" xfId="0" applyNumberFormat="1" applyFont="1" applyBorder="1" applyAlignment="1">
      <alignment horizontal="right" vertical="center"/>
    </xf>
    <xf numFmtId="0" fontId="37" fillId="0" borderId="5" xfId="0" applyFont="1" applyBorder="1" applyAlignment="1">
      <alignment horizontal="right" vertical="center" wrapText="1"/>
    </xf>
    <xf numFmtId="14" fontId="37" fillId="0" borderId="10" xfId="0" applyNumberFormat="1" applyFont="1" applyBorder="1" applyAlignment="1">
      <alignment horizontal="right" vertical="center" wrapText="1"/>
    </xf>
    <xf numFmtId="0" fontId="38" fillId="0" borderId="14" xfId="0" applyFont="1" applyBorder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left" vertical="center"/>
    </xf>
    <xf numFmtId="3" fontId="35" fillId="0" borderId="19" xfId="0" applyNumberFormat="1" applyFont="1" applyBorder="1" applyAlignment="1">
      <alignment horizontal="right" vertical="center"/>
    </xf>
    <xf numFmtId="3" fontId="35" fillId="0" borderId="11" xfId="0" applyNumberFormat="1" applyFont="1" applyBorder="1" applyAlignment="1">
      <alignment horizontal="right" vertical="center"/>
    </xf>
    <xf numFmtId="0" fontId="41" fillId="0" borderId="14" xfId="0" applyFont="1" applyBorder="1" applyAlignment="1">
      <alignment horizontal="right"/>
    </xf>
    <xf numFmtId="3" fontId="35" fillId="0" borderId="0" xfId="0" applyNumberFormat="1" applyFont="1" applyAlignment="1">
      <alignment horizontal="right" vertical="center"/>
    </xf>
    <xf numFmtId="3" fontId="35" fillId="0" borderId="15" xfId="0" applyNumberFormat="1" applyFont="1" applyBorder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35" fillId="0" borderId="15" xfId="0" applyFont="1" applyBorder="1" applyAlignment="1">
      <alignment horizontal="right" vertical="center"/>
    </xf>
    <xf numFmtId="3" fontId="35" fillId="0" borderId="10" xfId="0" applyNumberFormat="1" applyFont="1" applyBorder="1" applyAlignment="1">
      <alignment horizontal="right" vertical="center"/>
    </xf>
    <xf numFmtId="0" fontId="41" fillId="0" borderId="16" xfId="0" applyFont="1" applyBorder="1" applyAlignment="1">
      <alignment horizontal="right"/>
    </xf>
    <xf numFmtId="0" fontId="37" fillId="0" borderId="12" xfId="0" applyFont="1" applyBorder="1" applyAlignment="1">
      <alignment horizontal="justify" vertical="center"/>
    </xf>
    <xf numFmtId="0" fontId="37" fillId="0" borderId="5" xfId="0" applyFont="1" applyBorder="1" applyAlignment="1">
      <alignment horizontal="right" vertical="center"/>
    </xf>
    <xf numFmtId="14" fontId="37" fillId="0" borderId="5" xfId="0" applyNumberFormat="1" applyFont="1" applyBorder="1" applyAlignment="1">
      <alignment horizontal="right" vertical="center"/>
    </xf>
    <xf numFmtId="14" fontId="37" fillId="0" borderId="13" xfId="0" applyNumberFormat="1" applyFont="1" applyBorder="1" applyAlignment="1">
      <alignment horizontal="right" vertical="center"/>
    </xf>
    <xf numFmtId="168" fontId="35" fillId="0" borderId="0" xfId="8" applyNumberFormat="1" applyFont="1" applyFill="1" applyBorder="1"/>
    <xf numFmtId="0" fontId="41" fillId="0" borderId="0" xfId="0" applyFont="1" applyAlignment="1">
      <alignment horizontal="right"/>
    </xf>
    <xf numFmtId="0" fontId="41" fillId="0" borderId="1" xfId="0" applyFont="1" applyBorder="1" applyAlignment="1">
      <alignment horizontal="right"/>
    </xf>
    <xf numFmtId="0" fontId="37" fillId="0" borderId="18" xfId="0" applyFont="1" applyBorder="1" applyAlignment="1">
      <alignment horizontal="left" vertical="center" wrapText="1"/>
    </xf>
    <xf numFmtId="0" fontId="37" fillId="0" borderId="19" xfId="0" applyFont="1" applyBorder="1" applyAlignment="1">
      <alignment horizontal="right" vertical="center" wrapText="1"/>
    </xf>
    <xf numFmtId="14" fontId="37" fillId="0" borderId="19" xfId="0" applyNumberFormat="1" applyFont="1" applyBorder="1" applyAlignment="1">
      <alignment horizontal="right" vertical="center" wrapText="1"/>
    </xf>
    <xf numFmtId="3" fontId="35" fillId="0" borderId="19" xfId="0" applyNumberFormat="1" applyFont="1" applyBorder="1" applyAlignment="1">
      <alignment horizontal="right" vertical="center" wrapText="1"/>
    </xf>
    <xf numFmtId="3" fontId="35" fillId="0" borderId="10" xfId="0" applyNumberFormat="1" applyFont="1" applyBorder="1" applyAlignment="1">
      <alignment horizontal="right" vertical="center" wrapText="1"/>
    </xf>
    <xf numFmtId="0" fontId="40" fillId="0" borderId="14" xfId="0" applyFont="1" applyBorder="1" applyAlignment="1">
      <alignment horizontal="justify" vertical="center"/>
    </xf>
    <xf numFmtId="0" fontId="37" fillId="0" borderId="16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right" vertical="center" wrapText="1"/>
    </xf>
    <xf numFmtId="14" fontId="37" fillId="0" borderId="1" xfId="0" applyNumberFormat="1" applyFont="1" applyBorder="1" applyAlignment="1">
      <alignment horizontal="right" vertical="center" wrapText="1"/>
    </xf>
    <xf numFmtId="14" fontId="37" fillId="0" borderId="11" xfId="0" applyNumberFormat="1" applyFont="1" applyBorder="1" applyAlignment="1">
      <alignment horizontal="right" vertical="center" wrapText="1"/>
    </xf>
    <xf numFmtId="3" fontId="35" fillId="0" borderId="1" xfId="0" applyNumberFormat="1" applyFont="1" applyBorder="1" applyAlignment="1">
      <alignment horizontal="right" vertical="center" wrapText="1"/>
    </xf>
    <xf numFmtId="3" fontId="35" fillId="0" borderId="11" xfId="0" applyNumberFormat="1" applyFont="1" applyBorder="1" applyAlignment="1">
      <alignment horizontal="right" vertical="center" wrapText="1"/>
    </xf>
    <xf numFmtId="0" fontId="37" fillId="0" borderId="14" xfId="0" applyFont="1" applyBorder="1" applyAlignment="1">
      <alignment horizontal="left" vertical="center" wrapText="1"/>
    </xf>
    <xf numFmtId="0" fontId="41" fillId="0" borderId="0" xfId="0" applyFont="1" applyAlignment="1">
      <alignment horizontal="right" vertical="center" wrapText="1"/>
    </xf>
    <xf numFmtId="3" fontId="35" fillId="0" borderId="0" xfId="0" applyNumberFormat="1" applyFont="1" applyAlignment="1">
      <alignment horizontal="right" vertical="center" wrapText="1"/>
    </xf>
    <xf numFmtId="3" fontId="35" fillId="0" borderId="15" xfId="0" applyNumberFormat="1" applyFont="1" applyBorder="1" applyAlignment="1">
      <alignment horizontal="right" vertical="center" wrapText="1"/>
    </xf>
    <xf numFmtId="0" fontId="35" fillId="0" borderId="1" xfId="0" applyFont="1" applyBorder="1" applyAlignment="1">
      <alignment horizontal="right" vertical="center" wrapText="1"/>
    </xf>
    <xf numFmtId="0" fontId="1" fillId="0" borderId="12" xfId="0" applyFont="1" applyBorder="1" applyAlignment="1">
      <alignment vertical="center"/>
    </xf>
    <xf numFmtId="0" fontId="39" fillId="0" borderId="16" xfId="0" applyFont="1" applyBorder="1" applyAlignment="1">
      <alignment horizontal="justify" vertical="center"/>
    </xf>
    <xf numFmtId="0" fontId="39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horizontal="right" vertical="center"/>
    </xf>
    <xf numFmtId="0" fontId="37" fillId="0" borderId="16" xfId="0" applyFont="1" applyBorder="1" applyAlignment="1">
      <alignment horizontal="justify" vertical="center" wrapText="1"/>
    </xf>
    <xf numFmtId="0" fontId="40" fillId="0" borderId="12" xfId="0" applyFont="1" applyBorder="1" applyAlignment="1">
      <alignment horizontal="justify" vertical="center"/>
    </xf>
    <xf numFmtId="0" fontId="37" fillId="0" borderId="0" xfId="0" applyFont="1" applyAlignment="1">
      <alignment horizontal="right" vertical="center" wrapText="1"/>
    </xf>
    <xf numFmtId="14" fontId="37" fillId="0" borderId="0" xfId="0" applyNumberFormat="1" applyFont="1" applyAlignment="1">
      <alignment horizontal="right" vertical="center" wrapText="1"/>
    </xf>
    <xf numFmtId="14" fontId="37" fillId="0" borderId="15" xfId="0" applyNumberFormat="1" applyFont="1" applyBorder="1" applyAlignment="1">
      <alignment horizontal="right" vertical="center" wrapText="1"/>
    </xf>
    <xf numFmtId="0" fontId="39" fillId="0" borderId="12" xfId="0" applyFont="1" applyBorder="1" applyAlignment="1">
      <alignment horizontal="left" vertical="center" wrapText="1"/>
    </xf>
    <xf numFmtId="0" fontId="39" fillId="0" borderId="5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35" fillId="0" borderId="11" xfId="0" applyFont="1" applyBorder="1" applyAlignment="1">
      <alignment horizontal="right" vertical="center" wrapText="1"/>
    </xf>
    <xf numFmtId="0" fontId="37" fillId="0" borderId="18" xfId="0" applyFont="1" applyBorder="1" applyAlignment="1">
      <alignment horizontal="justify" vertical="center"/>
    </xf>
    <xf numFmtId="14" fontId="37" fillId="0" borderId="10" xfId="0" applyNumberFormat="1" applyFont="1" applyBorder="1" applyAlignment="1">
      <alignment horizontal="right" vertical="center"/>
    </xf>
    <xf numFmtId="0" fontId="39" fillId="0" borderId="12" xfId="0" applyFont="1" applyBorder="1" applyAlignment="1">
      <alignment horizontal="justify" vertical="center"/>
    </xf>
    <xf numFmtId="0" fontId="39" fillId="0" borderId="14" xfId="0" applyFont="1" applyBorder="1" applyAlignment="1">
      <alignment horizontal="justify" vertical="center"/>
    </xf>
    <xf numFmtId="3" fontId="37" fillId="0" borderId="1" xfId="0" applyNumberFormat="1" applyFont="1" applyBorder="1" applyAlignment="1">
      <alignment horizontal="right" vertical="center" wrapText="1"/>
    </xf>
    <xf numFmtId="3" fontId="37" fillId="0" borderId="11" xfId="0" applyNumberFormat="1" applyFont="1" applyBorder="1" applyAlignment="1">
      <alignment horizontal="right" vertical="center" wrapText="1"/>
    </xf>
    <xf numFmtId="0" fontId="35" fillId="0" borderId="0" xfId="0" applyFont="1" applyAlignment="1">
      <alignment horizontal="justify" vertical="center"/>
    </xf>
    <xf numFmtId="0" fontId="35" fillId="0" borderId="12" xfId="0" applyFont="1" applyBorder="1" applyAlignment="1">
      <alignment horizontal="left" vertical="center"/>
    </xf>
    <xf numFmtId="0" fontId="35" fillId="0" borderId="5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left"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18" xfId="0" applyFont="1" applyBorder="1" applyAlignment="1">
      <alignment horizontal="left" vertical="center"/>
    </xf>
    <xf numFmtId="0" fontId="35" fillId="0" borderId="19" xfId="0" applyFont="1" applyBorder="1" applyAlignment="1">
      <alignment horizontal="right" vertical="center" wrapText="1"/>
    </xf>
    <xf numFmtId="0" fontId="35" fillId="0" borderId="0" xfId="0" applyFont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right" vertical="center" wrapText="1"/>
    </xf>
    <xf numFmtId="3" fontId="35" fillId="0" borderId="19" xfId="0" applyNumberFormat="1" applyFont="1" applyBorder="1" applyAlignment="1">
      <alignment vertical="center"/>
    </xf>
    <xf numFmtId="0" fontId="35" fillId="0" borderId="14" xfId="0" applyFont="1" applyBorder="1" applyAlignment="1">
      <alignment vertical="center"/>
    </xf>
    <xf numFmtId="0" fontId="41" fillId="0" borderId="0" xfId="0" applyFont="1" applyAlignment="1">
      <alignment horizontal="center"/>
    </xf>
    <xf numFmtId="3" fontId="39" fillId="0" borderId="0" xfId="0" applyNumberFormat="1" applyFont="1" applyAlignment="1">
      <alignment horizontal="right" vertical="center"/>
    </xf>
    <xf numFmtId="3" fontId="37" fillId="0" borderId="9" xfId="0" applyNumberFormat="1" applyFont="1" applyBorder="1" applyAlignment="1">
      <alignment horizontal="right" vertical="center"/>
    </xf>
    <xf numFmtId="3" fontId="37" fillId="0" borderId="0" xfId="0" applyNumberFormat="1" applyFont="1" applyAlignment="1">
      <alignment horizontal="right" vertical="center"/>
    </xf>
    <xf numFmtId="0" fontId="43" fillId="0" borderId="0" xfId="0" applyFont="1"/>
    <xf numFmtId="3" fontId="42" fillId="0" borderId="0" xfId="0" applyNumberFormat="1" applyFont="1" applyAlignment="1">
      <alignment horizontal="right" vertical="center"/>
    </xf>
    <xf numFmtId="0" fontId="35" fillId="0" borderId="12" xfId="0" applyFont="1" applyBorder="1" applyAlignment="1">
      <alignment horizontal="justify" vertical="center"/>
    </xf>
    <xf numFmtId="0" fontId="35" fillId="0" borderId="14" xfId="0" applyFont="1" applyBorder="1" applyAlignment="1">
      <alignment horizontal="justify" vertical="center"/>
    </xf>
    <xf numFmtId="0" fontId="35" fillId="0" borderId="0" xfId="0" applyFont="1" applyAlignment="1">
      <alignment vertical="center" wrapText="1"/>
    </xf>
    <xf numFmtId="0" fontId="35" fillId="0" borderId="16" xfId="0" applyFont="1" applyBorder="1" applyAlignment="1">
      <alignment horizontal="justify" vertical="center"/>
    </xf>
    <xf numFmtId="3" fontId="35" fillId="0" borderId="1" xfId="0" applyNumberFormat="1" applyFont="1" applyBorder="1" applyAlignment="1">
      <alignment horizontal="right" vertical="center"/>
    </xf>
    <xf numFmtId="0" fontId="35" fillId="0" borderId="11" xfId="0" applyFont="1" applyBorder="1" applyAlignment="1">
      <alignment horizontal="right" vertical="center"/>
    </xf>
    <xf numFmtId="0" fontId="35" fillId="0" borderId="0" xfId="0" applyFont="1" applyAlignment="1">
      <alignment horizontal="right" vertical="center" wrapText="1"/>
    </xf>
    <xf numFmtId="0" fontId="41" fillId="0" borderId="15" xfId="0" applyFont="1" applyBorder="1" applyAlignment="1">
      <alignment horizontal="center" vertical="center"/>
    </xf>
    <xf numFmtId="43" fontId="35" fillId="0" borderId="1" xfId="1" applyFont="1" applyFill="1" applyBorder="1" applyAlignment="1">
      <alignment horizontal="right" vertical="center" wrapText="1"/>
    </xf>
    <xf numFmtId="0" fontId="41" fillId="0" borderId="14" xfId="0" applyFont="1" applyBorder="1" applyAlignment="1">
      <alignment horizontal="right" vertical="center"/>
    </xf>
    <xf numFmtId="0" fontId="41" fillId="0" borderId="16" xfId="0" applyFont="1" applyBorder="1" applyAlignment="1">
      <alignment horizontal="right" vertical="center"/>
    </xf>
    <xf numFmtId="0" fontId="8" fillId="0" borderId="49" xfId="0" applyFont="1" applyBorder="1" applyAlignment="1">
      <alignment horizontal="justify" vertical="center"/>
    </xf>
    <xf numFmtId="0" fontId="8" fillId="0" borderId="49" xfId="0" applyFont="1" applyBorder="1" applyAlignment="1">
      <alignment horizontal="justify" vertical="center" wrapText="1"/>
    </xf>
    <xf numFmtId="14" fontId="8" fillId="0" borderId="49" xfId="0" applyNumberFormat="1" applyFont="1" applyBorder="1" applyAlignment="1">
      <alignment horizontal="right" vertical="center"/>
    </xf>
    <xf numFmtId="0" fontId="39" fillId="0" borderId="0" xfId="0" applyFont="1" applyAlignment="1">
      <alignment horizontal="right" vertical="center"/>
    </xf>
    <xf numFmtId="0" fontId="9" fillId="0" borderId="49" xfId="0" applyFont="1" applyBorder="1" applyAlignment="1">
      <alignment horizontal="justify" vertical="center"/>
    </xf>
    <xf numFmtId="0" fontId="9" fillId="0" borderId="49" xfId="0" applyFont="1" applyBorder="1" applyAlignment="1">
      <alignment horizontal="justify" vertical="center" wrapText="1"/>
    </xf>
    <xf numFmtId="0" fontId="9" fillId="0" borderId="49" xfId="0" applyFont="1" applyBorder="1" applyAlignment="1">
      <alignment horizontal="right" vertical="center"/>
    </xf>
    <xf numFmtId="0" fontId="37" fillId="0" borderId="1" xfId="0" applyFont="1" applyBorder="1" applyAlignment="1">
      <alignment horizontal="justify" vertical="center" wrapText="1"/>
    </xf>
    <xf numFmtId="0" fontId="35" fillId="0" borderId="18" xfId="0" applyFont="1" applyBorder="1" applyAlignment="1">
      <alignment horizontal="justify" vertical="center"/>
    </xf>
    <xf numFmtId="0" fontId="35" fillId="0" borderId="19" xfId="0" applyFont="1" applyBorder="1" applyAlignment="1">
      <alignment horizontal="justify" vertical="center" wrapText="1"/>
    </xf>
    <xf numFmtId="14" fontId="35" fillId="0" borderId="10" xfId="0" applyNumberFormat="1" applyFont="1" applyBorder="1" applyAlignment="1">
      <alignment horizontal="right" vertical="center"/>
    </xf>
    <xf numFmtId="0" fontId="37" fillId="0" borderId="11" xfId="0" applyFont="1" applyBorder="1" applyAlignment="1">
      <alignment horizontal="right" vertical="center" wrapText="1"/>
    </xf>
    <xf numFmtId="0" fontId="41" fillId="0" borderId="12" xfId="0" applyFont="1" applyBorder="1"/>
    <xf numFmtId="0" fontId="37" fillId="0" borderId="16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14" fontId="37" fillId="0" borderId="1" xfId="0" applyNumberFormat="1" applyFont="1" applyBorder="1" applyAlignment="1">
      <alignment horizontal="center" vertical="center"/>
    </xf>
    <xf numFmtId="0" fontId="41" fillId="0" borderId="15" xfId="0" applyFont="1" applyBorder="1" applyAlignment="1">
      <alignment horizontal="center"/>
    </xf>
    <xf numFmtId="0" fontId="42" fillId="0" borderId="14" xfId="0" applyFont="1" applyBorder="1" applyAlignment="1">
      <alignment horizontal="right" vertical="center"/>
    </xf>
    <xf numFmtId="3" fontId="39" fillId="0" borderId="0" xfId="0" applyNumberFormat="1" applyFont="1" applyAlignment="1">
      <alignment horizontal="right" vertical="center" wrapText="1"/>
    </xf>
    <xf numFmtId="3" fontId="35" fillId="0" borderId="0" xfId="0" applyNumberFormat="1" applyFont="1"/>
    <xf numFmtId="0" fontId="42" fillId="0" borderId="14" xfId="0" applyFont="1" applyBorder="1" applyAlignment="1">
      <alignment horizontal="justify" vertical="center"/>
    </xf>
    <xf numFmtId="0" fontId="37" fillId="0" borderId="16" xfId="0" applyFont="1" applyBorder="1" applyAlignment="1">
      <alignment horizontal="justify" vertical="center"/>
    </xf>
    <xf numFmtId="0" fontId="39" fillId="0" borderId="16" xfId="0" applyFont="1" applyBorder="1" applyAlignment="1">
      <alignment horizontal="right" vertical="center"/>
    </xf>
    <xf numFmtId="0" fontId="39" fillId="0" borderId="15" xfId="0" applyFont="1" applyBorder="1" applyAlignment="1">
      <alignment horizontal="right" vertical="center"/>
    </xf>
    <xf numFmtId="0" fontId="39" fillId="0" borderId="14" xfId="0" applyFont="1" applyBorder="1" applyAlignment="1">
      <alignment horizontal="justify" vertical="center" wrapText="1"/>
    </xf>
    <xf numFmtId="0" fontId="39" fillId="0" borderId="15" xfId="0" applyFont="1" applyBorder="1" applyAlignment="1">
      <alignment horizontal="right" vertical="center" wrapText="1"/>
    </xf>
    <xf numFmtId="0" fontId="37" fillId="0" borderId="1" xfId="0" applyFont="1" applyBorder="1" applyAlignment="1">
      <alignment vertical="center" wrapText="1"/>
    </xf>
    <xf numFmtId="0" fontId="37" fillId="0" borderId="0" xfId="0" applyFont="1" applyAlignment="1">
      <alignment vertical="center" wrapText="1"/>
    </xf>
    <xf numFmtId="3" fontId="35" fillId="0" borderId="13" xfId="0" applyNumberFormat="1" applyFont="1" applyBorder="1" applyAlignment="1">
      <alignment horizontal="right" vertical="center" wrapText="1"/>
    </xf>
    <xf numFmtId="0" fontId="41" fillId="0" borderId="14" xfId="0" applyFont="1" applyBorder="1" applyAlignment="1">
      <alignment horizontal="right" vertical="center" wrapText="1"/>
    </xf>
    <xf numFmtId="14" fontId="37" fillId="0" borderId="5" xfId="0" applyNumberFormat="1" applyFont="1" applyBorder="1" applyAlignment="1">
      <alignment horizontal="right" vertical="center" wrapText="1"/>
    </xf>
    <xf numFmtId="0" fontId="35" fillId="0" borderId="5" xfId="0" applyFont="1" applyBorder="1" applyAlignment="1">
      <alignment horizontal="right" vertical="center" wrapText="1"/>
    </xf>
    <xf numFmtId="0" fontId="37" fillId="0" borderId="14" xfId="0" applyFont="1" applyBorder="1" applyAlignment="1">
      <alignment horizontal="justify" vertical="center"/>
    </xf>
    <xf numFmtId="3" fontId="37" fillId="0" borderId="36" xfId="0" applyNumberFormat="1" applyFont="1" applyBorder="1" applyAlignment="1">
      <alignment horizontal="right" vertical="center" wrapText="1"/>
    </xf>
    <xf numFmtId="3" fontId="37" fillId="0" borderId="0" xfId="0" applyNumberFormat="1" applyFont="1" applyAlignment="1">
      <alignment horizontal="right" vertical="center" wrapText="1"/>
    </xf>
    <xf numFmtId="3" fontId="37" fillId="0" borderId="36" xfId="0" applyNumberFormat="1" applyFont="1" applyBorder="1" applyAlignment="1">
      <alignment horizontal="right" vertical="center"/>
    </xf>
    <xf numFmtId="0" fontId="35" fillId="0" borderId="19" xfId="0" applyFont="1" applyBorder="1" applyAlignment="1">
      <alignment horizontal="right" vertical="center"/>
    </xf>
    <xf numFmtId="0" fontId="35" fillId="0" borderId="10" xfId="0" applyFont="1" applyBorder="1" applyAlignment="1">
      <alignment horizontal="right" vertical="center"/>
    </xf>
    <xf numFmtId="0" fontId="35" fillId="0" borderId="15" xfId="0" applyFont="1" applyBorder="1"/>
    <xf numFmtId="0" fontId="39" fillId="0" borderId="12" xfId="0" applyFont="1" applyBorder="1" applyAlignment="1">
      <alignment horizontal="center" vertical="center"/>
    </xf>
    <xf numFmtId="0" fontId="37" fillId="0" borderId="16" xfId="0" applyFont="1" applyBorder="1" applyAlignment="1">
      <alignment horizontal="right" vertical="center" wrapText="1"/>
    </xf>
    <xf numFmtId="3" fontId="39" fillId="0" borderId="14" xfId="0" applyNumberFormat="1" applyFont="1" applyBorder="1" applyAlignment="1">
      <alignment horizontal="right" vertical="center" wrapText="1"/>
    </xf>
    <xf numFmtId="3" fontId="39" fillId="0" borderId="1" xfId="0" applyNumberFormat="1" applyFont="1" applyBorder="1" applyAlignment="1">
      <alignment horizontal="right" vertical="center" wrapText="1"/>
    </xf>
    <xf numFmtId="0" fontId="37" fillId="0" borderId="14" xfId="0" applyFont="1" applyBorder="1" applyAlignment="1">
      <alignment horizontal="justify" vertical="center" wrapText="1"/>
    </xf>
    <xf numFmtId="3" fontId="37" fillId="0" borderId="15" xfId="0" applyNumberFormat="1" applyFont="1" applyBorder="1" applyAlignment="1">
      <alignment horizontal="right" vertical="center" wrapText="1"/>
    </xf>
    <xf numFmtId="0" fontId="39" fillId="0" borderId="14" xfId="0" applyFont="1" applyBorder="1" applyAlignment="1">
      <alignment horizontal="right" vertical="center"/>
    </xf>
    <xf numFmtId="0" fontId="37" fillId="0" borderId="14" xfId="0" applyFont="1" applyBorder="1" applyAlignment="1">
      <alignment horizontal="right" vertical="center" wrapText="1"/>
    </xf>
    <xf numFmtId="0" fontId="37" fillId="0" borderId="15" xfId="0" applyFont="1" applyBorder="1" applyAlignment="1">
      <alignment horizontal="right" vertical="center" wrapText="1"/>
    </xf>
    <xf numFmtId="9" fontId="37" fillId="0" borderId="0" xfId="0" applyNumberFormat="1" applyFont="1" applyAlignment="1">
      <alignment horizontal="right" vertical="center" wrapText="1"/>
    </xf>
    <xf numFmtId="9" fontId="37" fillId="0" borderId="15" xfId="0" applyNumberFormat="1" applyFont="1" applyBorder="1" applyAlignment="1">
      <alignment horizontal="right" vertical="center" wrapText="1"/>
    </xf>
    <xf numFmtId="0" fontId="39" fillId="0" borderId="14" xfId="0" applyFont="1" applyBorder="1" applyAlignment="1">
      <alignment horizontal="right" vertical="center" wrapText="1"/>
    </xf>
    <xf numFmtId="14" fontId="37" fillId="0" borderId="0" xfId="0" applyNumberFormat="1" applyFont="1" applyAlignment="1">
      <alignment horizontal="center" vertical="center"/>
    </xf>
    <xf numFmtId="14" fontId="37" fillId="0" borderId="11" xfId="0" applyNumberFormat="1" applyFont="1" applyBorder="1" applyAlignment="1">
      <alignment horizontal="center" vertical="center"/>
    </xf>
    <xf numFmtId="3" fontId="37" fillId="0" borderId="15" xfId="0" applyNumberFormat="1" applyFont="1" applyBorder="1" applyAlignment="1">
      <alignment horizontal="right" vertical="center"/>
    </xf>
    <xf numFmtId="9" fontId="39" fillId="0" borderId="0" xfId="0" applyNumberFormat="1" applyFont="1" applyAlignment="1">
      <alignment horizontal="right" vertical="center"/>
    </xf>
    <xf numFmtId="9" fontId="39" fillId="0" borderId="15" xfId="0" applyNumberFormat="1" applyFont="1" applyBorder="1" applyAlignment="1">
      <alignment horizontal="right" vertical="center"/>
    </xf>
    <xf numFmtId="0" fontId="37" fillId="0" borderId="0" xfId="0" applyFont="1" applyAlignment="1">
      <alignment horizontal="right" vertical="center"/>
    </xf>
    <xf numFmtId="0" fontId="37" fillId="0" borderId="15" xfId="0" applyFont="1" applyBorder="1" applyAlignment="1">
      <alignment horizontal="right" vertical="center"/>
    </xf>
    <xf numFmtId="0" fontId="39" fillId="0" borderId="0" xfId="0" applyFont="1" applyAlignment="1">
      <alignment horizontal="left" vertical="center"/>
    </xf>
    <xf numFmtId="0" fontId="37" fillId="0" borderId="9" xfId="0" applyFont="1" applyBorder="1" applyAlignment="1">
      <alignment horizontal="right" vertical="center"/>
    </xf>
    <xf numFmtId="0" fontId="39" fillId="0" borderId="16" xfId="0" applyFont="1" applyBorder="1" applyAlignment="1">
      <alignment horizontal="justify" vertical="center" wrapText="1"/>
    </xf>
    <xf numFmtId="0" fontId="37" fillId="0" borderId="1" xfId="0" applyFont="1" applyBorder="1" applyAlignment="1">
      <alignment horizontal="justify" vertical="center"/>
    </xf>
    <xf numFmtId="0" fontId="37" fillId="0" borderId="15" xfId="0" applyFont="1" applyBorder="1" applyAlignment="1">
      <alignment horizontal="justify" vertical="center"/>
    </xf>
    <xf numFmtId="3" fontId="39" fillId="0" borderId="1" xfId="0" applyNumberFormat="1" applyFont="1" applyBorder="1" applyAlignment="1">
      <alignment horizontal="right" vertical="center"/>
    </xf>
    <xf numFmtId="3" fontId="37" fillId="0" borderId="1" xfId="0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right" vertical="center"/>
    </xf>
    <xf numFmtId="0" fontId="37" fillId="0" borderId="16" xfId="0" applyFont="1" applyBorder="1" applyAlignment="1">
      <alignment horizontal="left" vertical="center"/>
    </xf>
    <xf numFmtId="0" fontId="37" fillId="0" borderId="15" xfId="0" applyFont="1" applyBorder="1" applyAlignment="1">
      <alignment horizontal="center" vertical="center"/>
    </xf>
    <xf numFmtId="0" fontId="39" fillId="0" borderId="18" xfId="0" applyFont="1" applyBorder="1" applyAlignment="1">
      <alignment horizontal="left" vertical="center"/>
    </xf>
    <xf numFmtId="3" fontId="39" fillId="0" borderId="19" xfId="0" applyNumberFormat="1" applyFont="1" applyBorder="1" applyAlignment="1">
      <alignment horizontal="right" vertical="center"/>
    </xf>
    <xf numFmtId="3" fontId="39" fillId="0" borderId="5" xfId="0" applyNumberFormat="1" applyFont="1" applyBorder="1" applyAlignment="1">
      <alignment vertical="center"/>
    </xf>
    <xf numFmtId="0" fontId="39" fillId="0" borderId="16" xfId="0" applyFont="1" applyBorder="1" applyAlignment="1">
      <alignment horizontal="left" vertical="center" wrapText="1"/>
    </xf>
    <xf numFmtId="0" fontId="45" fillId="0" borderId="0" xfId="0" applyFont="1" applyAlignment="1">
      <alignment vertical="top"/>
    </xf>
    <xf numFmtId="14" fontId="13" fillId="0" borderId="0" xfId="1" applyNumberFormat="1" applyFont="1" applyAlignment="1">
      <alignment horizontal="center" vertical="center"/>
    </xf>
    <xf numFmtId="14" fontId="13" fillId="0" borderId="0" xfId="1" applyNumberFormat="1" applyFont="1" applyFill="1" applyAlignment="1">
      <alignment horizontal="center" vertical="center"/>
    </xf>
    <xf numFmtId="0" fontId="1" fillId="0" borderId="0" xfId="0" applyFont="1"/>
    <xf numFmtId="0" fontId="1" fillId="0" borderId="14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14" fontId="39" fillId="0" borderId="0" xfId="0" applyNumberFormat="1" applyFont="1" applyAlignment="1">
      <alignment horizontal="right" vertical="center"/>
    </xf>
    <xf numFmtId="14" fontId="37" fillId="0" borderId="5" xfId="0" applyNumberFormat="1" applyFont="1" applyBorder="1" applyAlignment="1">
      <alignment horizontal="center" vertical="center"/>
    </xf>
    <xf numFmtId="14" fontId="37" fillId="0" borderId="13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3" fontId="51" fillId="0" borderId="0" xfId="0" applyNumberFormat="1" applyFont="1" applyAlignment="1">
      <alignment horizontal="right" vertical="center" wrapText="1"/>
    </xf>
    <xf numFmtId="0" fontId="51" fillId="0" borderId="0" xfId="0" applyFont="1" applyAlignment="1">
      <alignment horizontal="right" vertical="center" wrapText="1"/>
    </xf>
    <xf numFmtId="11" fontId="0" fillId="0" borderId="0" xfId="0" applyNumberFormat="1"/>
    <xf numFmtId="49" fontId="0" fillId="4" borderId="0" xfId="0" applyNumberFormat="1" applyFill="1"/>
    <xf numFmtId="14" fontId="37" fillId="0" borderId="10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4" xfId="0" applyFont="1" applyBorder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15" fillId="0" borderId="0" xfId="0" applyFont="1" applyAlignment="1">
      <alignment horizontal="left" wrapText="1"/>
    </xf>
    <xf numFmtId="43" fontId="18" fillId="2" borderId="0" xfId="1" applyFont="1" applyFill="1" applyBorder="1"/>
    <xf numFmtId="10" fontId="37" fillId="0" borderId="9" xfId="7" applyNumberFormat="1" applyFont="1" applyFill="1" applyBorder="1" applyAlignment="1">
      <alignment horizontal="right" vertical="center"/>
    </xf>
    <xf numFmtId="1" fontId="37" fillId="0" borderId="37" xfId="0" applyNumberFormat="1" applyFont="1" applyBorder="1" applyAlignment="1">
      <alignment horizontal="right" vertical="center"/>
    </xf>
    <xf numFmtId="10" fontId="37" fillId="0" borderId="37" xfId="7" applyNumberFormat="1" applyFont="1" applyFill="1" applyBorder="1" applyAlignment="1">
      <alignment horizontal="right" vertical="center"/>
    </xf>
    <xf numFmtId="1" fontId="37" fillId="0" borderId="15" xfId="0" applyNumberFormat="1" applyFont="1" applyBorder="1" applyAlignment="1">
      <alignment horizontal="right" vertical="center"/>
    </xf>
    <xf numFmtId="168" fontId="39" fillId="0" borderId="16" xfId="0" applyNumberFormat="1" applyFont="1" applyBorder="1" applyAlignment="1">
      <alignment horizontal="right" vertical="center" wrapText="1"/>
    </xf>
    <xf numFmtId="1" fontId="39" fillId="0" borderId="11" xfId="0" applyNumberFormat="1" applyFont="1" applyBorder="1" applyAlignment="1">
      <alignment horizontal="right" vertical="center" wrapText="1"/>
    </xf>
    <xf numFmtId="166" fontId="0" fillId="0" borderId="0" xfId="0" applyNumberFormat="1"/>
    <xf numFmtId="3" fontId="0" fillId="0" borderId="0" xfId="0" applyNumberFormat="1"/>
    <xf numFmtId="166" fontId="7" fillId="0" borderId="0" xfId="0" applyNumberFormat="1" applyFont="1"/>
    <xf numFmtId="41" fontId="0" fillId="2" borderId="0" xfId="0" applyNumberFormat="1" applyFill="1" applyAlignment="1">
      <alignment vertical="center"/>
    </xf>
    <xf numFmtId="41" fontId="17" fillId="2" borderId="0" xfId="0" applyNumberFormat="1" applyFont="1" applyFill="1" applyAlignment="1">
      <alignment vertical="center"/>
    </xf>
    <xf numFmtId="41" fontId="0" fillId="2" borderId="0" xfId="0" applyNumberFormat="1" applyFill="1" applyAlignment="1">
      <alignment horizontal="right" vertical="center"/>
    </xf>
    <xf numFmtId="177" fontId="2" fillId="0" borderId="0" xfId="1" applyNumberFormat="1" applyFont="1" applyFill="1" applyBorder="1" applyAlignment="1">
      <alignment vertical="center" wrapText="1"/>
    </xf>
    <xf numFmtId="49" fontId="0" fillId="0" borderId="0" xfId="0" applyNumberFormat="1"/>
    <xf numFmtId="14" fontId="6" fillId="0" borderId="0" xfId="0" applyNumberFormat="1" applyFont="1" applyAlignment="1">
      <alignment horizontal="center" vertical="center" wrapText="1"/>
    </xf>
    <xf numFmtId="0" fontId="11" fillId="0" borderId="0" xfId="0" applyFont="1"/>
    <xf numFmtId="4" fontId="4" fillId="0" borderId="0" xfId="0" applyNumberFormat="1" applyFont="1" applyAlignment="1">
      <alignment horizontal="center"/>
    </xf>
    <xf numFmtId="3" fontId="6" fillId="0" borderId="0" xfId="0" applyNumberFormat="1" applyFont="1"/>
    <xf numFmtId="0" fontId="6" fillId="0" borderId="0" xfId="0" applyFont="1" applyAlignment="1">
      <alignment wrapText="1"/>
    </xf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178" fontId="2" fillId="0" borderId="0" xfId="1" applyNumberFormat="1" applyFont="1" applyFill="1" applyAlignment="1">
      <alignment vertical="center" wrapText="1"/>
    </xf>
    <xf numFmtId="175" fontId="48" fillId="0" borderId="55" xfId="0" applyNumberFormat="1" applyFont="1" applyBorder="1" applyAlignment="1">
      <alignment horizontal="right" vertical="center"/>
    </xf>
    <xf numFmtId="177" fontId="9" fillId="0" borderId="0" xfId="4" applyNumberFormat="1" applyFont="1" applyAlignment="1">
      <alignment horizontal="left" vertical="top"/>
    </xf>
    <xf numFmtId="11" fontId="0" fillId="0" borderId="0" xfId="0" quotePrefix="1" applyNumberFormat="1"/>
    <xf numFmtId="0" fontId="0" fillId="0" borderId="0" xfId="0" applyAlignment="1">
      <alignment horizontal="right"/>
    </xf>
    <xf numFmtId="0" fontId="52" fillId="0" borderId="0" xfId="0" applyFont="1"/>
    <xf numFmtId="0" fontId="52" fillId="0" borderId="14" xfId="0" applyFont="1" applyBorder="1" applyAlignment="1">
      <alignment horizontal="left" vertical="center"/>
    </xf>
    <xf numFmtId="43" fontId="39" fillId="0" borderId="0" xfId="0" applyNumberFormat="1" applyFont="1" applyAlignment="1">
      <alignment horizontal="right" vertical="center" wrapText="1"/>
    </xf>
    <xf numFmtId="14" fontId="31" fillId="0" borderId="0" xfId="0" applyNumberFormat="1" applyFont="1"/>
    <xf numFmtId="0" fontId="31" fillId="0" borderId="0" xfId="0" applyFont="1" applyAlignment="1">
      <alignment horizontal="right"/>
    </xf>
    <xf numFmtId="4" fontId="31" fillId="0" borderId="0" xfId="0" applyNumberFormat="1" applyFont="1"/>
    <xf numFmtId="0" fontId="1" fillId="0" borderId="12" xfId="0" applyFont="1" applyBorder="1"/>
    <xf numFmtId="168" fontId="39" fillId="0" borderId="0" xfId="0" applyNumberFormat="1" applyFont="1" applyAlignment="1">
      <alignment horizontal="right" vertical="center" wrapText="1"/>
    </xf>
    <xf numFmtId="0" fontId="18" fillId="0" borderId="22" xfId="0" applyFont="1" applyBorder="1" applyAlignment="1">
      <alignment vertical="center"/>
    </xf>
    <xf numFmtId="0" fontId="35" fillId="0" borderId="14" xfId="0" applyFont="1" applyBorder="1"/>
    <xf numFmtId="0" fontId="8" fillId="0" borderId="0" xfId="0" applyFont="1" applyAlignment="1">
      <alignment vertical="center"/>
    </xf>
    <xf numFmtId="14" fontId="8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 wrapText="1"/>
    </xf>
    <xf numFmtId="14" fontId="8" fillId="0" borderId="1" xfId="0" applyNumberFormat="1" applyFont="1" applyBorder="1" applyAlignment="1">
      <alignment horizontal="right" vertical="center" wrapText="1"/>
    </xf>
    <xf numFmtId="0" fontId="5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16" fillId="0" borderId="0" xfId="0" applyFont="1"/>
    <xf numFmtId="3" fontId="7" fillId="0" borderId="1" xfId="0" applyNumberFormat="1" applyFont="1" applyBorder="1" applyAlignment="1">
      <alignment horizontal="right" vertical="center"/>
    </xf>
    <xf numFmtId="3" fontId="13" fillId="0" borderId="19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3" fontId="16" fillId="0" borderId="0" xfId="0" applyNumberFormat="1" applyFont="1"/>
    <xf numFmtId="0" fontId="9" fillId="0" borderId="0" xfId="0" applyFont="1" applyAlignment="1">
      <alignment horizontal="right" vertical="center" wrapText="1"/>
    </xf>
    <xf numFmtId="14" fontId="8" fillId="0" borderId="56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3" fontId="9" fillId="0" borderId="0" xfId="0" applyNumberFormat="1" applyFont="1" applyAlignment="1">
      <alignment horizontal="right" vertical="center" wrapText="1"/>
    </xf>
    <xf numFmtId="0" fontId="9" fillId="16" borderId="0" xfId="0" applyFont="1" applyFill="1" applyAlignment="1">
      <alignment vertical="center" wrapText="1"/>
    </xf>
    <xf numFmtId="3" fontId="8" fillId="0" borderId="19" xfId="0" applyNumberFormat="1" applyFont="1" applyBorder="1" applyAlignment="1">
      <alignment horizontal="right" vertical="center" wrapText="1"/>
    </xf>
    <xf numFmtId="3" fontId="8" fillId="0" borderId="9" xfId="0" applyNumberFormat="1" applyFont="1" applyBorder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0" fontId="8" fillId="0" borderId="56" xfId="0" applyFont="1" applyBorder="1" applyAlignment="1">
      <alignment horizontal="center" vertical="center" wrapText="1"/>
    </xf>
    <xf numFmtId="0" fontId="55" fillId="0" borderId="0" xfId="0" applyFont="1" applyAlignment="1">
      <alignment horizontal="right" vertical="center" wrapText="1"/>
    </xf>
    <xf numFmtId="3" fontId="8" fillId="0" borderId="57" xfId="0" applyNumberFormat="1" applyFont="1" applyBorder="1" applyAlignment="1">
      <alignment horizontal="right" vertical="center" wrapText="1"/>
    </xf>
    <xf numFmtId="0" fontId="56" fillId="0" borderId="0" xfId="0" applyFont="1" applyAlignment="1">
      <alignment horizontal="right" vertical="center" wrapText="1"/>
    </xf>
    <xf numFmtId="3" fontId="8" fillId="0" borderId="58" xfId="0" applyNumberFormat="1" applyFont="1" applyBorder="1" applyAlignment="1">
      <alignment horizontal="right" vertical="center" wrapText="1"/>
    </xf>
    <xf numFmtId="0" fontId="8" fillId="0" borderId="56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55" fillId="0" borderId="56" xfId="0" applyFont="1" applyBorder="1" applyAlignment="1">
      <alignment horizontal="right" vertical="center" wrapText="1"/>
    </xf>
    <xf numFmtId="3" fontId="8" fillId="0" borderId="7" xfId="0" applyNumberFormat="1" applyFont="1" applyBorder="1" applyAlignment="1">
      <alignment horizontal="right" vertical="center" wrapText="1"/>
    </xf>
    <xf numFmtId="0" fontId="5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3" fontId="9" fillId="0" borderId="0" xfId="0" applyNumberFormat="1" applyFont="1" applyAlignment="1">
      <alignment vertical="center" wrapText="1"/>
    </xf>
    <xf numFmtId="3" fontId="54" fillId="0" borderId="0" xfId="0" applyNumberFormat="1" applyFont="1" applyAlignment="1">
      <alignment vertical="center" wrapText="1"/>
    </xf>
    <xf numFmtId="0" fontId="58" fillId="3" borderId="0" xfId="0" applyFont="1" applyFill="1"/>
    <xf numFmtId="0" fontId="9" fillId="16" borderId="0" xfId="0" applyFont="1" applyFill="1" applyAlignment="1">
      <alignment horizontal="right" vertical="center" wrapText="1"/>
    </xf>
    <xf numFmtId="0" fontId="8" fillId="16" borderId="0" xfId="0" applyFont="1" applyFill="1" applyAlignment="1">
      <alignment horizontal="center" vertical="center" wrapText="1"/>
    </xf>
    <xf numFmtId="0" fontId="8" fillId="16" borderId="0" xfId="0" applyFont="1" applyFill="1" applyAlignment="1">
      <alignment vertical="center" wrapText="1"/>
    </xf>
    <xf numFmtId="0" fontId="55" fillId="16" borderId="0" xfId="0" applyFont="1" applyFill="1" applyAlignment="1">
      <alignment horizontal="right" vertical="center" wrapText="1"/>
    </xf>
    <xf numFmtId="0" fontId="8" fillId="16" borderId="0" xfId="0" applyFont="1" applyFill="1" applyAlignment="1">
      <alignment horizontal="right" vertical="center" wrapText="1"/>
    </xf>
    <xf numFmtId="3" fontId="8" fillId="16" borderId="0" xfId="0" applyNumberFormat="1" applyFont="1" applyFill="1" applyAlignment="1">
      <alignment horizontal="right" vertical="center" wrapText="1"/>
    </xf>
    <xf numFmtId="3" fontId="9" fillId="16" borderId="0" xfId="0" applyNumberFormat="1" applyFont="1" applyFill="1" applyAlignment="1">
      <alignment horizontal="right" vertical="center" wrapText="1"/>
    </xf>
    <xf numFmtId="0" fontId="8" fillId="0" borderId="9" xfId="0" applyFont="1" applyBorder="1" applyAlignment="1">
      <alignment horizontal="right" vertical="center" wrapText="1"/>
    </xf>
    <xf numFmtId="3" fontId="9" fillId="16" borderId="0" xfId="0" applyNumberFormat="1" applyFont="1" applyFill="1" applyAlignment="1">
      <alignment vertical="center" wrapText="1"/>
    </xf>
    <xf numFmtId="0" fontId="9" fillId="0" borderId="56" xfId="0" applyFont="1" applyBorder="1" applyAlignment="1">
      <alignment horizontal="right" vertical="center" wrapText="1"/>
    </xf>
    <xf numFmtId="3" fontId="9" fillId="0" borderId="56" xfId="0" applyNumberFormat="1" applyFont="1" applyBorder="1" applyAlignment="1">
      <alignment horizontal="right" vertical="center" wrapText="1"/>
    </xf>
    <xf numFmtId="3" fontId="8" fillId="0" borderId="59" xfId="0" applyNumberFormat="1" applyFont="1" applyBorder="1" applyAlignment="1">
      <alignment horizontal="right" vertical="center" wrapText="1"/>
    </xf>
    <xf numFmtId="3" fontId="8" fillId="0" borderId="0" xfId="0" applyNumberFormat="1" applyFont="1" applyAlignment="1">
      <alignment vertical="center" wrapText="1"/>
    </xf>
    <xf numFmtId="3" fontId="12" fillId="3" borderId="0" xfId="0" applyNumberFormat="1" applyFont="1" applyFill="1" applyAlignment="1">
      <alignment horizontal="right" vertical="center" wrapText="1"/>
    </xf>
    <xf numFmtId="0" fontId="9" fillId="16" borderId="0" xfId="0" applyFont="1" applyFill="1" applyAlignment="1">
      <alignment horizontal="center" vertical="center" wrapText="1"/>
    </xf>
    <xf numFmtId="3" fontId="9" fillId="0" borderId="1" xfId="0" applyNumberFormat="1" applyFont="1" applyBorder="1" applyAlignment="1">
      <alignment horizontal="right" vertical="center" wrapText="1"/>
    </xf>
    <xf numFmtId="0" fontId="61" fillId="16" borderId="0" xfId="0" applyFont="1" applyFill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3" fontId="8" fillId="0" borderId="5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9" fillId="0" borderId="60" xfId="0" applyFont="1" applyBorder="1" applyAlignment="1">
      <alignment horizontal="justify" vertical="center"/>
    </xf>
    <xf numFmtId="0" fontId="9" fillId="0" borderId="60" xfId="0" applyFont="1" applyBorder="1" applyAlignment="1">
      <alignment horizontal="right" vertical="center" wrapText="1"/>
    </xf>
    <xf numFmtId="3" fontId="9" fillId="0" borderId="60" xfId="0" applyNumberFormat="1" applyFont="1" applyBorder="1" applyAlignment="1">
      <alignment horizontal="right" vertical="center"/>
    </xf>
    <xf numFmtId="3" fontId="9" fillId="0" borderId="60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justify" vertical="center"/>
    </xf>
    <xf numFmtId="3" fontId="9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horizontal="justify" vertical="center" wrapText="1"/>
    </xf>
    <xf numFmtId="0" fontId="9" fillId="0" borderId="60" xfId="0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0" fontId="9" fillId="0" borderId="61" xfId="0" applyFont="1" applyBorder="1" applyAlignment="1">
      <alignment vertical="center" wrapText="1"/>
    </xf>
    <xf numFmtId="0" fontId="9" fillId="0" borderId="61" xfId="0" applyFont="1" applyBorder="1" applyAlignment="1">
      <alignment horizontal="right" vertical="center" wrapText="1"/>
    </xf>
    <xf numFmtId="0" fontId="7" fillId="0" borderId="61" xfId="0" applyFont="1" applyBorder="1" applyAlignment="1">
      <alignment horizontal="right" vertical="center" wrapText="1"/>
    </xf>
    <xf numFmtId="0" fontId="7" fillId="0" borderId="61" xfId="0" applyFont="1" applyBorder="1" applyAlignment="1">
      <alignment vertical="center" wrapText="1"/>
    </xf>
    <xf numFmtId="0" fontId="9" fillId="0" borderId="60" xfId="0" applyFont="1" applyBorder="1" applyAlignment="1">
      <alignment vertical="center" wrapText="1"/>
    </xf>
    <xf numFmtId="0" fontId="7" fillId="0" borderId="60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3" fontId="13" fillId="0" borderId="1" xfId="0" applyNumberFormat="1" applyFont="1" applyBorder="1" applyAlignment="1">
      <alignment horizontal="right" vertical="center" wrapText="1"/>
    </xf>
    <xf numFmtId="0" fontId="6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justify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indent="2"/>
    </xf>
    <xf numFmtId="0" fontId="9" fillId="0" borderId="1" xfId="0" applyFont="1" applyBorder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16" fillId="0" borderId="1" xfId="0" applyFont="1" applyBorder="1" applyAlignment="1">
      <alignment vertical="center"/>
    </xf>
    <xf numFmtId="0" fontId="9" fillId="0" borderId="62" xfId="0" applyFont="1" applyBorder="1" applyAlignment="1">
      <alignment horizontal="justify" vertical="center"/>
    </xf>
    <xf numFmtId="0" fontId="9" fillId="0" borderId="62" xfId="0" applyFont="1" applyBorder="1" applyAlignment="1">
      <alignment horizontal="right" vertical="center" wrapText="1"/>
    </xf>
    <xf numFmtId="0" fontId="9" fillId="0" borderId="62" xfId="0" applyFont="1" applyBorder="1" applyAlignment="1">
      <alignment horizontal="right" vertical="center"/>
    </xf>
    <xf numFmtId="3" fontId="9" fillId="0" borderId="62" xfId="0" applyNumberFormat="1" applyFont="1" applyBorder="1" applyAlignment="1">
      <alignment horizontal="right" vertical="center"/>
    </xf>
    <xf numFmtId="0" fontId="9" fillId="0" borderId="62" xfId="0" applyFont="1" applyBorder="1" applyAlignment="1">
      <alignment vertical="center"/>
    </xf>
    <xf numFmtId="0" fontId="8" fillId="16" borderId="1" xfId="0" applyFont="1" applyFill="1" applyBorder="1" applyAlignment="1">
      <alignment horizontal="justify" vertical="center" wrapText="1"/>
    </xf>
    <xf numFmtId="3" fontId="8" fillId="16" borderId="1" xfId="0" applyNumberFormat="1" applyFont="1" applyFill="1" applyBorder="1" applyAlignment="1">
      <alignment horizontal="right" vertical="center" wrapText="1"/>
    </xf>
    <xf numFmtId="0" fontId="8" fillId="16" borderId="1" xfId="0" applyFont="1" applyFill="1" applyBorder="1" applyAlignment="1">
      <alignment horizontal="right" vertical="center" wrapText="1"/>
    </xf>
    <xf numFmtId="3" fontId="7" fillId="0" borderId="6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justify" vertical="center"/>
    </xf>
    <xf numFmtId="3" fontId="7" fillId="0" borderId="62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3" fontId="13" fillId="16" borderId="1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justify"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9" fontId="7" fillId="0" borderId="0" xfId="0" applyNumberFormat="1" applyFont="1" applyAlignment="1">
      <alignment horizontal="center" vertical="center" wrapText="1"/>
    </xf>
    <xf numFmtId="0" fontId="13" fillId="0" borderId="19" xfId="0" applyFont="1" applyBorder="1" applyAlignment="1">
      <alignment vertical="center"/>
    </xf>
    <xf numFmtId="0" fontId="13" fillId="0" borderId="19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right" vertical="center"/>
    </xf>
    <xf numFmtId="0" fontId="65" fillId="0" borderId="0" xfId="0" applyFont="1" applyAlignment="1">
      <alignment horizontal="center" vertical="center" wrapText="1"/>
    </xf>
    <xf numFmtId="0" fontId="65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 wrapText="1"/>
    </xf>
    <xf numFmtId="3" fontId="13" fillId="0" borderId="19" xfId="0" applyNumberFormat="1" applyFont="1" applyBorder="1" applyAlignment="1">
      <alignment horizontal="right" vertical="center" wrapText="1"/>
    </xf>
    <xf numFmtId="43" fontId="7" fillId="0" borderId="0" xfId="0" applyNumberFormat="1" applyFont="1" applyAlignment="1">
      <alignment horizontal="right" vertical="center" wrapText="1"/>
    </xf>
    <xf numFmtId="14" fontId="1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3" fontId="13" fillId="0" borderId="9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9" fontId="7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7" fillId="0" borderId="1" xfId="0" applyNumberFormat="1" applyFont="1" applyBorder="1" applyAlignment="1">
      <alignment horizontal="right" vertical="center" wrapText="1"/>
    </xf>
    <xf numFmtId="0" fontId="50" fillId="3" borderId="0" xfId="0" applyFont="1" applyFill="1"/>
    <xf numFmtId="14" fontId="8" fillId="0" borderId="49" xfId="0" applyNumberFormat="1" applyFont="1" applyBorder="1" applyAlignment="1">
      <alignment horizontal="justify" vertical="center" wrapText="1"/>
    </xf>
    <xf numFmtId="0" fontId="9" fillId="0" borderId="64" xfId="0" applyFont="1" applyBorder="1" applyAlignment="1">
      <alignment horizontal="justify" vertical="center"/>
    </xf>
    <xf numFmtId="0" fontId="9" fillId="0" borderId="64" xfId="0" applyFont="1" applyBorder="1" applyAlignment="1">
      <alignment horizontal="right" vertical="center" wrapText="1"/>
    </xf>
    <xf numFmtId="0" fontId="9" fillId="0" borderId="64" xfId="0" applyFont="1" applyBorder="1" applyAlignment="1">
      <alignment horizontal="justify" vertical="center" wrapText="1"/>
    </xf>
    <xf numFmtId="0" fontId="9" fillId="0" borderId="64" xfId="0" applyFont="1" applyBorder="1" applyAlignment="1">
      <alignment horizontal="right" vertical="center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horizontal="right" vertical="center"/>
    </xf>
    <xf numFmtId="0" fontId="9" fillId="0" borderId="49" xfId="0" applyFont="1" applyBorder="1" applyAlignment="1">
      <alignment horizontal="right" vertical="center" wrapText="1"/>
    </xf>
    <xf numFmtId="0" fontId="16" fillId="0" borderId="49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8" fillId="0" borderId="0" xfId="0" applyFont="1" applyAlignment="1">
      <alignment horizontal="justify" vertical="center"/>
    </xf>
    <xf numFmtId="3" fontId="8" fillId="0" borderId="49" xfId="0" applyNumberFormat="1" applyFont="1" applyBorder="1" applyAlignment="1">
      <alignment horizontal="right" vertical="center" wrapText="1"/>
    </xf>
    <xf numFmtId="0" fontId="8" fillId="0" borderId="49" xfId="0" applyFont="1" applyBorder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14" fontId="13" fillId="0" borderId="1" xfId="0" applyNumberFormat="1" applyFont="1" applyBorder="1" applyAlignment="1">
      <alignment horizontal="right" vertical="center"/>
    </xf>
    <xf numFmtId="0" fontId="7" fillId="0" borderId="60" xfId="0" applyFont="1" applyBorder="1" applyAlignment="1">
      <alignment vertical="center"/>
    </xf>
    <xf numFmtId="0" fontId="7" fillId="0" borderId="60" xfId="0" applyFont="1" applyBorder="1" applyAlignment="1">
      <alignment vertical="center" wrapText="1"/>
    </xf>
    <xf numFmtId="0" fontId="7" fillId="0" borderId="60" xfId="0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0" fontId="8" fillId="16" borderId="0" xfId="0" applyFont="1" applyFill="1" applyAlignment="1">
      <alignment horizontal="justify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justify" vertical="center"/>
    </xf>
    <xf numFmtId="3" fontId="7" fillId="0" borderId="65" xfId="0" applyNumberFormat="1" applyFont="1" applyBorder="1" applyAlignment="1">
      <alignment horizontal="right" vertical="center"/>
    </xf>
    <xf numFmtId="0" fontId="7" fillId="0" borderId="65" xfId="0" applyFont="1" applyBorder="1" applyAlignment="1">
      <alignment horizontal="right" vertical="center"/>
    </xf>
    <xf numFmtId="0" fontId="7" fillId="0" borderId="65" xfId="0" applyFont="1" applyBorder="1" applyAlignment="1">
      <alignment horizontal="right" vertical="center" wrapText="1"/>
    </xf>
    <xf numFmtId="0" fontId="7" fillId="0" borderId="61" xfId="0" applyFont="1" applyBorder="1" applyAlignment="1">
      <alignment horizontal="justify" vertical="center"/>
    </xf>
    <xf numFmtId="0" fontId="7" fillId="0" borderId="61" xfId="0" applyFont="1" applyBorder="1" applyAlignment="1">
      <alignment horizontal="right" vertical="center"/>
    </xf>
    <xf numFmtId="0" fontId="13" fillId="0" borderId="1" xfId="0" applyFont="1" applyBorder="1" applyAlignment="1">
      <alignment horizontal="justify" vertical="center"/>
    </xf>
    <xf numFmtId="0" fontId="13" fillId="16" borderId="1" xfId="0" applyFont="1" applyFill="1" applyBorder="1" applyAlignment="1">
      <alignment horizontal="right" vertical="center" wrapText="1"/>
    </xf>
    <xf numFmtId="3" fontId="7" fillId="0" borderId="61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16" borderId="1" xfId="0" applyFont="1" applyFill="1" applyBorder="1" applyAlignment="1">
      <alignment horizontal="justify" vertical="center" wrapText="1"/>
    </xf>
    <xf numFmtId="0" fontId="9" fillId="16" borderId="1" xfId="0" applyFont="1" applyFill="1" applyBorder="1" applyAlignment="1">
      <alignment horizontal="right" vertical="center" wrapText="1"/>
    </xf>
    <xf numFmtId="0" fontId="8" fillId="0" borderId="66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7" fillId="0" borderId="68" xfId="0" applyFont="1" applyBorder="1" applyAlignment="1">
      <alignment horizontal="right" vertical="center"/>
    </xf>
    <xf numFmtId="0" fontId="9" fillId="0" borderId="69" xfId="0" applyFont="1" applyBorder="1" applyAlignment="1">
      <alignment vertical="center"/>
    </xf>
    <xf numFmtId="14" fontId="9" fillId="0" borderId="69" xfId="0" applyNumberFormat="1" applyFont="1" applyBorder="1" applyAlignment="1">
      <alignment horizontal="right" vertical="center"/>
    </xf>
    <xf numFmtId="0" fontId="9" fillId="0" borderId="69" xfId="0" applyFont="1" applyBorder="1" applyAlignment="1">
      <alignment horizontal="center" vertical="center"/>
    </xf>
    <xf numFmtId="14" fontId="9" fillId="0" borderId="69" xfId="0" applyNumberFormat="1" applyFont="1" applyBorder="1" applyAlignment="1">
      <alignment horizontal="center" vertical="center"/>
    </xf>
    <xf numFmtId="0" fontId="9" fillId="0" borderId="69" xfId="0" applyFont="1" applyBorder="1" applyAlignment="1">
      <alignment horizontal="right" vertical="center"/>
    </xf>
    <xf numFmtId="0" fontId="8" fillId="0" borderId="69" xfId="0" applyFont="1" applyBorder="1" applyAlignment="1">
      <alignment horizontal="right" vertical="center"/>
    </xf>
    <xf numFmtId="0" fontId="13" fillId="0" borderId="49" xfId="0" applyFont="1" applyBorder="1" applyAlignment="1">
      <alignment vertical="center" wrapText="1"/>
    </xf>
    <xf numFmtId="3" fontId="13" fillId="0" borderId="49" xfId="0" applyNumberFormat="1" applyFont="1" applyBorder="1" applyAlignment="1">
      <alignment horizontal="right" vertical="center" wrapText="1"/>
    </xf>
    <xf numFmtId="0" fontId="13" fillId="0" borderId="64" xfId="0" applyFont="1" applyBorder="1" applyAlignment="1">
      <alignment vertical="center" wrapText="1"/>
    </xf>
    <xf numFmtId="3" fontId="7" fillId="0" borderId="64" xfId="0" applyNumberFormat="1" applyFont="1" applyBorder="1" applyAlignment="1">
      <alignment horizontal="right" vertical="center" wrapText="1"/>
    </xf>
    <xf numFmtId="0" fontId="13" fillId="0" borderId="64" xfId="0" applyFont="1" applyBorder="1" applyAlignment="1">
      <alignment horizontal="right" vertical="center" wrapText="1"/>
    </xf>
    <xf numFmtId="14" fontId="13" fillId="0" borderId="1" xfId="0" applyNumberFormat="1" applyFont="1" applyBorder="1" applyAlignment="1">
      <alignment horizontal="right" vertical="center" wrapText="1"/>
    </xf>
    <xf numFmtId="3" fontId="16" fillId="0" borderId="0" xfId="0" applyNumberFormat="1" applyFont="1" applyAlignment="1">
      <alignment vertical="top"/>
    </xf>
    <xf numFmtId="0" fontId="13" fillId="0" borderId="1" xfId="0" applyFont="1" applyBorder="1" applyAlignment="1">
      <alignment horizontal="justify" vertical="center" wrapText="1"/>
    </xf>
    <xf numFmtId="0" fontId="7" fillId="0" borderId="62" xfId="0" applyFont="1" applyBorder="1" applyAlignment="1">
      <alignment horizontal="justify" vertical="center"/>
    </xf>
    <xf numFmtId="0" fontId="7" fillId="0" borderId="62" xfId="0" applyFont="1" applyBorder="1" applyAlignment="1">
      <alignment horizontal="justify" vertical="center" wrapText="1"/>
    </xf>
    <xf numFmtId="3" fontId="7" fillId="0" borderId="62" xfId="0" applyNumberFormat="1" applyFont="1" applyBorder="1" applyAlignment="1">
      <alignment horizontal="right" vertical="center" wrapText="1"/>
    </xf>
    <xf numFmtId="0" fontId="13" fillId="16" borderId="0" xfId="0" applyFont="1" applyFill="1" applyAlignment="1">
      <alignment horizontal="justify" vertical="center" wrapText="1"/>
    </xf>
    <xf numFmtId="3" fontId="13" fillId="16" borderId="0" xfId="0" applyNumberFormat="1" applyFont="1" applyFill="1" applyAlignment="1">
      <alignment horizontal="right" vertical="center" wrapText="1"/>
    </xf>
    <xf numFmtId="0" fontId="7" fillId="0" borderId="1" xfId="0" applyFont="1" applyBorder="1" applyAlignment="1">
      <alignment horizontal="justify" vertical="center"/>
    </xf>
    <xf numFmtId="0" fontId="13" fillId="16" borderId="1" xfId="0" applyFont="1" applyFill="1" applyBorder="1" applyAlignment="1">
      <alignment horizontal="justify" vertical="center" wrapText="1"/>
    </xf>
    <xf numFmtId="0" fontId="13" fillId="16" borderId="72" xfId="0" applyFont="1" applyFill="1" applyBorder="1" applyAlignment="1">
      <alignment horizontal="right" vertical="center"/>
    </xf>
    <xf numFmtId="0" fontId="13" fillId="16" borderId="11" xfId="0" applyFont="1" applyFill="1" applyBorder="1" applyAlignment="1">
      <alignment horizontal="right" vertical="center" wrapText="1"/>
    </xf>
    <xf numFmtId="0" fontId="13" fillId="16" borderId="73" xfId="0" applyFont="1" applyFill="1" applyBorder="1" applyAlignment="1">
      <alignment horizontal="right" vertical="center" wrapText="1"/>
    </xf>
    <xf numFmtId="0" fontId="7" fillId="16" borderId="72" xfId="0" applyFont="1" applyFill="1" applyBorder="1" applyAlignment="1">
      <alignment horizontal="center" vertical="center"/>
    </xf>
    <xf numFmtId="17" fontId="7" fillId="16" borderId="11" xfId="0" applyNumberFormat="1" applyFont="1" applyFill="1" applyBorder="1" applyAlignment="1">
      <alignment horizontal="center" vertical="center"/>
    </xf>
    <xf numFmtId="3" fontId="7" fillId="16" borderId="11" xfId="0" applyNumberFormat="1" applyFont="1" applyFill="1" applyBorder="1" applyAlignment="1">
      <alignment horizontal="right" vertical="center"/>
    </xf>
    <xf numFmtId="14" fontId="7" fillId="16" borderId="11" xfId="0" applyNumberFormat="1" applyFont="1" applyFill="1" applyBorder="1" applyAlignment="1">
      <alignment horizontal="right" vertical="center"/>
    </xf>
    <xf numFmtId="0" fontId="7" fillId="16" borderId="74" xfId="0" applyFont="1" applyFill="1" applyBorder="1" applyAlignment="1">
      <alignment horizontal="right" vertical="center"/>
    </xf>
    <xf numFmtId="0" fontId="7" fillId="16" borderId="11" xfId="0" applyFont="1" applyFill="1" applyBorder="1" applyAlignment="1">
      <alignment horizontal="right" vertical="center"/>
    </xf>
    <xf numFmtId="0" fontId="13" fillId="16" borderId="75" xfId="0" applyFont="1" applyFill="1" applyBorder="1" applyAlignment="1">
      <alignment horizontal="right" vertical="center"/>
    </xf>
    <xf numFmtId="0" fontId="16" fillId="16" borderId="76" xfId="0" applyFont="1" applyFill="1" applyBorder="1" applyAlignment="1">
      <alignment vertical="center"/>
    </xf>
    <xf numFmtId="3" fontId="13" fillId="16" borderId="76" xfId="0" applyNumberFormat="1" applyFont="1" applyFill="1" applyBorder="1" applyAlignment="1">
      <alignment horizontal="right" vertical="center"/>
    </xf>
    <xf numFmtId="0" fontId="13" fillId="16" borderId="76" xfId="0" applyFont="1" applyFill="1" applyBorder="1" applyAlignment="1">
      <alignment horizontal="right" vertical="center"/>
    </xf>
    <xf numFmtId="0" fontId="13" fillId="0" borderId="73" xfId="0" applyFont="1" applyBorder="1" applyAlignment="1">
      <alignment horizontal="right" vertical="center"/>
    </xf>
    <xf numFmtId="14" fontId="8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8" fillId="0" borderId="19" xfId="0" applyFont="1" applyBorder="1" applyAlignment="1">
      <alignment horizontal="right" vertical="center"/>
    </xf>
    <xf numFmtId="0" fontId="31" fillId="3" borderId="0" xfId="0" applyFont="1" applyFill="1"/>
    <xf numFmtId="3" fontId="8" fillId="0" borderId="19" xfId="0" applyNumberFormat="1" applyFont="1" applyBorder="1" applyAlignment="1">
      <alignment horizontal="right" vertical="center"/>
    </xf>
    <xf numFmtId="0" fontId="66" fillId="0" borderId="0" xfId="0" applyFont="1" applyAlignment="1">
      <alignment horizontal="justify" vertical="center"/>
    </xf>
    <xf numFmtId="0" fontId="9" fillId="16" borderId="0" xfId="0" applyFont="1" applyFill="1" applyAlignment="1">
      <alignment horizontal="center" vertical="center"/>
    </xf>
    <xf numFmtId="0" fontId="9" fillId="16" borderId="0" xfId="0" applyFont="1" applyFill="1" applyAlignment="1">
      <alignment vertical="center"/>
    </xf>
    <xf numFmtId="0" fontId="8" fillId="16" borderId="16" xfId="0" applyFont="1" applyFill="1" applyBorder="1" applyAlignment="1">
      <alignment horizontal="right" vertical="center" wrapText="1"/>
    </xf>
    <xf numFmtId="3" fontId="9" fillId="16" borderId="14" xfId="0" applyNumberFormat="1" applyFont="1" applyFill="1" applyBorder="1" applyAlignment="1">
      <alignment horizontal="right" vertical="center" wrapText="1"/>
    </xf>
    <xf numFmtId="3" fontId="9" fillId="16" borderId="1" xfId="0" applyNumberFormat="1" applyFont="1" applyFill="1" applyBorder="1" applyAlignment="1">
      <alignment horizontal="right" vertical="center" wrapText="1"/>
    </xf>
    <xf numFmtId="3" fontId="9" fillId="16" borderId="16" xfId="0" applyNumberFormat="1" applyFont="1" applyFill="1" applyBorder="1" applyAlignment="1">
      <alignment horizontal="right" vertical="center" wrapText="1"/>
    </xf>
    <xf numFmtId="0" fontId="8" fillId="16" borderId="0" xfId="0" applyFont="1" applyFill="1" applyAlignment="1">
      <alignment vertical="center"/>
    </xf>
    <xf numFmtId="3" fontId="8" fillId="16" borderId="14" xfId="0" applyNumberFormat="1" applyFont="1" applyFill="1" applyBorder="1" applyAlignment="1">
      <alignment horizontal="right" vertical="center" wrapText="1"/>
    </xf>
    <xf numFmtId="0" fontId="16" fillId="16" borderId="0" xfId="0" applyFont="1" applyFill="1" applyAlignment="1">
      <alignment vertical="center" wrapText="1"/>
    </xf>
    <xf numFmtId="0" fontId="8" fillId="16" borderId="14" xfId="0" applyFont="1" applyFill="1" applyBorder="1" applyAlignment="1">
      <alignment horizontal="right" vertical="center" wrapText="1"/>
    </xf>
    <xf numFmtId="9" fontId="8" fillId="16" borderId="0" xfId="0" applyNumberFormat="1" applyFont="1" applyFill="1" applyAlignment="1">
      <alignment horizontal="right" vertical="center" wrapText="1"/>
    </xf>
    <xf numFmtId="0" fontId="9" fillId="16" borderId="14" xfId="0" applyFont="1" applyFill="1" applyBorder="1" applyAlignment="1">
      <alignment horizontal="right" vertical="center" wrapText="1"/>
    </xf>
    <xf numFmtId="0" fontId="16" fillId="16" borderId="1" xfId="0" applyFont="1" applyFill="1" applyBorder="1" applyAlignment="1">
      <alignment vertical="center" wrapText="1"/>
    </xf>
    <xf numFmtId="3" fontId="8" fillId="0" borderId="0" xfId="0" applyNumberFormat="1" applyFont="1" applyAlignment="1">
      <alignment horizontal="right" vertical="center"/>
    </xf>
    <xf numFmtId="9" fontId="9" fillId="0" borderId="0" xfId="0" applyNumberFormat="1" applyFont="1" applyAlignment="1">
      <alignment horizontal="right" vertical="center"/>
    </xf>
    <xf numFmtId="3" fontId="8" fillId="0" borderId="9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10" fontId="8" fillId="0" borderId="9" xfId="0" applyNumberFormat="1" applyFont="1" applyBorder="1" applyAlignment="1">
      <alignment horizontal="right" vertical="center" indent="1"/>
    </xf>
    <xf numFmtId="9" fontId="16" fillId="0" borderId="0" xfId="0" applyNumberFormat="1" applyFont="1"/>
    <xf numFmtId="3" fontId="16" fillId="0" borderId="0" xfId="0" applyNumberFormat="1" applyFont="1" applyAlignment="1">
      <alignment vertical="center"/>
    </xf>
    <xf numFmtId="10" fontId="16" fillId="0" borderId="0" xfId="0" applyNumberFormat="1" applyFont="1"/>
    <xf numFmtId="1" fontId="0" fillId="0" borderId="0" xfId="0" applyNumberFormat="1"/>
    <xf numFmtId="0" fontId="8" fillId="0" borderId="23" xfId="0" applyFont="1" applyBorder="1" applyAlignment="1">
      <alignment vertical="center"/>
    </xf>
    <xf numFmtId="0" fontId="8" fillId="0" borderId="10" xfId="0" applyFont="1" applyBorder="1" applyAlignment="1">
      <alignment horizontal="right" vertical="center"/>
    </xf>
    <xf numFmtId="0" fontId="9" fillId="0" borderId="24" xfId="0" applyFont="1" applyBorder="1" applyAlignment="1">
      <alignment vertical="center"/>
    </xf>
    <xf numFmtId="3" fontId="9" fillId="0" borderId="11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8" fillId="0" borderId="24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0" fontId="8" fillId="0" borderId="2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right" vertical="center"/>
    </xf>
    <xf numFmtId="0" fontId="16" fillId="0" borderId="0" xfId="0" applyFont="1" applyAlignment="1">
      <alignment horizontal="justify" vertical="center"/>
    </xf>
    <xf numFmtId="9" fontId="4" fillId="0" borderId="0" xfId="7" applyFont="1" applyFill="1" applyBorder="1"/>
    <xf numFmtId="9" fontId="6" fillId="0" borderId="0" xfId="7" applyFont="1" applyFill="1" applyBorder="1"/>
    <xf numFmtId="9" fontId="4" fillId="0" borderId="0" xfId="7" applyFont="1" applyFill="1"/>
    <xf numFmtId="9" fontId="4" fillId="15" borderId="0" xfId="7" applyFont="1" applyFill="1" applyBorder="1"/>
    <xf numFmtId="9" fontId="4" fillId="15" borderId="0" xfId="7" applyFont="1" applyFill="1"/>
    <xf numFmtId="0" fontId="0" fillId="4" borderId="0" xfId="0" applyFill="1" applyAlignment="1">
      <alignment horizontal="center"/>
    </xf>
    <xf numFmtId="0" fontId="48" fillId="0" borderId="41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 wrapText="1"/>
    </xf>
    <xf numFmtId="0" fontId="67" fillId="0" borderId="0" xfId="13"/>
    <xf numFmtId="0" fontId="9" fillId="0" borderId="0" xfId="13" applyFont="1"/>
    <xf numFmtId="4" fontId="67" fillId="0" borderId="0" xfId="13" applyNumberFormat="1"/>
    <xf numFmtId="0" fontId="68" fillId="0" borderId="50" xfId="13" applyFont="1" applyBorder="1" applyAlignment="1">
      <alignment horizontal="center" wrapText="1"/>
    </xf>
    <xf numFmtId="0" fontId="68" fillId="0" borderId="51" xfId="13" applyFont="1" applyBorder="1" applyAlignment="1">
      <alignment horizontal="center" wrapText="1"/>
    </xf>
    <xf numFmtId="0" fontId="68" fillId="0" borderId="41" xfId="13" applyFont="1" applyBorder="1" applyAlignment="1">
      <alignment horizontal="left" vertical="center" wrapText="1"/>
    </xf>
    <xf numFmtId="39" fontId="68" fillId="0" borderId="51" xfId="13" applyNumberFormat="1" applyFont="1" applyBorder="1" applyAlignment="1">
      <alignment horizontal="right" vertical="center"/>
    </xf>
    <xf numFmtId="39" fontId="68" fillId="0" borderId="77" xfId="13" applyNumberFormat="1" applyFont="1" applyBorder="1" applyAlignment="1">
      <alignment horizontal="right" vertical="center"/>
    </xf>
    <xf numFmtId="43" fontId="26" fillId="0" borderId="17" xfId="0" applyNumberFormat="1" applyFont="1" applyBorder="1"/>
    <xf numFmtId="0" fontId="37" fillId="0" borderId="14" xfId="0" applyFont="1" applyBorder="1" applyAlignment="1">
      <alignment horizontal="right" vertical="center"/>
    </xf>
    <xf numFmtId="0" fontId="1" fillId="0" borderId="11" xfId="0" applyFont="1" applyBorder="1"/>
    <xf numFmtId="43" fontId="17" fillId="0" borderId="0" xfId="1" applyFont="1" applyFill="1"/>
    <xf numFmtId="0" fontId="1" fillId="0" borderId="0" xfId="0" applyFont="1" applyAlignment="1">
      <alignment horizontal="right" vertical="center"/>
    </xf>
    <xf numFmtId="0" fontId="14" fillId="3" borderId="0" xfId="0" applyFont="1" applyFill="1"/>
    <xf numFmtId="43" fontId="0" fillId="3" borderId="0" xfId="0" applyNumberFormat="1" applyFill="1"/>
    <xf numFmtId="43" fontId="18" fillId="3" borderId="0" xfId="0" applyNumberFormat="1" applyFont="1" applyFill="1" applyAlignment="1">
      <alignment vertical="center"/>
    </xf>
    <xf numFmtId="0" fontId="1" fillId="0" borderId="15" xfId="0" applyFont="1" applyBorder="1"/>
    <xf numFmtId="164" fontId="18" fillId="0" borderId="0" xfId="0" applyNumberFormat="1" applyFont="1" applyAlignment="1">
      <alignment vertical="center"/>
    </xf>
    <xf numFmtId="168" fontId="35" fillId="0" borderId="15" xfId="8" applyNumberFormat="1" applyFont="1" applyFill="1" applyBorder="1"/>
    <xf numFmtId="164" fontId="18" fillId="0" borderId="0" xfId="1" applyNumberFormat="1" applyFont="1"/>
    <xf numFmtId="164" fontId="69" fillId="0" borderId="0" xfId="1" applyNumberFormat="1" applyFont="1"/>
    <xf numFmtId="179" fontId="18" fillId="0" borderId="0" xfId="1" applyNumberFormat="1" applyFont="1"/>
    <xf numFmtId="179" fontId="18" fillId="0" borderId="0" xfId="7" applyNumberFormat="1" applyFont="1"/>
    <xf numFmtId="164" fontId="18" fillId="2" borderId="0" xfId="1" applyNumberFormat="1" applyFont="1" applyFill="1"/>
    <xf numFmtId="43" fontId="18" fillId="2" borderId="0" xfId="1" applyFont="1" applyFill="1"/>
    <xf numFmtId="43" fontId="18" fillId="0" borderId="32" xfId="0" applyNumberFormat="1" applyFont="1" applyBorder="1"/>
    <xf numFmtId="164" fontId="18" fillId="0" borderId="0" xfId="1" applyNumberFormat="1" applyFont="1" applyFill="1"/>
    <xf numFmtId="165" fontId="24" fillId="0" borderId="17" xfId="1" applyNumberFormat="1" applyFont="1" applyBorder="1"/>
    <xf numFmtId="173" fontId="24" fillId="0" borderId="17" xfId="1" applyNumberFormat="1" applyFont="1" applyBorder="1"/>
    <xf numFmtId="43" fontId="23" fillId="0" borderId="17" xfId="1" applyFont="1" applyFill="1" applyBorder="1"/>
    <xf numFmtId="165" fontId="29" fillId="2" borderId="30" xfId="1" applyNumberFormat="1" applyFont="1" applyFill="1" applyBorder="1"/>
    <xf numFmtId="173" fontId="29" fillId="2" borderId="30" xfId="1" applyNumberFormat="1" applyFont="1" applyFill="1" applyBorder="1"/>
    <xf numFmtId="165" fontId="24" fillId="0" borderId="23" xfId="0" applyNumberFormat="1" applyFont="1" applyBorder="1"/>
    <xf numFmtId="171" fontId="0" fillId="0" borderId="0" xfId="7" applyNumberFormat="1" applyFont="1" applyFill="1"/>
    <xf numFmtId="168" fontId="2" fillId="0" borderId="0" xfId="1" applyNumberFormat="1" applyFont="1" applyFill="1"/>
    <xf numFmtId="168" fontId="14" fillId="0" borderId="0" xfId="1" applyNumberFormat="1" applyFont="1"/>
    <xf numFmtId="0" fontId="4" fillId="0" borderId="0" xfId="0" applyFont="1" applyAlignment="1">
      <alignment horizontal="left"/>
    </xf>
    <xf numFmtId="166" fontId="6" fillId="0" borderId="3" xfId="1" quotePrefix="1" applyNumberFormat="1" applyFont="1" applyFill="1" applyBorder="1"/>
    <xf numFmtId="9" fontId="4" fillId="0" borderId="0" xfId="7" applyFont="1"/>
    <xf numFmtId="180" fontId="4" fillId="0" borderId="0" xfId="7" applyNumberFormat="1" applyFont="1"/>
    <xf numFmtId="166" fontId="4" fillId="0" borderId="0" xfId="1" quotePrefix="1" applyNumberFormat="1" applyFont="1" applyFill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indent="2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/>
    <xf numFmtId="0" fontId="4" fillId="0" borderId="0" xfId="0" applyFont="1" applyAlignment="1">
      <alignment horizontal="left" indent="1"/>
    </xf>
    <xf numFmtId="49" fontId="6" fillId="0" borderId="0" xfId="0" applyNumberFormat="1" applyFont="1"/>
    <xf numFmtId="0" fontId="6" fillId="0" borderId="0" xfId="0" applyFont="1" applyAlignment="1">
      <alignment horizontal="left" indent="1"/>
    </xf>
    <xf numFmtId="49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9" fillId="0" borderId="0" xfId="4" applyFont="1" applyAlignment="1">
      <alignment horizontal="left" wrapText="1"/>
    </xf>
    <xf numFmtId="0" fontId="12" fillId="0" borderId="0" xfId="4" applyFont="1" applyAlignment="1">
      <alignment horizontal="left" wrapText="1"/>
    </xf>
    <xf numFmtId="167" fontId="50" fillId="0" borderId="1" xfId="4" applyNumberFormat="1" applyFont="1" applyBorder="1" applyAlignment="1">
      <alignment horizontal="right" shrinkToFit="1"/>
    </xf>
    <xf numFmtId="0" fontId="8" fillId="0" borderId="0" xfId="4" applyFont="1" applyAlignment="1">
      <alignment horizontal="left" wrapText="1"/>
    </xf>
    <xf numFmtId="0" fontId="50" fillId="0" borderId="0" xfId="4" applyFont="1" applyAlignment="1">
      <alignment horizontal="left" wrapText="1"/>
    </xf>
    <xf numFmtId="0" fontId="9" fillId="0" borderId="0" xfId="4" applyFont="1" applyAlignment="1">
      <alignment wrapText="1"/>
    </xf>
    <xf numFmtId="167" fontId="8" fillId="0" borderId="0" xfId="4" applyNumberFormat="1" applyFont="1" applyAlignment="1">
      <alignment vertical="top" shrinkToFit="1"/>
    </xf>
    <xf numFmtId="0" fontId="4" fillId="0" borderId="0" xfId="4" applyFont="1" applyAlignment="1">
      <alignment horizontal="left" vertical="center" wrapText="1" indent="2"/>
    </xf>
    <xf numFmtId="0" fontId="12" fillId="0" borderId="0" xfId="4" applyFont="1" applyAlignment="1">
      <alignment horizontal="left" vertical="center" wrapText="1" indent="2"/>
    </xf>
    <xf numFmtId="166" fontId="12" fillId="0" borderId="0" xfId="4" applyNumberFormat="1" applyFont="1" applyAlignment="1">
      <alignment shrinkToFit="1"/>
    </xf>
    <xf numFmtId="166" fontId="9" fillId="0" borderId="0" xfId="4" applyNumberFormat="1" applyFont="1" applyAlignment="1">
      <alignment shrinkToFit="1"/>
    </xf>
    <xf numFmtId="166" fontId="9" fillId="0" borderId="0" xfId="4" applyNumberFormat="1" applyFont="1" applyAlignment="1">
      <alignment wrapText="1"/>
    </xf>
    <xf numFmtId="166" fontId="9" fillId="0" borderId="0" xfId="4" applyNumberFormat="1" applyFont="1" applyAlignment="1">
      <alignment horizontal="right" shrinkToFit="1"/>
    </xf>
    <xf numFmtId="0" fontId="4" fillId="0" borderId="0" xfId="4" applyFont="1" applyAlignment="1">
      <alignment horizontal="left" vertical="top" wrapText="1" indent="2"/>
    </xf>
    <xf numFmtId="166" fontId="4" fillId="0" borderId="0" xfId="4" applyNumberFormat="1" applyFont="1" applyAlignment="1">
      <alignment wrapText="1"/>
    </xf>
    <xf numFmtId="166" fontId="4" fillId="0" borderId="0" xfId="4" applyNumberFormat="1" applyFont="1" applyAlignment="1">
      <alignment horizontal="right" vertical="center" shrinkToFit="1"/>
    </xf>
    <xf numFmtId="0" fontId="49" fillId="0" borderId="0" xfId="4" applyFont="1" applyAlignment="1">
      <alignment horizontal="left" vertical="top" wrapText="1" indent="2"/>
    </xf>
    <xf numFmtId="166" fontId="49" fillId="0" borderId="0" xfId="4" applyNumberFormat="1" applyFont="1" applyAlignment="1">
      <alignment shrinkToFit="1"/>
    </xf>
    <xf numFmtId="166" fontId="49" fillId="0" borderId="0" xfId="4" applyNumberFormat="1" applyFont="1" applyAlignment="1">
      <alignment horizontal="right" vertical="center" shrinkToFit="1"/>
    </xf>
    <xf numFmtId="0" fontId="12" fillId="0" borderId="0" xfId="4" applyFont="1" applyAlignment="1">
      <alignment horizontal="left" vertical="top" wrapText="1" indent="2"/>
    </xf>
    <xf numFmtId="166" fontId="4" fillId="0" borderId="0" xfId="4" applyNumberFormat="1" applyFont="1" applyAlignment="1">
      <alignment horizontal="right" wrapText="1"/>
    </xf>
    <xf numFmtId="0" fontId="6" fillId="0" borderId="0" xfId="4" applyFont="1" applyAlignment="1">
      <alignment horizontal="left" vertical="center" wrapText="1" indent="1"/>
    </xf>
    <xf numFmtId="0" fontId="50" fillId="0" borderId="0" xfId="4" applyFont="1" applyAlignment="1">
      <alignment horizontal="left" vertical="center" wrapText="1" indent="1"/>
    </xf>
    <xf numFmtId="166" fontId="9" fillId="0" borderId="0" xfId="4" applyNumberFormat="1" applyFont="1" applyAlignment="1">
      <alignment horizontal="left" wrapText="1"/>
    </xf>
    <xf numFmtId="166" fontId="4" fillId="0" borderId="0" xfId="4" applyNumberFormat="1" applyFont="1" applyAlignment="1">
      <alignment horizontal="right" shrinkToFit="1"/>
    </xf>
    <xf numFmtId="166" fontId="4" fillId="0" borderId="1" xfId="4" applyNumberFormat="1" applyFont="1" applyBorder="1" applyAlignment="1">
      <alignment horizontal="right" shrinkToFit="1"/>
    </xf>
    <xf numFmtId="166" fontId="9" fillId="0" borderId="1" xfId="4" applyNumberFormat="1" applyFont="1" applyBorder="1" applyAlignment="1">
      <alignment horizontal="right" shrinkToFit="1"/>
    </xf>
    <xf numFmtId="0" fontId="6" fillId="0" borderId="0" xfId="4" applyFont="1" applyAlignment="1">
      <alignment horizontal="left" vertical="top" wrapText="1"/>
    </xf>
    <xf numFmtId="166" fontId="50" fillId="0" borderId="0" xfId="4" applyNumberFormat="1" applyFont="1" applyAlignment="1">
      <alignment horizontal="right" shrinkToFit="1"/>
    </xf>
    <xf numFmtId="166" fontId="6" fillId="0" borderId="0" xfId="4" applyNumberFormat="1" applyFont="1" applyAlignment="1">
      <alignment horizontal="right" shrinkToFit="1"/>
    </xf>
    <xf numFmtId="166" fontId="50" fillId="0" borderId="0" xfId="4" applyNumberFormat="1" applyFont="1" applyAlignment="1">
      <alignment horizontal="left" wrapText="1"/>
    </xf>
    <xf numFmtId="166" fontId="8" fillId="0" borderId="0" xfId="4" applyNumberFormat="1" applyFont="1" applyAlignment="1">
      <alignment horizontal="right" shrinkToFit="1"/>
    </xf>
    <xf numFmtId="0" fontId="4" fillId="0" borderId="0" xfId="4" applyFont="1" applyAlignment="1">
      <alignment horizontal="left" vertical="top" wrapText="1"/>
    </xf>
    <xf numFmtId="166" fontId="12" fillId="0" borderId="0" xfId="4" applyNumberFormat="1" applyFont="1" applyAlignment="1">
      <alignment horizontal="right" shrinkToFit="1"/>
    </xf>
    <xf numFmtId="0" fontId="50" fillId="0" borderId="0" xfId="4" applyFont="1" applyAlignment="1">
      <alignment horizontal="left" vertical="center" wrapText="1" indent="2"/>
    </xf>
    <xf numFmtId="166" fontId="8" fillId="0" borderId="0" xfId="4" applyNumberFormat="1" applyFont="1" applyAlignment="1">
      <alignment horizontal="left" wrapText="1"/>
    </xf>
    <xf numFmtId="0" fontId="50" fillId="0" borderId="0" xfId="4" applyFont="1" applyAlignment="1">
      <alignment horizontal="left" vertical="top" wrapText="1"/>
    </xf>
    <xf numFmtId="166" fontId="4" fillId="0" borderId="0" xfId="4" applyNumberFormat="1" applyFont="1" applyAlignment="1">
      <alignment shrinkToFit="1"/>
    </xf>
    <xf numFmtId="166" fontId="12" fillId="0" borderId="1" xfId="4" applyNumberFormat="1" applyFont="1" applyBorder="1" applyAlignment="1">
      <alignment horizontal="right" shrinkToFit="1"/>
    </xf>
    <xf numFmtId="166" fontId="50" fillId="0" borderId="7" xfId="4" applyNumberFormat="1" applyFont="1" applyBorder="1" applyAlignment="1">
      <alignment horizontal="right" wrapText="1"/>
    </xf>
    <xf numFmtId="166" fontId="6" fillId="0" borderId="7" xfId="4" applyNumberFormat="1" applyFont="1" applyBorder="1" applyAlignment="1">
      <alignment horizontal="right" wrapText="1"/>
    </xf>
    <xf numFmtId="166" fontId="6" fillId="0" borderId="0" xfId="4" applyNumberFormat="1" applyFont="1" applyAlignment="1">
      <alignment horizontal="right" wrapText="1"/>
    </xf>
    <xf numFmtId="166" fontId="8" fillId="0" borderId="9" xfId="4" applyNumberFormat="1" applyFont="1" applyBorder="1" applyAlignment="1">
      <alignment horizontal="right" shrinkToFit="1"/>
    </xf>
    <xf numFmtId="0" fontId="4" fillId="0" borderId="0" xfId="4" applyFont="1" applyAlignment="1">
      <alignment vertical="top" wrapText="1"/>
    </xf>
    <xf numFmtId="166" fontId="4" fillId="0" borderId="0" xfId="4" applyNumberFormat="1" applyFont="1" applyAlignment="1">
      <alignment vertical="top" wrapText="1"/>
    </xf>
    <xf numFmtId="0" fontId="12" fillId="0" borderId="0" xfId="4" applyFont="1" applyAlignment="1">
      <alignment vertical="top" wrapText="1"/>
    </xf>
    <xf numFmtId="166" fontId="50" fillId="0" borderId="9" xfId="4" applyNumberFormat="1" applyFont="1" applyBorder="1" applyAlignment="1">
      <alignment horizontal="right" shrinkToFit="1"/>
    </xf>
    <xf numFmtId="166" fontId="6" fillId="0" borderId="9" xfId="4" applyNumberFormat="1" applyFont="1" applyBorder="1" applyAlignment="1">
      <alignment horizontal="right" shrinkToFit="1"/>
    </xf>
    <xf numFmtId="0" fontId="4" fillId="0" borderId="0" xfId="4" applyFont="1" applyAlignment="1">
      <alignment horizontal="left" vertical="top"/>
    </xf>
    <xf numFmtId="167" fontId="8" fillId="0" borderId="1" xfId="4" applyNumberFormat="1" applyFont="1" applyBorder="1" applyAlignment="1">
      <alignment horizontal="center" shrinkToFit="1"/>
    </xf>
    <xf numFmtId="167" fontId="8" fillId="0" borderId="0" xfId="4" applyNumberFormat="1" applyFont="1" applyAlignment="1">
      <alignment horizontal="center" shrinkToFit="1"/>
    </xf>
    <xf numFmtId="0" fontId="9" fillId="0" borderId="0" xfId="4" applyFont="1" applyAlignment="1">
      <alignment horizontal="center" wrapText="1"/>
    </xf>
    <xf numFmtId="167" fontId="8" fillId="0" borderId="1" xfId="4" applyNumberFormat="1" applyFont="1" applyBorder="1" applyAlignment="1">
      <alignment horizontal="center" vertical="top" wrapText="1" shrinkToFit="1"/>
    </xf>
    <xf numFmtId="14" fontId="0" fillId="3" borderId="0" xfId="0" applyNumberFormat="1" applyFill="1"/>
    <xf numFmtId="4" fontId="0" fillId="3" borderId="0" xfId="0" applyNumberFormat="1" applyFill="1"/>
    <xf numFmtId="14" fontId="1" fillId="0" borderId="0" xfId="0" applyNumberFormat="1" applyFont="1"/>
    <xf numFmtId="0" fontId="52" fillId="0" borderId="16" xfId="0" applyFont="1" applyBorder="1" applyAlignment="1">
      <alignment horizontal="left" vertical="center" wrapText="1"/>
    </xf>
    <xf numFmtId="0" fontId="51" fillId="0" borderId="1" xfId="0" applyFont="1" applyBorder="1" applyAlignment="1">
      <alignment horizontal="right" vertical="center" wrapText="1"/>
    </xf>
    <xf numFmtId="3" fontId="52" fillId="0" borderId="1" xfId="0" applyNumberFormat="1" applyFont="1" applyBorder="1" applyAlignment="1">
      <alignment horizontal="right" vertical="center" wrapText="1"/>
    </xf>
    <xf numFmtId="0" fontId="52" fillId="0" borderId="1" xfId="0" applyFont="1" applyBorder="1" applyAlignment="1">
      <alignment horizontal="right" vertical="center" wrapText="1"/>
    </xf>
    <xf numFmtId="3" fontId="52" fillId="0" borderId="11" xfId="0" applyNumberFormat="1" applyFont="1" applyBorder="1" applyAlignment="1">
      <alignment horizontal="right" vertical="center" wrapText="1"/>
    </xf>
    <xf numFmtId="3" fontId="13" fillId="0" borderId="0" xfId="0" applyNumberFormat="1" applyFont="1" applyAlignment="1">
      <alignment horizontal="right" vertical="center"/>
    </xf>
    <xf numFmtId="166" fontId="9" fillId="2" borderId="0" xfId="4" applyNumberFormat="1" applyFont="1" applyFill="1" applyAlignment="1">
      <alignment horizontal="right" shrinkToFit="1"/>
    </xf>
    <xf numFmtId="166" fontId="9" fillId="2" borderId="0" xfId="4" applyNumberFormat="1" applyFont="1" applyFill="1" applyAlignment="1">
      <alignment shrinkToFit="1"/>
    </xf>
    <xf numFmtId="166" fontId="4" fillId="2" borderId="1" xfId="4" applyNumberFormat="1" applyFont="1" applyFill="1" applyBorder="1" applyAlignment="1">
      <alignment horizontal="right" shrinkToFit="1"/>
    </xf>
    <xf numFmtId="0" fontId="9" fillId="0" borderId="1" xfId="0" applyFont="1" applyBorder="1" applyAlignment="1">
      <alignment horizontal="justify" vertical="center" wrapText="1"/>
    </xf>
    <xf numFmtId="0" fontId="7" fillId="0" borderId="61" xfId="0" applyFont="1" applyBorder="1" applyAlignment="1">
      <alignment horizontal="center" vertical="center" wrapText="1"/>
    </xf>
    <xf numFmtId="0" fontId="70" fillId="0" borderId="0" xfId="0" applyFont="1" applyAlignment="1">
      <alignment vertical="center"/>
    </xf>
    <xf numFmtId="0" fontId="65" fillId="0" borderId="0" xfId="0" applyFont="1" applyAlignment="1">
      <alignment horizontal="right" vertical="center" wrapText="1"/>
    </xf>
    <xf numFmtId="0" fontId="65" fillId="0" borderId="0" xfId="0" applyFont="1" applyAlignment="1">
      <alignment horizontal="right" vertical="center"/>
    </xf>
    <xf numFmtId="3" fontId="13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16" borderId="1" xfId="0" applyFont="1" applyFill="1" applyBorder="1" applyAlignment="1">
      <alignment vertical="center" wrapText="1"/>
    </xf>
    <xf numFmtId="0" fontId="13" fillId="16" borderId="0" xfId="0" applyFont="1" applyFill="1" applyAlignment="1">
      <alignment vertical="center" wrapText="1"/>
    </xf>
    <xf numFmtId="0" fontId="7" fillId="0" borderId="87" xfId="0" applyFont="1" applyBorder="1" applyAlignment="1">
      <alignment vertical="center" wrapText="1"/>
    </xf>
    <xf numFmtId="3" fontId="7" fillId="0" borderId="65" xfId="0" applyNumberFormat="1" applyFont="1" applyBorder="1" applyAlignment="1">
      <alignment horizontal="right" vertical="center" wrapText="1"/>
    </xf>
    <xf numFmtId="0" fontId="9" fillId="0" borderId="66" xfId="0" applyFont="1" applyBorder="1" applyAlignment="1">
      <alignment horizontal="right" vertical="center"/>
    </xf>
    <xf numFmtId="0" fontId="9" fillId="0" borderId="68" xfId="0" applyFont="1" applyBorder="1" applyAlignment="1">
      <alignment horizontal="right" vertical="center"/>
    </xf>
    <xf numFmtId="0" fontId="8" fillId="0" borderId="68" xfId="0" applyFont="1" applyBorder="1" applyAlignment="1">
      <alignment horizontal="right" vertical="center"/>
    </xf>
    <xf numFmtId="0" fontId="7" fillId="0" borderId="64" xfId="0" applyFont="1" applyBorder="1" applyAlignment="1">
      <alignment vertical="center" wrapText="1"/>
    </xf>
    <xf numFmtId="0" fontId="7" fillId="0" borderId="64" xfId="0" applyFont="1" applyBorder="1" applyAlignment="1">
      <alignment horizontal="right" vertical="center" wrapText="1"/>
    </xf>
    <xf numFmtId="3" fontId="13" fillId="0" borderId="64" xfId="0" applyNumberFormat="1" applyFont="1" applyBorder="1" applyAlignment="1">
      <alignment horizontal="right" vertical="center" wrapText="1"/>
    </xf>
    <xf numFmtId="0" fontId="9" fillId="16" borderId="1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right" vertical="center" indent="1"/>
    </xf>
    <xf numFmtId="0" fontId="8" fillId="0" borderId="1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top" wrapText="1"/>
    </xf>
    <xf numFmtId="166" fontId="6" fillId="0" borderId="0" xfId="0" applyNumberFormat="1" applyFont="1"/>
    <xf numFmtId="43" fontId="0" fillId="0" borderId="0" xfId="1" applyFont="1" applyAlignment="1">
      <alignment horizontal="right"/>
    </xf>
    <xf numFmtId="4" fontId="0" fillId="0" borderId="0" xfId="0" applyNumberFormat="1" applyAlignment="1">
      <alignment horizontal="right"/>
    </xf>
    <xf numFmtId="43" fontId="0" fillId="0" borderId="0" xfId="1" applyFont="1" applyFill="1" applyAlignment="1">
      <alignment horizontal="right"/>
    </xf>
    <xf numFmtId="43" fontId="2" fillId="0" borderId="0" xfId="1" applyFont="1" applyFill="1" applyAlignment="1">
      <alignment horizontal="right"/>
    </xf>
    <xf numFmtId="43" fontId="0" fillId="0" borderId="0" xfId="0" applyNumberFormat="1" applyAlignment="1">
      <alignment horizontal="right"/>
    </xf>
    <xf numFmtId="3" fontId="51" fillId="0" borderId="0" xfId="0" applyNumberFormat="1" applyFont="1" applyAlignment="1">
      <alignment horizontal="right" vertical="center"/>
    </xf>
    <xf numFmtId="164" fontId="18" fillId="0" borderId="17" xfId="8" applyNumberFormat="1" applyFont="1" applyFill="1" applyBorder="1"/>
    <xf numFmtId="166" fontId="4" fillId="0" borderId="4" xfId="4" applyNumberFormat="1" applyFont="1" applyBorder="1" applyAlignment="1">
      <alignment horizontal="right" shrinkToFit="1"/>
    </xf>
    <xf numFmtId="166" fontId="9" fillId="0" borderId="4" xfId="4" applyNumberFormat="1" applyFont="1" applyBorder="1" applyAlignment="1">
      <alignment horizontal="right" shrinkToFit="1"/>
    </xf>
    <xf numFmtId="0" fontId="51" fillId="0" borderId="14" xfId="0" applyFont="1" applyBorder="1" applyAlignment="1">
      <alignment horizontal="left" vertical="center" wrapText="1"/>
    </xf>
    <xf numFmtId="3" fontId="51" fillId="0" borderId="15" xfId="0" applyNumberFormat="1" applyFont="1" applyBorder="1" applyAlignment="1">
      <alignment horizontal="right" vertical="center"/>
    </xf>
    <xf numFmtId="3" fontId="39" fillId="0" borderId="8" xfId="0" applyNumberFormat="1" applyFont="1" applyBorder="1" applyAlignment="1">
      <alignment vertical="center"/>
    </xf>
    <xf numFmtId="3" fontId="39" fillId="0" borderId="4" xfId="0" applyNumberFormat="1" applyFont="1" applyBorder="1" applyAlignment="1">
      <alignment vertical="center"/>
    </xf>
    <xf numFmtId="0" fontId="39" fillId="0" borderId="28" xfId="0" applyFont="1" applyBorder="1" applyAlignment="1">
      <alignment horizontal="left" vertical="center" wrapText="1"/>
    </xf>
    <xf numFmtId="4" fontId="14" fillId="0" borderId="0" xfId="0" applyNumberFormat="1" applyFont="1"/>
    <xf numFmtId="43" fontId="4" fillId="0" borderId="0" xfId="1" applyFont="1"/>
    <xf numFmtId="43" fontId="69" fillId="0" borderId="23" xfId="0" applyNumberFormat="1" applyFont="1" applyBorder="1"/>
    <xf numFmtId="43" fontId="69" fillId="5" borderId="23" xfId="1" applyFont="1" applyFill="1" applyBorder="1" applyAlignment="1">
      <alignment horizontal="right"/>
    </xf>
    <xf numFmtId="173" fontId="18" fillId="0" borderId="0" xfId="1" applyNumberFormat="1" applyFont="1" applyAlignment="1">
      <alignment vertical="center"/>
    </xf>
    <xf numFmtId="43" fontId="26" fillId="0" borderId="0" xfId="0" applyNumberFormat="1" applyFont="1"/>
    <xf numFmtId="43" fontId="26" fillId="0" borderId="17" xfId="1" applyFont="1" applyFill="1" applyBorder="1"/>
    <xf numFmtId="165" fontId="29" fillId="0" borderId="17" xfId="1" applyNumberFormat="1" applyFont="1" applyFill="1" applyBorder="1"/>
    <xf numFmtId="165" fontId="69" fillId="0" borderId="17" xfId="1" applyNumberFormat="1" applyFont="1" applyFill="1" applyBorder="1"/>
    <xf numFmtId="43" fontId="29" fillId="5" borderId="88" xfId="1" applyFont="1" applyFill="1" applyBorder="1" applyAlignment="1">
      <alignment horizontal="right"/>
    </xf>
    <xf numFmtId="43" fontId="29" fillId="5" borderId="23" xfId="1" applyFont="1" applyFill="1" applyBorder="1" applyAlignment="1">
      <alignment horizontal="right"/>
    </xf>
    <xf numFmtId="43" fontId="69" fillId="3" borderId="17" xfId="1" applyFont="1" applyFill="1" applyBorder="1" applyAlignment="1">
      <alignment horizontal="right"/>
    </xf>
    <xf numFmtId="0" fontId="23" fillId="0" borderId="0" xfId="0" applyFont="1"/>
    <xf numFmtId="43" fontId="29" fillId="0" borderId="23" xfId="0" applyNumberFormat="1" applyFont="1" applyBorder="1"/>
    <xf numFmtId="43" fontId="69" fillId="9" borderId="23" xfId="1" applyFont="1" applyFill="1" applyBorder="1"/>
    <xf numFmtId="172" fontId="18" fillId="0" borderId="17" xfId="1" applyNumberFormat="1" applyFont="1" applyFill="1" applyBorder="1"/>
    <xf numFmtId="164" fontId="26" fillId="0" borderId="17" xfId="0" applyNumberFormat="1" applyFont="1" applyBorder="1"/>
    <xf numFmtId="14" fontId="6" fillId="0" borderId="0" xfId="0" applyNumberFormat="1" applyFont="1"/>
    <xf numFmtId="49" fontId="6" fillId="0" borderId="1" xfId="0" applyNumberFormat="1" applyFont="1" applyBorder="1" applyAlignment="1">
      <alignment horizontal="center" wrapText="1"/>
    </xf>
    <xf numFmtId="0" fontId="51" fillId="3" borderId="14" xfId="0" applyFont="1" applyFill="1" applyBorder="1" applyAlignment="1">
      <alignment horizontal="left" vertical="center" wrapText="1"/>
    </xf>
    <xf numFmtId="0" fontId="51" fillId="3" borderId="0" xfId="0" applyFont="1" applyFill="1" applyAlignment="1">
      <alignment horizontal="right" vertical="center" wrapText="1"/>
    </xf>
    <xf numFmtId="3" fontId="51" fillId="3" borderId="0" xfId="0" applyNumberFormat="1" applyFont="1" applyFill="1" applyAlignment="1">
      <alignment horizontal="right" vertical="center"/>
    </xf>
    <xf numFmtId="0" fontId="0" fillId="3" borderId="0" xfId="0" applyFill="1" applyAlignment="1">
      <alignment horizontal="left"/>
    </xf>
    <xf numFmtId="0" fontId="14" fillId="3" borderId="0" xfId="0" applyFont="1" applyFill="1" applyAlignment="1">
      <alignment horizontal="left"/>
    </xf>
    <xf numFmtId="4" fontId="14" fillId="3" borderId="0" xfId="0" applyNumberFormat="1" applyFont="1" applyFill="1"/>
    <xf numFmtId="168" fontId="14" fillId="3" borderId="0" xfId="1" applyNumberFormat="1" applyFont="1" applyFill="1"/>
    <xf numFmtId="43" fontId="14" fillId="3" borderId="0" xfId="0" applyNumberFormat="1" applyFont="1" applyFill="1"/>
    <xf numFmtId="43" fontId="2" fillId="3" borderId="0" xfId="1" applyFont="1" applyFill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3" fillId="7" borderId="18" xfId="12" applyFont="1" applyFill="1" applyBorder="1" applyAlignment="1">
      <alignment horizontal="center" vertical="center"/>
    </xf>
    <xf numFmtId="0" fontId="33" fillId="7" borderId="19" xfId="12" applyFont="1" applyFill="1" applyBorder="1" applyAlignment="1">
      <alignment horizontal="center" vertical="center"/>
    </xf>
    <xf numFmtId="0" fontId="33" fillId="7" borderId="10" xfId="12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166" fontId="6" fillId="2" borderId="0" xfId="0" applyNumberFormat="1" applyFont="1" applyFill="1" applyAlignment="1">
      <alignment horizontal="center"/>
    </xf>
    <xf numFmtId="166" fontId="4" fillId="2" borderId="0" xfId="0" applyNumberFormat="1" applyFont="1" applyFill="1" applyAlignment="1">
      <alignment horizontal="center"/>
    </xf>
    <xf numFmtId="0" fontId="54" fillId="0" borderId="0" xfId="0" applyFont="1" applyAlignment="1">
      <alignment vertical="center" wrapText="1"/>
    </xf>
    <xf numFmtId="14" fontId="8" fillId="16" borderId="1" xfId="0" applyNumberFormat="1" applyFont="1" applyFill="1" applyBorder="1" applyAlignment="1">
      <alignment horizontal="center" vertical="center"/>
    </xf>
    <xf numFmtId="14" fontId="8" fillId="16" borderId="11" xfId="0" applyNumberFormat="1" applyFont="1" applyFill="1" applyBorder="1" applyAlignment="1">
      <alignment horizontal="center" vertical="center"/>
    </xf>
    <xf numFmtId="14" fontId="8" fillId="16" borderId="1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65" fillId="0" borderId="0" xfId="0" applyFont="1" applyAlignment="1">
      <alignment horizontal="right" vertical="center"/>
    </xf>
    <xf numFmtId="14" fontId="37" fillId="0" borderId="19" xfId="0" applyNumberFormat="1" applyFont="1" applyBorder="1" applyAlignment="1">
      <alignment horizontal="center" vertical="center"/>
    </xf>
    <xf numFmtId="14" fontId="37" fillId="0" borderId="18" xfId="0" applyNumberFormat="1" applyFont="1" applyBorder="1" applyAlignment="1">
      <alignment horizontal="center" vertical="center"/>
    </xf>
    <xf numFmtId="14" fontId="37" fillId="0" borderId="10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7" fillId="0" borderId="14" xfId="0" applyFont="1" applyBorder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8" fillId="0" borderId="56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8" fillId="16" borderId="0" xfId="0" applyFont="1" applyFill="1" applyAlignment="1">
      <alignment vertical="center" wrapText="1"/>
    </xf>
    <xf numFmtId="0" fontId="9" fillId="16" borderId="0" xfId="0" applyFont="1" applyFill="1" applyAlignment="1">
      <alignment horizontal="right" vertical="center" wrapText="1"/>
    </xf>
    <xf numFmtId="0" fontId="8" fillId="16" borderId="0" xfId="0" applyFont="1" applyFill="1" applyAlignment="1">
      <alignment horizontal="center" vertical="center" wrapText="1"/>
    </xf>
    <xf numFmtId="0" fontId="8" fillId="0" borderId="56" xfId="0" applyFont="1" applyBorder="1" applyAlignment="1">
      <alignment horizontal="right" vertical="center" wrapText="1"/>
    </xf>
    <xf numFmtId="0" fontId="9" fillId="16" borderId="0" xfId="0" applyFont="1" applyFill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65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3" fontId="13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justify" vertical="center"/>
    </xf>
    <xf numFmtId="3" fontId="7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3" fontId="13" fillId="0" borderId="9" xfId="0" applyNumberFormat="1" applyFont="1" applyBorder="1" applyAlignment="1">
      <alignment horizontal="right" vertical="center"/>
    </xf>
    <xf numFmtId="0" fontId="7" fillId="0" borderId="63" xfId="0" applyFont="1" applyBorder="1" applyAlignment="1">
      <alignment horizontal="right" vertical="center"/>
    </xf>
    <xf numFmtId="0" fontId="8" fillId="0" borderId="70" xfId="0" applyFont="1" applyBorder="1" applyAlignment="1">
      <alignment vertical="center"/>
    </xf>
    <xf numFmtId="0" fontId="8" fillId="0" borderId="71" xfId="0" applyFont="1" applyBorder="1" applyAlignment="1">
      <alignment vertical="center"/>
    </xf>
    <xf numFmtId="0" fontId="8" fillId="0" borderId="67" xfId="0" applyFont="1" applyBorder="1" applyAlignment="1">
      <alignment vertical="center"/>
    </xf>
    <xf numFmtId="0" fontId="16" fillId="0" borderId="0" xfId="0" applyFont="1" applyAlignment="1">
      <alignment vertical="top"/>
    </xf>
    <xf numFmtId="0" fontId="13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8" fillId="16" borderId="16" xfId="0" applyFont="1" applyFill="1" applyBorder="1" applyAlignment="1">
      <alignment horizontal="center" vertical="center"/>
    </xf>
    <xf numFmtId="0" fontId="8" fillId="16" borderId="1" xfId="0" applyFont="1" applyFill="1" applyBorder="1" applyAlignment="1">
      <alignment horizontal="center" vertical="center"/>
    </xf>
    <xf numFmtId="0" fontId="68" fillId="0" borderId="86" xfId="13" applyFont="1" applyBorder="1" applyAlignment="1">
      <alignment horizontal="left" vertical="center"/>
    </xf>
    <xf numFmtId="0" fontId="68" fillId="0" borderId="85" xfId="13" applyFont="1" applyBorder="1" applyAlignment="1">
      <alignment horizontal="left" vertical="center"/>
    </xf>
    <xf numFmtId="0" fontId="68" fillId="0" borderId="84" xfId="13" applyFont="1" applyBorder="1" applyAlignment="1">
      <alignment horizontal="left" vertical="center"/>
    </xf>
    <xf numFmtId="0" fontId="68" fillId="0" borderId="43" xfId="13" applyFont="1" applyBorder="1" applyAlignment="1">
      <alignment horizontal="left" vertical="center" wrapText="1"/>
    </xf>
    <xf numFmtId="0" fontId="68" fillId="0" borderId="45" xfId="13" applyFont="1" applyBorder="1" applyAlignment="1">
      <alignment horizontal="left" vertical="center" wrapText="1"/>
    </xf>
    <xf numFmtId="0" fontId="68" fillId="0" borderId="47" xfId="13" applyFont="1" applyBorder="1" applyAlignment="1">
      <alignment horizontal="left" vertical="center" wrapText="1"/>
    </xf>
    <xf numFmtId="0" fontId="68" fillId="0" borderId="44" xfId="13" applyFont="1" applyBorder="1" applyAlignment="1">
      <alignment horizontal="left" vertical="center" wrapText="1"/>
    </xf>
    <xf numFmtId="0" fontId="68" fillId="0" borderId="46" xfId="13" applyFont="1" applyBorder="1" applyAlignment="1">
      <alignment horizontal="left" vertical="center" wrapText="1"/>
    </xf>
    <xf numFmtId="0" fontId="68" fillId="0" borderId="48" xfId="13" applyFont="1" applyBorder="1" applyAlignment="1">
      <alignment horizontal="left" vertical="center" wrapText="1"/>
    </xf>
    <xf numFmtId="0" fontId="48" fillId="0" borderId="42" xfId="0" applyFont="1" applyBorder="1" applyAlignment="1">
      <alignment horizontal="left" vertical="center"/>
    </xf>
    <xf numFmtId="0" fontId="46" fillId="0" borderId="0" xfId="0" applyFont="1" applyAlignment="1">
      <alignment vertical="top" wrapText="1"/>
    </xf>
    <xf numFmtId="0" fontId="47" fillId="0" borderId="0" xfId="0" applyFont="1" applyAlignment="1">
      <alignment vertical="top" wrapText="1"/>
    </xf>
    <xf numFmtId="0" fontId="48" fillId="0" borderId="38" xfId="0" applyFont="1" applyBorder="1" applyAlignment="1">
      <alignment horizontal="left" vertical="center" wrapText="1"/>
    </xf>
    <xf numFmtId="0" fontId="48" fillId="0" borderId="43" xfId="0" applyFont="1" applyBorder="1" applyAlignment="1">
      <alignment horizontal="center" vertical="center" wrapText="1"/>
    </xf>
    <xf numFmtId="0" fontId="48" fillId="0" borderId="45" xfId="0" applyFont="1" applyBorder="1" applyAlignment="1">
      <alignment horizontal="center" vertical="center" wrapText="1"/>
    </xf>
    <xf numFmtId="0" fontId="48" fillId="0" borderId="47" xfId="0" applyFont="1" applyBorder="1" applyAlignment="1">
      <alignment horizontal="center" vertical="center" wrapText="1"/>
    </xf>
    <xf numFmtId="0" fontId="48" fillId="0" borderId="44" xfId="0" quotePrefix="1" applyFont="1" applyBorder="1" applyAlignment="1">
      <alignment horizontal="center" vertical="center" wrapText="1"/>
    </xf>
    <xf numFmtId="0" fontId="48" fillId="0" borderId="46" xfId="0" applyFont="1" applyBorder="1" applyAlignment="1">
      <alignment horizontal="center" vertical="center" wrapText="1"/>
    </xf>
    <xf numFmtId="0" fontId="48" fillId="0" borderId="48" xfId="0" applyFont="1" applyBorder="1" applyAlignment="1">
      <alignment horizontal="center" vertical="center" wrapText="1"/>
    </xf>
    <xf numFmtId="0" fontId="48" fillId="0" borderId="39" xfId="0" applyFont="1" applyBorder="1" applyAlignment="1">
      <alignment horizontal="left" vertical="center"/>
    </xf>
    <xf numFmtId="0" fontId="68" fillId="0" borderId="79" xfId="13" applyFont="1" applyBorder="1" applyAlignment="1">
      <alignment horizontal="left" vertical="center" wrapText="1"/>
    </xf>
    <xf numFmtId="0" fontId="68" fillId="0" borderId="80" xfId="13" applyFont="1" applyBorder="1" applyAlignment="1">
      <alignment horizontal="left" vertical="center" wrapText="1"/>
    </xf>
    <xf numFmtId="0" fontId="68" fillId="0" borderId="82" xfId="13" applyFont="1" applyBorder="1" applyAlignment="1">
      <alignment horizontal="left" vertical="center" wrapText="1"/>
    </xf>
    <xf numFmtId="0" fontId="68" fillId="0" borderId="83" xfId="13" applyFont="1" applyBorder="1" applyAlignment="1">
      <alignment horizontal="left" vertical="center" wrapText="1"/>
    </xf>
    <xf numFmtId="0" fontId="68" fillId="0" borderId="39" xfId="13" applyFont="1" applyBorder="1" applyAlignment="1">
      <alignment horizontal="left" vertical="center" wrapText="1"/>
    </xf>
    <xf numFmtId="0" fontId="68" fillId="0" borderId="81" xfId="13" applyFont="1" applyBorder="1" applyAlignment="1">
      <alignment horizontal="left" vertical="center" wrapText="1"/>
    </xf>
    <xf numFmtId="0" fontId="68" fillId="0" borderId="38" xfId="13" applyFont="1" applyBorder="1" applyAlignment="1">
      <alignment horizontal="left" vertical="center" wrapText="1"/>
    </xf>
    <xf numFmtId="0" fontId="68" fillId="0" borderId="78" xfId="13" applyFont="1" applyBorder="1" applyAlignment="1">
      <alignment horizontal="left" vertical="center" wrapText="1"/>
    </xf>
    <xf numFmtId="1" fontId="20" fillId="0" borderId="18" xfId="0" applyNumberFormat="1" applyFont="1" applyBorder="1" applyAlignment="1">
      <alignment horizontal="center"/>
    </xf>
    <xf numFmtId="1" fontId="20" fillId="0" borderId="19" xfId="0" applyNumberFormat="1" applyFont="1" applyBorder="1" applyAlignment="1">
      <alignment horizontal="center"/>
    </xf>
    <xf numFmtId="0" fontId="6" fillId="0" borderId="28" xfId="3" applyFont="1" applyBorder="1" applyAlignment="1" applyProtection="1">
      <alignment horizontal="center"/>
      <protection hidden="1"/>
    </xf>
    <xf numFmtId="0" fontId="6" fillId="0" borderId="8" xfId="3" applyFont="1" applyBorder="1" applyAlignment="1" applyProtection="1">
      <alignment horizontal="center"/>
      <protection hidden="1"/>
    </xf>
    <xf numFmtId="0" fontId="24" fillId="9" borderId="18" xfId="0" applyFont="1" applyFill="1" applyBorder="1" applyAlignment="1">
      <alignment horizontal="center"/>
    </xf>
    <xf numFmtId="0" fontId="24" fillId="9" borderId="19" xfId="0" applyFont="1" applyFill="1" applyBorder="1" applyAlignment="1">
      <alignment horizontal="center"/>
    </xf>
    <xf numFmtId="0" fontId="24" fillId="9" borderId="10" xfId="0" applyFont="1" applyFill="1" applyBorder="1" applyAlignment="1">
      <alignment horizontal="center"/>
    </xf>
    <xf numFmtId="0" fontId="24" fillId="2" borderId="18" xfId="0" applyFont="1" applyFill="1" applyBorder="1" applyAlignment="1">
      <alignment horizontal="left"/>
    </xf>
    <xf numFmtId="0" fontId="24" fillId="2" borderId="19" xfId="0" applyFont="1" applyFill="1" applyBorder="1" applyAlignment="1">
      <alignment horizontal="left"/>
    </xf>
    <xf numFmtId="0" fontId="24" fillId="2" borderId="10" xfId="0" applyFont="1" applyFill="1" applyBorder="1" applyAlignment="1">
      <alignment horizontal="left"/>
    </xf>
    <xf numFmtId="0" fontId="28" fillId="5" borderId="18" xfId="0" applyFont="1" applyFill="1" applyBorder="1" applyAlignment="1">
      <alignment horizontal="center" vertical="center"/>
    </xf>
    <xf numFmtId="0" fontId="28" fillId="5" borderId="19" xfId="0" applyFont="1" applyFill="1" applyBorder="1" applyAlignment="1">
      <alignment horizontal="center" vertical="center"/>
    </xf>
    <xf numFmtId="0" fontId="28" fillId="5" borderId="10" xfId="0" applyFont="1" applyFill="1" applyBorder="1" applyAlignment="1">
      <alignment horizontal="center" vertical="center"/>
    </xf>
    <xf numFmtId="0" fontId="28" fillId="5" borderId="22" xfId="0" applyFont="1" applyFill="1" applyBorder="1" applyAlignment="1">
      <alignment horizontal="center" vertical="center"/>
    </xf>
    <xf numFmtId="0" fontId="28" fillId="5" borderId="30" xfId="0" applyFont="1" applyFill="1" applyBorder="1" applyAlignment="1">
      <alignment horizontal="center" vertical="center"/>
    </xf>
    <xf numFmtId="0" fontId="27" fillId="3" borderId="26" xfId="0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0" fontId="27" fillId="3" borderId="32" xfId="0" applyFont="1" applyFill="1" applyBorder="1" applyAlignment="1">
      <alignment horizontal="center" vertical="center"/>
    </xf>
    <xf numFmtId="0" fontId="24" fillId="5" borderId="18" xfId="0" applyFont="1" applyFill="1" applyBorder="1" applyAlignment="1">
      <alignment horizontal="center"/>
    </xf>
    <xf numFmtId="0" fontId="24" fillId="5" borderId="19" xfId="0" applyFont="1" applyFill="1" applyBorder="1" applyAlignment="1">
      <alignment horizontal="center"/>
    </xf>
    <xf numFmtId="0" fontId="24" fillId="5" borderId="10" xfId="0" applyFont="1" applyFill="1" applyBorder="1" applyAlignment="1">
      <alignment horizontal="center"/>
    </xf>
    <xf numFmtId="0" fontId="24" fillId="7" borderId="16" xfId="0" applyFont="1" applyFill="1" applyBorder="1" applyAlignment="1">
      <alignment horizontal="center" vertical="center"/>
    </xf>
    <xf numFmtId="0" fontId="24" fillId="7" borderId="1" xfId="0" applyFont="1" applyFill="1" applyBorder="1" applyAlignment="1">
      <alignment horizontal="center" vertical="center"/>
    </xf>
    <xf numFmtId="0" fontId="24" fillId="7" borderId="11" xfId="0" applyFont="1" applyFill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24" fillId="12" borderId="16" xfId="0" applyFont="1" applyFill="1" applyBorder="1" applyAlignment="1">
      <alignment horizontal="center" vertical="center"/>
    </xf>
    <xf numFmtId="0" fontId="24" fillId="12" borderId="1" xfId="0" applyFont="1" applyFill="1" applyBorder="1" applyAlignment="1">
      <alignment horizontal="center" vertical="center"/>
    </xf>
    <xf numFmtId="0" fontId="24" fillId="12" borderId="11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 wrapText="1"/>
    </xf>
    <xf numFmtId="0" fontId="24" fillId="12" borderId="18" xfId="0" applyFont="1" applyFill="1" applyBorder="1" applyAlignment="1">
      <alignment horizontal="center" vertical="center"/>
    </xf>
    <xf numFmtId="0" fontId="24" fillId="12" borderId="19" xfId="0" applyFont="1" applyFill="1" applyBorder="1" applyAlignment="1">
      <alignment horizontal="center" vertical="center"/>
    </xf>
    <xf numFmtId="0" fontId="24" fillId="12" borderId="10" xfId="0" applyFont="1" applyFill="1" applyBorder="1" applyAlignment="1">
      <alignment horizontal="center" vertical="center"/>
    </xf>
    <xf numFmtId="0" fontId="24" fillId="2" borderId="18" xfId="0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24" fillId="0" borderId="26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24" fillId="0" borderId="32" xfId="0" applyFont="1" applyBorder="1" applyAlignment="1">
      <alignment horizontal="left"/>
    </xf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172" fontId="0" fillId="0" borderId="4" xfId="1" applyNumberFormat="1" applyFont="1" applyFill="1" applyBorder="1" applyAlignment="1">
      <alignment horizontal="center" vertical="center"/>
    </xf>
    <xf numFmtId="43" fontId="13" fillId="0" borderId="0" xfId="1" applyFont="1" applyAlignment="1">
      <alignment horizontal="center" vertical="center"/>
    </xf>
    <xf numFmtId="43" fontId="13" fillId="0" borderId="0" xfId="1" applyFont="1" applyFill="1" applyAlignment="1">
      <alignment horizontal="center" vertical="center" wrapText="1"/>
    </xf>
    <xf numFmtId="43" fontId="13" fillId="0" borderId="0" xfId="1" applyFont="1" applyFill="1" applyAlignment="1">
      <alignment horizontal="center" vertical="center"/>
    </xf>
    <xf numFmtId="43" fontId="13" fillId="0" borderId="0" xfId="1" applyFont="1" applyFill="1" applyAlignment="1">
      <alignment horizontal="right" vertical="center"/>
    </xf>
    <xf numFmtId="43" fontId="13" fillId="0" borderId="0" xfId="1" applyFont="1" applyAlignment="1">
      <alignment horizontal="center" vertical="center" wrapText="1"/>
    </xf>
    <xf numFmtId="3" fontId="1" fillId="0" borderId="11" xfId="0" applyNumberFormat="1" applyFont="1" applyBorder="1" applyAlignment="1">
      <alignment horizontal="right" vertical="center"/>
    </xf>
    <xf numFmtId="0" fontId="1" fillId="0" borderId="14" xfId="0" applyFont="1" applyBorder="1"/>
    <xf numFmtId="168" fontId="1" fillId="0" borderId="0" xfId="0" applyNumberFormat="1" applyFont="1"/>
    <xf numFmtId="0" fontId="1" fillId="0" borderId="15" xfId="0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5" xfId="0" applyNumberFormat="1" applyFont="1" applyBorder="1"/>
    <xf numFmtId="168" fontId="1" fillId="0" borderId="4" xfId="0" applyNumberFormat="1" applyFont="1" applyBorder="1"/>
    <xf numFmtId="0" fontId="1" fillId="0" borderId="1" xfId="0" applyFont="1" applyBorder="1"/>
    <xf numFmtId="3" fontId="1" fillId="0" borderId="11" xfId="0" applyNumberFormat="1" applyFont="1" applyBorder="1"/>
    <xf numFmtId="168" fontId="1" fillId="0" borderId="0" xfId="8" applyNumberFormat="1" applyFont="1" applyFill="1" applyBorder="1"/>
    <xf numFmtId="168" fontId="1" fillId="0" borderId="15" xfId="8" applyNumberFormat="1" applyFont="1" applyFill="1" applyBorder="1"/>
    <xf numFmtId="168" fontId="1" fillId="0" borderId="15" xfId="0" applyNumberFormat="1" applyFont="1" applyBorder="1"/>
    <xf numFmtId="0" fontId="1" fillId="0" borderId="16" xfId="0" applyFont="1" applyBorder="1"/>
    <xf numFmtId="168" fontId="1" fillId="0" borderId="1" xfId="0" applyNumberFormat="1" applyFont="1" applyBorder="1"/>
    <xf numFmtId="168" fontId="1" fillId="0" borderId="11" xfId="0" applyNumberFormat="1" applyFont="1" applyBorder="1"/>
    <xf numFmtId="0" fontId="1" fillId="0" borderId="0" xfId="0" applyFont="1" applyAlignment="1">
      <alignment horizontal="right" vertical="center" wrapText="1"/>
    </xf>
    <xf numFmtId="3" fontId="1" fillId="0" borderId="0" xfId="0" applyNumberFormat="1" applyFont="1"/>
    <xf numFmtId="0" fontId="1" fillId="0" borderId="19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/>
    <xf numFmtId="3" fontId="1" fillId="0" borderId="5" xfId="0" applyNumberFormat="1" applyFont="1" applyBorder="1" applyAlignment="1">
      <alignment horizontal="right" vertical="center"/>
    </xf>
    <xf numFmtId="3" fontId="1" fillId="0" borderId="13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5" xfId="0" applyFont="1" applyBorder="1"/>
    <xf numFmtId="0" fontId="1" fillId="0" borderId="13" xfId="0" applyFont="1" applyBorder="1"/>
    <xf numFmtId="0" fontId="1" fillId="0" borderId="5" xfId="0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4" xfId="0" applyFont="1" applyBorder="1" applyAlignment="1">
      <alignment horizontal="left" vertical="center"/>
    </xf>
    <xf numFmtId="9" fontId="1" fillId="0" borderId="0" xfId="0" applyNumberFormat="1" applyFont="1" applyAlignment="1">
      <alignment horizontal="center" vertical="center" wrapText="1"/>
    </xf>
    <xf numFmtId="0" fontId="1" fillId="0" borderId="16" xfId="0" applyFont="1" applyBorder="1" applyAlignment="1">
      <alignment horizontal="left" vertical="center"/>
    </xf>
    <xf numFmtId="9" fontId="1" fillId="0" borderId="1" xfId="0" applyNumberFormat="1" applyFont="1" applyBorder="1" applyAlignment="1">
      <alignment horizontal="center" vertical="center" wrapText="1"/>
    </xf>
    <xf numFmtId="1" fontId="1" fillId="0" borderId="0" xfId="1" applyNumberFormat="1" applyFont="1" applyFill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53" xfId="0" applyFont="1" applyBorder="1"/>
    <xf numFmtId="0" fontId="1" fillId="0" borderId="54" xfId="0" applyFont="1" applyBorder="1"/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horizontal="justify" vertical="center"/>
    </xf>
    <xf numFmtId="1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" fontId="1" fillId="0" borderId="15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1" fontId="1" fillId="0" borderId="11" xfId="0" applyNumberFormat="1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10" xfId="0" applyFont="1" applyBorder="1"/>
    <xf numFmtId="3" fontId="1" fillId="0" borderId="15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1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1" fontId="1" fillId="0" borderId="0" xfId="0" applyNumberFormat="1" applyFont="1"/>
    <xf numFmtId="0" fontId="1" fillId="0" borderId="14" xfId="0" applyFont="1" applyBorder="1" applyAlignment="1">
      <alignment wrapText="1"/>
    </xf>
    <xf numFmtId="0" fontId="1" fillId="0" borderId="0" xfId="0" applyFont="1" applyAlignment="1">
      <alignment horizontal="left" vertical="center"/>
    </xf>
    <xf numFmtId="1" fontId="1" fillId="0" borderId="15" xfId="0" applyNumberFormat="1" applyFont="1" applyBorder="1"/>
    <xf numFmtId="0" fontId="16" fillId="0" borderId="0" xfId="0" applyFont="1" applyAlignment="1"/>
    <xf numFmtId="0" fontId="45" fillId="0" borderId="0" xfId="13" applyFont="1" applyAlignment="1">
      <alignment vertical="top"/>
    </xf>
    <xf numFmtId="0" fontId="46" fillId="0" borderId="0" xfId="13" applyFont="1" applyAlignment="1">
      <alignment vertical="top" wrapText="1"/>
    </xf>
    <xf numFmtId="0" fontId="47" fillId="0" borderId="0" xfId="13" applyFont="1" applyAlignment="1">
      <alignment vertical="top" wrapText="1"/>
    </xf>
  </cellXfs>
  <cellStyles count="14">
    <cellStyle name="Moeda" xfId="8" builtinId="4"/>
    <cellStyle name="Normal" xfId="0" builtinId="0"/>
    <cellStyle name="Normal 10" xfId="12" xr:uid="{00000000-0005-0000-0000-000002000000}"/>
    <cellStyle name="Normal 2" xfId="3" xr:uid="{00000000-0005-0000-0000-000003000000}"/>
    <cellStyle name="Normal 3" xfId="11" xr:uid="{00000000-0005-0000-0000-000004000000}"/>
    <cellStyle name="Normal 4" xfId="4" xr:uid="{00000000-0005-0000-0000-000005000000}"/>
    <cellStyle name="Normal 5" xfId="13" xr:uid="{00000000-0005-0000-0000-000006000000}"/>
    <cellStyle name="Porcentagem" xfId="7" builtinId="5"/>
    <cellStyle name="Vírgula" xfId="1" builtinId="3"/>
    <cellStyle name="Vírgula 2" xfId="5" xr:uid="{00000000-0005-0000-0000-000009000000}"/>
    <cellStyle name="Vírgula 2 2" xfId="2" xr:uid="{00000000-0005-0000-0000-00000A000000}"/>
    <cellStyle name="Vírgula 2 2 2" xfId="6" xr:uid="{00000000-0005-0000-0000-00000B000000}"/>
    <cellStyle name="Vírgula 2 2 3" xfId="10" xr:uid="{00000000-0005-0000-0000-00000C000000}"/>
    <cellStyle name="Vírgula 2 3" xfId="9" xr:uid="{00000000-0005-0000-0000-00000D000000}"/>
  </cellStyles>
  <dxfs count="10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8.xml"/><Relationship Id="rId47" Type="http://schemas.microsoft.com/office/2017/10/relationships/person" Target="persons/person.xml"/><Relationship Id="rId50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externalLink" Target="externalLinks/externalLink6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49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externalLink" Target="externalLinks/externalLink9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814916</xdr:colOff>
      <xdr:row>1</xdr:row>
      <xdr:rowOff>31751</xdr:rowOff>
    </xdr:from>
    <xdr:ext cx="1164167" cy="424846"/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16" y="214631"/>
          <a:ext cx="1164167" cy="424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814916</xdr:colOff>
      <xdr:row>1</xdr:row>
      <xdr:rowOff>31751</xdr:rowOff>
    </xdr:from>
    <xdr:to>
      <xdr:col>0</xdr:col>
      <xdr:colOff>1979083</xdr:colOff>
      <xdr:row>2</xdr:row>
      <xdr:rowOff>193525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916" y="245111"/>
          <a:ext cx="1164167" cy="420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814916</xdr:colOff>
      <xdr:row>1</xdr:row>
      <xdr:rowOff>31751</xdr:rowOff>
    </xdr:from>
    <xdr:ext cx="1164167" cy="422578"/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366" y="222251"/>
          <a:ext cx="1164167" cy="422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814916</xdr:colOff>
      <xdr:row>1</xdr:row>
      <xdr:rowOff>31751</xdr:rowOff>
    </xdr:from>
    <xdr:ext cx="1164167" cy="422578"/>
    <xdr:pic>
      <xdr:nvPicPr>
        <xdr:cNvPr id="2" name="Imagem 2">
          <a:extLst>
            <a:ext uri="{FF2B5EF4-FFF2-40B4-BE49-F238E27FC236}">
              <a16:creationId xmlns:a16="http://schemas.microsoft.com/office/drawing/2014/main" id="{C34F9D98-53A0-4C21-92F5-ED4EBF5B8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916" y="250826"/>
          <a:ext cx="1164167" cy="422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krlopesmachado.sharepoint.com/sites/Pool/Documentos%20Compartilhados/Trabalhos%20-%202025/Rel2025/DF%201%20TRIMESTRE%202025%20-%20BP_DRE_DRA_DMPL_DFC_DVA%20-%20BK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berkan.sharepoint.com/Clientes/Atuais/EPE/2023/Contabil/Demonstra&#231;&#245;es%20Financeiras/2%20-%20Trimestral/1&#186;%20Trimestre%202023/Material%20de%20apoio/C&#243;pia%20de%204Q.2023_Quadros%20DF%20-%20EPE_09.1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lientes\Atuais\EPE\2024\Contabil\Demonstra&#231;&#245;es%20Financeiras\1%20-%20Mensais\2%20-%20Fevereiro\DF%201%20TRIMESTRE%202024%20-%20BP_DRE_DRA_DMPL_DFC_DV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lientes\Atuais\EPE\2024\Contabil\Demonstra&#231;&#245;es%20Financeiras\1%20-%20Mensais\5%20-%20Maio\DF%202%20TRIMESTRE%202024%20-%20BP_DRE_DRA_DMPL_DFC_DVA%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lientes\Atuais\EPE\2025\Contabil\Analise\1.Janeiro\Apura&#231;ao%20IRPJ%20e%20CSLL\363-CSLLAP-012025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pegovbr.sharepoint.com/Users/natan.pereira/Desktop/EPE/Movimento/2026/3%20-%20Mar&#231;o/IRPJ%20e%20CSLL/363-IRPJAP-03.2026.xlsx" TargetMode="External"/><Relationship Id="rId1" Type="http://schemas.openxmlformats.org/officeDocument/2006/relationships/externalLinkPath" Target="/Users/natan.pereira/Desktop/EPE/Movimento/2026/3%20-%20Mar&#231;o/IRPJ%20e%20CSLL/363-IRPJAP-03.202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lientes\Atuais\EPE\2023\Contabil\Analise\6.Junho\Apura&#231;&#227;o%20de%20IRPJ%20e%20CSLL\363-IRPJAP-06202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krlopesmachado.sharepoint.com/Users/Misael/Downloads/363-CSLLAP-09202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lientes\Atuais\EPE\2024\Contabil\Demonstra&#231;&#245;es%20Financeiras\1%20-%20Mensais\1%20-%20Janeiro\Final\DF%201%20TRIMESTRE%202024%20-%20BP_DRE_DRA_DMPL_DFC_DVA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DRE"/>
      <sheetName val="DRA "/>
      <sheetName val="DMPL"/>
      <sheetName val="DFC "/>
      <sheetName val="DVA "/>
      <sheetName val="NE"/>
      <sheetName val="Balancete trim 2023"/>
      <sheetName val="NE DOMINI"/>
      <sheetName val="Balancete 03.2025"/>
      <sheetName val="DE x PARA"/>
      <sheetName val="Balancete 08.2023"/>
      <sheetName val="Listas"/>
      <sheetName val="Reembolso de custo"/>
      <sheetName val="Balancete trim"/>
      <sheetName val="REEMBOLSO DE CUSTOS 2023"/>
      <sheetName val="Contingências"/>
      <sheetName val="Extrato SIAF"/>
      <sheetName val="impostos a recupera"/>
      <sheetName val="Depósito judiciais"/>
      <sheetName val="impostos a recupera 2024"/>
      <sheetName val="Depósito judiciais 2024"/>
      <sheetName val="Impostos a recuperar 2023"/>
      <sheetName val="Depósitos judiciais 2023"/>
      <sheetName val="IRPJ_CSLL_2023"/>
      <sheetName val="IRPJ_CSLL_2024"/>
      <sheetName val="IRPJ_CSLL_2025"/>
      <sheetName val="Reconciliação IRPJ e CSLL"/>
      <sheetName val="Mov imo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4">
          <cell r="A84" t="str">
            <v>2.1.1.04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te"/>
      <sheetName val="PL"/>
      <sheetName val="Balancete 03.2023"/>
      <sheetName val="BP"/>
      <sheetName val="DRE"/>
      <sheetName val="DMPL"/>
      <sheetName val="DRA"/>
      <sheetName val="DVA "/>
      <sheetName val="DFC"/>
      <sheetName val="DF's"/>
      <sheetName val="Mov imob"/>
      <sheetName val="Depósitos judiciais"/>
      <sheetName val="Impostos a recuperar"/>
      <sheetName val="Instrumentos financeiros "/>
      <sheetName val="Razão Provisões p. Contigências"/>
      <sheetName val="Depositos judiciais"/>
    </sheetNames>
    <sheetDataSet>
      <sheetData sheetId="0" refreshError="1"/>
      <sheetData sheetId="1" refreshError="1"/>
      <sheetData sheetId="2">
        <row r="1408">
          <cell r="H1408">
            <v>0</v>
          </cell>
        </row>
      </sheetData>
      <sheetData sheetId="3">
        <row r="2">
          <cell r="B2" t="str">
            <v>Empresa de Pesquisa Energética - EPE</v>
          </cell>
        </row>
        <row r="3">
          <cell r="B3" t="str">
            <v>CNPJ 06.977.747/0001-80</v>
          </cell>
        </row>
        <row r="5">
          <cell r="B5" t="str">
            <v>(em milhares de reais)</v>
          </cell>
        </row>
      </sheetData>
      <sheetData sheetId="4">
        <row r="56">
          <cell r="E56">
            <v>2100</v>
          </cell>
        </row>
      </sheetData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DRE"/>
      <sheetName val="DRA "/>
      <sheetName val="DMPL"/>
      <sheetName val="DFC "/>
      <sheetName val="DVA "/>
      <sheetName val="DE x PARA"/>
      <sheetName val="Listas"/>
      <sheetName val="Reap."/>
      <sheetName val="NE"/>
      <sheetName val="Reembolso de custo"/>
      <sheetName val="Balancete 3ºtrim"/>
      <sheetName val="Balancete 02.2024"/>
      <sheetName val="Contingências"/>
      <sheetName val="Balancete 02.2023"/>
      <sheetName val="Extrato SIAF"/>
      <sheetName val="DF's"/>
      <sheetName val="impostos a recupera"/>
      <sheetName val="Depósito judiciais"/>
      <sheetName val="Impostos a recuperar 2023"/>
      <sheetName val="Depósitos judiciais 2023"/>
      <sheetName val="IRPJ_CSLL_2023"/>
      <sheetName val="IRPJ_CSLL_2022"/>
      <sheetName val="Reconciliação IRPJ e CSLL"/>
      <sheetName val="Mov imob"/>
      <sheetName val="Arrendamento"/>
      <sheetName val="NE (PASSIVO)"/>
      <sheetName val="NE (ATIVO)"/>
      <sheetName val="Cálculo 22_23"/>
    </sheetNames>
    <sheetDataSet>
      <sheetData sheetId="0">
        <row r="49">
          <cell r="H49">
            <v>0</v>
          </cell>
          <cell r="J4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DRE"/>
      <sheetName val="DRA "/>
      <sheetName val="DMPL"/>
      <sheetName val="DFC "/>
      <sheetName val="DVA "/>
      <sheetName val="DE x PARA"/>
      <sheetName val="Listas"/>
      <sheetName val="Reap."/>
      <sheetName val="NE"/>
      <sheetName val="Reembolso de custo"/>
      <sheetName val="Balancete 3ºtrim"/>
      <sheetName val="Balancete 05.2024"/>
      <sheetName val="Planilha1"/>
      <sheetName val="REEMBOLSO DE CUSTOS 2023"/>
      <sheetName val="Contingências"/>
      <sheetName val="Balancete 05.2023"/>
      <sheetName val="Extrato SIAF"/>
      <sheetName val="impostos a recupera"/>
      <sheetName val="Depósito judiciais"/>
      <sheetName val="Impostos a recuperar 2023"/>
      <sheetName val="Depósitos judiciais 2023"/>
      <sheetName val="Reap. BP_DRE"/>
      <sheetName val="Reap. DFC_DVA"/>
      <sheetName val="IRPJ_CSLL_2023"/>
      <sheetName val="IRPJ_CSLL_2024"/>
      <sheetName val="Reconciliação IRPJ e CSLL"/>
      <sheetName val="Mov imob"/>
      <sheetName val="Arrendamento"/>
      <sheetName val="NE (PASSIVO)"/>
      <sheetName val="NE (ATIVO)"/>
      <sheetName val="Cálculo 22_23"/>
    </sheetNames>
    <sheetDataSet>
      <sheetData sheetId="0">
        <row r="27">
          <cell r="D27">
            <v>0</v>
          </cell>
        </row>
      </sheetData>
      <sheetData sheetId="1"/>
      <sheetData sheetId="2"/>
      <sheetData sheetId="3"/>
      <sheetData sheetId="4"/>
      <sheetData sheetId="5"/>
      <sheetData sheetId="6">
        <row r="2">
          <cell r="B2">
            <v>1</v>
          </cell>
          <cell r="C2">
            <v>1</v>
          </cell>
          <cell r="D2" t="str">
            <v>Ativo</v>
          </cell>
          <cell r="E2" t="str">
            <v>S</v>
          </cell>
        </row>
        <row r="3">
          <cell r="B3" t="str">
            <v>1.1</v>
          </cell>
          <cell r="C3">
            <v>11</v>
          </cell>
          <cell r="D3" t="str">
            <v>Circulante</v>
          </cell>
          <cell r="E3" t="str">
            <v>S</v>
          </cell>
        </row>
        <row r="4">
          <cell r="B4" t="str">
            <v>1.1.1</v>
          </cell>
          <cell r="C4">
            <v>111</v>
          </cell>
          <cell r="D4" t="str">
            <v>Disponibilidades</v>
          </cell>
          <cell r="E4" t="str">
            <v>S</v>
          </cell>
        </row>
        <row r="5">
          <cell r="B5" t="str">
            <v>1.1.1.01</v>
          </cell>
          <cell r="C5">
            <v>1111</v>
          </cell>
          <cell r="D5" t="str">
            <v>Caixa</v>
          </cell>
          <cell r="E5" t="str">
            <v>S</v>
          </cell>
        </row>
        <row r="6">
          <cell r="B6" t="str">
            <v>1.1.1.01.0001</v>
          </cell>
          <cell r="C6">
            <v>11111</v>
          </cell>
          <cell r="D6" t="str">
            <v xml:space="preserve">Fundo Fixo Matriz </v>
          </cell>
          <cell r="E6" t="str">
            <v>A</v>
          </cell>
          <cell r="H6" t="str">
            <v>N/A</v>
          </cell>
          <cell r="I6">
            <v>500001</v>
          </cell>
          <cell r="J6" t="str">
            <v>No fim do exercício</v>
          </cell>
          <cell r="K6">
            <v>600030</v>
          </cell>
          <cell r="L6">
            <v>-1</v>
          </cell>
        </row>
        <row r="7">
          <cell r="B7" t="str">
            <v>1.1.1.01.0002</v>
          </cell>
          <cell r="C7">
            <v>11112</v>
          </cell>
          <cell r="D7" t="str">
            <v>Fundo Fixo Filial</v>
          </cell>
          <cell r="E7" t="str">
            <v>A</v>
          </cell>
          <cell r="H7" t="str">
            <v>N/A</v>
          </cell>
          <cell r="I7">
            <v>500001</v>
          </cell>
          <cell r="J7" t="str">
            <v>No fim do exercício</v>
          </cell>
          <cell r="K7">
            <v>600030</v>
          </cell>
          <cell r="L7">
            <v>-1</v>
          </cell>
        </row>
        <row r="8">
          <cell r="B8" t="str">
            <v>1.1.1.02</v>
          </cell>
          <cell r="C8">
            <v>1112</v>
          </cell>
          <cell r="D8" t="str">
            <v>Bancos</v>
          </cell>
          <cell r="E8" t="str">
            <v>S</v>
          </cell>
        </row>
        <row r="9">
          <cell r="B9" t="str">
            <v>1.1.1.02.0040</v>
          </cell>
          <cell r="C9" t="str">
            <v>BB</v>
          </cell>
          <cell r="D9" t="str">
            <v>Banco do Brasil conta única União</v>
          </cell>
          <cell r="E9" t="str">
            <v>A</v>
          </cell>
          <cell r="H9" t="str">
            <v>N/A</v>
          </cell>
          <cell r="I9">
            <v>500001</v>
          </cell>
          <cell r="J9" t="str">
            <v>No fim do exercício</v>
          </cell>
          <cell r="K9">
            <v>600030</v>
          </cell>
          <cell r="L9">
            <v>-1</v>
          </cell>
        </row>
        <row r="10">
          <cell r="B10" t="str">
            <v>1.1.1.02.0042</v>
          </cell>
          <cell r="C10" t="str">
            <v>CO</v>
          </cell>
          <cell r="D10" t="str">
            <v>Receita Cota Orçamentária</v>
          </cell>
          <cell r="E10" t="str">
            <v>A</v>
          </cell>
          <cell r="H10" t="str">
            <v>N/A</v>
          </cell>
          <cell r="I10">
            <v>500001</v>
          </cell>
          <cell r="J10" t="str">
            <v>No fim do exercício</v>
          </cell>
          <cell r="K10">
            <v>600030</v>
          </cell>
          <cell r="L10">
            <v>-1</v>
          </cell>
        </row>
        <row r="11">
          <cell r="B11" t="str">
            <v>1.1.1.02.0043</v>
          </cell>
          <cell r="C11" t="str">
            <v>BBT</v>
          </cell>
          <cell r="D11" t="str">
            <v>Banco do Brasil - Fonte do Tesouro</v>
          </cell>
          <cell r="E11" t="str">
            <v>A</v>
          </cell>
          <cell r="H11" t="str">
            <v>N/A</v>
          </cell>
          <cell r="I11">
            <v>500001</v>
          </cell>
          <cell r="J11" t="str">
            <v>No fim do exercício</v>
          </cell>
          <cell r="K11">
            <v>600030</v>
          </cell>
          <cell r="L11">
            <v>-1</v>
          </cell>
        </row>
        <row r="12">
          <cell r="B12" t="str">
            <v>1.1.1.02.0044</v>
          </cell>
          <cell r="C12" t="str">
            <v>BBR</v>
          </cell>
          <cell r="D12" t="str">
            <v>Banco do Brasil - Fonte de Recursos Próprios</v>
          </cell>
          <cell r="E12" t="str">
            <v>A</v>
          </cell>
          <cell r="H12" t="str">
            <v>N/A</v>
          </cell>
          <cell r="I12">
            <v>500001</v>
          </cell>
          <cell r="J12" t="str">
            <v>No fim do exercício</v>
          </cell>
          <cell r="K12">
            <v>600030</v>
          </cell>
          <cell r="L12">
            <v>-1</v>
          </cell>
        </row>
        <row r="13">
          <cell r="B13" t="str">
            <v>1.1.1.03</v>
          </cell>
          <cell r="C13">
            <v>1113</v>
          </cell>
          <cell r="D13" t="str">
            <v>Aplic. Financeiras de Liquidez Imediata</v>
          </cell>
          <cell r="E13" t="str">
            <v>S</v>
          </cell>
        </row>
        <row r="14">
          <cell r="B14" t="str">
            <v>1.1.2</v>
          </cell>
          <cell r="C14">
            <v>112</v>
          </cell>
          <cell r="D14" t="str">
            <v>Créditos, Direitos e Bens</v>
          </cell>
          <cell r="E14" t="str">
            <v>S</v>
          </cell>
        </row>
        <row r="15">
          <cell r="B15" t="str">
            <v>1.1.2.01</v>
          </cell>
          <cell r="C15">
            <v>1121</v>
          </cell>
          <cell r="D15" t="str">
            <v>Clientes</v>
          </cell>
          <cell r="E15" t="str">
            <v>S</v>
          </cell>
        </row>
        <row r="16">
          <cell r="B16" t="str">
            <v>1.1.2.01.0001</v>
          </cell>
          <cell r="C16">
            <v>11211</v>
          </cell>
          <cell r="D16" t="str">
            <v>Faturamento</v>
          </cell>
          <cell r="E16" t="str">
            <v>A</v>
          </cell>
          <cell r="H16" t="str">
            <v>N/A</v>
          </cell>
          <cell r="I16">
            <v>500001</v>
          </cell>
          <cell r="J16" t="str">
            <v>Conta a Receber - Leilões ANEEL</v>
          </cell>
          <cell r="K16">
            <v>600010</v>
          </cell>
          <cell r="L16">
            <v>-1</v>
          </cell>
        </row>
        <row r="17">
          <cell r="B17" t="str">
            <v>1.1.2.01.0002</v>
          </cell>
          <cell r="C17">
            <v>11212</v>
          </cell>
          <cell r="D17" t="str">
            <v>Venda de Livros Técnicos</v>
          </cell>
          <cell r="E17" t="str">
            <v>A</v>
          </cell>
          <cell r="H17" t="str">
            <v>N/A</v>
          </cell>
          <cell r="I17">
            <v>500001</v>
          </cell>
          <cell r="J17" t="str">
            <v>Outros ativos circulantes e não circulantes</v>
          </cell>
          <cell r="K17">
            <v>600016</v>
          </cell>
          <cell r="L17">
            <v>-1</v>
          </cell>
        </row>
        <row r="18">
          <cell r="B18" t="str">
            <v>1.1.2.01.0998</v>
          </cell>
          <cell r="C18">
            <v>1121998</v>
          </cell>
          <cell r="D18" t="str">
            <v>(-) Duplicatas Descontadas</v>
          </cell>
          <cell r="E18" t="str">
            <v>A</v>
          </cell>
          <cell r="H18" t="str">
            <v>N/A</v>
          </cell>
          <cell r="I18">
            <v>500001</v>
          </cell>
          <cell r="J18" t="str">
            <v>Outros ativos circulantes e não circulantes</v>
          </cell>
          <cell r="K18">
            <v>600016</v>
          </cell>
          <cell r="L18">
            <v>-1</v>
          </cell>
        </row>
        <row r="19">
          <cell r="B19" t="str">
            <v>1.1.2.01.0999</v>
          </cell>
          <cell r="C19">
            <v>1121999</v>
          </cell>
          <cell r="D19" t="str">
            <v>(-) Provisão p/ Devedores Duvidosos</v>
          </cell>
          <cell r="E19" t="str">
            <v>A</v>
          </cell>
          <cell r="H19" t="str">
            <v>N/A</v>
          </cell>
          <cell r="I19">
            <v>500001</v>
          </cell>
          <cell r="J19" t="str">
            <v>Outros ativos circulantes e não circulantes</v>
          </cell>
          <cell r="K19">
            <v>600016</v>
          </cell>
          <cell r="L19">
            <v>-1</v>
          </cell>
        </row>
        <row r="20">
          <cell r="B20" t="str">
            <v>1.1.2.02</v>
          </cell>
          <cell r="C20">
            <v>1122</v>
          </cell>
          <cell r="D20" t="str">
            <v>Rendas a Receber</v>
          </cell>
          <cell r="E20" t="str">
            <v>S</v>
          </cell>
        </row>
        <row r="21">
          <cell r="B21" t="str">
            <v>1.1.2.02.0001</v>
          </cell>
          <cell r="C21">
            <v>11221</v>
          </cell>
          <cell r="D21" t="str">
            <v>Encargos Financeiros</v>
          </cell>
          <cell r="E21" t="str">
            <v>A</v>
          </cell>
          <cell r="H21" t="str">
            <v>N/A</v>
          </cell>
          <cell r="I21">
            <v>500001</v>
          </cell>
          <cell r="J21" t="str">
            <v>Outros ativos circulantes e não circulantes</v>
          </cell>
          <cell r="K21">
            <v>600016</v>
          </cell>
          <cell r="L21">
            <v>-1</v>
          </cell>
        </row>
        <row r="22">
          <cell r="B22" t="str">
            <v>1.1.2.02.0002</v>
          </cell>
          <cell r="C22">
            <v>11222</v>
          </cell>
          <cell r="D22" t="str">
            <v>Aplicações Financeiras</v>
          </cell>
          <cell r="E22" t="str">
            <v>A</v>
          </cell>
          <cell r="H22" t="str">
            <v>N/A</v>
          </cell>
          <cell r="I22">
            <v>500001</v>
          </cell>
          <cell r="J22" t="str">
            <v>Outros ativos circulantes e não circulantes</v>
          </cell>
          <cell r="K22">
            <v>600016</v>
          </cell>
          <cell r="L22">
            <v>-1</v>
          </cell>
        </row>
        <row r="23">
          <cell r="B23" t="str">
            <v>1.1.2.03</v>
          </cell>
          <cell r="C23">
            <v>1123</v>
          </cell>
          <cell r="D23" t="str">
            <v>Tributos a Recuperar ou Compensáveis</v>
          </cell>
          <cell r="E23" t="str">
            <v>S</v>
          </cell>
        </row>
        <row r="24">
          <cell r="B24" t="str">
            <v>1.1.2.03.0001</v>
          </cell>
          <cell r="C24">
            <v>11231</v>
          </cell>
          <cell r="D24" t="str">
            <v>IRPJ a Recuperar</v>
          </cell>
          <cell r="E24" t="str">
            <v>A</v>
          </cell>
          <cell r="H24" t="str">
            <v>N/A</v>
          </cell>
          <cell r="I24">
            <v>500001</v>
          </cell>
          <cell r="J24" t="str">
            <v>Impostos a recuperar</v>
          </cell>
          <cell r="K24">
            <v>600014</v>
          </cell>
          <cell r="L24">
            <v>-1</v>
          </cell>
        </row>
        <row r="25">
          <cell r="B25" t="str">
            <v>1.1.2.03.0002</v>
          </cell>
          <cell r="C25">
            <v>11232</v>
          </cell>
          <cell r="D25" t="str">
            <v>IRPJ s/ Adições Temporárias</v>
          </cell>
          <cell r="E25" t="str">
            <v>A</v>
          </cell>
          <cell r="H25" t="str">
            <v>N/A</v>
          </cell>
          <cell r="I25">
            <v>500001</v>
          </cell>
          <cell r="J25" t="str">
            <v>Impostos a recuperar</v>
          </cell>
          <cell r="K25">
            <v>600014</v>
          </cell>
          <cell r="L25">
            <v>-1</v>
          </cell>
        </row>
        <row r="26">
          <cell r="B26" t="str">
            <v>1.1.2.03.0003</v>
          </cell>
          <cell r="C26">
            <v>11233</v>
          </cell>
          <cell r="D26" t="str">
            <v>IRPJ s/ Prejuízo Fiscal</v>
          </cell>
          <cell r="E26" t="str">
            <v>A</v>
          </cell>
          <cell r="H26" t="str">
            <v>N/A</v>
          </cell>
          <cell r="I26">
            <v>500001</v>
          </cell>
          <cell r="J26" t="str">
            <v>Impostos a recuperar</v>
          </cell>
          <cell r="K26">
            <v>600014</v>
          </cell>
          <cell r="L26">
            <v>-1</v>
          </cell>
        </row>
        <row r="27">
          <cell r="B27" t="str">
            <v>1.1.2.03.0004</v>
          </cell>
          <cell r="C27">
            <v>11234</v>
          </cell>
          <cell r="D27" t="str">
            <v>ISS a Recuperar</v>
          </cell>
          <cell r="E27" t="str">
            <v>A</v>
          </cell>
          <cell r="H27" t="str">
            <v>N/A</v>
          </cell>
          <cell r="I27">
            <v>500001</v>
          </cell>
          <cell r="J27" t="str">
            <v>Impostos a recuperar</v>
          </cell>
          <cell r="K27">
            <v>600014</v>
          </cell>
          <cell r="L27">
            <v>-1</v>
          </cell>
        </row>
        <row r="28">
          <cell r="B28" t="str">
            <v>1.1.2.03.0005</v>
          </cell>
          <cell r="C28">
            <v>11235</v>
          </cell>
          <cell r="D28" t="str">
            <v>CSLL a Recuperar</v>
          </cell>
          <cell r="E28" t="str">
            <v>A</v>
          </cell>
          <cell r="H28" t="str">
            <v>N/A</v>
          </cell>
          <cell r="I28">
            <v>500001</v>
          </cell>
          <cell r="J28" t="str">
            <v>Impostos a recuperar</v>
          </cell>
          <cell r="K28">
            <v>600014</v>
          </cell>
          <cell r="L28">
            <v>-1</v>
          </cell>
        </row>
        <row r="29">
          <cell r="B29" t="str">
            <v>1.1.2.03.0006</v>
          </cell>
          <cell r="C29">
            <v>11236</v>
          </cell>
          <cell r="D29" t="str">
            <v>CSLL s/ Adições Temporárias</v>
          </cell>
          <cell r="E29" t="str">
            <v>A</v>
          </cell>
          <cell r="H29" t="str">
            <v>N/A</v>
          </cell>
          <cell r="I29">
            <v>500001</v>
          </cell>
          <cell r="J29" t="str">
            <v>Impostos a recuperar</v>
          </cell>
          <cell r="K29">
            <v>600014</v>
          </cell>
          <cell r="L29">
            <v>-1</v>
          </cell>
        </row>
        <row r="30">
          <cell r="B30" t="str">
            <v>1.1.2.03.0007</v>
          </cell>
          <cell r="C30">
            <v>11237</v>
          </cell>
          <cell r="D30" t="str">
            <v>CSLL s/ Base de Cálculo Negativa</v>
          </cell>
          <cell r="E30" t="str">
            <v>A</v>
          </cell>
          <cell r="H30" t="str">
            <v>N/A</v>
          </cell>
          <cell r="I30">
            <v>500001</v>
          </cell>
          <cell r="J30" t="str">
            <v>Impostos a recuperar</v>
          </cell>
          <cell r="K30">
            <v>600014</v>
          </cell>
          <cell r="L30">
            <v>-1</v>
          </cell>
        </row>
        <row r="31">
          <cell r="B31" t="str">
            <v>1.1.2.03.0008</v>
          </cell>
          <cell r="C31">
            <v>11238</v>
          </cell>
          <cell r="D31" t="str">
            <v>PASEP a Recuperar</v>
          </cell>
          <cell r="E31" t="str">
            <v>A</v>
          </cell>
          <cell r="H31" t="str">
            <v>N/A</v>
          </cell>
          <cell r="I31">
            <v>500001</v>
          </cell>
          <cell r="J31" t="str">
            <v>Impostos a recuperar</v>
          </cell>
          <cell r="K31">
            <v>600014</v>
          </cell>
          <cell r="L31">
            <v>-1</v>
          </cell>
        </row>
        <row r="32">
          <cell r="B32" t="str">
            <v>1.1.2.03.0009</v>
          </cell>
          <cell r="C32">
            <v>11239</v>
          </cell>
          <cell r="D32" t="str">
            <v>COFINS a Recuperar</v>
          </cell>
          <cell r="E32" t="str">
            <v>A</v>
          </cell>
          <cell r="H32" t="str">
            <v>N/A</v>
          </cell>
          <cell r="I32">
            <v>500001</v>
          </cell>
          <cell r="J32" t="str">
            <v>Impostos a recuperar</v>
          </cell>
          <cell r="K32">
            <v>600014</v>
          </cell>
          <cell r="L32">
            <v>-1</v>
          </cell>
        </row>
        <row r="33">
          <cell r="B33" t="str">
            <v>1.1.2.03.0010</v>
          </cell>
          <cell r="C33">
            <v>112310</v>
          </cell>
          <cell r="D33" t="str">
            <v>INSS a Recuperar</v>
          </cell>
          <cell r="E33" t="str">
            <v>A</v>
          </cell>
          <cell r="H33" t="str">
            <v>N/A</v>
          </cell>
          <cell r="I33">
            <v>500001</v>
          </cell>
          <cell r="J33" t="str">
            <v>Impostos a recuperar</v>
          </cell>
          <cell r="K33">
            <v>600014</v>
          </cell>
          <cell r="L33">
            <v>-1</v>
          </cell>
        </row>
        <row r="34">
          <cell r="B34" t="str">
            <v>1.1.2.03.0011</v>
          </cell>
          <cell r="C34">
            <v>112311</v>
          </cell>
          <cell r="D34" t="str">
            <v>IRPJ a Compensar</v>
          </cell>
          <cell r="E34" t="str">
            <v>A</v>
          </cell>
          <cell r="H34" t="str">
            <v>N/A</v>
          </cell>
          <cell r="I34">
            <v>500001</v>
          </cell>
          <cell r="J34" t="str">
            <v>Impostos a recuperar</v>
          </cell>
          <cell r="K34">
            <v>600014</v>
          </cell>
          <cell r="L34">
            <v>-1</v>
          </cell>
        </row>
        <row r="35">
          <cell r="B35" t="str">
            <v>1.1.2.03.0012</v>
          </cell>
          <cell r="C35">
            <v>112312</v>
          </cell>
          <cell r="D35" t="str">
            <v>CSLL a Compensar</v>
          </cell>
          <cell r="E35" t="str">
            <v>A</v>
          </cell>
          <cell r="H35" t="str">
            <v>N/A</v>
          </cell>
          <cell r="I35">
            <v>500001</v>
          </cell>
          <cell r="J35" t="str">
            <v>Impostos a recuperar</v>
          </cell>
          <cell r="K35">
            <v>600014</v>
          </cell>
          <cell r="L35">
            <v>-1</v>
          </cell>
        </row>
        <row r="36">
          <cell r="B36" t="str">
            <v>1.1.2.03.0013</v>
          </cell>
          <cell r="C36">
            <v>112313</v>
          </cell>
          <cell r="D36" t="str">
            <v>PASEP a Compensar</v>
          </cell>
          <cell r="E36" t="str">
            <v>A</v>
          </cell>
          <cell r="H36" t="str">
            <v>N/A</v>
          </cell>
          <cell r="I36">
            <v>500001</v>
          </cell>
          <cell r="J36" t="str">
            <v>Impostos a recuperar</v>
          </cell>
          <cell r="K36">
            <v>600014</v>
          </cell>
          <cell r="L36">
            <v>-1</v>
          </cell>
        </row>
        <row r="37">
          <cell r="B37" t="str">
            <v>1.1.2.03.0014</v>
          </cell>
          <cell r="C37">
            <v>112314</v>
          </cell>
          <cell r="D37" t="str">
            <v>COFINS a Compensar</v>
          </cell>
          <cell r="E37" t="str">
            <v>A</v>
          </cell>
          <cell r="H37" t="str">
            <v>N/A</v>
          </cell>
          <cell r="I37">
            <v>500001</v>
          </cell>
          <cell r="J37" t="str">
            <v>Impostos a recuperar</v>
          </cell>
          <cell r="K37">
            <v>600014</v>
          </cell>
          <cell r="L37">
            <v>-1</v>
          </cell>
        </row>
        <row r="38">
          <cell r="B38" t="str">
            <v>1.1.2.03.0015</v>
          </cell>
          <cell r="C38">
            <v>112315</v>
          </cell>
          <cell r="D38" t="str">
            <v>FGTS a Recuperar</v>
          </cell>
          <cell r="E38" t="str">
            <v>A</v>
          </cell>
          <cell r="H38" t="str">
            <v>N/A</v>
          </cell>
          <cell r="I38">
            <v>500001</v>
          </cell>
          <cell r="J38" t="str">
            <v>Impostos a recuperar</v>
          </cell>
          <cell r="K38">
            <v>600014</v>
          </cell>
          <cell r="L38">
            <v>-1</v>
          </cell>
        </row>
        <row r="39">
          <cell r="B39" t="str">
            <v>1.1.2.03.0016</v>
          </cell>
          <cell r="C39">
            <v>112316</v>
          </cell>
          <cell r="D39" t="str">
            <v>IRPJ Estimativa</v>
          </cell>
          <cell r="E39" t="str">
            <v>A</v>
          </cell>
          <cell r="H39" t="str">
            <v>N/A</v>
          </cell>
          <cell r="I39">
            <v>500001</v>
          </cell>
          <cell r="J39" t="str">
            <v>Impostos a recuperar</v>
          </cell>
          <cell r="K39">
            <v>600014</v>
          </cell>
          <cell r="L39">
            <v>-1</v>
          </cell>
        </row>
        <row r="40">
          <cell r="B40" t="str">
            <v>1.1.2.03.0017</v>
          </cell>
          <cell r="C40">
            <v>112317</v>
          </cell>
          <cell r="D40" t="str">
            <v>CSLL Estimativa</v>
          </cell>
          <cell r="E40" t="str">
            <v>A</v>
          </cell>
          <cell r="H40" t="str">
            <v>N/A</v>
          </cell>
          <cell r="I40">
            <v>500001</v>
          </cell>
          <cell r="J40" t="str">
            <v>Impostos a recuperar</v>
          </cell>
          <cell r="K40">
            <v>600014</v>
          </cell>
          <cell r="L40">
            <v>-1</v>
          </cell>
        </row>
        <row r="41">
          <cell r="B41" t="str">
            <v>1.1.2.03.0018</v>
          </cell>
          <cell r="C41">
            <v>112318</v>
          </cell>
          <cell r="D41" t="str">
            <v>IRPJ Diferido</v>
          </cell>
          <cell r="E41" t="str">
            <v>A</v>
          </cell>
          <cell r="H41" t="str">
            <v>N/A</v>
          </cell>
          <cell r="I41">
            <v>500001</v>
          </cell>
          <cell r="J41" t="str">
            <v>Impostos a recuperar</v>
          </cell>
          <cell r="K41">
            <v>600014</v>
          </cell>
          <cell r="L41">
            <v>-1</v>
          </cell>
        </row>
        <row r="42">
          <cell r="B42" t="str">
            <v>1.1.2.03.0019</v>
          </cell>
          <cell r="C42">
            <v>112319</v>
          </cell>
          <cell r="D42" t="str">
            <v>CSLL Diferida</v>
          </cell>
          <cell r="E42" t="str">
            <v>A</v>
          </cell>
          <cell r="H42" t="str">
            <v>N/A</v>
          </cell>
          <cell r="I42">
            <v>500001</v>
          </cell>
          <cell r="J42" t="str">
            <v>Impostos a recuperar</v>
          </cell>
          <cell r="K42">
            <v>600014</v>
          </cell>
          <cell r="L42">
            <v>-1</v>
          </cell>
        </row>
        <row r="43">
          <cell r="B43" t="str">
            <v>1.1.2.03.0020</v>
          </cell>
          <cell r="C43">
            <v>112320</v>
          </cell>
          <cell r="D43" t="str">
            <v>IRPJ s/ Aplicação Financeira</v>
          </cell>
          <cell r="E43" t="str">
            <v>A</v>
          </cell>
          <cell r="H43" t="str">
            <v>N/A</v>
          </cell>
          <cell r="I43">
            <v>500001</v>
          </cell>
          <cell r="J43" t="str">
            <v>Impostos a recuperar</v>
          </cell>
          <cell r="K43">
            <v>600014</v>
          </cell>
          <cell r="L43">
            <v>-1</v>
          </cell>
        </row>
        <row r="44">
          <cell r="B44" t="str">
            <v>1.1.2.03.0021</v>
          </cell>
          <cell r="C44">
            <v>112321</v>
          </cell>
          <cell r="D44" t="str">
            <v>Antecipação de IRRF - 0561</v>
          </cell>
          <cell r="E44" t="str">
            <v>A</v>
          </cell>
          <cell r="H44" t="str">
            <v>N/A</v>
          </cell>
          <cell r="I44">
            <v>500001</v>
          </cell>
          <cell r="J44" t="str">
            <v>Impostos a recuperar</v>
          </cell>
          <cell r="K44">
            <v>600014</v>
          </cell>
          <cell r="L44">
            <v>-1</v>
          </cell>
        </row>
        <row r="45">
          <cell r="B45" t="str">
            <v>1.1.2.03.0022</v>
          </cell>
          <cell r="C45">
            <v>112322</v>
          </cell>
          <cell r="D45" t="str">
            <v>Antecipação - COSIRF</v>
          </cell>
          <cell r="E45" t="str">
            <v>A</v>
          </cell>
          <cell r="H45" t="str">
            <v>N/A</v>
          </cell>
          <cell r="I45">
            <v>500001</v>
          </cell>
          <cell r="J45" t="str">
            <v>Impostos a recuperar</v>
          </cell>
          <cell r="K45">
            <v>600014</v>
          </cell>
          <cell r="L45">
            <v>-1</v>
          </cell>
        </row>
        <row r="46">
          <cell r="B46" t="str">
            <v>1.1.2.03.0023</v>
          </cell>
          <cell r="C46">
            <v>112323</v>
          </cell>
          <cell r="D46" t="str">
            <v>IRRF a Compensar</v>
          </cell>
          <cell r="E46" t="str">
            <v>A</v>
          </cell>
          <cell r="H46" t="str">
            <v>N/A</v>
          </cell>
          <cell r="I46">
            <v>500001</v>
          </cell>
          <cell r="J46" t="str">
            <v>Impostos a recuperar</v>
          </cell>
          <cell r="K46">
            <v>600014</v>
          </cell>
          <cell r="L46">
            <v>-1</v>
          </cell>
        </row>
        <row r="47">
          <cell r="B47" t="str">
            <v>1.1.2.03.0024</v>
          </cell>
          <cell r="C47">
            <v>112324</v>
          </cell>
          <cell r="D47" t="str">
            <v>IOF a Restituir</v>
          </cell>
          <cell r="E47" t="str">
            <v>A</v>
          </cell>
          <cell r="H47" t="str">
            <v>N/A</v>
          </cell>
          <cell r="I47">
            <v>500001</v>
          </cell>
          <cell r="J47" t="str">
            <v>Impostos a recuperar</v>
          </cell>
          <cell r="K47">
            <v>600014</v>
          </cell>
          <cell r="L47">
            <v>-1</v>
          </cell>
        </row>
        <row r="48">
          <cell r="B48" t="str">
            <v>1.1.2.03.0025</v>
          </cell>
          <cell r="C48">
            <v>112325</v>
          </cell>
          <cell r="D48" t="str">
            <v>IRRF a Restituir</v>
          </cell>
          <cell r="E48" t="str">
            <v>A</v>
          </cell>
          <cell r="H48" t="str">
            <v>N/A</v>
          </cell>
          <cell r="I48">
            <v>500001</v>
          </cell>
          <cell r="J48" t="str">
            <v>Impostos a recuperar</v>
          </cell>
          <cell r="K48">
            <v>600014</v>
          </cell>
          <cell r="L48">
            <v>-1</v>
          </cell>
        </row>
        <row r="49">
          <cell r="B49" t="str">
            <v>1.1.2.03.0026</v>
          </cell>
          <cell r="C49">
            <v>112326</v>
          </cell>
          <cell r="D49" t="str">
            <v>CIDE  a Restituir</v>
          </cell>
          <cell r="E49" t="str">
            <v>A</v>
          </cell>
          <cell r="H49" t="str">
            <v>N/A</v>
          </cell>
          <cell r="I49">
            <v>500001</v>
          </cell>
          <cell r="J49" t="str">
            <v>Impostos a recuperar</v>
          </cell>
          <cell r="K49">
            <v>600014</v>
          </cell>
          <cell r="L49">
            <v>-1</v>
          </cell>
        </row>
        <row r="50">
          <cell r="B50" t="str">
            <v>1.1.2.03.0027</v>
          </cell>
          <cell r="C50">
            <v>112327</v>
          </cell>
          <cell r="D50" t="str">
            <v>PIS a Restituir</v>
          </cell>
          <cell r="E50" t="str">
            <v>A</v>
          </cell>
          <cell r="H50" t="str">
            <v>N/A</v>
          </cell>
          <cell r="I50">
            <v>500001</v>
          </cell>
          <cell r="J50" t="str">
            <v>Impostos a recuperar</v>
          </cell>
          <cell r="K50">
            <v>600014</v>
          </cell>
          <cell r="L50">
            <v>-1</v>
          </cell>
        </row>
        <row r="51">
          <cell r="B51" t="str">
            <v>1.1.2.03.0028</v>
          </cell>
          <cell r="C51">
            <v>112328</v>
          </cell>
          <cell r="D51" t="str">
            <v>COFINS  a Restituir</v>
          </cell>
          <cell r="E51" t="str">
            <v>A</v>
          </cell>
          <cell r="H51" t="str">
            <v>N/A</v>
          </cell>
          <cell r="I51">
            <v>500001</v>
          </cell>
          <cell r="J51" t="str">
            <v>Impostos a recuperar</v>
          </cell>
          <cell r="K51">
            <v>600014</v>
          </cell>
          <cell r="L51">
            <v>-1</v>
          </cell>
        </row>
        <row r="52">
          <cell r="B52" t="str">
            <v>1.1.2.03.0029</v>
          </cell>
          <cell r="C52">
            <v>112329</v>
          </cell>
          <cell r="D52" t="str">
            <v>ISS a Restituir</v>
          </cell>
          <cell r="E52" t="str">
            <v>A</v>
          </cell>
          <cell r="H52" t="str">
            <v>N/A</v>
          </cell>
          <cell r="I52">
            <v>500001</v>
          </cell>
          <cell r="J52" t="str">
            <v>Impostos a recuperar</v>
          </cell>
          <cell r="K52">
            <v>600014</v>
          </cell>
          <cell r="L52">
            <v>-1</v>
          </cell>
        </row>
        <row r="53">
          <cell r="B53" t="str">
            <v>1.1.2.03.0030</v>
          </cell>
          <cell r="C53">
            <v>112330</v>
          </cell>
          <cell r="D53" t="str">
            <v>CSLL a Restituir</v>
          </cell>
          <cell r="E53" t="str">
            <v>A</v>
          </cell>
          <cell r="H53" t="str">
            <v>N/A</v>
          </cell>
          <cell r="I53">
            <v>500001</v>
          </cell>
          <cell r="J53" t="str">
            <v>Impostos a recuperar</v>
          </cell>
          <cell r="K53">
            <v>600014</v>
          </cell>
          <cell r="L53">
            <v>-1</v>
          </cell>
        </row>
        <row r="54">
          <cell r="B54" t="str">
            <v>1.1.2.03.0031</v>
          </cell>
          <cell r="C54">
            <v>112331</v>
          </cell>
          <cell r="D54" t="str">
            <v>CIDE a compensar</v>
          </cell>
          <cell r="E54" t="str">
            <v>A</v>
          </cell>
          <cell r="H54" t="str">
            <v>N/A</v>
          </cell>
          <cell r="I54">
            <v>500001</v>
          </cell>
          <cell r="J54" t="str">
            <v>Impostos a recuperar</v>
          </cell>
          <cell r="K54">
            <v>600014</v>
          </cell>
          <cell r="L54">
            <v>-1</v>
          </cell>
        </row>
        <row r="55">
          <cell r="B55" t="str">
            <v>1.1.2.03.0032</v>
          </cell>
          <cell r="C55">
            <v>112332</v>
          </cell>
          <cell r="D55" t="str">
            <v>IRPJ estimativa 2021</v>
          </cell>
          <cell r="E55" t="str">
            <v>A</v>
          </cell>
          <cell r="H55" t="str">
            <v>N/A</v>
          </cell>
          <cell r="I55">
            <v>500001</v>
          </cell>
          <cell r="J55" t="str">
            <v>Impostos a recuperar</v>
          </cell>
          <cell r="K55">
            <v>600014</v>
          </cell>
          <cell r="L55">
            <v>-1</v>
          </cell>
        </row>
        <row r="56">
          <cell r="B56" t="str">
            <v>1.1.2.03.0033</v>
          </cell>
          <cell r="C56">
            <v>112333</v>
          </cell>
          <cell r="D56" t="str">
            <v>CSLL estimativa 2021</v>
          </cell>
          <cell r="E56" t="str">
            <v>A</v>
          </cell>
          <cell r="H56" t="str">
            <v>N/A</v>
          </cell>
          <cell r="I56">
            <v>500001</v>
          </cell>
          <cell r="J56" t="str">
            <v>Impostos a recuperar</v>
          </cell>
          <cell r="K56">
            <v>600014</v>
          </cell>
          <cell r="L56">
            <v>-1</v>
          </cell>
        </row>
        <row r="57">
          <cell r="B57" t="str">
            <v>1.1.2.03.0034</v>
          </cell>
          <cell r="C57">
            <v>112334</v>
          </cell>
          <cell r="D57" t="str">
            <v>COSIRF a restituir</v>
          </cell>
          <cell r="E57" t="str">
            <v>A</v>
          </cell>
          <cell r="H57" t="str">
            <v>N/A</v>
          </cell>
          <cell r="I57">
            <v>500001</v>
          </cell>
          <cell r="J57" t="str">
            <v>Impostos a recuperar</v>
          </cell>
          <cell r="K57">
            <v>600014</v>
          </cell>
          <cell r="L57">
            <v>-1</v>
          </cell>
        </row>
        <row r="58">
          <cell r="B58" t="str">
            <v>1.1.2.03.0035</v>
          </cell>
          <cell r="C58">
            <v>112335</v>
          </cell>
          <cell r="D58" t="str">
            <v>Outros créditos</v>
          </cell>
          <cell r="E58" t="str">
            <v>A</v>
          </cell>
          <cell r="H58" t="str">
            <v>N/A</v>
          </cell>
          <cell r="I58">
            <v>500001</v>
          </cell>
          <cell r="J58" t="str">
            <v>Impostos a recuperar</v>
          </cell>
          <cell r="K58">
            <v>600014</v>
          </cell>
          <cell r="L58">
            <v>-1</v>
          </cell>
        </row>
        <row r="59">
          <cell r="B59" t="str">
            <v>1.1.2.03.0036</v>
          </cell>
          <cell r="C59">
            <v>112336</v>
          </cell>
          <cell r="D59" t="str">
            <v>IRPJ estimativa 2022</v>
          </cell>
          <cell r="E59" t="str">
            <v>A</v>
          </cell>
          <cell r="H59" t="str">
            <v>N/A</v>
          </cell>
          <cell r="I59">
            <v>500001</v>
          </cell>
          <cell r="J59" t="str">
            <v>Impostos a recuperar</v>
          </cell>
          <cell r="K59">
            <v>600014</v>
          </cell>
          <cell r="L59">
            <v>-1</v>
          </cell>
        </row>
        <row r="60">
          <cell r="B60" t="str">
            <v>1.1.2.03.0037</v>
          </cell>
          <cell r="C60">
            <v>112337</v>
          </cell>
          <cell r="D60" t="str">
            <v>CSLL estimativa 2022</v>
          </cell>
          <cell r="E60" t="str">
            <v>A</v>
          </cell>
          <cell r="H60" t="str">
            <v>N/A</v>
          </cell>
          <cell r="I60">
            <v>500001</v>
          </cell>
          <cell r="J60" t="str">
            <v>Impostos a recuperar</v>
          </cell>
          <cell r="K60">
            <v>600014</v>
          </cell>
          <cell r="L60">
            <v>-1</v>
          </cell>
        </row>
        <row r="61">
          <cell r="B61" t="str">
            <v>1.1.2.03.0038</v>
          </cell>
          <cell r="C61">
            <v>112338</v>
          </cell>
          <cell r="D61" t="str">
            <v>IRPJ estimativa 2023</v>
          </cell>
          <cell r="E61" t="str">
            <v>A</v>
          </cell>
          <cell r="H61" t="str">
            <v>N/A</v>
          </cell>
          <cell r="I61">
            <v>500001</v>
          </cell>
          <cell r="J61" t="str">
            <v>Impostos a recuperar</v>
          </cell>
          <cell r="K61">
            <v>600014</v>
          </cell>
          <cell r="L61">
            <v>-1</v>
          </cell>
        </row>
        <row r="62">
          <cell r="B62" t="str">
            <v>1.1.2.03.0039</v>
          </cell>
          <cell r="C62">
            <v>112339</v>
          </cell>
          <cell r="D62" t="str">
            <v>CSLL estimativa 2023</v>
          </cell>
          <cell r="E62" t="str">
            <v>A</v>
          </cell>
          <cell r="H62" t="str">
            <v>N/A</v>
          </cell>
          <cell r="I62">
            <v>500001</v>
          </cell>
          <cell r="J62" t="str">
            <v>Impostos a recuperar</v>
          </cell>
          <cell r="K62">
            <v>600014</v>
          </cell>
          <cell r="L62">
            <v>-1</v>
          </cell>
        </row>
        <row r="63">
          <cell r="B63" t="str">
            <v>1.1.2.03.0999</v>
          </cell>
          <cell r="C63">
            <v>1123999</v>
          </cell>
          <cell r="D63" t="str">
            <v>Outras Retenções de Tributos</v>
          </cell>
          <cell r="E63" t="str">
            <v>A</v>
          </cell>
          <cell r="H63" t="str">
            <v>N/A</v>
          </cell>
          <cell r="I63">
            <v>500001</v>
          </cell>
          <cell r="J63" t="str">
            <v>Impostos a recuperar</v>
          </cell>
          <cell r="K63">
            <v>600014</v>
          </cell>
          <cell r="L63">
            <v>-1</v>
          </cell>
        </row>
        <row r="64">
          <cell r="B64" t="str">
            <v>1.1.2.04</v>
          </cell>
          <cell r="C64">
            <v>1124</v>
          </cell>
          <cell r="D64" t="str">
            <v>Adiantamentos a Empregados</v>
          </cell>
          <cell r="E64" t="str">
            <v>S</v>
          </cell>
        </row>
        <row r="65">
          <cell r="B65" t="str">
            <v>1.1.2.04.0001</v>
          </cell>
          <cell r="C65">
            <v>11241</v>
          </cell>
          <cell r="D65" t="str">
            <v>Adiantamento de Férias</v>
          </cell>
          <cell r="E65" t="str">
            <v>A</v>
          </cell>
          <cell r="H65" t="str">
            <v>N/A</v>
          </cell>
          <cell r="I65">
            <v>500001</v>
          </cell>
          <cell r="J65" t="str">
            <v>Adiantamentos concedidos</v>
          </cell>
          <cell r="K65">
            <v>600011</v>
          </cell>
          <cell r="L65">
            <v>-1</v>
          </cell>
        </row>
        <row r="66">
          <cell r="B66" t="str">
            <v>1.1.2.04.0002</v>
          </cell>
          <cell r="C66">
            <v>11242</v>
          </cell>
          <cell r="D66" t="str">
            <v>Adiantamento de 13º Salário</v>
          </cell>
          <cell r="E66" t="str">
            <v>A</v>
          </cell>
          <cell r="H66" t="str">
            <v>N/A</v>
          </cell>
          <cell r="I66">
            <v>500001</v>
          </cell>
          <cell r="J66" t="str">
            <v>Adiantamentos concedidos</v>
          </cell>
          <cell r="K66">
            <v>600011</v>
          </cell>
          <cell r="L66">
            <v>-1</v>
          </cell>
        </row>
        <row r="67">
          <cell r="B67" t="str">
            <v>1.1.2.04.0003</v>
          </cell>
          <cell r="C67">
            <v>11243</v>
          </cell>
          <cell r="D67" t="str">
            <v>Adiantamento de Viagem</v>
          </cell>
          <cell r="E67" t="str">
            <v>A</v>
          </cell>
          <cell r="H67" t="str">
            <v>N/A</v>
          </cell>
          <cell r="I67">
            <v>500001</v>
          </cell>
          <cell r="J67" t="str">
            <v>Adiantamentos concedidos</v>
          </cell>
          <cell r="K67">
            <v>600011</v>
          </cell>
          <cell r="L67">
            <v>-1</v>
          </cell>
        </row>
        <row r="68">
          <cell r="B68" t="str">
            <v>1.1.2.04.0004</v>
          </cell>
          <cell r="C68">
            <v>11244</v>
          </cell>
          <cell r="D68" t="str">
            <v>Adiantamento de Salário</v>
          </cell>
          <cell r="E68" t="str">
            <v>A</v>
          </cell>
          <cell r="H68" t="str">
            <v>N/A</v>
          </cell>
          <cell r="I68">
            <v>500001</v>
          </cell>
          <cell r="J68" t="str">
            <v>Adiantamentos concedidos</v>
          </cell>
          <cell r="K68">
            <v>600011</v>
          </cell>
          <cell r="L68">
            <v>-1</v>
          </cell>
        </row>
        <row r="69">
          <cell r="B69" t="str">
            <v>1.1.2.04.0005</v>
          </cell>
          <cell r="C69">
            <v>11245</v>
          </cell>
          <cell r="D69" t="str">
            <v>Adiant. p/Atender Compromissos da EPE</v>
          </cell>
          <cell r="E69" t="str">
            <v>A</v>
          </cell>
          <cell r="H69" t="str">
            <v>N/A</v>
          </cell>
          <cell r="I69">
            <v>500001</v>
          </cell>
          <cell r="J69" t="str">
            <v>Adiantamentos concedidos</v>
          </cell>
          <cell r="K69">
            <v>600011</v>
          </cell>
          <cell r="L69">
            <v>-1</v>
          </cell>
        </row>
        <row r="70">
          <cell r="B70" t="str">
            <v>1.1.2.04.0006</v>
          </cell>
          <cell r="C70">
            <v>11246</v>
          </cell>
          <cell r="D70" t="str">
            <v>Adiantamento de Viagem ao Exterior</v>
          </cell>
          <cell r="E70" t="str">
            <v>A</v>
          </cell>
          <cell r="H70" t="str">
            <v>N/A</v>
          </cell>
          <cell r="I70">
            <v>500001</v>
          </cell>
          <cell r="J70" t="str">
            <v>Adiantamentos concedidos</v>
          </cell>
          <cell r="K70">
            <v>600011</v>
          </cell>
          <cell r="L70">
            <v>-1</v>
          </cell>
        </row>
        <row r="71">
          <cell r="B71" t="str">
            <v>1.1.2.04.0024</v>
          </cell>
          <cell r="C71">
            <v>112424</v>
          </cell>
          <cell r="D71" t="str">
            <v>Empréstimo a funcionários</v>
          </cell>
          <cell r="E71" t="str">
            <v>A</v>
          </cell>
          <cell r="H71" t="str">
            <v>N/A</v>
          </cell>
          <cell r="I71">
            <v>500001</v>
          </cell>
          <cell r="J71" t="str">
            <v>Adiantamentos concedidos</v>
          </cell>
          <cell r="K71">
            <v>600011</v>
          </cell>
          <cell r="L71">
            <v>-1</v>
          </cell>
        </row>
        <row r="72">
          <cell r="B72" t="str">
            <v>1.1.2.04.0025</v>
          </cell>
          <cell r="C72">
            <v>112425</v>
          </cell>
          <cell r="D72" t="str">
            <v>Mensalidade AEPE</v>
          </cell>
          <cell r="E72" t="str">
            <v>A</v>
          </cell>
          <cell r="H72" t="str">
            <v>N/A</v>
          </cell>
          <cell r="I72">
            <v>500001</v>
          </cell>
          <cell r="J72" t="str">
            <v>Adiantamentos concedidos</v>
          </cell>
          <cell r="K72">
            <v>600011</v>
          </cell>
          <cell r="L72">
            <v>-1</v>
          </cell>
        </row>
        <row r="73">
          <cell r="B73" t="str">
            <v>1.1.2.04.0999</v>
          </cell>
          <cell r="C73">
            <v>1124999</v>
          </cell>
          <cell r="D73" t="str">
            <v>Adiantamentos p/ Outros Gastos</v>
          </cell>
          <cell r="E73" t="str">
            <v>A</v>
          </cell>
          <cell r="H73" t="str">
            <v>N/A</v>
          </cell>
          <cell r="I73">
            <v>500001</v>
          </cell>
          <cell r="J73" t="str">
            <v>Adiantamentos concedidos</v>
          </cell>
          <cell r="K73">
            <v>600011</v>
          </cell>
          <cell r="L73">
            <v>-1</v>
          </cell>
        </row>
        <row r="74">
          <cell r="B74" t="str">
            <v>1.1.2.05</v>
          </cell>
          <cell r="C74">
            <v>1125</v>
          </cell>
          <cell r="D74" t="str">
            <v>Adiantamentos a Terceiros</v>
          </cell>
          <cell r="E74" t="str">
            <v>S</v>
          </cell>
        </row>
        <row r="75">
          <cell r="B75" t="str">
            <v>1.1.2.05.0001</v>
          </cell>
          <cell r="C75">
            <v>11251</v>
          </cell>
          <cell r="D75" t="str">
            <v>Adiantamentos a Fornecedores</v>
          </cell>
          <cell r="E75" t="str">
            <v>A</v>
          </cell>
          <cell r="H75" t="str">
            <v>N/A</v>
          </cell>
          <cell r="I75">
            <v>500001</v>
          </cell>
          <cell r="J75" t="str">
            <v>Adiantamentos concedidos</v>
          </cell>
          <cell r="K75">
            <v>600011</v>
          </cell>
          <cell r="L75">
            <v>-1</v>
          </cell>
        </row>
        <row r="76">
          <cell r="B76" t="str">
            <v>1.1.2.05.0002</v>
          </cell>
          <cell r="C76">
            <v>11252</v>
          </cell>
          <cell r="D76" t="str">
            <v>Adiantamento p/ Seminários</v>
          </cell>
          <cell r="E76" t="str">
            <v>A</v>
          </cell>
          <cell r="H76" t="str">
            <v>N/A</v>
          </cell>
          <cell r="I76">
            <v>500001</v>
          </cell>
          <cell r="J76" t="str">
            <v>Adiantamentos concedidos</v>
          </cell>
          <cell r="K76">
            <v>600011</v>
          </cell>
          <cell r="L76">
            <v>-1</v>
          </cell>
        </row>
        <row r="77">
          <cell r="B77" t="str">
            <v>1.1.2.05.0003</v>
          </cell>
          <cell r="C77">
            <v>11253</v>
          </cell>
          <cell r="D77" t="str">
            <v>Outros Adiantamentos</v>
          </cell>
          <cell r="E77" t="str">
            <v>A</v>
          </cell>
          <cell r="H77" t="str">
            <v>N/A</v>
          </cell>
          <cell r="I77">
            <v>500001</v>
          </cell>
          <cell r="J77" t="str">
            <v>Adiantamentos concedidos</v>
          </cell>
          <cell r="K77">
            <v>600011</v>
          </cell>
          <cell r="L77">
            <v>-1</v>
          </cell>
        </row>
        <row r="78">
          <cell r="B78" t="str">
            <v>1.1.2.05.0004</v>
          </cell>
          <cell r="C78">
            <v>11254</v>
          </cell>
          <cell r="D78" t="str">
            <v>Adiantamento p/ Órgãos Federais</v>
          </cell>
          <cell r="E78" t="str">
            <v>A</v>
          </cell>
          <cell r="H78" t="str">
            <v>N/A</v>
          </cell>
          <cell r="I78">
            <v>500001</v>
          </cell>
          <cell r="J78" t="str">
            <v>Adiantamentos concedidos</v>
          </cell>
          <cell r="K78">
            <v>600011</v>
          </cell>
          <cell r="L78">
            <v>-1</v>
          </cell>
        </row>
        <row r="79">
          <cell r="B79" t="str">
            <v>1.1.2.06</v>
          </cell>
          <cell r="C79">
            <v>1126</v>
          </cell>
          <cell r="D79" t="str">
            <v>Títulos e Valores Mobiliários</v>
          </cell>
          <cell r="E79" t="str">
            <v>S</v>
          </cell>
        </row>
        <row r="80">
          <cell r="B80" t="str">
            <v>1.1.2.06.0001</v>
          </cell>
          <cell r="C80">
            <v>11261</v>
          </cell>
          <cell r="D80" t="str">
            <v>Ações - Preço de Aquisição</v>
          </cell>
          <cell r="E80" t="str">
            <v>A</v>
          </cell>
          <cell r="H80" t="str">
            <v>N/A</v>
          </cell>
          <cell r="I80">
            <v>500001</v>
          </cell>
          <cell r="J80" t="str">
            <v>Outros ativos circulantes e não circulantes</v>
          </cell>
          <cell r="K80">
            <v>600016</v>
          </cell>
          <cell r="L80">
            <v>-1</v>
          </cell>
        </row>
        <row r="81">
          <cell r="B81" t="str">
            <v>1.1.2.06.0002</v>
          </cell>
          <cell r="C81">
            <v>11262</v>
          </cell>
          <cell r="D81" t="str">
            <v>(-) Ações - Provisão p/ Redução ao Valor</v>
          </cell>
          <cell r="E81" t="str">
            <v>A</v>
          </cell>
          <cell r="H81" t="str">
            <v>N/A</v>
          </cell>
          <cell r="I81">
            <v>500001</v>
          </cell>
          <cell r="J81" t="str">
            <v>Outros ativos circulantes e não circulantes</v>
          </cell>
          <cell r="K81">
            <v>600016</v>
          </cell>
          <cell r="L81">
            <v>-1</v>
          </cell>
        </row>
        <row r="82">
          <cell r="B82" t="str">
            <v>1.1.2.07</v>
          </cell>
          <cell r="C82">
            <v>1127</v>
          </cell>
          <cell r="D82" t="str">
            <v>Estoques</v>
          </cell>
          <cell r="E82" t="str">
            <v>S</v>
          </cell>
        </row>
        <row r="83">
          <cell r="B83" t="str">
            <v>1.1.2.07.0001</v>
          </cell>
          <cell r="C83">
            <v>11271</v>
          </cell>
          <cell r="D83" t="str">
            <v>Material de Escritório</v>
          </cell>
          <cell r="E83" t="str">
            <v>A</v>
          </cell>
          <cell r="H83" t="str">
            <v>N/A</v>
          </cell>
          <cell r="I83">
            <v>500001</v>
          </cell>
          <cell r="J83" t="str">
            <v>Outros ativos circulantes e não circulantes</v>
          </cell>
          <cell r="K83">
            <v>600016</v>
          </cell>
          <cell r="L83">
            <v>-1</v>
          </cell>
        </row>
        <row r="84">
          <cell r="B84" t="str">
            <v>1.1.2.07.0002</v>
          </cell>
          <cell r="C84">
            <v>11272</v>
          </cell>
          <cell r="D84" t="str">
            <v>Estoque de Livros</v>
          </cell>
          <cell r="E84" t="str">
            <v>A</v>
          </cell>
          <cell r="H84" t="str">
            <v>N/A</v>
          </cell>
          <cell r="I84">
            <v>500001</v>
          </cell>
          <cell r="J84" t="str">
            <v>Outros ativos circulantes e não circulantes</v>
          </cell>
          <cell r="K84">
            <v>600016</v>
          </cell>
          <cell r="L84">
            <v>-1</v>
          </cell>
        </row>
        <row r="85">
          <cell r="B85" t="str">
            <v>1.1.2.07.0003</v>
          </cell>
          <cell r="C85">
            <v>11273</v>
          </cell>
          <cell r="D85" t="str">
            <v>Estoque de Livros - em consignação</v>
          </cell>
          <cell r="E85" t="str">
            <v>A</v>
          </cell>
          <cell r="H85" t="str">
            <v>N/A</v>
          </cell>
          <cell r="I85">
            <v>500001</v>
          </cell>
          <cell r="J85" t="str">
            <v>Outros ativos circulantes e não circulantes</v>
          </cell>
          <cell r="K85">
            <v>600016</v>
          </cell>
          <cell r="L85">
            <v>-1</v>
          </cell>
        </row>
        <row r="86">
          <cell r="B86" t="str">
            <v>1.1.2.08</v>
          </cell>
          <cell r="C86">
            <v>1128</v>
          </cell>
          <cell r="D86" t="str">
            <v>Depositos judiciais</v>
          </cell>
          <cell r="E86" t="str">
            <v>S</v>
          </cell>
        </row>
        <row r="87">
          <cell r="B87" t="str">
            <v>1.1.2.08.0001</v>
          </cell>
          <cell r="C87">
            <v>11281</v>
          </cell>
          <cell r="D87" t="str">
            <v>Depósitos Judiciais - Previdenciários</v>
          </cell>
          <cell r="E87" t="str">
            <v>A</v>
          </cell>
          <cell r="H87" t="str">
            <v>N/A</v>
          </cell>
          <cell r="I87">
            <v>500001</v>
          </cell>
          <cell r="J87" t="str">
            <v>Depósitos judiciais</v>
          </cell>
          <cell r="K87">
            <v>600013</v>
          </cell>
          <cell r="L87">
            <v>-1</v>
          </cell>
        </row>
        <row r="88">
          <cell r="B88" t="str">
            <v>1.1.2.08.0002</v>
          </cell>
          <cell r="C88">
            <v>11282</v>
          </cell>
          <cell r="D88" t="str">
            <v>Depósitos Judiciais - Trabalhistas</v>
          </cell>
          <cell r="E88" t="str">
            <v>A</v>
          </cell>
          <cell r="H88" t="str">
            <v>N/A</v>
          </cell>
          <cell r="I88">
            <v>500001</v>
          </cell>
          <cell r="J88" t="str">
            <v>Depósitos judiciais</v>
          </cell>
          <cell r="K88">
            <v>600013</v>
          </cell>
          <cell r="L88">
            <v>-1</v>
          </cell>
        </row>
        <row r="89">
          <cell r="B89" t="str">
            <v>1.1.2.08.0003</v>
          </cell>
          <cell r="C89">
            <v>11283</v>
          </cell>
          <cell r="D89" t="str">
            <v>Depósitos Judiciais - Cíveis</v>
          </cell>
          <cell r="E89" t="str">
            <v>A</v>
          </cell>
          <cell r="H89" t="str">
            <v>N/A</v>
          </cell>
          <cell r="I89">
            <v>500001</v>
          </cell>
          <cell r="J89" t="str">
            <v>Depósitos judiciais</v>
          </cell>
          <cell r="K89">
            <v>600013</v>
          </cell>
          <cell r="L89">
            <v>-1</v>
          </cell>
        </row>
        <row r="90">
          <cell r="B90" t="str">
            <v>1.1.2.08.0004</v>
          </cell>
          <cell r="C90">
            <v>11284</v>
          </cell>
          <cell r="D90" t="str">
            <v>Depósitos Judiciais –Tributários</v>
          </cell>
          <cell r="E90" t="str">
            <v>A</v>
          </cell>
          <cell r="H90" t="str">
            <v>N/A</v>
          </cell>
          <cell r="I90">
            <v>500001</v>
          </cell>
          <cell r="J90" t="str">
            <v>Depósitos judiciais</v>
          </cell>
          <cell r="K90">
            <v>600013</v>
          </cell>
          <cell r="L90">
            <v>-1</v>
          </cell>
        </row>
        <row r="91">
          <cell r="B91" t="str">
            <v>1.1.2.09</v>
          </cell>
          <cell r="C91">
            <v>1129</v>
          </cell>
          <cell r="D91" t="str">
            <v>Conta a Receber - Leilões ANEEL</v>
          </cell>
          <cell r="E91" t="str">
            <v>S</v>
          </cell>
        </row>
        <row r="92">
          <cell r="B92" t="str">
            <v>1.1.2.09.0001</v>
          </cell>
          <cell r="C92">
            <v>11291</v>
          </cell>
          <cell r="D92" t="str">
            <v>Reembolso de custos a Receber - ANEEL</v>
          </cell>
          <cell r="E92" t="str">
            <v>A</v>
          </cell>
          <cell r="H92" t="str">
            <v>N/A</v>
          </cell>
          <cell r="I92">
            <v>500001</v>
          </cell>
          <cell r="J92" t="str">
            <v>Conta a Receber - Leilões ANEEL</v>
          </cell>
          <cell r="K92">
            <v>600010</v>
          </cell>
          <cell r="L92">
            <v>-1</v>
          </cell>
        </row>
        <row r="93">
          <cell r="B93" t="str">
            <v>1.1.2.99</v>
          </cell>
          <cell r="C93">
            <v>11299</v>
          </cell>
          <cell r="D93" t="str">
            <v>Outros Créditos</v>
          </cell>
          <cell r="E93" t="str">
            <v>S</v>
          </cell>
        </row>
        <row r="94">
          <cell r="B94" t="str">
            <v>1.1.2.99.0001</v>
          </cell>
          <cell r="C94">
            <v>112991</v>
          </cell>
          <cell r="D94" t="str">
            <v>Cauções e Depósitos Vinculados</v>
          </cell>
          <cell r="E94" t="str">
            <v>A</v>
          </cell>
          <cell r="H94" t="str">
            <v>N/A</v>
          </cell>
          <cell r="I94">
            <v>500001</v>
          </cell>
          <cell r="J94" t="str">
            <v>Outros ativos circulantes e não circulantes</v>
          </cell>
          <cell r="K94">
            <v>600016</v>
          </cell>
          <cell r="L94">
            <v>-1</v>
          </cell>
        </row>
        <row r="95">
          <cell r="B95" t="str">
            <v>1.1.2.99.0002</v>
          </cell>
          <cell r="C95">
            <v>112992</v>
          </cell>
          <cell r="D95" t="str">
            <v>Glosas Petrobras</v>
          </cell>
          <cell r="E95" t="str">
            <v>A</v>
          </cell>
          <cell r="H95" t="str">
            <v>N/A</v>
          </cell>
          <cell r="I95">
            <v>500001</v>
          </cell>
          <cell r="J95" t="str">
            <v>Outros ativos circulantes e não circulantes</v>
          </cell>
          <cell r="K95">
            <v>600016</v>
          </cell>
          <cell r="L95">
            <v>-1</v>
          </cell>
        </row>
        <row r="96">
          <cell r="B96" t="str">
            <v>1.1.2.99.0003</v>
          </cell>
          <cell r="C96">
            <v>112993</v>
          </cell>
          <cell r="D96" t="str">
            <v>Glosas Furnas</v>
          </cell>
          <cell r="E96" t="str">
            <v>A</v>
          </cell>
          <cell r="H96" t="str">
            <v>N/A</v>
          </cell>
          <cell r="I96">
            <v>500001</v>
          </cell>
          <cell r="J96" t="str">
            <v>Outros ativos circulantes e não circulantes</v>
          </cell>
          <cell r="K96">
            <v>600016</v>
          </cell>
          <cell r="L96">
            <v>-1</v>
          </cell>
        </row>
        <row r="97">
          <cell r="B97" t="str">
            <v>1.1.2.99.0004</v>
          </cell>
          <cell r="C97">
            <v>112994</v>
          </cell>
          <cell r="D97" t="str">
            <v>Glosas Cepel</v>
          </cell>
          <cell r="E97" t="str">
            <v>A</v>
          </cell>
          <cell r="H97" t="str">
            <v>N/A</v>
          </cell>
          <cell r="I97">
            <v>500001</v>
          </cell>
          <cell r="J97" t="str">
            <v>Outros ativos circulantes e não circulantes</v>
          </cell>
          <cell r="K97">
            <v>600016</v>
          </cell>
          <cell r="L97">
            <v>-1</v>
          </cell>
        </row>
        <row r="98">
          <cell r="B98" t="str">
            <v>1.1.2.99.0005</v>
          </cell>
          <cell r="C98">
            <v>112995</v>
          </cell>
          <cell r="D98" t="str">
            <v>Ressarcimento de Cedidos</v>
          </cell>
          <cell r="E98" t="str">
            <v>A</v>
          </cell>
          <cell r="H98" t="str">
            <v>N/A</v>
          </cell>
          <cell r="I98">
            <v>500001</v>
          </cell>
          <cell r="J98" t="str">
            <v>Outros ativos circulantes e não circulantes</v>
          </cell>
          <cell r="K98">
            <v>600016</v>
          </cell>
          <cell r="L98">
            <v>-1</v>
          </cell>
        </row>
        <row r="99">
          <cell r="B99" t="str">
            <v>1.1.2.99.0999</v>
          </cell>
          <cell r="C99">
            <v>11299999</v>
          </cell>
          <cell r="D99" t="str">
            <v>Créditos Diversos</v>
          </cell>
          <cell r="E99" t="str">
            <v>A</v>
          </cell>
          <cell r="H99" t="str">
            <v>N/A</v>
          </cell>
          <cell r="I99">
            <v>500001</v>
          </cell>
          <cell r="J99" t="str">
            <v>Outros ativos circulantes e não circulantes</v>
          </cell>
          <cell r="K99">
            <v>600016</v>
          </cell>
          <cell r="L99">
            <v>-1</v>
          </cell>
        </row>
        <row r="100">
          <cell r="B100" t="str">
            <v>1.1.3</v>
          </cell>
          <cell r="C100">
            <v>113</v>
          </cell>
          <cell r="D100" t="str">
            <v>Despesas Antecipadas</v>
          </cell>
          <cell r="E100" t="str">
            <v>S</v>
          </cell>
        </row>
        <row r="101">
          <cell r="B101" t="str">
            <v>1.1.3.01</v>
          </cell>
          <cell r="C101">
            <v>1131</v>
          </cell>
          <cell r="D101" t="str">
            <v>Despesas Antecipadas</v>
          </cell>
          <cell r="E101" t="str">
            <v>S</v>
          </cell>
        </row>
        <row r="102">
          <cell r="B102" t="str">
            <v>1.1.3.01.0001</v>
          </cell>
          <cell r="C102">
            <v>11311</v>
          </cell>
          <cell r="D102" t="str">
            <v>Prêmio de Seguros Pagos Antecipadamente</v>
          </cell>
          <cell r="E102" t="str">
            <v>A</v>
          </cell>
          <cell r="H102" t="str">
            <v>N/A</v>
          </cell>
          <cell r="I102">
            <v>500001</v>
          </cell>
          <cell r="J102" t="str">
            <v>Despesas antecipadas</v>
          </cell>
          <cell r="K102">
            <v>600012</v>
          </cell>
          <cell r="L102">
            <v>-1</v>
          </cell>
        </row>
        <row r="103">
          <cell r="B103" t="str">
            <v>1.1.3.01.0002</v>
          </cell>
          <cell r="C103">
            <v>11312</v>
          </cell>
          <cell r="D103" t="str">
            <v>Assinaturas e Anuidades</v>
          </cell>
          <cell r="E103" t="str">
            <v>A</v>
          </cell>
          <cell r="H103" t="str">
            <v>N/A</v>
          </cell>
          <cell r="I103">
            <v>500001</v>
          </cell>
          <cell r="J103" t="str">
            <v>Despesas antecipadas</v>
          </cell>
          <cell r="K103">
            <v>600012</v>
          </cell>
          <cell r="L103">
            <v>-1</v>
          </cell>
        </row>
        <row r="104">
          <cell r="B104" t="str">
            <v>1.1.3.01.0003</v>
          </cell>
          <cell r="C104">
            <v>11313</v>
          </cell>
          <cell r="D104" t="str">
            <v>Provedores de Informações</v>
          </cell>
          <cell r="E104" t="str">
            <v>A</v>
          </cell>
          <cell r="H104" t="str">
            <v>N/A</v>
          </cell>
          <cell r="I104">
            <v>500001</v>
          </cell>
          <cell r="J104" t="str">
            <v>Despesas antecipadas</v>
          </cell>
          <cell r="K104">
            <v>600012</v>
          </cell>
          <cell r="L104">
            <v>-1</v>
          </cell>
        </row>
        <row r="105">
          <cell r="B105" t="str">
            <v>1.1.3.01.0004</v>
          </cell>
          <cell r="C105">
            <v>11314</v>
          </cell>
          <cell r="D105" t="str">
            <v>Aluguéis e Arrendamentos</v>
          </cell>
          <cell r="E105" t="str">
            <v>A</v>
          </cell>
          <cell r="H105" t="str">
            <v>N/A</v>
          </cell>
          <cell r="I105">
            <v>500001</v>
          </cell>
          <cell r="J105" t="str">
            <v>Despesas antecipadas</v>
          </cell>
          <cell r="K105">
            <v>600012</v>
          </cell>
          <cell r="L105">
            <v>-1</v>
          </cell>
        </row>
        <row r="106">
          <cell r="B106" t="str">
            <v>1.1.3.01.0005</v>
          </cell>
          <cell r="C106">
            <v>11315</v>
          </cell>
          <cell r="D106" t="str">
            <v>Iptu a Apropriar</v>
          </cell>
          <cell r="E106" t="str">
            <v>A</v>
          </cell>
          <cell r="H106" t="str">
            <v>N/A</v>
          </cell>
          <cell r="I106">
            <v>500001</v>
          </cell>
          <cell r="J106" t="str">
            <v>Despesas antecipadas</v>
          </cell>
          <cell r="K106">
            <v>600012</v>
          </cell>
          <cell r="L106">
            <v>-1</v>
          </cell>
        </row>
        <row r="107">
          <cell r="B107" t="str">
            <v>1.1.3.01.0006</v>
          </cell>
          <cell r="C107">
            <v>11316</v>
          </cell>
          <cell r="D107" t="str">
            <v>Manutenção de Software</v>
          </cell>
          <cell r="E107" t="str">
            <v>A</v>
          </cell>
          <cell r="H107" t="str">
            <v>N/A</v>
          </cell>
          <cell r="I107">
            <v>500001</v>
          </cell>
          <cell r="J107" t="str">
            <v>Despesas antecipadas</v>
          </cell>
          <cell r="K107">
            <v>600012</v>
          </cell>
          <cell r="L107">
            <v>-1</v>
          </cell>
        </row>
        <row r="108">
          <cell r="B108" t="str">
            <v>1.1.3.01.0999</v>
          </cell>
          <cell r="C108">
            <v>1131999</v>
          </cell>
          <cell r="D108" t="str">
            <v>Outras Despesas Antecipadas</v>
          </cell>
          <cell r="E108" t="str">
            <v>A</v>
          </cell>
          <cell r="H108" t="str">
            <v>N/A</v>
          </cell>
          <cell r="I108">
            <v>500001</v>
          </cell>
          <cell r="J108" t="str">
            <v>Despesas antecipadas</v>
          </cell>
          <cell r="K108">
            <v>600012</v>
          </cell>
          <cell r="L108">
            <v>-1</v>
          </cell>
        </row>
        <row r="109">
          <cell r="B109" t="str">
            <v>1.1.4</v>
          </cell>
          <cell r="C109">
            <v>114</v>
          </cell>
          <cell r="D109" t="str">
            <v>Ativos Circulantes Mantidos p/ Venda</v>
          </cell>
          <cell r="E109" t="str">
            <v>S</v>
          </cell>
        </row>
        <row r="110">
          <cell r="B110" t="str">
            <v>1.1.4.01</v>
          </cell>
          <cell r="C110">
            <v>1141</v>
          </cell>
          <cell r="D110" t="str">
            <v>Ativos Circulantes Mantidos p/ Venda</v>
          </cell>
          <cell r="E110" t="str">
            <v>S</v>
          </cell>
        </row>
        <row r="111">
          <cell r="B111" t="str">
            <v>1.2</v>
          </cell>
          <cell r="C111">
            <v>12</v>
          </cell>
          <cell r="D111" t="str">
            <v>Ativo Não Circulante</v>
          </cell>
          <cell r="E111" t="str">
            <v>S</v>
          </cell>
        </row>
        <row r="112">
          <cell r="B112" t="str">
            <v>1.2.1</v>
          </cell>
          <cell r="C112">
            <v>121</v>
          </cell>
          <cell r="D112" t="str">
            <v>Realizavel a Longo Prazo</v>
          </cell>
          <cell r="E112" t="str">
            <v>S</v>
          </cell>
        </row>
        <row r="113">
          <cell r="B113" t="str">
            <v>1.2.1.01</v>
          </cell>
          <cell r="C113">
            <v>1211</v>
          </cell>
          <cell r="D113" t="str">
            <v>Clientes</v>
          </cell>
          <cell r="E113" t="str">
            <v>S</v>
          </cell>
        </row>
        <row r="114">
          <cell r="B114" t="str">
            <v>1.2.1.01.0001</v>
          </cell>
          <cell r="C114">
            <v>12111</v>
          </cell>
          <cell r="D114" t="str">
            <v>Faturamento</v>
          </cell>
          <cell r="E114" t="str">
            <v>A</v>
          </cell>
          <cell r="H114" t="str">
            <v>N/A</v>
          </cell>
          <cell r="I114">
            <v>500001</v>
          </cell>
          <cell r="J114" t="str">
            <v>Outros ativos circulantes e não circulantes</v>
          </cell>
          <cell r="K114">
            <v>600016</v>
          </cell>
          <cell r="L114">
            <v>-1</v>
          </cell>
        </row>
        <row r="115">
          <cell r="B115" t="str">
            <v>1.2.1.01.0998</v>
          </cell>
          <cell r="C115">
            <v>1211998</v>
          </cell>
          <cell r="D115" t="str">
            <v>(-) Duplicatas Descontadas</v>
          </cell>
          <cell r="E115" t="str">
            <v>A</v>
          </cell>
          <cell r="H115" t="str">
            <v>N/A</v>
          </cell>
          <cell r="I115">
            <v>500001</v>
          </cell>
          <cell r="J115" t="str">
            <v>Outros ativos circulantes e não circulantes</v>
          </cell>
          <cell r="K115">
            <v>600016</v>
          </cell>
          <cell r="L115">
            <v>-1</v>
          </cell>
        </row>
        <row r="116">
          <cell r="B116" t="str">
            <v>1.2.1.01.0999</v>
          </cell>
          <cell r="C116">
            <v>1211999</v>
          </cell>
          <cell r="D116" t="str">
            <v>(-) Provisão p/ Devedores Duvidosos</v>
          </cell>
          <cell r="E116" t="str">
            <v>A</v>
          </cell>
          <cell r="H116" t="str">
            <v>N/A</v>
          </cell>
          <cell r="I116">
            <v>500001</v>
          </cell>
          <cell r="J116" t="str">
            <v>Outros ativos circulantes e não circulantes</v>
          </cell>
          <cell r="K116">
            <v>600016</v>
          </cell>
          <cell r="L116">
            <v>-1</v>
          </cell>
        </row>
        <row r="117">
          <cell r="B117" t="str">
            <v>1.2.1.02</v>
          </cell>
          <cell r="C117">
            <v>1212</v>
          </cell>
          <cell r="D117" t="str">
            <v>Rendas a Receber</v>
          </cell>
          <cell r="E117" t="str">
            <v>S</v>
          </cell>
        </row>
        <row r="118">
          <cell r="B118" t="str">
            <v>1.2.1.02.0001</v>
          </cell>
          <cell r="C118">
            <v>12121</v>
          </cell>
          <cell r="D118" t="str">
            <v>Encargos Financeiros</v>
          </cell>
          <cell r="E118" t="str">
            <v>A</v>
          </cell>
          <cell r="H118" t="str">
            <v>N/A</v>
          </cell>
          <cell r="I118">
            <v>500001</v>
          </cell>
          <cell r="J118" t="str">
            <v>Outros ativos circulantes e não circulantes</v>
          </cell>
          <cell r="K118">
            <v>600016</v>
          </cell>
          <cell r="L118">
            <v>-1</v>
          </cell>
        </row>
        <row r="119">
          <cell r="B119" t="str">
            <v>1.2.1.02.0002</v>
          </cell>
          <cell r="C119">
            <v>12122</v>
          </cell>
          <cell r="D119" t="str">
            <v>Aplicações Financeiras</v>
          </cell>
          <cell r="E119" t="str">
            <v>A</v>
          </cell>
          <cell r="H119" t="str">
            <v>N/A</v>
          </cell>
          <cell r="I119">
            <v>500001</v>
          </cell>
          <cell r="J119" t="str">
            <v>Outros ativos circulantes e não circulantes</v>
          </cell>
          <cell r="K119">
            <v>600016</v>
          </cell>
          <cell r="L119">
            <v>-1</v>
          </cell>
        </row>
        <row r="120">
          <cell r="B120" t="str">
            <v>1.2.1.02.0003</v>
          </cell>
          <cell r="C120">
            <v>12123</v>
          </cell>
          <cell r="D120" t="str">
            <v>Multas Aplicadas a Fornecedores</v>
          </cell>
          <cell r="E120" t="str">
            <v>A</v>
          </cell>
          <cell r="H120" t="str">
            <v>N/A</v>
          </cell>
          <cell r="I120">
            <v>500001</v>
          </cell>
          <cell r="J120" t="str">
            <v>Outros ativos circulantes e não circulantes</v>
          </cell>
          <cell r="K120">
            <v>600016</v>
          </cell>
          <cell r="L120">
            <v>-1</v>
          </cell>
        </row>
        <row r="121">
          <cell r="B121" t="str">
            <v>1.2.1.03</v>
          </cell>
          <cell r="C121">
            <v>1213</v>
          </cell>
          <cell r="D121" t="str">
            <v>Tributos a Recuperar ou Compensáveis</v>
          </cell>
          <cell r="E121" t="str">
            <v>S</v>
          </cell>
        </row>
        <row r="122">
          <cell r="B122" t="str">
            <v>1.2.1.03.0001</v>
          </cell>
          <cell r="C122">
            <v>12131</v>
          </cell>
          <cell r="D122" t="str">
            <v>IRPJ a Compensar</v>
          </cell>
          <cell r="E122" t="str">
            <v>A</v>
          </cell>
          <cell r="H122" t="str">
            <v>N/A</v>
          </cell>
          <cell r="I122">
            <v>500001</v>
          </cell>
          <cell r="J122" t="str">
            <v>Impostos a recuperar</v>
          </cell>
          <cell r="K122">
            <v>600014</v>
          </cell>
          <cell r="L122">
            <v>-1</v>
          </cell>
        </row>
        <row r="123">
          <cell r="B123" t="str">
            <v>1.2.1.03.0002</v>
          </cell>
          <cell r="C123">
            <v>12132</v>
          </cell>
          <cell r="D123" t="str">
            <v>IRPJ s/ Adições Temporárias</v>
          </cell>
          <cell r="E123" t="str">
            <v>A</v>
          </cell>
          <cell r="H123" t="str">
            <v>N/A</v>
          </cell>
          <cell r="I123">
            <v>500001</v>
          </cell>
          <cell r="J123" t="str">
            <v>Impostos a recuperar</v>
          </cell>
          <cell r="K123">
            <v>600014</v>
          </cell>
          <cell r="L123">
            <v>-1</v>
          </cell>
        </row>
        <row r="124">
          <cell r="B124" t="str">
            <v>1.2.1.03.0003</v>
          </cell>
          <cell r="C124">
            <v>12133</v>
          </cell>
          <cell r="D124" t="str">
            <v>IRPJ s/ Prejuízo Fiscal</v>
          </cell>
          <cell r="E124" t="str">
            <v>A</v>
          </cell>
          <cell r="H124" t="str">
            <v>N/A</v>
          </cell>
          <cell r="I124">
            <v>500001</v>
          </cell>
          <cell r="J124" t="str">
            <v>Impostos a recuperar</v>
          </cell>
          <cell r="K124">
            <v>600014</v>
          </cell>
          <cell r="L124">
            <v>-1</v>
          </cell>
        </row>
        <row r="125">
          <cell r="B125" t="str">
            <v>1.2.1.03.0004</v>
          </cell>
          <cell r="C125">
            <v>12134</v>
          </cell>
          <cell r="D125" t="str">
            <v>ISS a Restituir</v>
          </cell>
          <cell r="E125" t="str">
            <v>A</v>
          </cell>
          <cell r="H125" t="str">
            <v>N/A</v>
          </cell>
          <cell r="I125">
            <v>500001</v>
          </cell>
          <cell r="J125" t="str">
            <v>Impostos a recuperar</v>
          </cell>
          <cell r="K125">
            <v>600014</v>
          </cell>
          <cell r="L125">
            <v>-1</v>
          </cell>
        </row>
        <row r="126">
          <cell r="B126" t="str">
            <v>1.2.1.03.0005</v>
          </cell>
          <cell r="C126">
            <v>12135</v>
          </cell>
          <cell r="D126" t="str">
            <v>CSLL a Compensar</v>
          </cell>
          <cell r="E126" t="str">
            <v>A</v>
          </cell>
          <cell r="H126" t="str">
            <v>N/A</v>
          </cell>
          <cell r="I126">
            <v>500001</v>
          </cell>
          <cell r="J126" t="str">
            <v>Impostos a recuperar</v>
          </cell>
          <cell r="K126">
            <v>600014</v>
          </cell>
          <cell r="L126">
            <v>-1</v>
          </cell>
        </row>
        <row r="127">
          <cell r="B127" t="str">
            <v>1.2.1.03.0006</v>
          </cell>
          <cell r="C127">
            <v>12136</v>
          </cell>
          <cell r="D127" t="str">
            <v>CSLL s/ Adições Temporárias</v>
          </cell>
          <cell r="E127" t="str">
            <v>A</v>
          </cell>
          <cell r="H127" t="str">
            <v>N/A</v>
          </cell>
          <cell r="I127">
            <v>500001</v>
          </cell>
          <cell r="J127" t="str">
            <v>Impostos a recuperar</v>
          </cell>
          <cell r="K127">
            <v>600014</v>
          </cell>
          <cell r="L127">
            <v>-1</v>
          </cell>
        </row>
        <row r="128">
          <cell r="B128" t="str">
            <v>1.2.1.03.0007</v>
          </cell>
          <cell r="C128">
            <v>12137</v>
          </cell>
          <cell r="D128" t="str">
            <v>CSLL s/ Base de Cálculo Negativa</v>
          </cell>
          <cell r="E128" t="str">
            <v>A</v>
          </cell>
          <cell r="H128" t="str">
            <v>N/A</v>
          </cell>
          <cell r="I128">
            <v>500001</v>
          </cell>
          <cell r="J128" t="str">
            <v>Impostos a recuperar</v>
          </cell>
          <cell r="K128">
            <v>600014</v>
          </cell>
          <cell r="L128">
            <v>-1</v>
          </cell>
        </row>
        <row r="129">
          <cell r="B129" t="str">
            <v>1.2.1.03.0008</v>
          </cell>
          <cell r="C129">
            <v>12138</v>
          </cell>
          <cell r="D129" t="str">
            <v>PASEP a Recuperar</v>
          </cell>
          <cell r="E129" t="str">
            <v>A</v>
          </cell>
          <cell r="H129" t="str">
            <v>N/A</v>
          </cell>
          <cell r="I129">
            <v>500001</v>
          </cell>
          <cell r="J129" t="str">
            <v>Impostos a recuperar</v>
          </cell>
          <cell r="K129">
            <v>600014</v>
          </cell>
          <cell r="L129">
            <v>-1</v>
          </cell>
        </row>
        <row r="130">
          <cell r="B130" t="str">
            <v>1.2.1.03.0009</v>
          </cell>
          <cell r="C130">
            <v>12139</v>
          </cell>
          <cell r="D130" t="str">
            <v>COFINS a Recuperar</v>
          </cell>
          <cell r="E130" t="str">
            <v>A</v>
          </cell>
          <cell r="H130" t="str">
            <v>N/A</v>
          </cell>
          <cell r="I130">
            <v>500001</v>
          </cell>
          <cell r="J130" t="str">
            <v>Impostos a recuperar</v>
          </cell>
          <cell r="K130">
            <v>600014</v>
          </cell>
          <cell r="L130">
            <v>-1</v>
          </cell>
        </row>
        <row r="131">
          <cell r="B131" t="str">
            <v>1.2.1.03.0010</v>
          </cell>
          <cell r="C131">
            <v>121310</v>
          </cell>
          <cell r="D131" t="str">
            <v>IRPJ s/ Base de Cálculo Negativa</v>
          </cell>
          <cell r="E131" t="str">
            <v>A</v>
          </cell>
          <cell r="H131" t="str">
            <v>N/A</v>
          </cell>
          <cell r="I131">
            <v>500001</v>
          </cell>
          <cell r="J131" t="str">
            <v>Impostos a recuperar</v>
          </cell>
          <cell r="K131">
            <v>600014</v>
          </cell>
          <cell r="L131">
            <v>-1</v>
          </cell>
        </row>
        <row r="132">
          <cell r="B132" t="str">
            <v>1.2.1.03.0999</v>
          </cell>
          <cell r="C132">
            <v>1213999</v>
          </cell>
          <cell r="D132" t="str">
            <v>Outras Retenções de Tributos</v>
          </cell>
          <cell r="E132" t="str">
            <v>A</v>
          </cell>
          <cell r="H132" t="str">
            <v>N/A</v>
          </cell>
          <cell r="I132">
            <v>500001</v>
          </cell>
          <cell r="J132" t="str">
            <v>Impostos a recuperar</v>
          </cell>
          <cell r="K132">
            <v>600014</v>
          </cell>
          <cell r="L132">
            <v>-1</v>
          </cell>
        </row>
        <row r="133">
          <cell r="B133" t="str">
            <v>1.2.1.04</v>
          </cell>
          <cell r="C133">
            <v>1214</v>
          </cell>
          <cell r="D133" t="str">
            <v>Adiantamentos a Terceiros</v>
          </cell>
          <cell r="E133" t="str">
            <v>S</v>
          </cell>
        </row>
        <row r="134">
          <cell r="B134" t="str">
            <v>1.2.1.04.0001</v>
          </cell>
          <cell r="C134">
            <v>12141</v>
          </cell>
          <cell r="D134" t="str">
            <v>Adiantamentos a Fornecedores</v>
          </cell>
          <cell r="E134" t="str">
            <v>A</v>
          </cell>
          <cell r="H134" t="str">
            <v>N/A</v>
          </cell>
          <cell r="I134">
            <v>500001</v>
          </cell>
          <cell r="J134" t="str">
            <v>Adiantamentos concedidos</v>
          </cell>
          <cell r="K134">
            <v>600011</v>
          </cell>
          <cell r="L134">
            <v>-1</v>
          </cell>
        </row>
        <row r="135">
          <cell r="B135" t="str">
            <v>1.2.1.05</v>
          </cell>
          <cell r="C135">
            <v>1215</v>
          </cell>
          <cell r="D135" t="str">
            <v>Créditos a Diretores</v>
          </cell>
          <cell r="E135" t="str">
            <v>S</v>
          </cell>
        </row>
        <row r="136">
          <cell r="B136" t="str">
            <v>1.2.1.05.0001</v>
          </cell>
          <cell r="C136">
            <v>12151</v>
          </cell>
          <cell r="D136" t="str">
            <v>Adiantamento a Diretores</v>
          </cell>
          <cell r="E136" t="str">
            <v>A</v>
          </cell>
          <cell r="H136" t="str">
            <v>N/A</v>
          </cell>
          <cell r="I136">
            <v>500001</v>
          </cell>
          <cell r="J136" t="str">
            <v>Adiantamentos concedidos</v>
          </cell>
          <cell r="K136">
            <v>600011</v>
          </cell>
          <cell r="L136">
            <v>-1</v>
          </cell>
        </row>
        <row r="137">
          <cell r="B137" t="str">
            <v>1.2.1.06</v>
          </cell>
          <cell r="C137">
            <v>1216</v>
          </cell>
          <cell r="D137" t="str">
            <v xml:space="preserve">Despesas Antecipadas </v>
          </cell>
          <cell r="E137" t="str">
            <v>S</v>
          </cell>
        </row>
        <row r="138">
          <cell r="B138" t="str">
            <v>1.2.1.06.0001</v>
          </cell>
          <cell r="C138">
            <v>12161</v>
          </cell>
          <cell r="D138" t="str">
            <v>Prêmios de Seguros Pagos Antecipadamente</v>
          </cell>
          <cell r="E138" t="str">
            <v>A</v>
          </cell>
          <cell r="H138" t="str">
            <v>N/A</v>
          </cell>
          <cell r="I138">
            <v>500001</v>
          </cell>
          <cell r="J138" t="str">
            <v>Despesas antecipadas</v>
          </cell>
          <cell r="K138">
            <v>600012</v>
          </cell>
          <cell r="L138">
            <v>-1</v>
          </cell>
        </row>
        <row r="139">
          <cell r="B139" t="str">
            <v>1.2.1.06.0002</v>
          </cell>
          <cell r="C139">
            <v>12162</v>
          </cell>
          <cell r="D139" t="str">
            <v>Assinatura de Jornais e Revistas</v>
          </cell>
          <cell r="E139" t="str">
            <v>A</v>
          </cell>
          <cell r="H139" t="str">
            <v>N/A</v>
          </cell>
          <cell r="I139">
            <v>500001</v>
          </cell>
          <cell r="J139" t="str">
            <v>Despesas antecipadas</v>
          </cell>
          <cell r="K139">
            <v>600012</v>
          </cell>
          <cell r="L139">
            <v>-1</v>
          </cell>
        </row>
        <row r="140">
          <cell r="B140" t="str">
            <v>1.2.1.06.0003</v>
          </cell>
          <cell r="C140">
            <v>12163</v>
          </cell>
          <cell r="D140" t="str">
            <v>Provedores de Informações</v>
          </cell>
          <cell r="E140" t="str">
            <v>A</v>
          </cell>
          <cell r="H140" t="str">
            <v>N/A</v>
          </cell>
          <cell r="I140">
            <v>500001</v>
          </cell>
          <cell r="J140" t="str">
            <v>Despesas antecipadas</v>
          </cell>
          <cell r="K140">
            <v>600012</v>
          </cell>
          <cell r="L140">
            <v>-1</v>
          </cell>
        </row>
        <row r="141">
          <cell r="B141" t="str">
            <v>1.2.1.06.0004</v>
          </cell>
          <cell r="C141">
            <v>12164</v>
          </cell>
          <cell r="D141" t="str">
            <v>Assinaturas e anuidades</v>
          </cell>
          <cell r="E141" t="str">
            <v>A</v>
          </cell>
          <cell r="H141" t="str">
            <v>N/A</v>
          </cell>
          <cell r="I141">
            <v>500001</v>
          </cell>
          <cell r="J141" t="str">
            <v>Despesas antecipadas</v>
          </cell>
          <cell r="K141">
            <v>600012</v>
          </cell>
          <cell r="L141">
            <v>-1</v>
          </cell>
        </row>
        <row r="142">
          <cell r="B142" t="str">
            <v>1.2.1.06.0005</v>
          </cell>
          <cell r="C142">
            <v>12165</v>
          </cell>
          <cell r="D142" t="str">
            <v>Manutenção de Software</v>
          </cell>
          <cell r="E142" t="str">
            <v>A</v>
          </cell>
          <cell r="H142" t="str">
            <v>N/A</v>
          </cell>
          <cell r="I142">
            <v>500001</v>
          </cell>
          <cell r="J142" t="str">
            <v>Despesas antecipadas</v>
          </cell>
          <cell r="K142">
            <v>600012</v>
          </cell>
          <cell r="L142">
            <v>-1</v>
          </cell>
        </row>
        <row r="143">
          <cell r="B143" t="str">
            <v>1.2.1.06.0099</v>
          </cell>
          <cell r="C143">
            <v>121699</v>
          </cell>
          <cell r="D143" t="str">
            <v>Outras Despesas Antecipadas</v>
          </cell>
          <cell r="E143" t="str">
            <v>A</v>
          </cell>
          <cell r="H143" t="str">
            <v>N/A</v>
          </cell>
          <cell r="I143">
            <v>500001</v>
          </cell>
          <cell r="J143" t="str">
            <v>Despesas antecipadas</v>
          </cell>
          <cell r="K143">
            <v>600012</v>
          </cell>
          <cell r="L143">
            <v>-1</v>
          </cell>
        </row>
        <row r="144">
          <cell r="B144" t="str">
            <v>1.2.1.07</v>
          </cell>
          <cell r="C144">
            <v>1217</v>
          </cell>
          <cell r="D144" t="str">
            <v>Títulos e Valores Mobiliários</v>
          </cell>
          <cell r="E144" t="str">
            <v>S</v>
          </cell>
        </row>
        <row r="145">
          <cell r="B145" t="str">
            <v>1.2.1.07.0001</v>
          </cell>
          <cell r="C145">
            <v>12171</v>
          </cell>
          <cell r="D145" t="str">
            <v>Ações - Preço de Aquisição</v>
          </cell>
          <cell r="E145" t="str">
            <v>A</v>
          </cell>
          <cell r="H145" t="str">
            <v>N/A</v>
          </cell>
          <cell r="I145">
            <v>500001</v>
          </cell>
          <cell r="J145" t="str">
            <v>Outros ativos circulantes e não circulantes</v>
          </cell>
          <cell r="K145">
            <v>600016</v>
          </cell>
          <cell r="L145">
            <v>-1</v>
          </cell>
        </row>
        <row r="146">
          <cell r="B146" t="str">
            <v>1.2.1.07.0002</v>
          </cell>
          <cell r="C146">
            <v>12172</v>
          </cell>
          <cell r="D146" t="str">
            <v>(-) Ações - Provisão p/ Redução ao Valor</v>
          </cell>
          <cell r="E146" t="str">
            <v>A</v>
          </cell>
          <cell r="H146" t="str">
            <v>N/A</v>
          </cell>
          <cell r="I146">
            <v>500001</v>
          </cell>
          <cell r="J146" t="str">
            <v>Outros ativos circulantes e não circulantes</v>
          </cell>
          <cell r="K146">
            <v>600016</v>
          </cell>
          <cell r="L146">
            <v>-1</v>
          </cell>
        </row>
        <row r="147">
          <cell r="B147" t="str">
            <v>1.2.1.08</v>
          </cell>
          <cell r="C147">
            <v>1218</v>
          </cell>
          <cell r="D147" t="str">
            <v>Depósitos Judiciais</v>
          </cell>
          <cell r="E147" t="str">
            <v>S</v>
          </cell>
        </row>
        <row r="148">
          <cell r="B148" t="str">
            <v>1.2.1.08.0001</v>
          </cell>
          <cell r="C148">
            <v>12181</v>
          </cell>
          <cell r="D148" t="str">
            <v>Depósitos Judiciais - Previdenciários</v>
          </cell>
          <cell r="E148" t="str">
            <v>A</v>
          </cell>
          <cell r="H148" t="str">
            <v>N/A</v>
          </cell>
          <cell r="I148">
            <v>500001</v>
          </cell>
          <cell r="J148" t="str">
            <v>Depósitos judiciais</v>
          </cell>
          <cell r="K148">
            <v>600013</v>
          </cell>
          <cell r="L148">
            <v>-1</v>
          </cell>
        </row>
        <row r="149">
          <cell r="B149" t="str">
            <v>1.2.1.08.0002</v>
          </cell>
          <cell r="C149">
            <v>12182</v>
          </cell>
          <cell r="D149" t="str">
            <v>Depósitos Judiciais - Trabalhistas</v>
          </cell>
          <cell r="E149" t="str">
            <v>A</v>
          </cell>
          <cell r="H149" t="str">
            <v>N/A</v>
          </cell>
          <cell r="I149">
            <v>500001</v>
          </cell>
          <cell r="J149" t="str">
            <v>Depósitos judiciais</v>
          </cell>
          <cell r="K149">
            <v>600013</v>
          </cell>
          <cell r="L149">
            <v>-1</v>
          </cell>
        </row>
        <row r="150">
          <cell r="B150" t="str">
            <v>1.2.1.08.0003</v>
          </cell>
          <cell r="C150">
            <v>12183</v>
          </cell>
          <cell r="D150" t="str">
            <v>Depósitos Judiciais - Cíveis</v>
          </cell>
          <cell r="E150" t="str">
            <v>A</v>
          </cell>
          <cell r="H150" t="str">
            <v>N/A</v>
          </cell>
          <cell r="I150">
            <v>500001</v>
          </cell>
          <cell r="J150" t="str">
            <v>Depósitos judiciais</v>
          </cell>
          <cell r="K150">
            <v>600013</v>
          </cell>
          <cell r="L150">
            <v>-1</v>
          </cell>
        </row>
        <row r="151">
          <cell r="B151" t="str">
            <v>1.2.1.99</v>
          </cell>
          <cell r="C151">
            <v>12199</v>
          </cell>
          <cell r="D151" t="str">
            <v>Outros Créditos</v>
          </cell>
          <cell r="E151" t="str">
            <v>S</v>
          </cell>
        </row>
        <row r="152">
          <cell r="B152" t="str">
            <v>1.2.1.99.0001</v>
          </cell>
          <cell r="C152">
            <v>121991</v>
          </cell>
          <cell r="D152" t="str">
            <v>Cauções e Depósitos Vinculados</v>
          </cell>
          <cell r="E152" t="str">
            <v>A</v>
          </cell>
          <cell r="H152" t="str">
            <v>N/A</v>
          </cell>
          <cell r="I152">
            <v>500001</v>
          </cell>
          <cell r="J152" t="str">
            <v>Depósitos judiciais</v>
          </cell>
          <cell r="K152">
            <v>600013</v>
          </cell>
          <cell r="L152">
            <v>-1</v>
          </cell>
        </row>
        <row r="153">
          <cell r="B153" t="str">
            <v>1.2.1.99.0999</v>
          </cell>
          <cell r="C153">
            <v>12199999</v>
          </cell>
          <cell r="D153" t="str">
            <v>Créditos Diversos</v>
          </cell>
          <cell r="E153" t="str">
            <v>A</v>
          </cell>
          <cell r="H153" t="str">
            <v>N/A</v>
          </cell>
          <cell r="I153">
            <v>500001</v>
          </cell>
          <cell r="J153" t="str">
            <v>Outros ativos circulantes e não circulantes</v>
          </cell>
          <cell r="K153">
            <v>600016</v>
          </cell>
          <cell r="L153">
            <v>-1</v>
          </cell>
        </row>
        <row r="154">
          <cell r="B154" t="str">
            <v>1.2.2</v>
          </cell>
          <cell r="C154">
            <v>122</v>
          </cell>
          <cell r="D154" t="str">
            <v>Investimentos</v>
          </cell>
          <cell r="E154" t="str">
            <v>S</v>
          </cell>
        </row>
        <row r="155">
          <cell r="B155" t="str">
            <v>1.2.2.01</v>
          </cell>
          <cell r="C155">
            <v>1221</v>
          </cell>
          <cell r="D155" t="str">
            <v>Particip. Permanentes em Outras Empresas</v>
          </cell>
          <cell r="E155" t="str">
            <v>S</v>
          </cell>
        </row>
        <row r="156">
          <cell r="B156" t="str">
            <v>1.2.2.01.0001</v>
          </cell>
          <cell r="C156">
            <v>12211</v>
          </cell>
          <cell r="D156" t="str">
            <v>Investimento em Empresas Coligadas</v>
          </cell>
          <cell r="E156" t="str">
            <v>A</v>
          </cell>
          <cell r="H156" t="str">
            <v>N/A</v>
          </cell>
          <cell r="I156">
            <v>500001</v>
          </cell>
          <cell r="J156" t="str">
            <v>Outros ativos circulantes e não circulantes</v>
          </cell>
          <cell r="K156">
            <v>600016</v>
          </cell>
          <cell r="L156">
            <v>-1</v>
          </cell>
        </row>
        <row r="157">
          <cell r="B157" t="str">
            <v>1.2.2.01.0002</v>
          </cell>
          <cell r="C157">
            <v>12212</v>
          </cell>
          <cell r="D157" t="str">
            <v>Investimento em Empresas Controladas</v>
          </cell>
          <cell r="E157" t="str">
            <v>A</v>
          </cell>
          <cell r="H157" t="str">
            <v>N/A</v>
          </cell>
          <cell r="I157">
            <v>500001</v>
          </cell>
          <cell r="J157" t="str">
            <v>Outros ativos circulantes e não circulantes</v>
          </cell>
          <cell r="K157">
            <v>600016</v>
          </cell>
          <cell r="L157">
            <v>-1</v>
          </cell>
        </row>
        <row r="158">
          <cell r="B158" t="str">
            <v>1.2.2.02</v>
          </cell>
          <cell r="C158">
            <v>1222</v>
          </cell>
          <cell r="D158" t="str">
            <v>Outros Investimentos Permanentes</v>
          </cell>
          <cell r="E158" t="str">
            <v>S</v>
          </cell>
        </row>
        <row r="159">
          <cell r="B159" t="str">
            <v>1.2.2.02.0001</v>
          </cell>
          <cell r="C159">
            <v>12221</v>
          </cell>
          <cell r="D159" t="str">
            <v>Obras de Arte</v>
          </cell>
          <cell r="E159" t="str">
            <v>A</v>
          </cell>
          <cell r="H159" t="str">
            <v>N/A</v>
          </cell>
          <cell r="I159">
            <v>500001</v>
          </cell>
          <cell r="J159" t="str">
            <v>Outros ativos circulantes e não circulantes</v>
          </cell>
          <cell r="K159">
            <v>600016</v>
          </cell>
          <cell r="L159">
            <v>-1</v>
          </cell>
        </row>
        <row r="160">
          <cell r="B160" t="str">
            <v>1.2.2.02.0002</v>
          </cell>
          <cell r="C160">
            <v>12222</v>
          </cell>
          <cell r="D160" t="str">
            <v>Terrenos</v>
          </cell>
          <cell r="E160" t="str">
            <v>A</v>
          </cell>
          <cell r="H160" t="str">
            <v>N/A</v>
          </cell>
          <cell r="I160">
            <v>500001</v>
          </cell>
          <cell r="J160" t="str">
            <v>Outros ativos circulantes e não circulantes</v>
          </cell>
          <cell r="K160">
            <v>600016</v>
          </cell>
          <cell r="L160">
            <v>-1</v>
          </cell>
        </row>
        <row r="161">
          <cell r="B161" t="str">
            <v>1.2.3</v>
          </cell>
          <cell r="C161">
            <v>123</v>
          </cell>
          <cell r="D161" t="str">
            <v>Imobilizado</v>
          </cell>
          <cell r="E161" t="str">
            <v>S</v>
          </cell>
        </row>
        <row r="162">
          <cell r="B162" t="str">
            <v>1.2.3.01</v>
          </cell>
          <cell r="C162">
            <v>1231</v>
          </cell>
          <cell r="D162" t="str">
            <v>Bens em Operação</v>
          </cell>
          <cell r="E162" t="str">
            <v>S</v>
          </cell>
        </row>
        <row r="163">
          <cell r="B163" t="str">
            <v>1.2.3.01.0001</v>
          </cell>
          <cell r="C163">
            <v>12311</v>
          </cell>
          <cell r="D163" t="str">
            <v>Terrenos</v>
          </cell>
          <cell r="E163" t="str">
            <v>A</v>
          </cell>
          <cell r="H163" t="str">
            <v>N/A</v>
          </cell>
          <cell r="I163">
            <v>500001</v>
          </cell>
          <cell r="J163" t="str">
            <v>Aquisição de Imobilizado</v>
          </cell>
          <cell r="K163">
            <v>600024</v>
          </cell>
          <cell r="L163">
            <v>-1</v>
          </cell>
        </row>
        <row r="164">
          <cell r="B164" t="str">
            <v>1.2.3.01.0002</v>
          </cell>
          <cell r="C164">
            <v>12312</v>
          </cell>
          <cell r="D164" t="str">
            <v>Imóveis</v>
          </cell>
          <cell r="E164" t="str">
            <v>A</v>
          </cell>
          <cell r="H164" t="str">
            <v>N/A</v>
          </cell>
          <cell r="I164">
            <v>500001</v>
          </cell>
          <cell r="J164" t="str">
            <v>Aquisição de Imobilizado</v>
          </cell>
          <cell r="K164">
            <v>600024</v>
          </cell>
          <cell r="L164">
            <v>-1</v>
          </cell>
        </row>
        <row r="165">
          <cell r="B165" t="str">
            <v>1.2.3.01.0003</v>
          </cell>
          <cell r="C165">
            <v>12313</v>
          </cell>
          <cell r="D165" t="str">
            <v>Instalações</v>
          </cell>
          <cell r="E165" t="str">
            <v>A</v>
          </cell>
          <cell r="H165" t="str">
            <v>N/A</v>
          </cell>
          <cell r="I165">
            <v>500001</v>
          </cell>
          <cell r="J165" t="str">
            <v>Aquisição de Imobilizado</v>
          </cell>
          <cell r="K165">
            <v>600024</v>
          </cell>
          <cell r="L165">
            <v>-1</v>
          </cell>
        </row>
        <row r="166">
          <cell r="B166" t="str">
            <v>1.2.3.01.0004</v>
          </cell>
          <cell r="C166">
            <v>12314</v>
          </cell>
          <cell r="D166" t="str">
            <v>Máquinas e Equipamentos</v>
          </cell>
          <cell r="E166" t="str">
            <v>A</v>
          </cell>
          <cell r="H166" t="str">
            <v>N/A</v>
          </cell>
          <cell r="I166">
            <v>500001</v>
          </cell>
          <cell r="J166" t="str">
            <v>Aquisição de Imobilizado</v>
          </cell>
          <cell r="K166">
            <v>600024</v>
          </cell>
          <cell r="L166">
            <v>-1</v>
          </cell>
        </row>
        <row r="167">
          <cell r="B167" t="str">
            <v>1.2.3.01.0005</v>
          </cell>
          <cell r="C167">
            <v>12315</v>
          </cell>
          <cell r="D167" t="str">
            <v>Equipamentos de Informática</v>
          </cell>
          <cell r="E167" t="str">
            <v>A</v>
          </cell>
          <cell r="H167" t="str">
            <v>N/A</v>
          </cell>
          <cell r="I167">
            <v>500001</v>
          </cell>
          <cell r="J167" t="str">
            <v>Aquisição de Imobilizado</v>
          </cell>
          <cell r="K167">
            <v>600024</v>
          </cell>
          <cell r="L167">
            <v>-1</v>
          </cell>
        </row>
        <row r="168">
          <cell r="B168" t="str">
            <v>1.2.3.01.0007</v>
          </cell>
          <cell r="C168">
            <v>12317</v>
          </cell>
          <cell r="D168" t="str">
            <v>Móveis e Utensílios</v>
          </cell>
          <cell r="E168" t="str">
            <v>A</v>
          </cell>
          <cell r="H168" t="str">
            <v>N/A</v>
          </cell>
          <cell r="I168">
            <v>500001</v>
          </cell>
          <cell r="J168" t="str">
            <v>Aquisição de Imobilizado</v>
          </cell>
          <cell r="K168">
            <v>600024</v>
          </cell>
          <cell r="L168">
            <v>-1</v>
          </cell>
        </row>
        <row r="169">
          <cell r="B169" t="str">
            <v>1.2.3.01.0008</v>
          </cell>
          <cell r="C169">
            <v>12318</v>
          </cell>
          <cell r="D169" t="str">
            <v>Veículos</v>
          </cell>
          <cell r="E169" t="str">
            <v>A</v>
          </cell>
          <cell r="H169" t="str">
            <v>N/A</v>
          </cell>
          <cell r="I169">
            <v>500001</v>
          </cell>
          <cell r="J169" t="str">
            <v>Aquisição de Imobilizado</v>
          </cell>
          <cell r="K169">
            <v>600024</v>
          </cell>
          <cell r="L169">
            <v>-1</v>
          </cell>
        </row>
        <row r="170">
          <cell r="B170" t="str">
            <v>1.2.3.01.0009</v>
          </cell>
          <cell r="C170">
            <v>12319</v>
          </cell>
          <cell r="D170" t="str">
            <v>Ferramentas</v>
          </cell>
          <cell r="E170" t="str">
            <v>A</v>
          </cell>
          <cell r="H170" t="str">
            <v>N/A</v>
          </cell>
          <cell r="I170">
            <v>500001</v>
          </cell>
          <cell r="J170" t="str">
            <v>Aquisição de Imobilizado</v>
          </cell>
          <cell r="K170">
            <v>600024</v>
          </cell>
          <cell r="L170">
            <v>-1</v>
          </cell>
        </row>
        <row r="171">
          <cell r="B171" t="str">
            <v>1.2.3.01.0011</v>
          </cell>
          <cell r="C171">
            <v>123111</v>
          </cell>
          <cell r="D171" t="str">
            <v>Benfeitorias em Imóveis de Terceiros</v>
          </cell>
          <cell r="E171" t="str">
            <v>A</v>
          </cell>
          <cell r="H171" t="str">
            <v>N/A</v>
          </cell>
          <cell r="I171">
            <v>500001</v>
          </cell>
          <cell r="J171" t="str">
            <v>Aquisição de Imobilizado</v>
          </cell>
          <cell r="K171">
            <v>600024</v>
          </cell>
          <cell r="L171">
            <v>-1</v>
          </cell>
        </row>
        <row r="172">
          <cell r="B172" t="str">
            <v>1.2.3.01.0012</v>
          </cell>
          <cell r="C172">
            <v>123112</v>
          </cell>
          <cell r="D172" t="str">
            <v>Benfeitorias em andamentos em Imóveis de</v>
          </cell>
          <cell r="E172" t="str">
            <v>A</v>
          </cell>
          <cell r="H172" t="str">
            <v>N/A</v>
          </cell>
          <cell r="I172">
            <v>500001</v>
          </cell>
          <cell r="J172" t="str">
            <v>Aquisição de Imobilizado</v>
          </cell>
          <cell r="K172">
            <v>600024</v>
          </cell>
          <cell r="L172">
            <v>-1</v>
          </cell>
        </row>
        <row r="173">
          <cell r="B173" t="str">
            <v>1.2.3.02</v>
          </cell>
          <cell r="C173">
            <v>1232</v>
          </cell>
          <cell r="D173" t="str">
            <v>Bens em Operação</v>
          </cell>
          <cell r="E173" t="str">
            <v>S</v>
          </cell>
        </row>
        <row r="174">
          <cell r="B174" t="str">
            <v>1.2.3.97</v>
          </cell>
          <cell r="C174">
            <v>12397</v>
          </cell>
          <cell r="D174" t="str">
            <v>(-) Redução ao Valor Recuperável Imobil.</v>
          </cell>
          <cell r="E174" t="str">
            <v>S</v>
          </cell>
        </row>
        <row r="175">
          <cell r="B175" t="str">
            <v>1.2.3.97.0001</v>
          </cell>
          <cell r="C175">
            <v>123971</v>
          </cell>
          <cell r="D175" t="str">
            <v>(-) Redução ao Valor Recuperável Imobil.</v>
          </cell>
          <cell r="E175" t="str">
            <v>A</v>
          </cell>
          <cell r="H175" t="str">
            <v>N/A</v>
          </cell>
          <cell r="I175">
            <v>500001</v>
          </cell>
          <cell r="J175" t="str">
            <v>Depreciação / Amortização</v>
          </cell>
          <cell r="K175">
            <v>600005</v>
          </cell>
          <cell r="L175">
            <v>-1</v>
          </cell>
        </row>
        <row r="176">
          <cell r="B176" t="str">
            <v>1.2.3.98</v>
          </cell>
          <cell r="C176">
            <v>12398</v>
          </cell>
          <cell r="D176" t="str">
            <v>(-) Depreciação, Amortização e Exaustão</v>
          </cell>
          <cell r="E176" t="str">
            <v>S</v>
          </cell>
        </row>
        <row r="177">
          <cell r="B177" t="str">
            <v>1.2.3.98.0001</v>
          </cell>
          <cell r="C177">
            <v>123981</v>
          </cell>
          <cell r="D177" t="str">
            <v>(-) Imóveis</v>
          </cell>
          <cell r="E177" t="str">
            <v>A</v>
          </cell>
          <cell r="H177" t="str">
            <v>N/A</v>
          </cell>
          <cell r="I177">
            <v>500001</v>
          </cell>
          <cell r="J177" t="str">
            <v>Depreciação / Amortização</v>
          </cell>
          <cell r="K177">
            <v>600005</v>
          </cell>
          <cell r="L177">
            <v>-1</v>
          </cell>
        </row>
        <row r="178">
          <cell r="B178" t="str">
            <v>1.2.3.98.0002</v>
          </cell>
          <cell r="C178">
            <v>123982</v>
          </cell>
          <cell r="D178" t="str">
            <v>(-) Instalações</v>
          </cell>
          <cell r="E178" t="str">
            <v>A</v>
          </cell>
          <cell r="H178" t="str">
            <v>N/A</v>
          </cell>
          <cell r="I178">
            <v>500001</v>
          </cell>
          <cell r="J178" t="str">
            <v>Depreciação / Amortização</v>
          </cell>
          <cell r="K178">
            <v>600005</v>
          </cell>
          <cell r="L178">
            <v>-1</v>
          </cell>
        </row>
        <row r="179">
          <cell r="B179" t="str">
            <v>1.2.3.98.0003</v>
          </cell>
          <cell r="C179">
            <v>123983</v>
          </cell>
          <cell r="D179" t="str">
            <v>(-) Máquinas e Equipamentos</v>
          </cell>
          <cell r="E179" t="str">
            <v>A</v>
          </cell>
          <cell r="H179" t="str">
            <v>N/A</v>
          </cell>
          <cell r="I179">
            <v>500001</v>
          </cell>
          <cell r="J179" t="str">
            <v>Depreciação / Amortização</v>
          </cell>
          <cell r="K179">
            <v>600005</v>
          </cell>
          <cell r="L179">
            <v>-1</v>
          </cell>
        </row>
        <row r="180">
          <cell r="B180" t="str">
            <v>1.2.3.98.0004</v>
          </cell>
          <cell r="C180">
            <v>123984</v>
          </cell>
          <cell r="D180" t="str">
            <v>(-) Equipamentos de Informática</v>
          </cell>
          <cell r="E180" t="str">
            <v>A</v>
          </cell>
          <cell r="H180" t="str">
            <v>N/A</v>
          </cell>
          <cell r="I180">
            <v>500001</v>
          </cell>
          <cell r="J180" t="str">
            <v>Depreciação / Amortização</v>
          </cell>
          <cell r="K180">
            <v>600005</v>
          </cell>
          <cell r="L180">
            <v>-1</v>
          </cell>
        </row>
        <row r="181">
          <cell r="B181" t="str">
            <v>1.2.3.98.0005</v>
          </cell>
          <cell r="C181">
            <v>123985</v>
          </cell>
          <cell r="D181" t="str">
            <v>(-) Software</v>
          </cell>
          <cell r="E181" t="str">
            <v>A</v>
          </cell>
          <cell r="H181" t="str">
            <v>N/A</v>
          </cell>
          <cell r="I181">
            <v>500001</v>
          </cell>
          <cell r="J181" t="str">
            <v>Depreciação / Amortização</v>
          </cell>
          <cell r="K181">
            <v>600005</v>
          </cell>
          <cell r="L181">
            <v>-1</v>
          </cell>
        </row>
        <row r="182">
          <cell r="B182" t="str">
            <v>1.2.3.98.0006</v>
          </cell>
          <cell r="C182">
            <v>123986</v>
          </cell>
          <cell r="D182" t="str">
            <v>(-) Móveis e Utensílios</v>
          </cell>
          <cell r="E182" t="str">
            <v>A</v>
          </cell>
          <cell r="H182" t="str">
            <v>N/A</v>
          </cell>
          <cell r="I182">
            <v>500001</v>
          </cell>
          <cell r="J182" t="str">
            <v>Depreciação / Amortização</v>
          </cell>
          <cell r="K182">
            <v>600005</v>
          </cell>
          <cell r="L182">
            <v>-1</v>
          </cell>
        </row>
        <row r="183">
          <cell r="B183" t="str">
            <v>1.2.3.98.0007</v>
          </cell>
          <cell r="C183">
            <v>123987</v>
          </cell>
          <cell r="D183" t="str">
            <v>(-) Veículos</v>
          </cell>
          <cell r="E183" t="str">
            <v>A</v>
          </cell>
          <cell r="H183" t="str">
            <v>N/A</v>
          </cell>
          <cell r="I183">
            <v>500001</v>
          </cell>
          <cell r="J183" t="str">
            <v>Depreciação / Amortização</v>
          </cell>
          <cell r="K183">
            <v>600005</v>
          </cell>
          <cell r="L183">
            <v>-1</v>
          </cell>
        </row>
        <row r="184">
          <cell r="B184" t="str">
            <v>1.2.3.98.0008</v>
          </cell>
          <cell r="C184">
            <v>123988</v>
          </cell>
          <cell r="D184" t="str">
            <v>(-) Ferramentas</v>
          </cell>
          <cell r="E184" t="str">
            <v>A</v>
          </cell>
          <cell r="H184" t="str">
            <v>N/A</v>
          </cell>
          <cell r="I184">
            <v>500001</v>
          </cell>
          <cell r="J184" t="str">
            <v>Depreciação / Amortização</v>
          </cell>
          <cell r="K184">
            <v>600005</v>
          </cell>
          <cell r="L184">
            <v>-1</v>
          </cell>
        </row>
        <row r="185">
          <cell r="B185" t="str">
            <v>1.2.3.98.0010</v>
          </cell>
          <cell r="C185">
            <v>1239810</v>
          </cell>
          <cell r="D185" t="str">
            <v>(-) Benfeitorias em Imóveis de Terceiros</v>
          </cell>
          <cell r="E185" t="str">
            <v>A</v>
          </cell>
          <cell r="H185" t="str">
            <v>N/A</v>
          </cell>
          <cell r="I185">
            <v>500001</v>
          </cell>
          <cell r="J185" t="str">
            <v>Depreciação / Amortização</v>
          </cell>
          <cell r="K185">
            <v>600005</v>
          </cell>
          <cell r="L185">
            <v>-1</v>
          </cell>
        </row>
        <row r="186">
          <cell r="B186" t="str">
            <v>1.2.3.99</v>
          </cell>
          <cell r="C186">
            <v>12399</v>
          </cell>
          <cell r="D186" t="str">
            <v>Estoques em comodato</v>
          </cell>
          <cell r="E186" t="str">
            <v>S</v>
          </cell>
        </row>
        <row r="187">
          <cell r="B187" t="str">
            <v>1.2.4</v>
          </cell>
          <cell r="C187">
            <v>124</v>
          </cell>
          <cell r="D187" t="str">
            <v>Intangível</v>
          </cell>
          <cell r="E187" t="str">
            <v>S</v>
          </cell>
        </row>
        <row r="188">
          <cell r="B188" t="str">
            <v>1.2.4.01</v>
          </cell>
          <cell r="C188">
            <v>1241</v>
          </cell>
          <cell r="D188" t="str">
            <v>Software</v>
          </cell>
          <cell r="E188" t="str">
            <v>S</v>
          </cell>
        </row>
        <row r="189">
          <cell r="B189" t="str">
            <v>1.2.4.01.0001</v>
          </cell>
          <cell r="C189">
            <v>124101</v>
          </cell>
          <cell r="D189" t="str">
            <v>Software</v>
          </cell>
          <cell r="E189" t="str">
            <v>A</v>
          </cell>
          <cell r="H189" t="str">
            <v>N/A</v>
          </cell>
          <cell r="I189">
            <v>500001</v>
          </cell>
          <cell r="J189" t="str">
            <v>Aquisição de Intangível</v>
          </cell>
          <cell r="K189">
            <v>600023</v>
          </cell>
          <cell r="L189">
            <v>-1</v>
          </cell>
        </row>
        <row r="190">
          <cell r="B190" t="str">
            <v>1.2.4.01.0002</v>
          </cell>
          <cell r="C190">
            <v>123110</v>
          </cell>
          <cell r="D190" t="str">
            <v>Marcas e Patentes</v>
          </cell>
          <cell r="E190" t="str">
            <v>A</v>
          </cell>
          <cell r="H190" t="str">
            <v>N/A</v>
          </cell>
          <cell r="I190">
            <v>500001</v>
          </cell>
          <cell r="J190" t="str">
            <v>Aquisição de Intangível</v>
          </cell>
          <cell r="K190">
            <v>600023</v>
          </cell>
          <cell r="L190">
            <v>-1</v>
          </cell>
        </row>
        <row r="191">
          <cell r="B191" t="str">
            <v>1.2.4.97</v>
          </cell>
          <cell r="C191">
            <v>12497</v>
          </cell>
          <cell r="D191" t="str">
            <v>(-) Redução ao Valor Recuperável Intang.</v>
          </cell>
          <cell r="E191" t="str">
            <v>S</v>
          </cell>
        </row>
        <row r="192">
          <cell r="B192" t="str">
            <v>1.2.4.97.0001</v>
          </cell>
          <cell r="C192">
            <v>124971</v>
          </cell>
          <cell r="D192" t="str">
            <v>(-) Redução ao Valor Recuperável Intang.</v>
          </cell>
          <cell r="E192" t="str">
            <v>A</v>
          </cell>
          <cell r="H192" t="str">
            <v>N/A</v>
          </cell>
          <cell r="I192">
            <v>500001</v>
          </cell>
          <cell r="J192" t="str">
            <v>Depreciação / Amortização</v>
          </cell>
          <cell r="K192">
            <v>600005</v>
          </cell>
          <cell r="L192">
            <v>-1</v>
          </cell>
        </row>
        <row r="193">
          <cell r="B193" t="str">
            <v>1.2.4.98</v>
          </cell>
          <cell r="C193">
            <v>12498</v>
          </cell>
          <cell r="D193" t="str">
            <v>( - ) Amortização</v>
          </cell>
          <cell r="E193" t="str">
            <v>S</v>
          </cell>
        </row>
        <row r="194">
          <cell r="B194" t="str">
            <v>1.2.4.98.0001</v>
          </cell>
          <cell r="C194">
            <v>1242</v>
          </cell>
          <cell r="D194" t="str">
            <v>( - ) Amortização Software</v>
          </cell>
          <cell r="E194" t="str">
            <v>A</v>
          </cell>
          <cell r="H194" t="str">
            <v>N/A</v>
          </cell>
          <cell r="I194">
            <v>500001</v>
          </cell>
          <cell r="J194" t="str">
            <v>Depreciação / Amortização</v>
          </cell>
          <cell r="K194">
            <v>600005</v>
          </cell>
          <cell r="L194">
            <v>-1</v>
          </cell>
        </row>
        <row r="195">
          <cell r="B195" t="str">
            <v>1.2.4.98.0002</v>
          </cell>
          <cell r="C195">
            <v>123989</v>
          </cell>
          <cell r="D195" t="str">
            <v>(-) Marcas e Patentes</v>
          </cell>
          <cell r="E195" t="str">
            <v>A</v>
          </cell>
          <cell r="H195" t="str">
            <v>N/A</v>
          </cell>
          <cell r="I195">
            <v>500001</v>
          </cell>
          <cell r="J195" t="str">
            <v>Depreciação / Amortização</v>
          </cell>
          <cell r="K195">
            <v>600005</v>
          </cell>
          <cell r="L195">
            <v>-1</v>
          </cell>
        </row>
        <row r="196">
          <cell r="B196" t="str">
            <v>1.2.4.99</v>
          </cell>
          <cell r="C196">
            <v>12499</v>
          </cell>
          <cell r="D196" t="str">
            <v>Arrendamento Mercantil</v>
          </cell>
          <cell r="E196" t="str">
            <v>S</v>
          </cell>
        </row>
        <row r="197">
          <cell r="B197" t="str">
            <v>1.2.4.99.0001</v>
          </cell>
          <cell r="C197">
            <v>124991</v>
          </cell>
          <cell r="D197" t="str">
            <v>Arrendamento Imóvel - Ed. M. dos Reis - Praça Pio X</v>
          </cell>
          <cell r="E197" t="str">
            <v>A</v>
          </cell>
          <cell r="H197" t="str">
            <v>N/A</v>
          </cell>
          <cell r="I197">
            <v>500001</v>
          </cell>
          <cell r="J197" t="str">
            <v>Arrendamento mercantil, adoção CPC 06 (direito de uso)</v>
          </cell>
          <cell r="K197">
            <v>600022</v>
          </cell>
          <cell r="L197">
            <v>-1</v>
          </cell>
        </row>
        <row r="198">
          <cell r="B198" t="str">
            <v>1.2.4.99.0002</v>
          </cell>
          <cell r="C198">
            <v>124992</v>
          </cell>
          <cell r="D198" t="str">
            <v>(-) Amortiz. Arrendamento Imóvel - Ed. M. dos Reis - Praça Pio X</v>
          </cell>
          <cell r="E198" t="str">
            <v>A</v>
          </cell>
          <cell r="H198" t="str">
            <v>N/A</v>
          </cell>
          <cell r="I198">
            <v>500001</v>
          </cell>
          <cell r="J198" t="str">
            <v>Amortização do direito de uso</v>
          </cell>
          <cell r="K198">
            <v>600006</v>
          </cell>
          <cell r="L198">
            <v>-1</v>
          </cell>
        </row>
        <row r="199">
          <cell r="B199" t="str">
            <v>1.2.5</v>
          </cell>
          <cell r="C199">
            <v>125</v>
          </cell>
          <cell r="D199" t="str">
            <v>Arrendamento Mercantil</v>
          </cell>
          <cell r="E199" t="str">
            <v>S</v>
          </cell>
        </row>
        <row r="200">
          <cell r="B200" t="str">
            <v>1.2.5.01</v>
          </cell>
          <cell r="C200">
            <v>1251</v>
          </cell>
          <cell r="D200" t="str">
            <v>Arrendamento Mercantil</v>
          </cell>
          <cell r="E200" t="str">
            <v>S</v>
          </cell>
        </row>
        <row r="201">
          <cell r="B201" t="str">
            <v>1.2.5.01.0001</v>
          </cell>
          <cell r="C201">
            <v>12511</v>
          </cell>
          <cell r="D201" t="str">
            <v>Arrendamento Imóvel - Ed. M. dos Reis - Praça Pio X</v>
          </cell>
          <cell r="E201" t="str">
            <v>A</v>
          </cell>
          <cell r="H201" t="str">
            <v>N/A</v>
          </cell>
          <cell r="I201">
            <v>500001</v>
          </cell>
          <cell r="J201" t="str">
            <v>Arrendamento mercantil, adoção CPC 06 (direito de uso)</v>
          </cell>
          <cell r="K201">
            <v>600022</v>
          </cell>
          <cell r="L201">
            <v>-1</v>
          </cell>
        </row>
        <row r="202">
          <cell r="B202" t="str">
            <v>1.2.5.01.0002</v>
          </cell>
          <cell r="C202">
            <v>12512</v>
          </cell>
          <cell r="D202" t="str">
            <v>(-) Amortiz. Arrendamento Imóvel - Ed. M. dos Reis - Praça Pio X</v>
          </cell>
          <cell r="E202" t="str">
            <v>A</v>
          </cell>
          <cell r="H202" t="str">
            <v>N/A</v>
          </cell>
          <cell r="I202">
            <v>500001</v>
          </cell>
          <cell r="J202" t="str">
            <v>Amortização do direito de uso</v>
          </cell>
          <cell r="K202">
            <v>600006</v>
          </cell>
          <cell r="L202">
            <v>-1</v>
          </cell>
        </row>
        <row r="203">
          <cell r="B203">
            <v>2</v>
          </cell>
          <cell r="C203">
            <v>2</v>
          </cell>
          <cell r="D203" t="str">
            <v>Passivo</v>
          </cell>
          <cell r="E203" t="str">
            <v>S</v>
          </cell>
        </row>
        <row r="204">
          <cell r="B204" t="str">
            <v>2.1</v>
          </cell>
          <cell r="C204">
            <v>21</v>
          </cell>
          <cell r="D204" t="str">
            <v>Circulante</v>
          </cell>
          <cell r="E204" t="str">
            <v>S</v>
          </cell>
        </row>
        <row r="205">
          <cell r="B205" t="str">
            <v>2.1.1</v>
          </cell>
          <cell r="C205">
            <v>211</v>
          </cell>
          <cell r="D205" t="str">
            <v>Obrigações de Curto Prazo</v>
          </cell>
          <cell r="E205" t="str">
            <v>S</v>
          </cell>
        </row>
        <row r="206">
          <cell r="B206" t="str">
            <v>2.1.1.01</v>
          </cell>
          <cell r="C206">
            <v>2111</v>
          </cell>
          <cell r="D206" t="str">
            <v>Empréstimos e Financiamentos - Em Moeda</v>
          </cell>
          <cell r="E206" t="str">
            <v>S</v>
          </cell>
        </row>
        <row r="207">
          <cell r="B207" t="str">
            <v>2.1.1.01.0001</v>
          </cell>
          <cell r="C207">
            <v>21111</v>
          </cell>
          <cell r="D207" t="str">
            <v>Banco do Brasil - Empréstimos</v>
          </cell>
          <cell r="E207" t="str">
            <v>A</v>
          </cell>
          <cell r="H207" t="str">
            <v>N/A</v>
          </cell>
          <cell r="I207">
            <v>500001</v>
          </cell>
          <cell r="J207" t="str">
            <v>Outras obrigações</v>
          </cell>
          <cell r="K207">
            <v>600021</v>
          </cell>
          <cell r="L207">
            <v>-1</v>
          </cell>
        </row>
        <row r="208">
          <cell r="B208" t="str">
            <v>2.1.1.01.0002</v>
          </cell>
          <cell r="C208">
            <v>21112</v>
          </cell>
          <cell r="D208" t="str">
            <v>Banco do Brasil - Financ.de Bens e Serv.</v>
          </cell>
          <cell r="E208" t="str">
            <v>A</v>
          </cell>
          <cell r="H208" t="str">
            <v>N/A</v>
          </cell>
          <cell r="I208">
            <v>500001</v>
          </cell>
          <cell r="J208" t="str">
            <v>Outras obrigações</v>
          </cell>
          <cell r="K208">
            <v>600021</v>
          </cell>
          <cell r="L208">
            <v>-1</v>
          </cell>
        </row>
        <row r="209">
          <cell r="B209" t="str">
            <v>2.1.1.02</v>
          </cell>
          <cell r="C209">
            <v>2112</v>
          </cell>
          <cell r="D209" t="str">
            <v>Empréstimos e Financiamentos - Em Moeda</v>
          </cell>
          <cell r="E209" t="str">
            <v>S</v>
          </cell>
        </row>
        <row r="210">
          <cell r="B210" t="str">
            <v>2.1.1.03</v>
          </cell>
          <cell r="C210">
            <v>2113</v>
          </cell>
          <cell r="D210" t="str">
            <v>Debêntures</v>
          </cell>
          <cell r="E210" t="str">
            <v>S</v>
          </cell>
        </row>
        <row r="211">
          <cell r="B211" t="str">
            <v>2.1.1.03.0001</v>
          </cell>
          <cell r="C211">
            <v>21131</v>
          </cell>
          <cell r="D211" t="str">
            <v>Conversíveis em Ações</v>
          </cell>
          <cell r="E211" t="str">
            <v>A</v>
          </cell>
          <cell r="H211" t="str">
            <v>N/A</v>
          </cell>
          <cell r="I211">
            <v>500001</v>
          </cell>
          <cell r="J211" t="str">
            <v>Outras obrigações</v>
          </cell>
          <cell r="K211">
            <v>600021</v>
          </cell>
          <cell r="L211">
            <v>-1</v>
          </cell>
        </row>
        <row r="212">
          <cell r="B212" t="str">
            <v>2.1.1.03.0002</v>
          </cell>
          <cell r="C212">
            <v>21132</v>
          </cell>
          <cell r="D212" t="str">
            <v>Não Conversíveis em Ações</v>
          </cell>
          <cell r="E212" t="str">
            <v>A</v>
          </cell>
          <cell r="H212" t="str">
            <v>N/A</v>
          </cell>
          <cell r="I212">
            <v>500001</v>
          </cell>
          <cell r="J212" t="str">
            <v>Outras obrigações</v>
          </cell>
          <cell r="K212">
            <v>600021</v>
          </cell>
          <cell r="L212">
            <v>-1</v>
          </cell>
        </row>
        <row r="213">
          <cell r="B213" t="str">
            <v>2.1.1.04</v>
          </cell>
          <cell r="C213">
            <v>2114</v>
          </cell>
          <cell r="D213" t="str">
            <v>Fornecedores Nacionais</v>
          </cell>
          <cell r="E213" t="str">
            <v>S</v>
          </cell>
        </row>
        <row r="214">
          <cell r="B214" t="str">
            <v>2.1.1.04.0001</v>
          </cell>
          <cell r="C214">
            <v>60444437000146</v>
          </cell>
          <cell r="D214" t="str">
            <v>LIGHT SERVICOS DE ELETRICIDADE S.A</v>
          </cell>
          <cell r="E214" t="str">
            <v>A</v>
          </cell>
          <cell r="H214" t="str">
            <v>N/A</v>
          </cell>
          <cell r="I214">
            <v>500001</v>
          </cell>
          <cell r="J214" t="str">
            <v>Fornecedores</v>
          </cell>
          <cell r="K214">
            <v>600017</v>
          </cell>
          <cell r="L214">
            <v>-1</v>
          </cell>
        </row>
        <row r="215">
          <cell r="B215" t="str">
            <v>2.1.1.04.0002</v>
          </cell>
          <cell r="C215">
            <v>57142978000105</v>
          </cell>
          <cell r="D215" t="str">
            <v>BRASOFTWARE INFORMATICA</v>
          </cell>
          <cell r="E215" t="str">
            <v>A</v>
          </cell>
          <cell r="H215" t="str">
            <v>N/A</v>
          </cell>
          <cell r="I215">
            <v>500001</v>
          </cell>
          <cell r="J215" t="str">
            <v>Fornecedores</v>
          </cell>
          <cell r="K215">
            <v>600017</v>
          </cell>
          <cell r="L215">
            <v>-1</v>
          </cell>
        </row>
        <row r="216">
          <cell r="B216" t="str">
            <v>2.1.1.04.0003</v>
          </cell>
          <cell r="C216">
            <v>34028316000294</v>
          </cell>
          <cell r="D216" t="str">
            <v>EMPRESA BRASILEIRA DE CORREIOS E TELEGRA</v>
          </cell>
          <cell r="E216" t="str">
            <v>A</v>
          </cell>
          <cell r="H216" t="str">
            <v>N/A</v>
          </cell>
          <cell r="I216">
            <v>500001</v>
          </cell>
          <cell r="J216" t="str">
            <v>Fornecedores</v>
          </cell>
          <cell r="K216">
            <v>600017</v>
          </cell>
          <cell r="L216">
            <v>-1</v>
          </cell>
        </row>
        <row r="217">
          <cell r="B217" t="str">
            <v>2.1.1.04.0004</v>
          </cell>
          <cell r="C217" t="str">
            <v>75609123/0001-23</v>
          </cell>
          <cell r="D217" t="str">
            <v>OURO VERDE TRANSPORTES E LOCAÇÃO</v>
          </cell>
          <cell r="E217" t="str">
            <v>A</v>
          </cell>
          <cell r="H217" t="str">
            <v>N/A</v>
          </cell>
          <cell r="I217">
            <v>500001</v>
          </cell>
          <cell r="J217" t="str">
            <v>Fornecedores</v>
          </cell>
          <cell r="K217">
            <v>600017</v>
          </cell>
          <cell r="L217">
            <v>-1</v>
          </cell>
        </row>
        <row r="218">
          <cell r="B218" t="str">
            <v>2.1.1.04.0005</v>
          </cell>
          <cell r="C218" t="str">
            <v>02877566/0001-21</v>
          </cell>
          <cell r="D218" t="str">
            <v>IBROWSE CONSULTORIA &amp; INFORMATICA</v>
          </cell>
          <cell r="E218" t="str">
            <v>A</v>
          </cell>
          <cell r="H218" t="str">
            <v>N/A</v>
          </cell>
          <cell r="I218">
            <v>500001</v>
          </cell>
          <cell r="J218" t="str">
            <v>Fornecedores</v>
          </cell>
          <cell r="K218">
            <v>600017</v>
          </cell>
          <cell r="L218">
            <v>-1</v>
          </cell>
        </row>
        <row r="219">
          <cell r="B219" t="str">
            <v>2.1.1.04.0006</v>
          </cell>
          <cell r="C219" t="str">
            <v>42429480/0001-50</v>
          </cell>
          <cell r="D219" t="str">
            <v>FUNDAÇAO UNIVERSITARIA JOSE BONIFACIO</v>
          </cell>
          <cell r="E219" t="str">
            <v>A</v>
          </cell>
          <cell r="H219" t="str">
            <v>N/A</v>
          </cell>
          <cell r="I219">
            <v>500001</v>
          </cell>
          <cell r="J219" t="str">
            <v>Fornecedores</v>
          </cell>
          <cell r="K219">
            <v>600017</v>
          </cell>
          <cell r="L219">
            <v>-1</v>
          </cell>
        </row>
        <row r="220">
          <cell r="B220" t="str">
            <v>2.1.1.04.0007</v>
          </cell>
          <cell r="C220">
            <v>1489065000105</v>
          </cell>
          <cell r="D220" t="str">
            <v>UHY MOREIRA - AUDITORES</v>
          </cell>
          <cell r="E220" t="str">
            <v>A</v>
          </cell>
          <cell r="H220" t="str">
            <v>N/A</v>
          </cell>
          <cell r="I220">
            <v>500001</v>
          </cell>
          <cell r="J220" t="str">
            <v>Fornecedores</v>
          </cell>
          <cell r="K220">
            <v>600017</v>
          </cell>
          <cell r="L220">
            <v>-1</v>
          </cell>
        </row>
        <row r="221">
          <cell r="B221" t="str">
            <v>2.1.1.04.0008</v>
          </cell>
          <cell r="C221" t="str">
            <v>00366080/0001-01</v>
          </cell>
          <cell r="D221" t="str">
            <v>THEMAG ENGENHARIA E GERENCIAMENTO</v>
          </cell>
          <cell r="E221" t="str">
            <v>A</v>
          </cell>
          <cell r="H221" t="str">
            <v>N/A</v>
          </cell>
          <cell r="I221">
            <v>500001</v>
          </cell>
          <cell r="J221" t="str">
            <v>Fornecedores</v>
          </cell>
          <cell r="K221">
            <v>600017</v>
          </cell>
          <cell r="L221">
            <v>-1</v>
          </cell>
        </row>
        <row r="222">
          <cell r="B222" t="str">
            <v>2.1.1.04.0009</v>
          </cell>
          <cell r="C222" t="str">
            <v>33162512/0001-03</v>
          </cell>
          <cell r="D222" t="str">
            <v>GUANABARA PALACE HOTEL LTDA</v>
          </cell>
          <cell r="E222" t="str">
            <v>A</v>
          </cell>
          <cell r="H222" t="str">
            <v>N/A</v>
          </cell>
          <cell r="I222">
            <v>500001</v>
          </cell>
          <cell r="J222" t="str">
            <v>Fornecedores</v>
          </cell>
          <cell r="K222">
            <v>600017</v>
          </cell>
          <cell r="L222">
            <v>-1</v>
          </cell>
        </row>
        <row r="223">
          <cell r="B223" t="str">
            <v>2.1.1.04.0010</v>
          </cell>
          <cell r="C223" t="str">
            <v>72060999/0001-75</v>
          </cell>
          <cell r="D223" t="str">
            <v>FUNDACAO COPPETEC - MATRIZ</v>
          </cell>
          <cell r="E223" t="str">
            <v>A</v>
          </cell>
          <cell r="H223" t="str">
            <v>N/A</v>
          </cell>
          <cell r="I223">
            <v>500001</v>
          </cell>
          <cell r="J223" t="str">
            <v>Fornecedores</v>
          </cell>
          <cell r="K223">
            <v>600017</v>
          </cell>
          <cell r="L223">
            <v>-1</v>
          </cell>
        </row>
        <row r="224">
          <cell r="B224" t="str">
            <v>2.1.1.04.0011</v>
          </cell>
          <cell r="C224" t="str">
            <v>33641663/0001-44</v>
          </cell>
          <cell r="D224" t="str">
            <v>FUNDACAO GETULIO VARGAS</v>
          </cell>
          <cell r="E224" t="str">
            <v>A</v>
          </cell>
          <cell r="H224" t="str">
            <v>N/A</v>
          </cell>
          <cell r="I224">
            <v>500001</v>
          </cell>
          <cell r="J224" t="str">
            <v>Fornecedores</v>
          </cell>
          <cell r="K224">
            <v>600017</v>
          </cell>
          <cell r="L224">
            <v>-1</v>
          </cell>
        </row>
        <row r="225">
          <cell r="B225" t="str">
            <v>2.1.1.04.0012</v>
          </cell>
          <cell r="C225" t="str">
            <v>67987883/0001-44</v>
          </cell>
          <cell r="D225" t="str">
            <v>HYDROS ENGENHARIA LTDA</v>
          </cell>
          <cell r="E225" t="str">
            <v>A</v>
          </cell>
          <cell r="H225" t="str">
            <v>N/A</v>
          </cell>
          <cell r="I225">
            <v>500001</v>
          </cell>
          <cell r="J225" t="str">
            <v>Fornecedores</v>
          </cell>
          <cell r="K225">
            <v>600017</v>
          </cell>
          <cell r="L225">
            <v>-1</v>
          </cell>
        </row>
        <row r="226">
          <cell r="B226" t="str">
            <v>2.1.1.04.0013</v>
          </cell>
          <cell r="C226" t="str">
            <v>02760660/0002-87</v>
          </cell>
          <cell r="D226" t="str">
            <v>LINK TV CLIPPING ELETRONICO LTDA</v>
          </cell>
          <cell r="E226" t="str">
            <v>A</v>
          </cell>
          <cell r="H226" t="str">
            <v>N/A</v>
          </cell>
          <cell r="I226">
            <v>500001</v>
          </cell>
          <cell r="J226" t="str">
            <v>Fornecedores</v>
          </cell>
          <cell r="K226">
            <v>600017</v>
          </cell>
          <cell r="L226">
            <v>-1</v>
          </cell>
        </row>
        <row r="227">
          <cell r="B227" t="str">
            <v>2.1.1.04.0014</v>
          </cell>
          <cell r="C227" t="str">
            <v>33146648/0001-20</v>
          </cell>
          <cell r="D227" t="str">
            <v>CONCREMAT ENGENHARIA E TECNOLOGIA S.A</v>
          </cell>
          <cell r="E227" t="str">
            <v>A</v>
          </cell>
          <cell r="H227" t="str">
            <v>N/A</v>
          </cell>
          <cell r="I227">
            <v>500001</v>
          </cell>
          <cell r="J227" t="str">
            <v>Fornecedores</v>
          </cell>
          <cell r="K227">
            <v>600017</v>
          </cell>
          <cell r="L227">
            <v>-1</v>
          </cell>
        </row>
        <row r="228">
          <cell r="B228" t="str">
            <v>2.1.1.04.0015</v>
          </cell>
          <cell r="C228" t="str">
            <v>00869125/0001-52</v>
          </cell>
          <cell r="D228" t="str">
            <v>CALMA INFORMATICA LTDA</v>
          </cell>
          <cell r="E228" t="str">
            <v>A</v>
          </cell>
          <cell r="H228" t="str">
            <v>N/A</v>
          </cell>
          <cell r="I228">
            <v>500001</v>
          </cell>
          <cell r="J228" t="str">
            <v>Fornecedores</v>
          </cell>
          <cell r="K228">
            <v>600017</v>
          </cell>
          <cell r="L228">
            <v>-1</v>
          </cell>
        </row>
        <row r="229">
          <cell r="B229" t="str">
            <v>2.1.1.04.0016</v>
          </cell>
          <cell r="C229" t="str">
            <v>01799993/0001-76</v>
          </cell>
          <cell r="D229" t="str">
            <v>CMD MEDICAL CENTER S/C LTDA</v>
          </cell>
          <cell r="E229" t="str">
            <v>A</v>
          </cell>
          <cell r="H229" t="str">
            <v>N/A</v>
          </cell>
          <cell r="I229">
            <v>500001</v>
          </cell>
          <cell r="J229" t="str">
            <v>Fornecedores</v>
          </cell>
          <cell r="K229">
            <v>600017</v>
          </cell>
          <cell r="L229">
            <v>-1</v>
          </cell>
        </row>
        <row r="230">
          <cell r="B230" t="str">
            <v>2.1.1.04.0017</v>
          </cell>
          <cell r="C230" t="str">
            <v>02449992/0181-01</v>
          </cell>
          <cell r="D230" t="str">
            <v>VIVO S.A</v>
          </cell>
          <cell r="E230" t="str">
            <v>A</v>
          </cell>
          <cell r="H230" t="str">
            <v>N/A</v>
          </cell>
          <cell r="I230">
            <v>500001</v>
          </cell>
          <cell r="J230" t="str">
            <v>Fornecedores</v>
          </cell>
          <cell r="K230">
            <v>600017</v>
          </cell>
          <cell r="L230">
            <v>-1</v>
          </cell>
        </row>
        <row r="231">
          <cell r="B231" t="str">
            <v>2.1.1.04.0018</v>
          </cell>
          <cell r="C231" t="str">
            <v>01012559/0001-02</v>
          </cell>
          <cell r="D231" t="str">
            <v>JATO AEROTAXI LTDA</v>
          </cell>
          <cell r="E231" t="str">
            <v>A</v>
          </cell>
          <cell r="H231" t="str">
            <v>N/A</v>
          </cell>
          <cell r="I231">
            <v>500001</v>
          </cell>
          <cell r="J231" t="str">
            <v>Fornecedores</v>
          </cell>
          <cell r="K231">
            <v>600017</v>
          </cell>
          <cell r="L231">
            <v>-1</v>
          </cell>
        </row>
        <row r="232">
          <cell r="B232" t="str">
            <v>2.1.1.04.0019</v>
          </cell>
          <cell r="C232" t="str">
            <v>08401303/0001-28</v>
          </cell>
          <cell r="D232" t="str">
            <v>COMERCIAL DE REFRIGERACAO ICE FRIO LTDA</v>
          </cell>
          <cell r="E232" t="str">
            <v>A</v>
          </cell>
          <cell r="H232" t="str">
            <v>N/A</v>
          </cell>
          <cell r="I232">
            <v>500001</v>
          </cell>
          <cell r="J232" t="str">
            <v>Fornecedores</v>
          </cell>
          <cell r="K232">
            <v>600017</v>
          </cell>
          <cell r="L232">
            <v>-1</v>
          </cell>
        </row>
        <row r="233">
          <cell r="B233" t="str">
            <v>2.1.1.04.0020</v>
          </cell>
          <cell r="C233" t="str">
            <v>09168704/0001-42</v>
          </cell>
          <cell r="D233" t="str">
            <v>EMPRESA BRASILEIRA DE COMUNICACAO - EBC</v>
          </cell>
          <cell r="E233" t="str">
            <v>A</v>
          </cell>
          <cell r="H233" t="str">
            <v>N/A</v>
          </cell>
          <cell r="I233">
            <v>500001</v>
          </cell>
          <cell r="J233" t="str">
            <v>Fornecedores</v>
          </cell>
          <cell r="K233">
            <v>600017</v>
          </cell>
          <cell r="L233">
            <v>-1</v>
          </cell>
        </row>
        <row r="234">
          <cell r="B234" t="str">
            <v>2.1.1.04.0021</v>
          </cell>
          <cell r="C234" t="str">
            <v>02986452/0001-10</v>
          </cell>
          <cell r="D234" t="str">
            <v>EMIDA INSTALACOES LTDA</v>
          </cell>
          <cell r="E234" t="str">
            <v>A</v>
          </cell>
          <cell r="H234" t="str">
            <v>N/A</v>
          </cell>
          <cell r="I234">
            <v>500001</v>
          </cell>
          <cell r="J234" t="str">
            <v>Fornecedores</v>
          </cell>
          <cell r="K234">
            <v>600017</v>
          </cell>
          <cell r="L234">
            <v>-1</v>
          </cell>
        </row>
        <row r="235">
          <cell r="B235" t="str">
            <v>2.1.1.04.0022</v>
          </cell>
          <cell r="C235" t="str">
            <v>07615598/0001-72</v>
          </cell>
          <cell r="D235" t="str">
            <v>BRANDAO DO ITANHANGA SERV. GRAFICOS</v>
          </cell>
          <cell r="E235" t="str">
            <v>A</v>
          </cell>
          <cell r="H235" t="str">
            <v>N/A</v>
          </cell>
          <cell r="I235">
            <v>500001</v>
          </cell>
          <cell r="J235" t="str">
            <v>Fornecedores</v>
          </cell>
          <cell r="K235">
            <v>600017</v>
          </cell>
          <cell r="L235">
            <v>-1</v>
          </cell>
        </row>
        <row r="236">
          <cell r="B236" t="str">
            <v>2.1.1.04.0023</v>
          </cell>
          <cell r="C236" t="str">
            <v>72109291/0001-61</v>
          </cell>
          <cell r="D236" t="str">
            <v>FACILITY CENTRAL DE SERV. LTDA</v>
          </cell>
          <cell r="E236" t="str">
            <v>A</v>
          </cell>
          <cell r="H236" t="str">
            <v>N/A</v>
          </cell>
          <cell r="I236">
            <v>500001</v>
          </cell>
          <cell r="J236" t="str">
            <v>Fornecedores</v>
          </cell>
          <cell r="K236">
            <v>600017</v>
          </cell>
          <cell r="L236">
            <v>-1</v>
          </cell>
        </row>
        <row r="237">
          <cell r="B237" t="str">
            <v>2.1.1.04.0024</v>
          </cell>
          <cell r="C237" t="str">
            <v>32985244/0001-67</v>
          </cell>
          <cell r="D237" t="str">
            <v>VIADOTTO E MOLINA LTDA</v>
          </cell>
          <cell r="E237" t="str">
            <v>A</v>
          </cell>
          <cell r="H237" t="str">
            <v>N/A</v>
          </cell>
          <cell r="I237">
            <v>500001</v>
          </cell>
          <cell r="J237" t="str">
            <v>Fornecedores</v>
          </cell>
          <cell r="K237">
            <v>600017</v>
          </cell>
          <cell r="L237">
            <v>-1</v>
          </cell>
        </row>
        <row r="238">
          <cell r="B238" t="str">
            <v>2.1.1.04.0025</v>
          </cell>
          <cell r="C238" t="str">
            <v>01245055/0001-24</v>
          </cell>
          <cell r="D238" t="str">
            <v>HENRY EQUIPAMENTOS ELETRONICOS E SISTEMA</v>
          </cell>
          <cell r="E238" t="str">
            <v>A</v>
          </cell>
          <cell r="H238" t="str">
            <v>N/A</v>
          </cell>
          <cell r="I238">
            <v>500001</v>
          </cell>
          <cell r="J238" t="str">
            <v>Fornecedores</v>
          </cell>
          <cell r="K238">
            <v>600017</v>
          </cell>
          <cell r="L238">
            <v>-1</v>
          </cell>
        </row>
        <row r="239">
          <cell r="B239" t="str">
            <v>2.1.1.04.0026</v>
          </cell>
          <cell r="C239" t="str">
            <v>08689801/0001-18</v>
          </cell>
          <cell r="D239" t="str">
            <v>ALERTE - AUTOMATIZACAO DE LEITURA REC.</v>
          </cell>
          <cell r="E239" t="str">
            <v>A</v>
          </cell>
          <cell r="H239" t="str">
            <v>N/A</v>
          </cell>
          <cell r="I239">
            <v>500001</v>
          </cell>
          <cell r="J239" t="str">
            <v>Fornecedores</v>
          </cell>
          <cell r="K239">
            <v>600017</v>
          </cell>
          <cell r="L239">
            <v>-1</v>
          </cell>
        </row>
        <row r="240">
          <cell r="B240" t="str">
            <v>2.1.1.04.0027</v>
          </cell>
          <cell r="C240" t="str">
            <v>07228550/0001-01</v>
          </cell>
          <cell r="D240" t="str">
            <v>MUNDIVOX TELECOMUNICACOES LTDA</v>
          </cell>
          <cell r="E240" t="str">
            <v>A</v>
          </cell>
          <cell r="H240" t="str">
            <v>N/A</v>
          </cell>
          <cell r="I240">
            <v>500001</v>
          </cell>
          <cell r="J240" t="str">
            <v>Fornecedores</v>
          </cell>
          <cell r="K240">
            <v>600017</v>
          </cell>
          <cell r="L240">
            <v>-1</v>
          </cell>
        </row>
        <row r="241">
          <cell r="B241" t="str">
            <v>2.1.1.04.0028</v>
          </cell>
          <cell r="C241" t="str">
            <v>00119796/0001-04</v>
          </cell>
          <cell r="D241" t="str">
            <v>A2 EMPREENDIMENTOS LTDA</v>
          </cell>
          <cell r="E241" t="str">
            <v>A</v>
          </cell>
          <cell r="H241" t="str">
            <v>N/A</v>
          </cell>
          <cell r="I241">
            <v>500001</v>
          </cell>
          <cell r="J241" t="str">
            <v>Fornecedores</v>
          </cell>
          <cell r="K241">
            <v>600017</v>
          </cell>
          <cell r="L241">
            <v>-1</v>
          </cell>
        </row>
        <row r="242">
          <cell r="B242" t="str">
            <v>2.1.1.04.0029</v>
          </cell>
          <cell r="C242" t="str">
            <v>68665355/0001-33</v>
          </cell>
          <cell r="D242" t="str">
            <v>RL SISTEC SERV. E SISTEMAS ELETRONICOS</v>
          </cell>
          <cell r="E242" t="str">
            <v>A</v>
          </cell>
          <cell r="H242" t="str">
            <v>N/A</v>
          </cell>
          <cell r="I242">
            <v>500001</v>
          </cell>
          <cell r="J242" t="str">
            <v>Fornecedores</v>
          </cell>
          <cell r="K242">
            <v>600017</v>
          </cell>
          <cell r="L242">
            <v>-1</v>
          </cell>
        </row>
        <row r="243">
          <cell r="B243" t="str">
            <v>2.1.1.04.0030</v>
          </cell>
          <cell r="C243" t="str">
            <v>35795210/0001-06</v>
          </cell>
          <cell r="D243" t="str">
            <v>AGRAR CONSULTORIA E ESTUDOS TECNICOS</v>
          </cell>
          <cell r="E243" t="str">
            <v>A</v>
          </cell>
          <cell r="H243" t="str">
            <v>N/A</v>
          </cell>
          <cell r="I243">
            <v>500001</v>
          </cell>
          <cell r="J243" t="str">
            <v>Fornecedores</v>
          </cell>
          <cell r="K243">
            <v>600017</v>
          </cell>
          <cell r="L243">
            <v>-1</v>
          </cell>
        </row>
        <row r="244">
          <cell r="B244" t="str">
            <v>2.1.1.04.0031</v>
          </cell>
          <cell r="C244" t="str">
            <v>09305983/0001-49</v>
          </cell>
          <cell r="D244" t="str">
            <v>PSR SOLUCOES E CONSULTORIA EM ENERGIA LT</v>
          </cell>
          <cell r="E244" t="str">
            <v>A</v>
          </cell>
          <cell r="H244" t="str">
            <v>N/A</v>
          </cell>
          <cell r="I244">
            <v>500001</v>
          </cell>
          <cell r="J244" t="str">
            <v>Fornecedores</v>
          </cell>
          <cell r="K244">
            <v>600017</v>
          </cell>
          <cell r="L244">
            <v>-1</v>
          </cell>
        </row>
        <row r="245">
          <cell r="B245" t="str">
            <v>2.1.1.04.0032</v>
          </cell>
          <cell r="C245" t="str">
            <v>30280440/0001-00</v>
          </cell>
          <cell r="D245" t="str">
            <v>TECNOMOVEL INDUSTRIA COMERCIO E SERVICOS</v>
          </cell>
          <cell r="E245" t="str">
            <v>A</v>
          </cell>
          <cell r="H245" t="str">
            <v>N/A</v>
          </cell>
          <cell r="I245">
            <v>500001</v>
          </cell>
          <cell r="J245" t="str">
            <v>Fornecedores</v>
          </cell>
          <cell r="K245">
            <v>600017</v>
          </cell>
          <cell r="L245">
            <v>-1</v>
          </cell>
        </row>
        <row r="246">
          <cell r="B246" t="str">
            <v>2.1.1.04.0033</v>
          </cell>
          <cell r="C246" t="str">
            <v>10697727/0001-12</v>
          </cell>
          <cell r="D246" t="str">
            <v>BAZAR SHOPPING SOLUCOES LTDA</v>
          </cell>
          <cell r="E246" t="str">
            <v>A</v>
          </cell>
          <cell r="H246" t="str">
            <v>N/A</v>
          </cell>
          <cell r="I246">
            <v>500001</v>
          </cell>
          <cell r="J246" t="str">
            <v>Fornecedores</v>
          </cell>
          <cell r="K246">
            <v>600017</v>
          </cell>
          <cell r="L246">
            <v>-1</v>
          </cell>
        </row>
        <row r="247">
          <cell r="B247" t="str">
            <v>2.1.1.04.0034</v>
          </cell>
          <cell r="C247" t="str">
            <v>32185357/0001-88</v>
          </cell>
          <cell r="D247" t="str">
            <v>ALK ENGENHARIA E COMERCIO LTDA</v>
          </cell>
          <cell r="E247" t="str">
            <v>A</v>
          </cell>
          <cell r="H247" t="str">
            <v>N/A</v>
          </cell>
          <cell r="I247">
            <v>500001</v>
          </cell>
          <cell r="J247" t="str">
            <v>Fornecedores</v>
          </cell>
          <cell r="K247">
            <v>600017</v>
          </cell>
          <cell r="L247">
            <v>-1</v>
          </cell>
        </row>
        <row r="248">
          <cell r="B248" t="str">
            <v>2.1.1.04.0035</v>
          </cell>
          <cell r="C248" t="str">
            <v>02558157/0001-62</v>
          </cell>
          <cell r="D248" t="str">
            <v>TELEFONICA BRASIL S.A.</v>
          </cell>
          <cell r="E248" t="str">
            <v>A</v>
          </cell>
          <cell r="H248" t="str">
            <v>N/A</v>
          </cell>
          <cell r="I248">
            <v>500001</v>
          </cell>
          <cell r="J248" t="str">
            <v>Fornecedores</v>
          </cell>
          <cell r="K248">
            <v>600017</v>
          </cell>
          <cell r="L248">
            <v>-1</v>
          </cell>
        </row>
        <row r="249">
          <cell r="B249" t="str">
            <v>2.1.1.04.0036</v>
          </cell>
          <cell r="C249" t="str">
            <v>04571978/0001-64</v>
          </cell>
          <cell r="D249" t="str">
            <v>BELLATRIX NETWORK COM. E SERVICOS</v>
          </cell>
          <cell r="E249" t="str">
            <v>A</v>
          </cell>
          <cell r="H249" t="str">
            <v>N/A</v>
          </cell>
          <cell r="I249">
            <v>500001</v>
          </cell>
          <cell r="J249" t="str">
            <v>Fornecedores</v>
          </cell>
          <cell r="K249">
            <v>600017</v>
          </cell>
          <cell r="L249">
            <v>-1</v>
          </cell>
        </row>
        <row r="250">
          <cell r="B250" t="str">
            <v>2.1.1.04.0037</v>
          </cell>
          <cell r="C250" t="str">
            <v>01342499/0005-01</v>
          </cell>
          <cell r="D250" t="str">
            <v>BRASVENDING COMERCIAL LTDA</v>
          </cell>
          <cell r="E250" t="str">
            <v>A</v>
          </cell>
          <cell r="H250" t="str">
            <v>N/A</v>
          </cell>
          <cell r="I250">
            <v>500001</v>
          </cell>
          <cell r="J250" t="str">
            <v>Fornecedores</v>
          </cell>
          <cell r="K250">
            <v>600017</v>
          </cell>
          <cell r="L250">
            <v>-1</v>
          </cell>
        </row>
        <row r="251">
          <cell r="B251" t="str">
            <v>2.1.1.04.0038</v>
          </cell>
          <cell r="C251" t="str">
            <v>31563034/0001-18</v>
          </cell>
          <cell r="D251" t="str">
            <v xml:space="preserve">FEEDBACKTUR VIAGENS LTDA </v>
          </cell>
          <cell r="E251" t="str">
            <v>A</v>
          </cell>
          <cell r="H251" t="str">
            <v>N/A</v>
          </cell>
          <cell r="I251">
            <v>500001</v>
          </cell>
          <cell r="J251" t="str">
            <v>Fornecedores</v>
          </cell>
          <cell r="K251">
            <v>600017</v>
          </cell>
          <cell r="L251">
            <v>-1</v>
          </cell>
        </row>
        <row r="252">
          <cell r="B252" t="str">
            <v>2.1.1.04.0039</v>
          </cell>
          <cell r="C252" t="str">
            <v>05102672/0001-21</v>
          </cell>
          <cell r="D252" t="str">
            <v>CLAUDIA WATANABE ADVOGADOS</v>
          </cell>
          <cell r="E252" t="str">
            <v>A</v>
          </cell>
          <cell r="H252" t="str">
            <v>N/A</v>
          </cell>
          <cell r="I252">
            <v>500001</v>
          </cell>
          <cell r="J252" t="str">
            <v>Fornecedores</v>
          </cell>
          <cell r="K252">
            <v>600017</v>
          </cell>
          <cell r="L252">
            <v>-1</v>
          </cell>
        </row>
        <row r="253">
          <cell r="B253" t="str">
            <v>2.1.1.04.0040</v>
          </cell>
          <cell r="C253" t="str">
            <v>76436849/0001-74</v>
          </cell>
          <cell r="D253" t="str">
            <v>ENGEFOTO ENGENHARIA E AEROLEVANTAMENTOS</v>
          </cell>
          <cell r="E253" t="str">
            <v>A</v>
          </cell>
          <cell r="H253" t="str">
            <v>N/A</v>
          </cell>
          <cell r="I253">
            <v>500001</v>
          </cell>
          <cell r="J253" t="str">
            <v>Fornecedores</v>
          </cell>
          <cell r="K253">
            <v>600017</v>
          </cell>
          <cell r="L253">
            <v>-1</v>
          </cell>
        </row>
        <row r="254">
          <cell r="B254" t="str">
            <v>2.1.1.04.0041</v>
          </cell>
          <cell r="C254" t="str">
            <v>69034668/0001-56</v>
          </cell>
          <cell r="D254" t="str">
            <v>SODEXO PASS DO BRASIL SERVC. E COMERCIO</v>
          </cell>
          <cell r="E254" t="str">
            <v>A</v>
          </cell>
          <cell r="H254" t="str">
            <v>N/A</v>
          </cell>
          <cell r="I254">
            <v>500001</v>
          </cell>
          <cell r="J254" t="str">
            <v>Fornecedores</v>
          </cell>
          <cell r="K254">
            <v>600017</v>
          </cell>
          <cell r="L254">
            <v>-1</v>
          </cell>
        </row>
        <row r="255">
          <cell r="B255" t="str">
            <v>2.1.1.04.0042</v>
          </cell>
          <cell r="C255" t="str">
            <v>00877761/0001-26</v>
          </cell>
          <cell r="D255" t="str">
            <v>DEL MORO E DE MORO LTDA</v>
          </cell>
          <cell r="E255" t="str">
            <v>A</v>
          </cell>
          <cell r="H255" t="str">
            <v>N/A</v>
          </cell>
          <cell r="I255">
            <v>500001</v>
          </cell>
          <cell r="J255" t="str">
            <v>Fornecedores</v>
          </cell>
          <cell r="K255">
            <v>600017</v>
          </cell>
          <cell r="L255">
            <v>-1</v>
          </cell>
        </row>
        <row r="256">
          <cell r="B256" t="str">
            <v>2.1.1.04.0043</v>
          </cell>
          <cell r="C256" t="str">
            <v>02604000/0001-26</v>
          </cell>
          <cell r="D256" t="str">
            <v>ASSOCIACAO VALE TELES PIRES DE COMUNICAC</v>
          </cell>
          <cell r="E256" t="str">
            <v>A</v>
          </cell>
          <cell r="H256" t="str">
            <v>N/A</v>
          </cell>
          <cell r="I256">
            <v>500001</v>
          </cell>
          <cell r="J256" t="str">
            <v>Fornecedores</v>
          </cell>
          <cell r="K256">
            <v>600017</v>
          </cell>
          <cell r="L256">
            <v>-1</v>
          </cell>
        </row>
        <row r="257">
          <cell r="B257" t="str">
            <v>2.1.1.04.0044</v>
          </cell>
          <cell r="C257" t="str">
            <v>10141728/0001-97</v>
          </cell>
          <cell r="D257" t="str">
            <v>ODAIR MARTINS DA SILVA</v>
          </cell>
          <cell r="E257" t="str">
            <v>A</v>
          </cell>
          <cell r="H257" t="str">
            <v>N/A</v>
          </cell>
          <cell r="I257">
            <v>500001</v>
          </cell>
          <cell r="J257" t="str">
            <v>Fornecedores</v>
          </cell>
          <cell r="K257">
            <v>600017</v>
          </cell>
          <cell r="L257">
            <v>-1</v>
          </cell>
        </row>
        <row r="258">
          <cell r="B258" t="str">
            <v>2.1.1.04.0045</v>
          </cell>
          <cell r="C258" t="str">
            <v>70424882/0001-06</v>
          </cell>
          <cell r="D258" t="str">
            <v>AUTO POSTO M5 LTDA</v>
          </cell>
          <cell r="E258" t="str">
            <v>A</v>
          </cell>
          <cell r="H258" t="str">
            <v>N/A</v>
          </cell>
          <cell r="I258">
            <v>500001</v>
          </cell>
          <cell r="J258" t="str">
            <v>Fornecedores</v>
          </cell>
          <cell r="K258">
            <v>600017</v>
          </cell>
          <cell r="L258">
            <v>-1</v>
          </cell>
        </row>
        <row r="259">
          <cell r="B259" t="str">
            <v>2.1.1.04.0046</v>
          </cell>
          <cell r="C259" t="str">
            <v>24752610/0001-00</v>
          </cell>
          <cell r="D259" t="str">
            <v>L. DE SOUZA &amp; CIA LTDA</v>
          </cell>
          <cell r="E259" t="str">
            <v>A</v>
          </cell>
          <cell r="H259" t="str">
            <v>N/A</v>
          </cell>
          <cell r="I259">
            <v>500001</v>
          </cell>
          <cell r="J259" t="str">
            <v>Fornecedores</v>
          </cell>
          <cell r="K259">
            <v>600017</v>
          </cell>
          <cell r="L259">
            <v>-1</v>
          </cell>
        </row>
        <row r="260">
          <cell r="B260" t="str">
            <v>2.1.1.04.0047</v>
          </cell>
          <cell r="C260" t="str">
            <v>04694533/0001-71</v>
          </cell>
          <cell r="D260" t="str">
            <v>PROCANA BRASIL CENTRO DE INFORMACOES</v>
          </cell>
          <cell r="E260" t="str">
            <v>A</v>
          </cell>
          <cell r="H260" t="str">
            <v>N/A</v>
          </cell>
          <cell r="I260">
            <v>500001</v>
          </cell>
          <cell r="J260" t="str">
            <v>Fornecedores</v>
          </cell>
          <cell r="K260">
            <v>600017</v>
          </cell>
          <cell r="L260">
            <v>-1</v>
          </cell>
        </row>
        <row r="261">
          <cell r="B261" t="str">
            <v>2.1.1.04.0048</v>
          </cell>
          <cell r="C261" t="str">
            <v>09480867/0001-66</v>
          </cell>
          <cell r="D261" t="str">
            <v>IRMAS SISTERS PRODUCOES CINEMATOGRAFICAS</v>
          </cell>
          <cell r="E261" t="str">
            <v>A</v>
          </cell>
          <cell r="H261" t="str">
            <v>N/A</v>
          </cell>
          <cell r="I261">
            <v>500001</v>
          </cell>
          <cell r="J261" t="str">
            <v>Fornecedores</v>
          </cell>
          <cell r="K261">
            <v>600017</v>
          </cell>
          <cell r="L261">
            <v>-1</v>
          </cell>
        </row>
        <row r="262">
          <cell r="B262" t="str">
            <v>2.1.1.04.0049</v>
          </cell>
          <cell r="C262" t="str">
            <v>08007596/0001-63</v>
          </cell>
          <cell r="D262" t="str">
            <v>MES EVENTOS LTDA</v>
          </cell>
          <cell r="E262" t="str">
            <v>A</v>
          </cell>
          <cell r="H262" t="str">
            <v>N/A</v>
          </cell>
          <cell r="I262">
            <v>500001</v>
          </cell>
          <cell r="J262" t="str">
            <v>Fornecedores</v>
          </cell>
          <cell r="K262">
            <v>600017</v>
          </cell>
          <cell r="L262">
            <v>-1</v>
          </cell>
        </row>
        <row r="263">
          <cell r="B263" t="str">
            <v>2.1.1.04.0050</v>
          </cell>
          <cell r="C263" t="str">
            <v>09388514/0001-30</v>
          </cell>
          <cell r="D263" t="str">
            <v>BRC 1 PRODUCOES LTDA</v>
          </cell>
          <cell r="E263" t="str">
            <v>A</v>
          </cell>
          <cell r="H263" t="str">
            <v>N/A</v>
          </cell>
          <cell r="I263">
            <v>500001</v>
          </cell>
          <cell r="J263" t="str">
            <v>Fornecedores</v>
          </cell>
          <cell r="K263">
            <v>600017</v>
          </cell>
          <cell r="L263">
            <v>-1</v>
          </cell>
        </row>
        <row r="264">
          <cell r="B264" t="str">
            <v>2.1.1.04.0051</v>
          </cell>
          <cell r="C264" t="str">
            <v>10502944/0001-10</v>
          </cell>
          <cell r="D264" t="str">
            <v>IDEA PROMOCOES SERV. E LOCACOES LTDA</v>
          </cell>
          <cell r="E264" t="str">
            <v>A</v>
          </cell>
          <cell r="H264" t="str">
            <v>N/A</v>
          </cell>
          <cell r="I264">
            <v>500001</v>
          </cell>
          <cell r="J264" t="str">
            <v>Fornecedores</v>
          </cell>
          <cell r="K264">
            <v>600017</v>
          </cell>
          <cell r="L264">
            <v>-1</v>
          </cell>
        </row>
        <row r="265">
          <cell r="B265" t="str">
            <v>2.1.1.04.0052</v>
          </cell>
          <cell r="C265" t="str">
            <v>02907387/0001-90</v>
          </cell>
          <cell r="D265" t="str">
            <v>AMERICA DO SUL TAXI AEREO LTDA</v>
          </cell>
          <cell r="E265" t="str">
            <v>A</v>
          </cell>
          <cell r="H265" t="str">
            <v>N/A</v>
          </cell>
          <cell r="I265">
            <v>500001</v>
          </cell>
          <cell r="J265" t="str">
            <v>Fornecedores</v>
          </cell>
          <cell r="K265">
            <v>600017</v>
          </cell>
          <cell r="L265">
            <v>-1</v>
          </cell>
        </row>
        <row r="266">
          <cell r="B266" t="str">
            <v>2.1.1.04.0053</v>
          </cell>
          <cell r="C266" t="str">
            <v>07940977/0001-38</v>
          </cell>
          <cell r="D266" t="str">
            <v>INFOTECH SOLUCOES EM INFORMATICA LTDA</v>
          </cell>
          <cell r="E266" t="str">
            <v>A</v>
          </cell>
          <cell r="H266" t="str">
            <v>N/A</v>
          </cell>
          <cell r="I266">
            <v>500001</v>
          </cell>
          <cell r="J266" t="str">
            <v>Fornecedores</v>
          </cell>
          <cell r="K266">
            <v>600017</v>
          </cell>
          <cell r="L266">
            <v>-1</v>
          </cell>
        </row>
        <row r="267">
          <cell r="B267" t="str">
            <v>2.1.1.04.0054</v>
          </cell>
          <cell r="C267" t="str">
            <v>04926160/0001-17</v>
          </cell>
          <cell r="D267" t="str">
            <v>POWERBRAS IND. E COM. LTDA</v>
          </cell>
          <cell r="E267" t="str">
            <v>A</v>
          </cell>
          <cell r="H267" t="str">
            <v>N/A</v>
          </cell>
          <cell r="I267">
            <v>500001</v>
          </cell>
          <cell r="J267" t="str">
            <v>Fornecedores</v>
          </cell>
          <cell r="K267">
            <v>600017</v>
          </cell>
          <cell r="L267">
            <v>-1</v>
          </cell>
        </row>
        <row r="268">
          <cell r="B268" t="str">
            <v>2.1.1.04.0055</v>
          </cell>
          <cell r="C268" t="str">
            <v>01310499/0001-04</v>
          </cell>
          <cell r="D268" t="str">
            <v>ASSOCIACAO COMUNITARIA RADIO FM CLAUDIA</v>
          </cell>
          <cell r="E268" t="str">
            <v>A</v>
          </cell>
          <cell r="H268" t="str">
            <v>N/A</v>
          </cell>
          <cell r="I268">
            <v>500001</v>
          </cell>
          <cell r="J268" t="str">
            <v>Fornecedores</v>
          </cell>
          <cell r="K268">
            <v>600017</v>
          </cell>
          <cell r="L268">
            <v>-1</v>
          </cell>
        </row>
        <row r="269">
          <cell r="B269" t="str">
            <v>2.1.1.04.0056</v>
          </cell>
          <cell r="C269" t="str">
            <v>09603902/0001-97</v>
          </cell>
          <cell r="D269" t="str">
            <v>SHOPNETWORKS COMERCIO DE PRODUTOS</v>
          </cell>
          <cell r="E269" t="str">
            <v>A</v>
          </cell>
          <cell r="H269" t="str">
            <v>N/A</v>
          </cell>
          <cell r="I269">
            <v>500001</v>
          </cell>
          <cell r="J269" t="str">
            <v>Fornecedores</v>
          </cell>
          <cell r="K269">
            <v>600017</v>
          </cell>
          <cell r="L269">
            <v>-1</v>
          </cell>
        </row>
        <row r="270">
          <cell r="B270" t="str">
            <v>2.1.1.04.0057</v>
          </cell>
          <cell r="C270" t="str">
            <v>02299257/0001-11</v>
          </cell>
          <cell r="D270" t="str">
            <v>GEODESING SISTEMAS DE INFORMACAO LTDA</v>
          </cell>
          <cell r="E270" t="str">
            <v>A</v>
          </cell>
          <cell r="H270" t="str">
            <v>N/A</v>
          </cell>
          <cell r="I270">
            <v>500001</v>
          </cell>
          <cell r="J270" t="str">
            <v>Fornecedores</v>
          </cell>
          <cell r="K270">
            <v>600017</v>
          </cell>
          <cell r="L270">
            <v>-1</v>
          </cell>
        </row>
        <row r="271">
          <cell r="B271" t="str">
            <v>2.1.1.04.0058</v>
          </cell>
          <cell r="C271" t="str">
            <v>04999113/0001-01</v>
          </cell>
          <cell r="D271" t="str">
            <v>LC EMPREENDIMENTOS E SERVICOS LTDA</v>
          </cell>
          <cell r="E271" t="str">
            <v>A</v>
          </cell>
          <cell r="H271" t="str">
            <v>N/A</v>
          </cell>
          <cell r="I271">
            <v>500001</v>
          </cell>
          <cell r="J271" t="str">
            <v>Fornecedores</v>
          </cell>
          <cell r="K271">
            <v>600017</v>
          </cell>
          <cell r="L271">
            <v>-1</v>
          </cell>
        </row>
        <row r="272">
          <cell r="B272" t="str">
            <v>2.1.1.04.0060</v>
          </cell>
          <cell r="C272" t="str">
            <v>10345104/0001-91</v>
          </cell>
          <cell r="D272" t="str">
            <v>MACTECNOLOGY COM. DE INFORMATICA LTDA</v>
          </cell>
          <cell r="E272" t="str">
            <v>A</v>
          </cell>
          <cell r="H272" t="str">
            <v>N/A</v>
          </cell>
          <cell r="I272">
            <v>500001</v>
          </cell>
          <cell r="J272" t="str">
            <v>Fornecedores</v>
          </cell>
          <cell r="K272">
            <v>600017</v>
          </cell>
          <cell r="L272">
            <v>-1</v>
          </cell>
        </row>
        <row r="273">
          <cell r="B273" t="str">
            <v>2.1.1.04.0061</v>
          </cell>
          <cell r="C273" t="str">
            <v>06241557/0001-09</v>
          </cell>
          <cell r="D273" t="str">
            <v>INGRAM MICRO TECNOLOGIA E INFORMATICA LT</v>
          </cell>
          <cell r="E273" t="str">
            <v>A</v>
          </cell>
          <cell r="H273" t="str">
            <v>N/A</v>
          </cell>
          <cell r="I273">
            <v>500001</v>
          </cell>
          <cell r="J273" t="str">
            <v>Fornecedores</v>
          </cell>
          <cell r="K273">
            <v>600017</v>
          </cell>
          <cell r="L273">
            <v>-1</v>
          </cell>
        </row>
        <row r="274">
          <cell r="B274" t="str">
            <v>2.1.1.04.0062</v>
          </cell>
          <cell r="C274" t="str">
            <v>08322782/0001-97</v>
          </cell>
          <cell r="D274" t="str">
            <v>AQUA GENESIS INSTITUTO</v>
          </cell>
          <cell r="E274" t="str">
            <v>A</v>
          </cell>
          <cell r="H274" t="str">
            <v>N/A</v>
          </cell>
          <cell r="I274">
            <v>500001</v>
          </cell>
          <cell r="J274" t="str">
            <v>Fornecedores</v>
          </cell>
          <cell r="K274">
            <v>600017</v>
          </cell>
          <cell r="L274">
            <v>-1</v>
          </cell>
        </row>
        <row r="275">
          <cell r="B275" t="str">
            <v>2.1.1.04.0063</v>
          </cell>
          <cell r="C275" t="str">
            <v>00604122/0001-97</v>
          </cell>
          <cell r="D275" t="str">
            <v>TRIVALE ADM. LTDA</v>
          </cell>
          <cell r="E275" t="str">
            <v>A</v>
          </cell>
          <cell r="H275" t="str">
            <v>N/A</v>
          </cell>
          <cell r="I275">
            <v>500001</v>
          </cell>
          <cell r="J275" t="str">
            <v>Fornecedores</v>
          </cell>
          <cell r="K275">
            <v>600017</v>
          </cell>
          <cell r="L275">
            <v>-1</v>
          </cell>
        </row>
        <row r="276">
          <cell r="B276" t="str">
            <v>2.1.1.04.0064</v>
          </cell>
          <cell r="C276" t="str">
            <v>11050205/0001-06</v>
          </cell>
          <cell r="D276" t="str">
            <v>CNEC PROJETOS DE ENGENHARIA S.A</v>
          </cell>
          <cell r="E276" t="str">
            <v>A</v>
          </cell>
          <cell r="H276" t="str">
            <v>N/A</v>
          </cell>
          <cell r="I276">
            <v>500001</v>
          </cell>
          <cell r="J276" t="str">
            <v>Fornecedores</v>
          </cell>
          <cell r="K276">
            <v>600017</v>
          </cell>
          <cell r="L276">
            <v>-1</v>
          </cell>
        </row>
        <row r="277">
          <cell r="B277" t="str">
            <v>2.1.1.04.0065</v>
          </cell>
          <cell r="C277" t="str">
            <v>10925387/0001-40</v>
          </cell>
          <cell r="D277" t="str">
            <v>TITAN SOLUTIONS</v>
          </cell>
          <cell r="E277" t="str">
            <v>A</v>
          </cell>
          <cell r="H277" t="str">
            <v>N/A</v>
          </cell>
          <cell r="I277">
            <v>500001</v>
          </cell>
          <cell r="J277" t="str">
            <v>Fornecedores</v>
          </cell>
          <cell r="K277">
            <v>600017</v>
          </cell>
          <cell r="L277">
            <v>-1</v>
          </cell>
        </row>
        <row r="278">
          <cell r="B278" t="str">
            <v>2.1.1.04.0066</v>
          </cell>
          <cell r="C278" t="str">
            <v>33661745/0001-50</v>
          </cell>
          <cell r="D278" t="str">
            <v>CIEE</v>
          </cell>
          <cell r="E278" t="str">
            <v>A</v>
          </cell>
          <cell r="H278" t="str">
            <v>N/A</v>
          </cell>
          <cell r="I278">
            <v>500001</v>
          </cell>
          <cell r="J278" t="str">
            <v>Fornecedores</v>
          </cell>
          <cell r="K278">
            <v>600017</v>
          </cell>
          <cell r="L278">
            <v>-1</v>
          </cell>
        </row>
        <row r="279">
          <cell r="B279" t="str">
            <v>2.1.1.04.0067</v>
          </cell>
          <cell r="C279" t="str">
            <v>12335320/0001-81</v>
          </cell>
          <cell r="D279" t="str">
            <v>VN AUTOMACAO E ENTRETENIMENTOS</v>
          </cell>
          <cell r="E279" t="str">
            <v>A</v>
          </cell>
          <cell r="H279" t="str">
            <v>N/A</v>
          </cell>
          <cell r="I279">
            <v>500001</v>
          </cell>
          <cell r="J279" t="str">
            <v>Fornecedores</v>
          </cell>
          <cell r="K279">
            <v>600017</v>
          </cell>
          <cell r="L279">
            <v>-1</v>
          </cell>
        </row>
        <row r="280">
          <cell r="B280" t="str">
            <v>2.1.1.04.0068</v>
          </cell>
          <cell r="C280" t="str">
            <v>09461568/0001-84</v>
          </cell>
          <cell r="D280" t="str">
            <v>ECOMETRIKA CONSULTORIA EMPRESARIAL LTDA</v>
          </cell>
          <cell r="E280" t="str">
            <v>A</v>
          </cell>
          <cell r="H280" t="str">
            <v>N/A</v>
          </cell>
          <cell r="I280">
            <v>500001</v>
          </cell>
          <cell r="J280" t="str">
            <v>Fornecedores</v>
          </cell>
          <cell r="K280">
            <v>600017</v>
          </cell>
          <cell r="L280">
            <v>-1</v>
          </cell>
        </row>
        <row r="281">
          <cell r="B281" t="str">
            <v>2.1.1.04.0069</v>
          </cell>
          <cell r="C281" t="str">
            <v>67393181/0001-34</v>
          </cell>
          <cell r="D281" t="str">
            <v>IMAGEM GEOSISTEMAS E COMERCIO</v>
          </cell>
          <cell r="E281" t="str">
            <v>A</v>
          </cell>
          <cell r="H281" t="str">
            <v>N/A</v>
          </cell>
          <cell r="I281">
            <v>500001</v>
          </cell>
          <cell r="J281" t="str">
            <v>Fornecedores</v>
          </cell>
          <cell r="K281">
            <v>600017</v>
          </cell>
          <cell r="L281">
            <v>-1</v>
          </cell>
        </row>
        <row r="282">
          <cell r="B282" t="str">
            <v>2.1.1.04.0070</v>
          </cell>
          <cell r="C282" t="str">
            <v>08496003/0001-70</v>
          </cell>
          <cell r="D282" t="str">
            <v>MISTER X PRODUTOS ALIMENTICIOS LTDA</v>
          </cell>
          <cell r="E282" t="str">
            <v>A</v>
          </cell>
          <cell r="H282" t="str">
            <v>N/A</v>
          </cell>
          <cell r="I282">
            <v>500001</v>
          </cell>
          <cell r="J282" t="str">
            <v>Fornecedores</v>
          </cell>
          <cell r="K282">
            <v>600017</v>
          </cell>
          <cell r="L282">
            <v>-1</v>
          </cell>
        </row>
        <row r="283">
          <cell r="B283" t="str">
            <v>2.1.1.04.0071</v>
          </cell>
          <cell r="C283" t="str">
            <v>29508686/0001-01</v>
          </cell>
          <cell r="D283" t="str">
            <v>THOMSON REUTERS SERVICOS ECONOMICOS</v>
          </cell>
          <cell r="E283" t="str">
            <v>A</v>
          </cell>
          <cell r="H283" t="str">
            <v>N/A</v>
          </cell>
          <cell r="I283">
            <v>500001</v>
          </cell>
          <cell r="J283" t="str">
            <v>Fornecedores</v>
          </cell>
          <cell r="K283">
            <v>600017</v>
          </cell>
          <cell r="L283">
            <v>-1</v>
          </cell>
        </row>
        <row r="284">
          <cell r="B284" t="str">
            <v>2.1.1.04.0072</v>
          </cell>
          <cell r="C284" t="str">
            <v>43283811/0001-50</v>
          </cell>
          <cell r="D284" t="str">
            <v>KALUNGA COM. E. IND. GRAFICA LTDA</v>
          </cell>
          <cell r="E284" t="str">
            <v>A</v>
          </cell>
          <cell r="H284" t="str">
            <v>N/A</v>
          </cell>
          <cell r="I284">
            <v>500001</v>
          </cell>
          <cell r="J284" t="str">
            <v>Fornecedores</v>
          </cell>
          <cell r="K284">
            <v>600017</v>
          </cell>
          <cell r="L284">
            <v>-1</v>
          </cell>
        </row>
        <row r="285">
          <cell r="B285" t="str">
            <v>2.1.1.04.0073</v>
          </cell>
          <cell r="C285" t="str">
            <v>03136691/0001-75</v>
          </cell>
          <cell r="D285" t="str">
            <v>RADIODIFUSAO LTDA</v>
          </cell>
          <cell r="E285" t="str">
            <v>A</v>
          </cell>
          <cell r="H285" t="str">
            <v>N/A</v>
          </cell>
          <cell r="I285">
            <v>500001</v>
          </cell>
          <cell r="J285" t="str">
            <v>Fornecedores</v>
          </cell>
          <cell r="K285">
            <v>600017</v>
          </cell>
          <cell r="L285">
            <v>-1</v>
          </cell>
        </row>
        <row r="286">
          <cell r="B286" t="str">
            <v>2.1.1.04.0074</v>
          </cell>
          <cell r="C286" t="str">
            <v>68314830/0001-27</v>
          </cell>
          <cell r="D286" t="str">
            <v>FUND. DE APOIO A UNIVERSIDADE DE SAO PAU</v>
          </cell>
          <cell r="E286" t="str">
            <v>A</v>
          </cell>
          <cell r="H286" t="str">
            <v>N/A</v>
          </cell>
          <cell r="I286">
            <v>500001</v>
          </cell>
          <cell r="J286" t="str">
            <v>Fornecedores</v>
          </cell>
          <cell r="K286">
            <v>600017</v>
          </cell>
          <cell r="L286">
            <v>-1</v>
          </cell>
        </row>
        <row r="287">
          <cell r="B287" t="str">
            <v>2.1.1.04.0075</v>
          </cell>
          <cell r="C287" t="str">
            <v>33530486/0001-29</v>
          </cell>
          <cell r="D287" t="str">
            <v>EMP. BRAS. TELECOMUNICACOES - EMBRATEL</v>
          </cell>
          <cell r="E287" t="str">
            <v>A</v>
          </cell>
          <cell r="H287" t="str">
            <v>N/A</v>
          </cell>
          <cell r="I287">
            <v>500001</v>
          </cell>
          <cell r="J287" t="str">
            <v>Fornecedores</v>
          </cell>
          <cell r="K287">
            <v>600017</v>
          </cell>
          <cell r="L287">
            <v>-1</v>
          </cell>
        </row>
        <row r="288">
          <cell r="B288" t="str">
            <v>2.1.1.04.0076</v>
          </cell>
          <cell r="C288" t="str">
            <v>61797924/0007-40</v>
          </cell>
          <cell r="D288" t="str">
            <v>HEWLETT PACKARD DO BRASIL LTDA</v>
          </cell>
          <cell r="E288" t="str">
            <v>A</v>
          </cell>
          <cell r="H288" t="str">
            <v>N/A</v>
          </cell>
          <cell r="I288">
            <v>500001</v>
          </cell>
          <cell r="J288" t="str">
            <v>Fornecedores</v>
          </cell>
          <cell r="K288">
            <v>600017</v>
          </cell>
          <cell r="L288">
            <v>-1</v>
          </cell>
        </row>
        <row r="289">
          <cell r="B289" t="str">
            <v>2.1.1.04.0077</v>
          </cell>
          <cell r="C289" t="str">
            <v>71208516/0171-40</v>
          </cell>
          <cell r="D289" t="str">
            <v>COMPANHIA DE TELECOMUNICACAO DO BRASIL C</v>
          </cell>
          <cell r="E289" t="str">
            <v>A</v>
          </cell>
          <cell r="H289" t="str">
            <v>N/A</v>
          </cell>
          <cell r="I289">
            <v>500001</v>
          </cell>
          <cell r="J289" t="str">
            <v>Fornecedores</v>
          </cell>
          <cell r="K289">
            <v>600017</v>
          </cell>
          <cell r="L289">
            <v>-1</v>
          </cell>
        </row>
        <row r="290">
          <cell r="B290" t="str">
            <v>2.1.1.04.0078</v>
          </cell>
          <cell r="C290" t="str">
            <v>31153877/0001-46</v>
          </cell>
          <cell r="D290" t="str">
            <v>ASSOCIACAO NACIONAL DE PESQUISA E ENSINO</v>
          </cell>
          <cell r="E290" t="str">
            <v>A</v>
          </cell>
          <cell r="H290" t="str">
            <v>N/A</v>
          </cell>
          <cell r="I290">
            <v>500001</v>
          </cell>
          <cell r="J290" t="str">
            <v>Fornecedores</v>
          </cell>
          <cell r="K290">
            <v>600017</v>
          </cell>
          <cell r="L290">
            <v>-1</v>
          </cell>
        </row>
        <row r="291">
          <cell r="B291" t="str">
            <v>2.1.1.04.0079</v>
          </cell>
          <cell r="C291" t="str">
            <v>33747288/0001-11</v>
          </cell>
          <cell r="D291" t="str">
            <v>FEDERAÇÃO DAS EMPRESAS DE TRANSPORTES</v>
          </cell>
          <cell r="E291" t="str">
            <v>A</v>
          </cell>
          <cell r="H291" t="str">
            <v>N/A</v>
          </cell>
          <cell r="I291">
            <v>500001</v>
          </cell>
          <cell r="J291" t="str">
            <v>Fornecedores</v>
          </cell>
          <cell r="K291">
            <v>600017</v>
          </cell>
          <cell r="L291">
            <v>-1</v>
          </cell>
        </row>
        <row r="292">
          <cell r="B292" t="str">
            <v>2.1.1.04.0080</v>
          </cell>
          <cell r="C292" t="str">
            <v>05152318/0001-01</v>
          </cell>
          <cell r="D292" t="str">
            <v>AGUIAR FERES AUDITORES INDEPENDENTES</v>
          </cell>
          <cell r="E292" t="str">
            <v>A</v>
          </cell>
          <cell r="H292" t="str">
            <v>N/A</v>
          </cell>
          <cell r="I292">
            <v>500001</v>
          </cell>
          <cell r="J292" t="str">
            <v>Fornecedores</v>
          </cell>
          <cell r="K292">
            <v>600017</v>
          </cell>
          <cell r="L292">
            <v>-1</v>
          </cell>
        </row>
        <row r="293">
          <cell r="B293" t="str">
            <v>2.1.1.04.0081</v>
          </cell>
          <cell r="C293" t="str">
            <v>07604035/0001-89</v>
          </cell>
          <cell r="D293" t="str">
            <v>RTA COMERCIO E SERVICO DE ASSISTENCIA</v>
          </cell>
          <cell r="E293" t="str">
            <v>A</v>
          </cell>
          <cell r="H293" t="str">
            <v>N/A</v>
          </cell>
          <cell r="I293">
            <v>500001</v>
          </cell>
          <cell r="J293" t="str">
            <v>Fornecedores</v>
          </cell>
          <cell r="K293">
            <v>600017</v>
          </cell>
          <cell r="L293">
            <v>-1</v>
          </cell>
        </row>
        <row r="294">
          <cell r="B294" t="str">
            <v>2.1.1.04.0082</v>
          </cell>
          <cell r="C294" t="str">
            <v>42270058/0001-03</v>
          </cell>
          <cell r="D294" t="str">
            <v>GMR EQUIPAMENTOS ELETRICOS LTDA</v>
          </cell>
          <cell r="E294" t="str">
            <v>A</v>
          </cell>
          <cell r="H294" t="str">
            <v>N/A</v>
          </cell>
          <cell r="I294">
            <v>500001</v>
          </cell>
          <cell r="J294" t="str">
            <v>Fornecedores</v>
          </cell>
          <cell r="K294">
            <v>600017</v>
          </cell>
          <cell r="L294">
            <v>-1</v>
          </cell>
        </row>
        <row r="295">
          <cell r="B295" t="str">
            <v>2.1.1.04.0083</v>
          </cell>
          <cell r="C295" t="str">
            <v>08273068/0001-56</v>
          </cell>
          <cell r="D295" t="str">
            <v>LODI E LOBO ADVOGADOS</v>
          </cell>
          <cell r="E295" t="str">
            <v>A</v>
          </cell>
          <cell r="H295" t="str">
            <v>N/A</v>
          </cell>
          <cell r="I295">
            <v>500001</v>
          </cell>
          <cell r="J295" t="str">
            <v>Fornecedores</v>
          </cell>
          <cell r="K295">
            <v>600017</v>
          </cell>
          <cell r="L295">
            <v>-1</v>
          </cell>
        </row>
        <row r="296">
          <cell r="B296" t="str">
            <v>2.1.1.04.0084</v>
          </cell>
          <cell r="C296" t="str">
            <v>04491285/0001-61</v>
          </cell>
          <cell r="D296" t="str">
            <v>DOMINIO E CONTABIL LTDA</v>
          </cell>
          <cell r="E296" t="str">
            <v>A</v>
          </cell>
          <cell r="H296" t="str">
            <v>N/A</v>
          </cell>
          <cell r="I296">
            <v>500001</v>
          </cell>
          <cell r="J296" t="str">
            <v>Fornecedores</v>
          </cell>
          <cell r="K296">
            <v>600017</v>
          </cell>
          <cell r="L296">
            <v>-1</v>
          </cell>
        </row>
        <row r="297">
          <cell r="B297" t="str">
            <v>2.1.1.04.0085</v>
          </cell>
          <cell r="C297" t="str">
            <v>01579387/0007-30</v>
          </cell>
          <cell r="D297" t="str">
            <v>INVESTIPLAN COMPUTADORES E SISTEMAS LTDA</v>
          </cell>
          <cell r="E297" t="str">
            <v>A</v>
          </cell>
          <cell r="H297" t="str">
            <v>N/A</v>
          </cell>
          <cell r="I297">
            <v>500001</v>
          </cell>
          <cell r="J297" t="str">
            <v>Fornecedores</v>
          </cell>
          <cell r="K297">
            <v>600017</v>
          </cell>
          <cell r="L297">
            <v>-1</v>
          </cell>
        </row>
        <row r="298">
          <cell r="B298" t="str">
            <v>2.1.1.04.0086</v>
          </cell>
          <cell r="C298" t="str">
            <v>01724795/0001-43</v>
          </cell>
          <cell r="D298" t="str">
            <v>MICROWARE TECNOLOGIA DE INFORMATICA</v>
          </cell>
          <cell r="E298" t="str">
            <v>A</v>
          </cell>
          <cell r="H298" t="str">
            <v>N/A</v>
          </cell>
          <cell r="I298">
            <v>500001</v>
          </cell>
          <cell r="J298" t="str">
            <v>Fornecedores</v>
          </cell>
          <cell r="K298">
            <v>600017</v>
          </cell>
          <cell r="L298">
            <v>-1</v>
          </cell>
        </row>
        <row r="299">
          <cell r="B299" t="str">
            <v>2.1.1.04.0087</v>
          </cell>
          <cell r="C299" t="str">
            <v>07737772/0001-50</v>
          </cell>
          <cell r="D299" t="str">
            <v>CURI GOMES ASSOCIADOS</v>
          </cell>
          <cell r="E299" t="str">
            <v>A</v>
          </cell>
          <cell r="H299" t="str">
            <v>N/A</v>
          </cell>
          <cell r="I299">
            <v>500001</v>
          </cell>
          <cell r="J299" t="str">
            <v>Fornecedores</v>
          </cell>
          <cell r="K299">
            <v>600017</v>
          </cell>
          <cell r="L299">
            <v>-1</v>
          </cell>
        </row>
        <row r="300">
          <cell r="B300" t="str">
            <v>2.1.1.04.0088</v>
          </cell>
          <cell r="C300" t="str">
            <v>07566239/0001-72</v>
          </cell>
          <cell r="D300" t="str">
            <v>GAS ENERGY ASSESSORIA EMPRESARIAL LTDA</v>
          </cell>
          <cell r="E300" t="str">
            <v>A</v>
          </cell>
          <cell r="H300" t="str">
            <v>N/A</v>
          </cell>
          <cell r="I300">
            <v>500001</v>
          </cell>
          <cell r="J300" t="str">
            <v>Fornecedores</v>
          </cell>
          <cell r="K300">
            <v>600017</v>
          </cell>
          <cell r="L300">
            <v>-1</v>
          </cell>
        </row>
        <row r="301">
          <cell r="B301" t="str">
            <v>2.1.1.04.0089</v>
          </cell>
          <cell r="C301" t="str">
            <v>34163329/0002-61</v>
          </cell>
          <cell r="D301" t="str">
            <v>IBEF RIO</v>
          </cell>
          <cell r="E301" t="str">
            <v>A</v>
          </cell>
          <cell r="H301" t="str">
            <v>N/A</v>
          </cell>
          <cell r="I301">
            <v>500001</v>
          </cell>
          <cell r="J301" t="str">
            <v>Fornecedores</v>
          </cell>
          <cell r="K301">
            <v>600017</v>
          </cell>
          <cell r="L301">
            <v>-1</v>
          </cell>
        </row>
        <row r="302">
          <cell r="B302" t="str">
            <v>2.1.1.04.0090</v>
          </cell>
          <cell r="C302">
            <v>211049</v>
          </cell>
          <cell r="D302" t="str">
            <v>VINIPEL COMERCIAL LTDA</v>
          </cell>
          <cell r="E302" t="str">
            <v>A</v>
          </cell>
          <cell r="H302" t="str">
            <v>N/A</v>
          </cell>
          <cell r="I302">
            <v>500001</v>
          </cell>
          <cell r="J302" t="str">
            <v>Fornecedores</v>
          </cell>
          <cell r="K302">
            <v>600017</v>
          </cell>
          <cell r="L302">
            <v>-1</v>
          </cell>
        </row>
        <row r="303">
          <cell r="B303" t="str">
            <v>2.1.1.04.0091</v>
          </cell>
          <cell r="C303" t="str">
            <v>VET</v>
          </cell>
          <cell r="D303" t="str">
            <v>TECHNICAL BOOKS LIVRARIA LTDA</v>
          </cell>
          <cell r="E303" t="str">
            <v>A</v>
          </cell>
          <cell r="H303" t="str">
            <v>N/A</v>
          </cell>
          <cell r="I303">
            <v>500001</v>
          </cell>
          <cell r="J303" t="str">
            <v>Fornecedores</v>
          </cell>
          <cell r="K303">
            <v>600017</v>
          </cell>
          <cell r="L303">
            <v>-1</v>
          </cell>
        </row>
        <row r="304">
          <cell r="B304" t="str">
            <v>2.1.1.04.0092</v>
          </cell>
          <cell r="C304" t="str">
            <v>22945226/0001-64</v>
          </cell>
          <cell r="D304" t="str">
            <v>ASSOCIACAO DE UNIVERSIDADES AMAZONICAS</v>
          </cell>
          <cell r="E304" t="str">
            <v>A</v>
          </cell>
          <cell r="H304" t="str">
            <v>N/A</v>
          </cell>
          <cell r="I304">
            <v>500001</v>
          </cell>
          <cell r="J304" t="str">
            <v>Fornecedores</v>
          </cell>
          <cell r="K304">
            <v>600017</v>
          </cell>
          <cell r="L304">
            <v>-1</v>
          </cell>
        </row>
        <row r="305">
          <cell r="B305" t="str">
            <v>2.1.1.04.0093</v>
          </cell>
          <cell r="C305">
            <v>60925161000118</v>
          </cell>
          <cell r="D305" t="str">
            <v>INSTITUTO ACO BRASIL</v>
          </cell>
          <cell r="E305" t="str">
            <v>A</v>
          </cell>
          <cell r="H305" t="str">
            <v>N/A</v>
          </cell>
          <cell r="I305">
            <v>500001</v>
          </cell>
          <cell r="J305" t="str">
            <v>Fornecedores</v>
          </cell>
          <cell r="K305">
            <v>600017</v>
          </cell>
          <cell r="L305">
            <v>-1</v>
          </cell>
        </row>
        <row r="306">
          <cell r="B306" t="str">
            <v>2.1.1.04.0095</v>
          </cell>
          <cell r="C306">
            <v>5633719000183</v>
          </cell>
          <cell r="D306" t="str">
            <v>INSTITUTO OLHAR PESQUISA E INFORMACAO</v>
          </cell>
          <cell r="E306" t="str">
            <v>A</v>
          </cell>
          <cell r="H306" t="str">
            <v>N/A</v>
          </cell>
          <cell r="I306">
            <v>500001</v>
          </cell>
          <cell r="J306" t="str">
            <v>Fornecedores</v>
          </cell>
          <cell r="K306">
            <v>600017</v>
          </cell>
          <cell r="L306">
            <v>-1</v>
          </cell>
        </row>
        <row r="307">
          <cell r="B307" t="str">
            <v>2.1.1.04.0096</v>
          </cell>
          <cell r="C307" t="str">
            <v>02837642/0001-75</v>
          </cell>
          <cell r="D307" t="str">
            <v>ACADEMIA DE DESEN. PROF. E ORG. LTDA</v>
          </cell>
          <cell r="E307" t="str">
            <v>A</v>
          </cell>
          <cell r="H307" t="str">
            <v>N/A</v>
          </cell>
          <cell r="I307">
            <v>500001</v>
          </cell>
          <cell r="J307" t="str">
            <v>Fornecedores</v>
          </cell>
          <cell r="K307">
            <v>600017</v>
          </cell>
          <cell r="L307">
            <v>-1</v>
          </cell>
        </row>
        <row r="308">
          <cell r="B308" t="str">
            <v>2.1.1.04.0097</v>
          </cell>
          <cell r="C308" t="str">
            <v>32086274/0001-31</v>
          </cell>
          <cell r="D308" t="str">
            <v>A CHAVE NEIDE ME</v>
          </cell>
          <cell r="E308" t="str">
            <v>A</v>
          </cell>
          <cell r="H308" t="str">
            <v>N/A</v>
          </cell>
          <cell r="I308">
            <v>500001</v>
          </cell>
          <cell r="J308" t="str">
            <v>Fornecedores</v>
          </cell>
          <cell r="K308">
            <v>600017</v>
          </cell>
          <cell r="L308">
            <v>-1</v>
          </cell>
        </row>
        <row r="309">
          <cell r="B309" t="str">
            <v>2.1.1.04.0098</v>
          </cell>
          <cell r="C309" t="str">
            <v>01017250/0001-05</v>
          </cell>
          <cell r="D309" t="str">
            <v>VOETUR TURISMO E REPRESENTACOES LTDA</v>
          </cell>
          <cell r="E309" t="str">
            <v>A</v>
          </cell>
          <cell r="H309" t="str">
            <v>N/A</v>
          </cell>
          <cell r="I309">
            <v>500001</v>
          </cell>
          <cell r="J309" t="str">
            <v>Fornecedores</v>
          </cell>
          <cell r="K309">
            <v>600017</v>
          </cell>
          <cell r="L309">
            <v>-1</v>
          </cell>
        </row>
        <row r="310">
          <cell r="B310" t="str">
            <v>2.1.1.04.0099</v>
          </cell>
          <cell r="C310" t="str">
            <v>06320095/0001-07</v>
          </cell>
          <cell r="D310" t="str">
            <v>UNIQUE RENTA CAR LOCADORA DE VEICULOS</v>
          </cell>
          <cell r="E310" t="str">
            <v>A</v>
          </cell>
          <cell r="H310" t="str">
            <v>N/A</v>
          </cell>
          <cell r="I310">
            <v>500001</v>
          </cell>
          <cell r="J310" t="str">
            <v>Fornecedores</v>
          </cell>
          <cell r="K310">
            <v>600017</v>
          </cell>
          <cell r="L310">
            <v>-1</v>
          </cell>
        </row>
        <row r="311">
          <cell r="B311" t="str">
            <v>2.1.1.04.0100</v>
          </cell>
          <cell r="C311" t="str">
            <v>08071768/0001-68</v>
          </cell>
          <cell r="D311" t="str">
            <v>BIODIESELBR ON LINE LTDA</v>
          </cell>
          <cell r="E311" t="str">
            <v>A</v>
          </cell>
          <cell r="H311" t="str">
            <v>N/A</v>
          </cell>
          <cell r="I311">
            <v>500001</v>
          </cell>
          <cell r="J311" t="str">
            <v>Fornecedores</v>
          </cell>
          <cell r="K311">
            <v>600017</v>
          </cell>
          <cell r="L311">
            <v>-1</v>
          </cell>
        </row>
        <row r="312">
          <cell r="B312" t="str">
            <v>2.1.1.04.0101</v>
          </cell>
          <cell r="C312" t="str">
            <v>07347790/0001-25</v>
          </cell>
          <cell r="D312" t="str">
            <v>PLC REFRIGERACO E SSERVICOS LTDA-ME</v>
          </cell>
          <cell r="E312" t="str">
            <v>A</v>
          </cell>
          <cell r="H312" t="str">
            <v>N/A</v>
          </cell>
          <cell r="I312">
            <v>500001</v>
          </cell>
          <cell r="J312" t="str">
            <v>Fornecedores</v>
          </cell>
          <cell r="K312">
            <v>600017</v>
          </cell>
          <cell r="L312">
            <v>-1</v>
          </cell>
        </row>
        <row r="313">
          <cell r="B313" t="str">
            <v>2.1.1.04.0102</v>
          </cell>
          <cell r="C313" t="str">
            <v>58619404/0001-48</v>
          </cell>
          <cell r="D313" t="str">
            <v>SEAL TELECOM SERVICO TELECOMUNICACOES</v>
          </cell>
          <cell r="E313" t="str">
            <v>A</v>
          </cell>
          <cell r="H313" t="str">
            <v>N/A</v>
          </cell>
          <cell r="I313">
            <v>500001</v>
          </cell>
          <cell r="J313" t="str">
            <v>Fornecedores</v>
          </cell>
          <cell r="K313">
            <v>600017</v>
          </cell>
          <cell r="L313">
            <v>-1</v>
          </cell>
        </row>
        <row r="314">
          <cell r="B314" t="str">
            <v>2.1.1.04.0103</v>
          </cell>
          <cell r="C314" t="str">
            <v>71208516/0001-74</v>
          </cell>
          <cell r="D314" t="str">
            <v>ALGAR SERVICO E TELECOMUNICACOES</v>
          </cell>
          <cell r="E314" t="str">
            <v>A</v>
          </cell>
          <cell r="H314" t="str">
            <v>N/A</v>
          </cell>
          <cell r="I314">
            <v>500001</v>
          </cell>
          <cell r="J314" t="str">
            <v>Fornecedores</v>
          </cell>
          <cell r="K314">
            <v>600017</v>
          </cell>
          <cell r="L314">
            <v>-1</v>
          </cell>
        </row>
        <row r="315">
          <cell r="B315" t="str">
            <v>2.1.1.04.0104</v>
          </cell>
          <cell r="C315" t="str">
            <v>07877167/0001-84</v>
          </cell>
          <cell r="D315" t="str">
            <v>HOROS COMUNICACAO E EVENTOS LTDA</v>
          </cell>
          <cell r="E315" t="str">
            <v>A</v>
          </cell>
          <cell r="H315" t="str">
            <v>N/A</v>
          </cell>
          <cell r="I315">
            <v>500001</v>
          </cell>
          <cell r="J315" t="str">
            <v>Fornecedores</v>
          </cell>
          <cell r="K315">
            <v>600017</v>
          </cell>
          <cell r="L315">
            <v>-1</v>
          </cell>
        </row>
        <row r="316">
          <cell r="B316" t="str">
            <v>2.1.1.04.0105</v>
          </cell>
          <cell r="C316" t="str">
            <v>65649154/0001-54</v>
          </cell>
          <cell r="D316" t="str">
            <v>DATAGRO PUBLICACOES LTDA</v>
          </cell>
          <cell r="E316" t="str">
            <v>A</v>
          </cell>
          <cell r="H316" t="str">
            <v>N/A</v>
          </cell>
          <cell r="I316">
            <v>500001</v>
          </cell>
          <cell r="J316" t="str">
            <v>Fornecedores</v>
          </cell>
          <cell r="K316">
            <v>600017</v>
          </cell>
          <cell r="L316">
            <v>-1</v>
          </cell>
        </row>
        <row r="317">
          <cell r="B317" t="str">
            <v>2.1.1.04.0106</v>
          </cell>
          <cell r="C317" t="str">
            <v>05984239/0001-67</v>
          </cell>
          <cell r="D317" t="str">
            <v>AMMPLANAC SOLUTIONS DE INFORMATICA LTDA</v>
          </cell>
          <cell r="E317" t="str">
            <v>A</v>
          </cell>
          <cell r="H317" t="str">
            <v>N/A</v>
          </cell>
          <cell r="I317">
            <v>500001</v>
          </cell>
          <cell r="J317" t="str">
            <v>Fornecedores</v>
          </cell>
          <cell r="K317">
            <v>600017</v>
          </cell>
          <cell r="L317">
            <v>-1</v>
          </cell>
        </row>
        <row r="318">
          <cell r="B318" t="str">
            <v>2.1.1.04.0107</v>
          </cell>
          <cell r="C318" t="str">
            <v>00278452/0001-30</v>
          </cell>
          <cell r="D318" t="str">
            <v>IDEMP INSTITUTO DE DESENVOLVIMENTO EMPRE</v>
          </cell>
          <cell r="E318" t="str">
            <v>A</v>
          </cell>
          <cell r="H318" t="str">
            <v>N/A</v>
          </cell>
          <cell r="I318">
            <v>500001</v>
          </cell>
          <cell r="J318" t="str">
            <v>Fornecedores</v>
          </cell>
          <cell r="K318">
            <v>600017</v>
          </cell>
          <cell r="L318">
            <v>-1</v>
          </cell>
        </row>
        <row r="319">
          <cell r="B319" t="str">
            <v>2.1.1.04.0108</v>
          </cell>
          <cell r="C319" t="str">
            <v>00758743/0001-25</v>
          </cell>
          <cell r="D319" t="str">
            <v>LCA CONSULTORES LTDA</v>
          </cell>
          <cell r="E319" t="str">
            <v>A</v>
          </cell>
          <cell r="H319" t="str">
            <v>N/A</v>
          </cell>
          <cell r="I319">
            <v>500001</v>
          </cell>
          <cell r="J319" t="str">
            <v>Fornecedores</v>
          </cell>
          <cell r="K319">
            <v>600017</v>
          </cell>
          <cell r="L319">
            <v>-1</v>
          </cell>
        </row>
        <row r="320">
          <cell r="B320" t="str">
            <v>2.1.1.04.0109</v>
          </cell>
          <cell r="C320" t="str">
            <v>39130646/0001-29</v>
          </cell>
          <cell r="D320" t="str">
            <v>SOCIEDADE BRASILEIRA DE PLANEJAMENTO ENE</v>
          </cell>
          <cell r="E320" t="str">
            <v>A</v>
          </cell>
          <cell r="H320" t="str">
            <v>N/A</v>
          </cell>
          <cell r="I320">
            <v>500001</v>
          </cell>
          <cell r="J320" t="str">
            <v>Fornecedores</v>
          </cell>
          <cell r="K320">
            <v>600017</v>
          </cell>
          <cell r="L320">
            <v>-1</v>
          </cell>
        </row>
        <row r="321">
          <cell r="B321" t="str">
            <v>2.1.1.04.0110</v>
          </cell>
          <cell r="C321" t="str">
            <v>09228201/0001-15</v>
          </cell>
          <cell r="D321" t="str">
            <v>JG 2008 EDITORA E COMUNICACAO LTDA</v>
          </cell>
          <cell r="E321" t="str">
            <v>A</v>
          </cell>
          <cell r="H321" t="str">
            <v>N/A</v>
          </cell>
          <cell r="I321">
            <v>500001</v>
          </cell>
          <cell r="J321" t="str">
            <v>Fornecedores</v>
          </cell>
          <cell r="K321">
            <v>600017</v>
          </cell>
          <cell r="L321">
            <v>-1</v>
          </cell>
        </row>
        <row r="322">
          <cell r="B322" t="str">
            <v>2.1.1.04.0111</v>
          </cell>
          <cell r="C322" t="str">
            <v>00063069/0001-64</v>
          </cell>
          <cell r="D322" t="str">
            <v>STAR INFO SERVICOS DE INFORMATICA LTDA</v>
          </cell>
          <cell r="E322" t="str">
            <v>A</v>
          </cell>
          <cell r="H322" t="str">
            <v>N/A</v>
          </cell>
          <cell r="I322">
            <v>500001</v>
          </cell>
          <cell r="J322" t="str">
            <v>Fornecedores</v>
          </cell>
          <cell r="K322">
            <v>600017</v>
          </cell>
          <cell r="L322">
            <v>-1</v>
          </cell>
        </row>
        <row r="323">
          <cell r="B323" t="str">
            <v>2.1.1.04.0112</v>
          </cell>
          <cell r="C323" t="str">
            <v>27128875/0001-20</v>
          </cell>
          <cell r="D323" t="str">
            <v>CARTORIO 17 OFICIO</v>
          </cell>
          <cell r="E323" t="str">
            <v>A</v>
          </cell>
          <cell r="H323" t="str">
            <v>N/A</v>
          </cell>
          <cell r="I323">
            <v>500001</v>
          </cell>
          <cell r="J323" t="str">
            <v>Fornecedores</v>
          </cell>
          <cell r="K323">
            <v>600017</v>
          </cell>
          <cell r="L323">
            <v>-1</v>
          </cell>
        </row>
        <row r="324">
          <cell r="B324" t="str">
            <v>2.1.1.04.0113</v>
          </cell>
          <cell r="C324" t="str">
            <v>03309608/0001-90</v>
          </cell>
          <cell r="D324" t="str">
            <v>MAXLUX COMERCIO DE DECORACOES LTDA</v>
          </cell>
          <cell r="E324" t="str">
            <v>A</v>
          </cell>
          <cell r="H324" t="str">
            <v>N/A</v>
          </cell>
          <cell r="I324">
            <v>500001</v>
          </cell>
          <cell r="J324" t="str">
            <v>Fornecedores</v>
          </cell>
          <cell r="K324">
            <v>600017</v>
          </cell>
          <cell r="L324">
            <v>-1</v>
          </cell>
        </row>
        <row r="325">
          <cell r="B325" t="str">
            <v>2.1.1.04.0114</v>
          </cell>
          <cell r="C325" t="str">
            <v>00974211/0001-25</v>
          </cell>
          <cell r="D325" t="str">
            <v>LINHA AMARELA SA - LAMSA</v>
          </cell>
          <cell r="E325" t="str">
            <v>A</v>
          </cell>
          <cell r="H325" t="str">
            <v>N/A</v>
          </cell>
          <cell r="I325">
            <v>500001</v>
          </cell>
          <cell r="J325" t="str">
            <v>Fornecedores</v>
          </cell>
          <cell r="K325">
            <v>600017</v>
          </cell>
          <cell r="L325">
            <v>-1</v>
          </cell>
        </row>
        <row r="326">
          <cell r="B326" t="str">
            <v>2.1.1.04.0115</v>
          </cell>
          <cell r="C326" t="str">
            <v>07892266/0001-35</v>
          </cell>
          <cell r="D326" t="str">
            <v>KAWA COMERCIO, PROJETOS E SERV. EM AR</v>
          </cell>
          <cell r="E326" t="str">
            <v>A</v>
          </cell>
          <cell r="H326" t="str">
            <v>N/A</v>
          </cell>
          <cell r="I326">
            <v>500001</v>
          </cell>
          <cell r="J326" t="str">
            <v>Fornecedores</v>
          </cell>
          <cell r="K326">
            <v>600017</v>
          </cell>
          <cell r="L326">
            <v>-1</v>
          </cell>
        </row>
        <row r="327">
          <cell r="B327" t="str">
            <v>2.1.1.04.0116</v>
          </cell>
          <cell r="C327">
            <v>110245</v>
          </cell>
          <cell r="D327" t="str">
            <v>FUNDO DE IMPRENSA NACIONAL</v>
          </cell>
          <cell r="E327" t="str">
            <v>A</v>
          </cell>
          <cell r="H327" t="str">
            <v>N/A</v>
          </cell>
          <cell r="I327">
            <v>500001</v>
          </cell>
          <cell r="J327" t="str">
            <v>Fornecedores</v>
          </cell>
          <cell r="K327">
            <v>600017</v>
          </cell>
          <cell r="L327">
            <v>-1</v>
          </cell>
        </row>
        <row r="328">
          <cell r="B328" t="str">
            <v>2.1.1.04.0117</v>
          </cell>
          <cell r="C328" t="str">
            <v>30482814/0001-70</v>
          </cell>
          <cell r="D328" t="str">
            <v>NIPOMAQ MAQUINAS DE ESCRITORIO LTDA</v>
          </cell>
          <cell r="E328" t="str">
            <v>A</v>
          </cell>
          <cell r="H328" t="str">
            <v>N/A</v>
          </cell>
          <cell r="I328">
            <v>500001</v>
          </cell>
          <cell r="J328" t="str">
            <v>Fornecedores</v>
          </cell>
          <cell r="K328">
            <v>600017</v>
          </cell>
          <cell r="L328">
            <v>-1</v>
          </cell>
        </row>
        <row r="329">
          <cell r="B329" t="str">
            <v>2.1.1.04.0118</v>
          </cell>
          <cell r="C329" t="str">
            <v>07725342/0001-18</v>
          </cell>
          <cell r="D329" t="str">
            <v>N.SILVA COMERCIO E SERVICOS LTDA</v>
          </cell>
          <cell r="E329" t="str">
            <v>A</v>
          </cell>
          <cell r="H329" t="str">
            <v>N/A</v>
          </cell>
          <cell r="I329">
            <v>500001</v>
          </cell>
          <cell r="J329" t="str">
            <v>Fornecedores</v>
          </cell>
          <cell r="K329">
            <v>600017</v>
          </cell>
          <cell r="L329">
            <v>-1</v>
          </cell>
        </row>
        <row r="330">
          <cell r="B330" t="str">
            <v>2.1.1.04.0119</v>
          </cell>
          <cell r="C330" t="str">
            <v>12293822/0001-97</v>
          </cell>
          <cell r="D330" t="str">
            <v>ASSOCIACAO DOS PESQUISADORES EM PLANTAS</v>
          </cell>
          <cell r="E330" t="str">
            <v>A</v>
          </cell>
          <cell r="H330" t="str">
            <v>N/A</v>
          </cell>
          <cell r="I330">
            <v>500001</v>
          </cell>
          <cell r="J330" t="str">
            <v>Fornecedores</v>
          </cell>
          <cell r="K330">
            <v>600017</v>
          </cell>
          <cell r="L330">
            <v>-1</v>
          </cell>
        </row>
        <row r="331">
          <cell r="B331" t="str">
            <v>2.1.1.04.0120</v>
          </cell>
          <cell r="C331" t="str">
            <v>11124330/0001-05</v>
          </cell>
          <cell r="D331" t="str">
            <v>IDETI EVENTOS E PESQUISAS EM INFORMATICA</v>
          </cell>
          <cell r="E331" t="str">
            <v>A</v>
          </cell>
          <cell r="H331" t="str">
            <v>N/A</v>
          </cell>
          <cell r="I331">
            <v>500001</v>
          </cell>
          <cell r="J331" t="str">
            <v>Fornecedores</v>
          </cell>
          <cell r="K331">
            <v>600017</v>
          </cell>
          <cell r="L331">
            <v>-1</v>
          </cell>
        </row>
        <row r="332">
          <cell r="B332" t="str">
            <v>2.1.1.04.0121</v>
          </cell>
          <cell r="C332" t="str">
            <v>31247083/0001-41</v>
          </cell>
          <cell r="D332" t="str">
            <v>ASSOCIAÇÃO BRASILEIRA DE RECURSOS HUMANO</v>
          </cell>
          <cell r="E332" t="str">
            <v>A</v>
          </cell>
          <cell r="H332" t="str">
            <v>N/A</v>
          </cell>
          <cell r="I332">
            <v>500001</v>
          </cell>
          <cell r="J332" t="str">
            <v>Fornecedores</v>
          </cell>
          <cell r="K332">
            <v>600017</v>
          </cell>
          <cell r="L332">
            <v>-1</v>
          </cell>
        </row>
        <row r="333">
          <cell r="B333" t="str">
            <v>2.1.1.04.0122</v>
          </cell>
          <cell r="C333" t="str">
            <v>07295815/0001-94</v>
          </cell>
          <cell r="D333" t="str">
            <v>PRONTIDAO COM. E SERV. DE INFO. LTDA</v>
          </cell>
          <cell r="E333" t="str">
            <v>A</v>
          </cell>
          <cell r="H333" t="str">
            <v>N/A</v>
          </cell>
          <cell r="I333">
            <v>500001</v>
          </cell>
          <cell r="J333" t="str">
            <v>Fornecedores</v>
          </cell>
          <cell r="K333">
            <v>600017</v>
          </cell>
          <cell r="L333">
            <v>-1</v>
          </cell>
        </row>
        <row r="334">
          <cell r="B334" t="str">
            <v>2.1.1.04.0123</v>
          </cell>
          <cell r="C334" t="str">
            <v>05128653/0001-74</v>
          </cell>
          <cell r="D334" t="str">
            <v>NDJ SIMPOSIOS E TREINAMENTOS LTDA</v>
          </cell>
          <cell r="E334" t="str">
            <v>A</v>
          </cell>
          <cell r="H334" t="str">
            <v>N/A</v>
          </cell>
          <cell r="I334">
            <v>500001</v>
          </cell>
          <cell r="J334" t="str">
            <v>Fornecedores</v>
          </cell>
          <cell r="K334">
            <v>600017</v>
          </cell>
          <cell r="L334">
            <v>-1</v>
          </cell>
        </row>
        <row r="335">
          <cell r="B335" t="str">
            <v>2.1.1.04.0124</v>
          </cell>
          <cell r="C335" t="str">
            <v>27958859/0001-64</v>
          </cell>
          <cell r="D335" t="str">
            <v>EDITORA BRASIL ENERGIA LTDA</v>
          </cell>
          <cell r="E335" t="str">
            <v>A</v>
          </cell>
          <cell r="H335" t="str">
            <v>N/A</v>
          </cell>
          <cell r="I335">
            <v>500001</v>
          </cell>
          <cell r="J335" t="str">
            <v>Fornecedores</v>
          </cell>
          <cell r="K335">
            <v>600017</v>
          </cell>
          <cell r="L335">
            <v>-1</v>
          </cell>
        </row>
        <row r="336">
          <cell r="B336" t="str">
            <v>2.1.1.04.0125</v>
          </cell>
          <cell r="C336" t="str">
            <v>00710799/0001-00</v>
          </cell>
          <cell r="D336" t="str">
            <v>ALLEN RIO SERV. COM. DE INFORMATICA LTDA</v>
          </cell>
          <cell r="E336" t="str">
            <v>A</v>
          </cell>
          <cell r="H336" t="str">
            <v>N/A</v>
          </cell>
          <cell r="I336">
            <v>500001</v>
          </cell>
          <cell r="J336" t="str">
            <v>Fornecedores</v>
          </cell>
          <cell r="K336">
            <v>600017</v>
          </cell>
          <cell r="L336">
            <v>-1</v>
          </cell>
        </row>
        <row r="337">
          <cell r="B337" t="str">
            <v>2.1.1.04.0126</v>
          </cell>
          <cell r="C337" t="str">
            <v>22642565/0001-05</v>
          </cell>
          <cell r="D337" t="str">
            <v>CP2 CONSULTORIA PESQUISA E PLANEJAMENTO</v>
          </cell>
          <cell r="E337" t="str">
            <v>A</v>
          </cell>
          <cell r="H337" t="str">
            <v>N/A</v>
          </cell>
          <cell r="I337">
            <v>500001</v>
          </cell>
          <cell r="J337" t="str">
            <v>Fornecedores</v>
          </cell>
          <cell r="K337">
            <v>600017</v>
          </cell>
          <cell r="L337">
            <v>-1</v>
          </cell>
        </row>
        <row r="338">
          <cell r="B338" t="str">
            <v>2.1.1.04.0127</v>
          </cell>
          <cell r="C338" t="str">
            <v>04053315/0001-58</v>
          </cell>
          <cell r="D338" t="str">
            <v>NSI TRAINING TECNOLOGIA S/C LTDA.</v>
          </cell>
          <cell r="E338" t="str">
            <v>A</v>
          </cell>
          <cell r="H338" t="str">
            <v>N/A</v>
          </cell>
          <cell r="I338">
            <v>500001</v>
          </cell>
          <cell r="J338" t="str">
            <v>Fornecedores</v>
          </cell>
          <cell r="K338">
            <v>600017</v>
          </cell>
          <cell r="L338">
            <v>-1</v>
          </cell>
        </row>
        <row r="339">
          <cell r="B339" t="str">
            <v>2.1.1.04.0128</v>
          </cell>
          <cell r="C339" t="str">
            <v>59453225/0001-46</v>
          </cell>
          <cell r="D339" t="str">
            <v>FLOKART IND. COM. PRODUTOS PROMOCIONAIS</v>
          </cell>
          <cell r="E339" t="str">
            <v>A</v>
          </cell>
          <cell r="H339" t="str">
            <v>N/A</v>
          </cell>
          <cell r="I339">
            <v>500001</v>
          </cell>
          <cell r="J339" t="str">
            <v>Fornecedores</v>
          </cell>
          <cell r="K339">
            <v>600017</v>
          </cell>
          <cell r="L339">
            <v>-1</v>
          </cell>
        </row>
        <row r="340">
          <cell r="B340" t="str">
            <v>2.1.1.04.0129</v>
          </cell>
          <cell r="C340" t="str">
            <v>08906581/0001-37</v>
          </cell>
          <cell r="D340" t="str">
            <v>MARTENSEN E BRAGA LTDA-EPP.</v>
          </cell>
          <cell r="E340" t="str">
            <v>A</v>
          </cell>
          <cell r="H340" t="str">
            <v>N/A</v>
          </cell>
          <cell r="I340">
            <v>500001</v>
          </cell>
          <cell r="J340" t="str">
            <v>Fornecedores</v>
          </cell>
          <cell r="K340">
            <v>600017</v>
          </cell>
          <cell r="L340">
            <v>-1</v>
          </cell>
        </row>
        <row r="341">
          <cell r="B341" t="str">
            <v>2.1.1.04.0130</v>
          </cell>
          <cell r="C341" t="str">
            <v>00103582/0005-65</v>
          </cell>
          <cell r="D341" t="str">
            <v>ENGEVIX ENGENHARIA S.A</v>
          </cell>
          <cell r="E341" t="str">
            <v>A</v>
          </cell>
          <cell r="H341" t="str">
            <v>N/A</v>
          </cell>
          <cell r="I341">
            <v>500001</v>
          </cell>
          <cell r="J341" t="str">
            <v>Fornecedores</v>
          </cell>
          <cell r="K341">
            <v>600017</v>
          </cell>
          <cell r="L341">
            <v>-1</v>
          </cell>
        </row>
        <row r="342">
          <cell r="B342" t="str">
            <v>2.1.1.04.0131</v>
          </cell>
          <cell r="C342" t="str">
            <v>61562112/0002-01</v>
          </cell>
          <cell r="D342" t="str">
            <v>PRICEWATERHOUSECOOPERS AUDITORES INDEPEN</v>
          </cell>
          <cell r="E342" t="str">
            <v>A</v>
          </cell>
          <cell r="H342" t="str">
            <v>N/A</v>
          </cell>
          <cell r="I342">
            <v>500001</v>
          </cell>
          <cell r="J342" t="str">
            <v>Fornecedores</v>
          </cell>
          <cell r="K342">
            <v>600017</v>
          </cell>
          <cell r="L342">
            <v>-1</v>
          </cell>
        </row>
        <row r="343">
          <cell r="B343" t="str">
            <v>2.1.1.04.0132</v>
          </cell>
          <cell r="C343" t="str">
            <v>29408770/0001-50</v>
          </cell>
          <cell r="D343" t="str">
            <v>CIARLINI CONSULTORIA E PROJETOS LTDA.</v>
          </cell>
          <cell r="E343" t="str">
            <v>A</v>
          </cell>
          <cell r="H343" t="str">
            <v>N/A</v>
          </cell>
          <cell r="I343">
            <v>500001</v>
          </cell>
          <cell r="J343" t="str">
            <v>Fornecedores</v>
          </cell>
          <cell r="K343">
            <v>600017</v>
          </cell>
          <cell r="L343">
            <v>-1</v>
          </cell>
        </row>
        <row r="344">
          <cell r="B344" t="str">
            <v>2.1.1.04.0133</v>
          </cell>
          <cell r="C344" t="str">
            <v>04216871/0001-06</v>
          </cell>
          <cell r="D344" t="str">
            <v>EXECUTIVE VANS LOCADORA DE VEICULOS LTDA</v>
          </cell>
          <cell r="E344" t="str">
            <v>A</v>
          </cell>
          <cell r="H344" t="str">
            <v>N/A</v>
          </cell>
          <cell r="I344">
            <v>500001</v>
          </cell>
          <cell r="J344" t="str">
            <v>Fornecedores</v>
          </cell>
          <cell r="K344">
            <v>600017</v>
          </cell>
          <cell r="L344">
            <v>-1</v>
          </cell>
        </row>
        <row r="345">
          <cell r="B345" t="str">
            <v>2.1.1.04.0134</v>
          </cell>
          <cell r="C345" t="str">
            <v>10015425/0001-28</v>
          </cell>
          <cell r="D345" t="str">
            <v>DAMIER RIO DESENTUPIDORA LTDA.</v>
          </cell>
          <cell r="E345" t="str">
            <v>A</v>
          </cell>
          <cell r="H345" t="str">
            <v>N/A</v>
          </cell>
          <cell r="I345">
            <v>500001</v>
          </cell>
          <cell r="J345" t="str">
            <v>Fornecedores</v>
          </cell>
          <cell r="K345">
            <v>600017</v>
          </cell>
          <cell r="L345">
            <v>-1</v>
          </cell>
        </row>
        <row r="346">
          <cell r="B346" t="str">
            <v>2.1.1.04.0135</v>
          </cell>
          <cell r="C346" t="str">
            <v>43730787/0001-50</v>
          </cell>
          <cell r="D346" t="str">
            <v>ABTD - ASSOCIACAO BRASILEIRA DE TREINAME</v>
          </cell>
          <cell r="E346" t="str">
            <v>A</v>
          </cell>
          <cell r="H346" t="str">
            <v>N/A</v>
          </cell>
          <cell r="I346">
            <v>500001</v>
          </cell>
          <cell r="J346" t="str">
            <v>Fornecedores</v>
          </cell>
          <cell r="K346">
            <v>600017</v>
          </cell>
          <cell r="L346">
            <v>-1</v>
          </cell>
        </row>
        <row r="347">
          <cell r="B347" t="str">
            <v>2.1.1.04.0136</v>
          </cell>
          <cell r="C347" t="str">
            <v>21040001/0001-30</v>
          </cell>
          <cell r="D347" t="str">
            <v>UNIVERSIDADE FEDERAL DE ITAJUBA</v>
          </cell>
          <cell r="E347" t="str">
            <v>A</v>
          </cell>
          <cell r="H347" t="str">
            <v>N/A</v>
          </cell>
          <cell r="I347">
            <v>500001</v>
          </cell>
          <cell r="J347" t="str">
            <v>Fornecedores</v>
          </cell>
          <cell r="K347">
            <v>600017</v>
          </cell>
          <cell r="L347">
            <v>-1</v>
          </cell>
        </row>
        <row r="348">
          <cell r="B348" t="str">
            <v>2.1.1.04.0137</v>
          </cell>
          <cell r="C348" t="str">
            <v>13376180/0001-52</v>
          </cell>
          <cell r="D348" t="str">
            <v>CEAP CONCURSOS LTDA-ME.</v>
          </cell>
          <cell r="E348" t="str">
            <v>A</v>
          </cell>
          <cell r="H348" t="str">
            <v>N/A</v>
          </cell>
          <cell r="I348">
            <v>500001</v>
          </cell>
          <cell r="J348" t="str">
            <v>Fornecedores</v>
          </cell>
          <cell r="K348">
            <v>600017</v>
          </cell>
          <cell r="L348">
            <v>-1</v>
          </cell>
        </row>
        <row r="349">
          <cell r="B349" t="str">
            <v>2.1.1.04.0138</v>
          </cell>
          <cell r="C349">
            <v>33634254000110</v>
          </cell>
          <cell r="D349" t="str">
            <v>IBP - INST. BRASILEIRO PET. GAS E BIOC.</v>
          </cell>
          <cell r="E349" t="str">
            <v>A</v>
          </cell>
          <cell r="H349" t="str">
            <v>N/A</v>
          </cell>
          <cell r="I349">
            <v>500001</v>
          </cell>
          <cell r="J349" t="str">
            <v>Fornecedores</v>
          </cell>
          <cell r="K349">
            <v>600017</v>
          </cell>
          <cell r="L349">
            <v>-1</v>
          </cell>
        </row>
        <row r="350">
          <cell r="B350" t="str">
            <v>2.1.1.04.0139</v>
          </cell>
          <cell r="C350" t="str">
            <v>33170515/0001-99</v>
          </cell>
          <cell r="D350" t="str">
            <v>L´HENRIETTE CONFEITARIA LTDA.</v>
          </cell>
          <cell r="E350" t="str">
            <v>A</v>
          </cell>
          <cell r="H350" t="str">
            <v>N/A</v>
          </cell>
          <cell r="I350">
            <v>500001</v>
          </cell>
          <cell r="J350" t="str">
            <v>Fornecedores</v>
          </cell>
          <cell r="K350">
            <v>600017</v>
          </cell>
          <cell r="L350">
            <v>-1</v>
          </cell>
        </row>
        <row r="351">
          <cell r="B351" t="str">
            <v>2.1.1.04.0140</v>
          </cell>
          <cell r="C351" t="str">
            <v>32323115/0001-03</v>
          </cell>
          <cell r="D351" t="str">
            <v>PRO FIT COACHING CONS. TREINAMENTO PROF.</v>
          </cell>
          <cell r="E351" t="str">
            <v>A</v>
          </cell>
          <cell r="H351" t="str">
            <v>N/A</v>
          </cell>
          <cell r="I351">
            <v>500001</v>
          </cell>
          <cell r="J351" t="str">
            <v>Fornecedores</v>
          </cell>
          <cell r="K351">
            <v>600017</v>
          </cell>
          <cell r="L351">
            <v>-1</v>
          </cell>
        </row>
        <row r="352">
          <cell r="B352" t="str">
            <v>2.1.1.04.0141</v>
          </cell>
          <cell r="C352" t="str">
            <v>06987364/0001-93</v>
          </cell>
          <cell r="D352" t="str">
            <v>CTEE - CENTRO TREIN. ESTUDOS EM ENERGIA</v>
          </cell>
          <cell r="E352" t="str">
            <v>A</v>
          </cell>
          <cell r="H352" t="str">
            <v>N/A</v>
          </cell>
          <cell r="I352">
            <v>500001</v>
          </cell>
          <cell r="J352" t="str">
            <v>Fornecedores</v>
          </cell>
          <cell r="K352">
            <v>600017</v>
          </cell>
          <cell r="L352">
            <v>-1</v>
          </cell>
        </row>
        <row r="353">
          <cell r="B353" t="str">
            <v>2.1.1.04.0142</v>
          </cell>
          <cell r="C353" t="str">
            <v>04765777/0001-06</v>
          </cell>
          <cell r="D353" t="str">
            <v>ESTRATEGIA EM RECURSOS HUMANOS LTDA</v>
          </cell>
          <cell r="E353" t="str">
            <v>A</v>
          </cell>
          <cell r="H353" t="str">
            <v>N/A</v>
          </cell>
          <cell r="I353">
            <v>500001</v>
          </cell>
          <cell r="J353" t="str">
            <v>Fornecedores</v>
          </cell>
          <cell r="K353">
            <v>600017</v>
          </cell>
          <cell r="L353">
            <v>-1</v>
          </cell>
        </row>
        <row r="354">
          <cell r="B354" t="str">
            <v>2.1.1.04.0143</v>
          </cell>
          <cell r="C354" t="str">
            <v>05983000/0001-72</v>
          </cell>
          <cell r="D354" t="str">
            <v>ADJUVARE EVENTOS E SERVICOS LTDA.</v>
          </cell>
          <cell r="E354" t="str">
            <v>A</v>
          </cell>
          <cell r="H354" t="str">
            <v>N/A</v>
          </cell>
          <cell r="I354">
            <v>500001</v>
          </cell>
          <cell r="J354" t="str">
            <v>Fornecedores</v>
          </cell>
          <cell r="K354">
            <v>600017</v>
          </cell>
          <cell r="L354">
            <v>-1</v>
          </cell>
        </row>
        <row r="355">
          <cell r="B355" t="str">
            <v>2.1.1.04.0144</v>
          </cell>
          <cell r="C355" t="str">
            <v>61160768/0001-17</v>
          </cell>
          <cell r="D355" t="str">
            <v>LEX EDITORA SA.</v>
          </cell>
          <cell r="E355" t="str">
            <v>A</v>
          </cell>
          <cell r="H355" t="str">
            <v>N/A</v>
          </cell>
          <cell r="I355">
            <v>500001</v>
          </cell>
          <cell r="J355" t="str">
            <v>Fornecedores</v>
          </cell>
          <cell r="K355">
            <v>600017</v>
          </cell>
          <cell r="L355">
            <v>-1</v>
          </cell>
        </row>
        <row r="356">
          <cell r="B356" t="str">
            <v>2.1.1.04.0145</v>
          </cell>
          <cell r="C356" t="str">
            <v>05230078/0001-16</v>
          </cell>
          <cell r="D356" t="str">
            <v>PERSIANAS BRASIL BLINDS LTDA.</v>
          </cell>
          <cell r="E356" t="str">
            <v>A</v>
          </cell>
          <cell r="H356" t="str">
            <v>N/A</v>
          </cell>
          <cell r="I356">
            <v>500001</v>
          </cell>
          <cell r="J356" t="str">
            <v>Fornecedores</v>
          </cell>
          <cell r="K356">
            <v>600017</v>
          </cell>
          <cell r="L356">
            <v>-1</v>
          </cell>
        </row>
        <row r="357">
          <cell r="B357" t="str">
            <v>2.1.1.04.0146</v>
          </cell>
          <cell r="C357" t="str">
            <v>08403264/0001-06</v>
          </cell>
          <cell r="D357" t="str">
            <v>COMPLEXO JURIDICO RENATO SARAIVA</v>
          </cell>
          <cell r="E357" t="str">
            <v>A</v>
          </cell>
          <cell r="H357" t="str">
            <v>N/A</v>
          </cell>
          <cell r="I357">
            <v>500001</v>
          </cell>
          <cell r="J357" t="str">
            <v>Fornecedores</v>
          </cell>
          <cell r="K357">
            <v>600017</v>
          </cell>
          <cell r="L357">
            <v>-1</v>
          </cell>
        </row>
        <row r="358">
          <cell r="B358" t="str">
            <v>2.1.1.04.0147</v>
          </cell>
          <cell r="C358" t="str">
            <v>58900622/0001-56</v>
          </cell>
          <cell r="D358" t="str">
            <v>EDITORA CL-A CULTURAL LTDA.</v>
          </cell>
          <cell r="E358" t="str">
            <v>A</v>
          </cell>
          <cell r="H358" t="str">
            <v>N/A</v>
          </cell>
          <cell r="I358">
            <v>500001</v>
          </cell>
          <cell r="J358" t="str">
            <v>Fornecedores</v>
          </cell>
          <cell r="K358">
            <v>600017</v>
          </cell>
          <cell r="L358">
            <v>-1</v>
          </cell>
        </row>
        <row r="359">
          <cell r="B359" t="str">
            <v>2.1.1.04.0148</v>
          </cell>
          <cell r="C359" t="str">
            <v>33402892/0002-97</v>
          </cell>
          <cell r="D359" t="str">
            <v>ASSOCIAÇÃO BRASILEIRA DE NORMAS TECNICAS</v>
          </cell>
          <cell r="E359" t="str">
            <v>A</v>
          </cell>
          <cell r="H359" t="str">
            <v>N/A</v>
          </cell>
          <cell r="I359">
            <v>500001</v>
          </cell>
          <cell r="J359" t="str">
            <v>Fornecedores</v>
          </cell>
          <cell r="K359">
            <v>600017</v>
          </cell>
          <cell r="L359">
            <v>-1</v>
          </cell>
        </row>
        <row r="360">
          <cell r="B360" t="str">
            <v>2.1.1.04.0149</v>
          </cell>
          <cell r="C360" t="str">
            <v>10476565/0001-01</v>
          </cell>
          <cell r="D360" t="str">
            <v>OCEANO SERVICOS LTDA.</v>
          </cell>
          <cell r="E360" t="str">
            <v>A</v>
          </cell>
          <cell r="H360" t="str">
            <v>N/A</v>
          </cell>
          <cell r="I360">
            <v>500001</v>
          </cell>
          <cell r="J360" t="str">
            <v>Fornecedores</v>
          </cell>
          <cell r="K360">
            <v>600017</v>
          </cell>
          <cell r="L360">
            <v>-1</v>
          </cell>
        </row>
        <row r="361">
          <cell r="B361" t="str">
            <v>2.1.1.04.0150</v>
          </cell>
          <cell r="C361" t="str">
            <v>60540333/0002-16</v>
          </cell>
          <cell r="D361" t="str">
            <v>THE BRITISH CHAMBER OF COMMERCE AND INDU</v>
          </cell>
          <cell r="E361" t="str">
            <v>A</v>
          </cell>
          <cell r="H361" t="str">
            <v>N/A</v>
          </cell>
          <cell r="I361">
            <v>500001</v>
          </cell>
          <cell r="J361" t="str">
            <v>Fornecedores</v>
          </cell>
          <cell r="K361">
            <v>600017</v>
          </cell>
          <cell r="L361">
            <v>-1</v>
          </cell>
        </row>
        <row r="362">
          <cell r="B362" t="str">
            <v>2.1.1.04.0151</v>
          </cell>
          <cell r="C362" t="str">
            <v>12867225/0001-29</v>
          </cell>
          <cell r="D362" t="str">
            <v>DC STUDIO PRODUCOES LTDA.</v>
          </cell>
          <cell r="E362" t="str">
            <v>A</v>
          </cell>
          <cell r="H362" t="str">
            <v>N/A</v>
          </cell>
          <cell r="I362">
            <v>500001</v>
          </cell>
          <cell r="J362" t="str">
            <v>Fornecedores</v>
          </cell>
          <cell r="K362">
            <v>600017</v>
          </cell>
          <cell r="L362">
            <v>-1</v>
          </cell>
        </row>
        <row r="363">
          <cell r="B363" t="str">
            <v>2.1.1.04.0152</v>
          </cell>
          <cell r="C363" t="str">
            <v>00543800/0001-59</v>
          </cell>
          <cell r="D363" t="str">
            <v>IIR INFORMA SEMINARIOS LTDA.</v>
          </cell>
          <cell r="E363" t="str">
            <v>A</v>
          </cell>
          <cell r="H363" t="str">
            <v>N/A</v>
          </cell>
          <cell r="I363">
            <v>500001</v>
          </cell>
          <cell r="J363" t="str">
            <v>Fornecedores</v>
          </cell>
          <cell r="K363">
            <v>600017</v>
          </cell>
          <cell r="L363">
            <v>-1</v>
          </cell>
        </row>
        <row r="364">
          <cell r="B364" t="str">
            <v>2.1.1.04.0153</v>
          </cell>
          <cell r="C364" t="str">
            <v>04106216/0001-97</v>
          </cell>
          <cell r="D364" t="str">
            <v>SOUZA E PINHO ENGENHARIA E ARQUITETURA</v>
          </cell>
          <cell r="E364" t="str">
            <v>A</v>
          </cell>
          <cell r="H364" t="str">
            <v>N/A</v>
          </cell>
          <cell r="I364">
            <v>500001</v>
          </cell>
          <cell r="J364" t="str">
            <v>Fornecedores</v>
          </cell>
          <cell r="K364">
            <v>600017</v>
          </cell>
          <cell r="L364">
            <v>-1</v>
          </cell>
        </row>
        <row r="365">
          <cell r="B365" t="str">
            <v>2.1.1.04.0154</v>
          </cell>
          <cell r="C365" t="str">
            <v>12404897/0001-06</v>
          </cell>
          <cell r="D365" t="str">
            <v xml:space="preserve">DOUGLAS WILLE &amp; CIA LTDA - ME </v>
          </cell>
          <cell r="E365" t="str">
            <v>A</v>
          </cell>
          <cell r="H365" t="str">
            <v>N/A</v>
          </cell>
          <cell r="I365">
            <v>500001</v>
          </cell>
          <cell r="J365" t="str">
            <v>Fornecedores</v>
          </cell>
          <cell r="K365">
            <v>600017</v>
          </cell>
          <cell r="L365">
            <v>-1</v>
          </cell>
        </row>
        <row r="366">
          <cell r="B366" t="str">
            <v>2.1.1.04.0155</v>
          </cell>
          <cell r="C366" t="str">
            <v>04217374/0001-14</v>
          </cell>
          <cell r="D366" t="str">
            <v>STOCK GRAF COMERCIO MATERIAIS GRAFICOS</v>
          </cell>
          <cell r="E366" t="str">
            <v>A</v>
          </cell>
          <cell r="H366" t="str">
            <v>N/A</v>
          </cell>
          <cell r="I366">
            <v>500001</v>
          </cell>
          <cell r="J366" t="str">
            <v>Fornecedores</v>
          </cell>
          <cell r="K366">
            <v>600017</v>
          </cell>
          <cell r="L366">
            <v>-1</v>
          </cell>
        </row>
        <row r="367">
          <cell r="B367" t="str">
            <v>2.1.1.04.0156</v>
          </cell>
          <cell r="C367" t="str">
            <v>42417493/0001-00</v>
          </cell>
          <cell r="D367" t="str">
            <v>MUNDIVIDROS VIDROS CRISTAIS E MOLDURAS</v>
          </cell>
          <cell r="E367" t="str">
            <v>A</v>
          </cell>
          <cell r="H367" t="str">
            <v>N/A</v>
          </cell>
          <cell r="I367">
            <v>500001</v>
          </cell>
          <cell r="J367" t="str">
            <v>Fornecedores</v>
          </cell>
          <cell r="K367">
            <v>600017</v>
          </cell>
          <cell r="L367">
            <v>-1</v>
          </cell>
        </row>
        <row r="368">
          <cell r="B368" t="str">
            <v>2.1.1.04.0157</v>
          </cell>
          <cell r="C368" t="str">
            <v>26976381/0001-32</v>
          </cell>
          <cell r="D368" t="str">
            <v>MULTPAPER DISTRIBUIDORA DE PAPAEIS LTDA</v>
          </cell>
          <cell r="E368" t="str">
            <v>A</v>
          </cell>
          <cell r="H368" t="str">
            <v>N/A</v>
          </cell>
          <cell r="I368">
            <v>500001</v>
          </cell>
          <cell r="J368" t="str">
            <v>Fornecedores</v>
          </cell>
          <cell r="K368">
            <v>600017</v>
          </cell>
          <cell r="L368">
            <v>-1</v>
          </cell>
        </row>
        <row r="369">
          <cell r="B369" t="str">
            <v>2.1.1.04.0158</v>
          </cell>
          <cell r="C369" t="str">
            <v>09677300/0001-84</v>
          </cell>
          <cell r="D369" t="str">
            <v>JC&amp;I DESIGN E STUDIO LTDA.</v>
          </cell>
          <cell r="E369" t="str">
            <v>A</v>
          </cell>
          <cell r="H369" t="str">
            <v>N/A</v>
          </cell>
          <cell r="I369">
            <v>500001</v>
          </cell>
          <cell r="J369" t="str">
            <v>Fornecedores</v>
          </cell>
          <cell r="K369">
            <v>600017</v>
          </cell>
          <cell r="L369">
            <v>-1</v>
          </cell>
        </row>
        <row r="370">
          <cell r="B370" t="str">
            <v>2.1.1.04.0159</v>
          </cell>
          <cell r="C370" t="str">
            <v>13373975/0001-07</v>
          </cell>
          <cell r="D370" t="str">
            <v>THIAGO KAZOROSKY PINHEIRO &amp; CIA LTDA</v>
          </cell>
          <cell r="E370" t="str">
            <v>A</v>
          </cell>
          <cell r="H370" t="str">
            <v>N/A</v>
          </cell>
          <cell r="I370">
            <v>500001</v>
          </cell>
          <cell r="J370" t="str">
            <v>Fornecedores</v>
          </cell>
          <cell r="K370">
            <v>600017</v>
          </cell>
          <cell r="L370">
            <v>-1</v>
          </cell>
        </row>
        <row r="371">
          <cell r="B371" t="str">
            <v>2.1.1.04.0160</v>
          </cell>
          <cell r="C371" t="str">
            <v>02105010/0001-17</v>
          </cell>
          <cell r="D371" t="str">
            <v>AGENCIA VIRTUAL LTDA.</v>
          </cell>
          <cell r="E371" t="str">
            <v>A</v>
          </cell>
          <cell r="H371" t="str">
            <v>N/A</v>
          </cell>
          <cell r="I371">
            <v>500001</v>
          </cell>
          <cell r="J371" t="str">
            <v>Fornecedores</v>
          </cell>
          <cell r="K371">
            <v>600017</v>
          </cell>
          <cell r="L371">
            <v>-1</v>
          </cell>
        </row>
        <row r="372">
          <cell r="B372" t="str">
            <v>2.1.1.04.0161</v>
          </cell>
          <cell r="C372">
            <v>30033823000184</v>
          </cell>
          <cell r="D372" t="str">
            <v>COMITE NAC. BRASILEIRO PROD. TRANS. ENER</v>
          </cell>
          <cell r="E372" t="str">
            <v>A</v>
          </cell>
          <cell r="H372" t="str">
            <v>N/A</v>
          </cell>
          <cell r="I372">
            <v>500001</v>
          </cell>
          <cell r="J372" t="str">
            <v>Fornecedores</v>
          </cell>
          <cell r="K372">
            <v>600017</v>
          </cell>
          <cell r="L372">
            <v>-1</v>
          </cell>
        </row>
        <row r="373">
          <cell r="B373" t="str">
            <v>2.1.1.04.0162</v>
          </cell>
          <cell r="C373" t="str">
            <v>04619903/0001-06</v>
          </cell>
          <cell r="D373" t="str">
            <v>SEND COPY CANDELARIA SERV. REPROGRAFICOS</v>
          </cell>
          <cell r="E373" t="str">
            <v>A</v>
          </cell>
          <cell r="H373" t="str">
            <v>N/A</v>
          </cell>
          <cell r="I373">
            <v>500001</v>
          </cell>
          <cell r="J373" t="str">
            <v>Fornecedores</v>
          </cell>
          <cell r="K373">
            <v>600017</v>
          </cell>
          <cell r="L373">
            <v>-1</v>
          </cell>
        </row>
        <row r="374">
          <cell r="B374" t="str">
            <v>2.1.1.04.0163</v>
          </cell>
          <cell r="C374" t="str">
            <v>13488395/0001-65</v>
          </cell>
          <cell r="D374" t="str">
            <v>MARCENARIA SAO JORGE SAO JOSE EIERLI ME</v>
          </cell>
          <cell r="E374" t="str">
            <v>A</v>
          </cell>
          <cell r="H374" t="str">
            <v>N/A</v>
          </cell>
          <cell r="I374">
            <v>500001</v>
          </cell>
          <cell r="J374" t="str">
            <v>Fornecedores</v>
          </cell>
          <cell r="K374">
            <v>600017</v>
          </cell>
          <cell r="L374">
            <v>-1</v>
          </cell>
        </row>
        <row r="375">
          <cell r="B375" t="str">
            <v>2.1.1.04.0164</v>
          </cell>
          <cell r="C375" t="str">
            <v>72414691/0001-80</v>
          </cell>
          <cell r="D375" t="str">
            <v>INOVATIVA - APRIMORAMENTO TREINAMENTO</v>
          </cell>
          <cell r="E375" t="str">
            <v>A</v>
          </cell>
          <cell r="H375" t="str">
            <v>N/A</v>
          </cell>
          <cell r="I375">
            <v>500001</v>
          </cell>
          <cell r="J375" t="str">
            <v>Fornecedores</v>
          </cell>
          <cell r="K375">
            <v>600017</v>
          </cell>
          <cell r="L375">
            <v>-1</v>
          </cell>
        </row>
        <row r="376">
          <cell r="B376" t="str">
            <v>2.1.1.04.0165</v>
          </cell>
          <cell r="C376" t="str">
            <v>11281612/0001-16</v>
          </cell>
          <cell r="D376" t="str">
            <v>SOLUCAO BRASIL TECNOLOGIA INFORMACAO</v>
          </cell>
          <cell r="E376" t="str">
            <v>A</v>
          </cell>
          <cell r="H376" t="str">
            <v>N/A</v>
          </cell>
          <cell r="I376">
            <v>500001</v>
          </cell>
          <cell r="J376" t="str">
            <v>Fornecedores</v>
          </cell>
          <cell r="K376">
            <v>600017</v>
          </cell>
          <cell r="L376">
            <v>-1</v>
          </cell>
        </row>
        <row r="377">
          <cell r="B377" t="str">
            <v>2.1.1.04.0166</v>
          </cell>
          <cell r="C377" t="str">
            <v>01138264/0001-79</v>
          </cell>
          <cell r="D377" t="str">
            <v>BIOVET SERVICOS LTDA.</v>
          </cell>
          <cell r="E377" t="str">
            <v>A</v>
          </cell>
          <cell r="H377" t="str">
            <v>N/A</v>
          </cell>
          <cell r="I377">
            <v>500001</v>
          </cell>
          <cell r="J377" t="str">
            <v>Fornecedores</v>
          </cell>
          <cell r="K377">
            <v>600017</v>
          </cell>
          <cell r="L377">
            <v>-1</v>
          </cell>
        </row>
        <row r="378">
          <cell r="B378" t="str">
            <v>2.1.1.04.0167</v>
          </cell>
          <cell r="C378" t="str">
            <v>07282970/0001-76</v>
          </cell>
          <cell r="D378" t="str">
            <v>NTX COMERCIO CONSULTORIA E SERVICOS LTDA</v>
          </cell>
          <cell r="E378" t="str">
            <v>A</v>
          </cell>
          <cell r="H378" t="str">
            <v>N/A</v>
          </cell>
          <cell r="I378">
            <v>500001</v>
          </cell>
          <cell r="J378" t="str">
            <v>Fornecedores</v>
          </cell>
          <cell r="K378">
            <v>600017</v>
          </cell>
          <cell r="L378">
            <v>-1</v>
          </cell>
        </row>
        <row r="379">
          <cell r="B379" t="str">
            <v>2.1.1.04.0168</v>
          </cell>
          <cell r="C379" t="str">
            <v>29317518/0001-35</v>
          </cell>
          <cell r="D379" t="str">
            <v>JH SATURNO COM. MAT. ESC. LIMP. E INF.</v>
          </cell>
          <cell r="E379" t="str">
            <v>A</v>
          </cell>
          <cell r="H379" t="str">
            <v>N/A</v>
          </cell>
          <cell r="I379">
            <v>500001</v>
          </cell>
          <cell r="J379" t="str">
            <v>Fornecedores</v>
          </cell>
          <cell r="K379">
            <v>600017</v>
          </cell>
          <cell r="L379">
            <v>-1</v>
          </cell>
        </row>
        <row r="380">
          <cell r="B380" t="str">
            <v>2.1.1.04.0169</v>
          </cell>
          <cell r="C380" t="str">
            <v>02485591/0001-60</v>
          </cell>
          <cell r="D380" t="str">
            <v>TENDENCIAS CONSULTORIA INTEGRADA S/S LTD</v>
          </cell>
          <cell r="E380" t="str">
            <v>A</v>
          </cell>
          <cell r="H380" t="str">
            <v>N/A</v>
          </cell>
          <cell r="I380">
            <v>500001</v>
          </cell>
          <cell r="J380" t="str">
            <v>Fornecedores</v>
          </cell>
          <cell r="K380">
            <v>600017</v>
          </cell>
          <cell r="L380">
            <v>-1</v>
          </cell>
        </row>
        <row r="381">
          <cell r="B381" t="str">
            <v>2.1.1.04.0170</v>
          </cell>
          <cell r="C381" t="str">
            <v>00316087/0001-00</v>
          </cell>
          <cell r="D381" t="str">
            <v>CONCARP CONSERVACAO E LIMPEZA LTDA</v>
          </cell>
          <cell r="E381" t="str">
            <v>A</v>
          </cell>
          <cell r="H381" t="str">
            <v>N/A</v>
          </cell>
          <cell r="I381">
            <v>500001</v>
          </cell>
          <cell r="J381" t="str">
            <v>Fornecedores</v>
          </cell>
          <cell r="K381">
            <v>600017</v>
          </cell>
          <cell r="L381">
            <v>-1</v>
          </cell>
        </row>
        <row r="382">
          <cell r="B382" t="str">
            <v>2.1.1.04.0171</v>
          </cell>
          <cell r="C382" t="str">
            <v>04572946/0001-83</v>
          </cell>
          <cell r="D382" t="str">
            <v>BOOKHUNTER LIVRARIA LTDA.</v>
          </cell>
          <cell r="E382" t="str">
            <v>A</v>
          </cell>
          <cell r="H382" t="str">
            <v>N/A</v>
          </cell>
          <cell r="I382">
            <v>500001</v>
          </cell>
          <cell r="J382" t="str">
            <v>Fornecedores</v>
          </cell>
          <cell r="K382">
            <v>600017</v>
          </cell>
          <cell r="L382">
            <v>-1</v>
          </cell>
        </row>
        <row r="383">
          <cell r="B383" t="str">
            <v>2.1.1.04.0172</v>
          </cell>
          <cell r="C383" t="str">
            <v>05292903/0001-07</v>
          </cell>
          <cell r="D383" t="str">
            <v>PETT &amp; CAPELLATO REPRESENTACOES LTDA.</v>
          </cell>
          <cell r="E383" t="str">
            <v>A</v>
          </cell>
          <cell r="H383" t="str">
            <v>N/A</v>
          </cell>
          <cell r="I383">
            <v>500001</v>
          </cell>
          <cell r="J383" t="str">
            <v>Fornecedores</v>
          </cell>
          <cell r="K383">
            <v>600017</v>
          </cell>
          <cell r="L383">
            <v>-1</v>
          </cell>
        </row>
        <row r="384">
          <cell r="B384" t="str">
            <v>2.1.1.04.0173</v>
          </cell>
          <cell r="C384" t="str">
            <v>18025536/0001-27</v>
          </cell>
          <cell r="D384" t="str">
            <v>FUNDACAO DE PESQ. E ASSESSORAMENTO A IND</v>
          </cell>
          <cell r="E384" t="str">
            <v>A</v>
          </cell>
          <cell r="H384" t="str">
            <v>N/A</v>
          </cell>
          <cell r="I384">
            <v>500001</v>
          </cell>
          <cell r="J384" t="str">
            <v>Fornecedores</v>
          </cell>
          <cell r="K384">
            <v>600017</v>
          </cell>
          <cell r="L384">
            <v>-1</v>
          </cell>
        </row>
        <row r="385">
          <cell r="B385" t="str">
            <v>2.1.1.04.0174</v>
          </cell>
          <cell r="C385" t="str">
            <v>02704211/0001-30</v>
          </cell>
          <cell r="D385" t="str">
            <v>EXPERTISE TECNOLOGIA DESENVOLVIMENTO</v>
          </cell>
          <cell r="E385" t="str">
            <v>A</v>
          </cell>
          <cell r="H385" t="str">
            <v>N/A</v>
          </cell>
          <cell r="I385">
            <v>500001</v>
          </cell>
          <cell r="J385" t="str">
            <v>Fornecedores</v>
          </cell>
          <cell r="K385">
            <v>600017</v>
          </cell>
          <cell r="L385">
            <v>-1</v>
          </cell>
        </row>
        <row r="386">
          <cell r="B386" t="str">
            <v>2.1.1.04.0175</v>
          </cell>
          <cell r="C386" t="str">
            <v>03811232/0001-18</v>
          </cell>
          <cell r="D386" t="str">
            <v>COMERCIAL GAULIA LTDA.</v>
          </cell>
          <cell r="E386" t="str">
            <v>A</v>
          </cell>
          <cell r="H386" t="str">
            <v>N/A</v>
          </cell>
          <cell r="I386">
            <v>500001</v>
          </cell>
          <cell r="J386" t="str">
            <v>Fornecedores</v>
          </cell>
          <cell r="K386">
            <v>600017</v>
          </cell>
          <cell r="L386">
            <v>-1</v>
          </cell>
        </row>
        <row r="387">
          <cell r="B387" t="str">
            <v>2.1.1.04.0176</v>
          </cell>
          <cell r="C387" t="str">
            <v>27014752/0001-68</v>
          </cell>
          <cell r="D387" t="str">
            <v>FLOAT - GLASS - COMERCIO E SERVICOS LTDA</v>
          </cell>
          <cell r="E387" t="str">
            <v>A</v>
          </cell>
          <cell r="H387" t="str">
            <v>N/A</v>
          </cell>
          <cell r="I387">
            <v>500001</v>
          </cell>
          <cell r="J387" t="str">
            <v>Fornecedores</v>
          </cell>
          <cell r="K387">
            <v>600017</v>
          </cell>
          <cell r="L387">
            <v>-1</v>
          </cell>
        </row>
        <row r="388">
          <cell r="B388" t="str">
            <v>2.1.1.04.0177</v>
          </cell>
          <cell r="C388" t="str">
            <v>00729829/0001-20</v>
          </cell>
          <cell r="D388" t="str">
            <v>KARTROLIN BRINDES MATERIAL P/ ESCRITORIO</v>
          </cell>
          <cell r="E388" t="str">
            <v>A</v>
          </cell>
          <cell r="H388" t="str">
            <v>N/A</v>
          </cell>
          <cell r="I388">
            <v>500001</v>
          </cell>
          <cell r="J388" t="str">
            <v>Fornecedores</v>
          </cell>
          <cell r="K388">
            <v>600017</v>
          </cell>
          <cell r="L388">
            <v>-1</v>
          </cell>
        </row>
        <row r="389">
          <cell r="B389" t="str">
            <v>2.1.1.04.0178</v>
          </cell>
          <cell r="C389" t="str">
            <v>36003671/0001-53</v>
          </cell>
          <cell r="D389" t="str">
            <v>CONSULTRE CONSULTORIA E TREINAMENTO LTDA</v>
          </cell>
          <cell r="E389" t="str">
            <v>A</v>
          </cell>
          <cell r="H389" t="str">
            <v>N/A</v>
          </cell>
          <cell r="I389">
            <v>500001</v>
          </cell>
          <cell r="J389" t="str">
            <v>Fornecedores</v>
          </cell>
          <cell r="K389">
            <v>600017</v>
          </cell>
          <cell r="L389">
            <v>-1</v>
          </cell>
        </row>
        <row r="390">
          <cell r="B390" t="str">
            <v>2.1.1.04.0179</v>
          </cell>
          <cell r="C390" t="str">
            <v>09335355/0001-06</v>
          </cell>
          <cell r="D390" t="str">
            <v>FACIL - BRASILIA TRANSPORTE INTEGRADO</v>
          </cell>
          <cell r="E390" t="str">
            <v>A</v>
          </cell>
          <cell r="H390" t="str">
            <v>N/A</v>
          </cell>
          <cell r="I390">
            <v>500001</v>
          </cell>
          <cell r="J390" t="str">
            <v>Fornecedores</v>
          </cell>
          <cell r="K390">
            <v>600017</v>
          </cell>
          <cell r="L390">
            <v>-1</v>
          </cell>
        </row>
        <row r="391">
          <cell r="B391" t="str">
            <v>2.1.1.04.0180</v>
          </cell>
          <cell r="C391" t="str">
            <v>35963479/0001-46</v>
          </cell>
          <cell r="D391" t="str">
            <v>ESAFI - ESCOLA ADMINISTRACAO TREINAMENTO</v>
          </cell>
          <cell r="E391" t="str">
            <v>A</v>
          </cell>
          <cell r="H391" t="str">
            <v>N/A</v>
          </cell>
          <cell r="I391">
            <v>500001</v>
          </cell>
          <cell r="J391" t="str">
            <v>Fornecedores</v>
          </cell>
          <cell r="K391">
            <v>600017</v>
          </cell>
          <cell r="L391">
            <v>-1</v>
          </cell>
        </row>
        <row r="392">
          <cell r="B392" t="str">
            <v>2.1.1.04.0181</v>
          </cell>
          <cell r="C392" t="str">
            <v>02911903/0001-50</v>
          </cell>
          <cell r="D392" t="str">
            <v>FUNDACAO COMITE DE GESTAO EMPRESARIAL</v>
          </cell>
          <cell r="E392" t="str">
            <v>A</v>
          </cell>
          <cell r="H392" t="str">
            <v>N/A</v>
          </cell>
          <cell r="I392">
            <v>500001</v>
          </cell>
          <cell r="J392" t="str">
            <v>Fornecedores</v>
          </cell>
          <cell r="K392">
            <v>600017</v>
          </cell>
          <cell r="L392">
            <v>-1</v>
          </cell>
        </row>
        <row r="393">
          <cell r="B393" t="str">
            <v>2.1.1.04.0182</v>
          </cell>
          <cell r="C393" t="str">
            <v>01377071/0001-70</v>
          </cell>
          <cell r="D393" t="str">
            <v>LANTELE COMERCIAL ELETRICA LTDA.</v>
          </cell>
          <cell r="E393" t="str">
            <v>A</v>
          </cell>
          <cell r="H393" t="str">
            <v>N/A</v>
          </cell>
          <cell r="I393">
            <v>500001</v>
          </cell>
          <cell r="J393" t="str">
            <v>Fornecedores</v>
          </cell>
          <cell r="K393">
            <v>600017</v>
          </cell>
          <cell r="L393">
            <v>-1</v>
          </cell>
        </row>
        <row r="394">
          <cell r="B394" t="str">
            <v>2.1.1.04.0183</v>
          </cell>
          <cell r="C394" t="str">
            <v>04708116/0001-30</v>
          </cell>
          <cell r="D394" t="str">
            <v>ZENITE TECNOLOGIA E TELEINFORMATICA LTDA</v>
          </cell>
          <cell r="E394" t="str">
            <v>A</v>
          </cell>
          <cell r="H394" t="str">
            <v>N/A</v>
          </cell>
          <cell r="I394">
            <v>500001</v>
          </cell>
          <cell r="J394" t="str">
            <v>Fornecedores</v>
          </cell>
          <cell r="K394">
            <v>600017</v>
          </cell>
          <cell r="L394">
            <v>-1</v>
          </cell>
        </row>
        <row r="395">
          <cell r="B395" t="str">
            <v>2.1.1.04.0184</v>
          </cell>
          <cell r="C395" t="str">
            <v>03712467/0001-52</v>
          </cell>
          <cell r="D395" t="str">
            <v>FLAMA RAMOS ACABAMENTO E MANUSEIO GRAFIC</v>
          </cell>
          <cell r="E395" t="str">
            <v>A</v>
          </cell>
          <cell r="H395" t="str">
            <v>N/A</v>
          </cell>
          <cell r="I395">
            <v>500001</v>
          </cell>
          <cell r="J395" t="str">
            <v>Fornecedores</v>
          </cell>
          <cell r="K395">
            <v>600017</v>
          </cell>
          <cell r="L395">
            <v>-1</v>
          </cell>
        </row>
        <row r="396">
          <cell r="B396" t="str">
            <v>2.1.1.04.0185</v>
          </cell>
          <cell r="C396" t="str">
            <v>61705380/0001-54</v>
          </cell>
          <cell r="D396" t="str">
            <v>FUNDAG</v>
          </cell>
          <cell r="E396" t="str">
            <v>A</v>
          </cell>
          <cell r="H396" t="str">
            <v>N/A</v>
          </cell>
          <cell r="I396">
            <v>500001</v>
          </cell>
          <cell r="J396" t="str">
            <v>Fornecedores</v>
          </cell>
          <cell r="K396">
            <v>600017</v>
          </cell>
          <cell r="L396">
            <v>-1</v>
          </cell>
        </row>
        <row r="397">
          <cell r="B397" t="str">
            <v>2.1.1.04.0186</v>
          </cell>
          <cell r="C397" t="str">
            <v>42334193/0001-67</v>
          </cell>
          <cell r="D397" t="str">
            <v>COMITE BRASILEIRO DE BARRAGENS</v>
          </cell>
          <cell r="E397" t="str">
            <v>A</v>
          </cell>
          <cell r="H397" t="str">
            <v>N/A</v>
          </cell>
          <cell r="I397">
            <v>500001</v>
          </cell>
          <cell r="J397" t="str">
            <v>Fornecedores</v>
          </cell>
          <cell r="K397">
            <v>600017</v>
          </cell>
          <cell r="L397">
            <v>-1</v>
          </cell>
        </row>
        <row r="398">
          <cell r="B398" t="str">
            <v>2.1.1.04.0187</v>
          </cell>
          <cell r="C398" t="str">
            <v>03307532/0001-64</v>
          </cell>
          <cell r="D398" t="str">
            <v>SIVIC PLACAS E BRINDES LTDA</v>
          </cell>
          <cell r="E398" t="str">
            <v>A</v>
          </cell>
          <cell r="H398" t="str">
            <v>N/A</v>
          </cell>
          <cell r="I398">
            <v>500001</v>
          </cell>
          <cell r="J398" t="str">
            <v>Fornecedores</v>
          </cell>
          <cell r="K398">
            <v>600017</v>
          </cell>
          <cell r="L398">
            <v>-1</v>
          </cell>
        </row>
        <row r="399">
          <cell r="B399" t="str">
            <v>2.1.1.04.0188</v>
          </cell>
          <cell r="C399" t="str">
            <v>32157042/0001-27</v>
          </cell>
          <cell r="D399" t="str">
            <v>PERSIANAS COIMBRA LTDA</v>
          </cell>
          <cell r="E399" t="str">
            <v>A</v>
          </cell>
          <cell r="H399" t="str">
            <v>N/A</v>
          </cell>
          <cell r="I399">
            <v>500001</v>
          </cell>
          <cell r="J399" t="str">
            <v>Fornecedores</v>
          </cell>
          <cell r="K399">
            <v>600017</v>
          </cell>
          <cell r="L399">
            <v>-1</v>
          </cell>
        </row>
        <row r="400">
          <cell r="B400" t="str">
            <v>2.1.1.04.0189</v>
          </cell>
          <cell r="C400" t="str">
            <v>00348003/0129-84</v>
          </cell>
          <cell r="D400" t="str">
            <v>EMPRESA BRAS DE PESQ AGROP EMBRAPA</v>
          </cell>
          <cell r="E400" t="str">
            <v>A</v>
          </cell>
          <cell r="H400" t="str">
            <v>N/A</v>
          </cell>
          <cell r="I400">
            <v>500001</v>
          </cell>
          <cell r="J400" t="str">
            <v>Fornecedores</v>
          </cell>
          <cell r="K400">
            <v>600017</v>
          </cell>
          <cell r="L400">
            <v>-1</v>
          </cell>
        </row>
        <row r="401">
          <cell r="B401" t="str">
            <v>2.1.1.04.0190</v>
          </cell>
          <cell r="C401" t="str">
            <v>02270142/0001-02</v>
          </cell>
          <cell r="D401" t="str">
            <v>GERMANISCHER LLOYD IND. SERVICES DO BRAS</v>
          </cell>
          <cell r="E401" t="str">
            <v>A</v>
          </cell>
          <cell r="H401" t="str">
            <v>N/A</v>
          </cell>
          <cell r="I401">
            <v>500001</v>
          </cell>
          <cell r="J401" t="str">
            <v>Fornecedores</v>
          </cell>
          <cell r="K401">
            <v>600017</v>
          </cell>
          <cell r="L401">
            <v>-1</v>
          </cell>
        </row>
        <row r="402">
          <cell r="B402" t="str">
            <v>2.1.1.04.0191</v>
          </cell>
          <cell r="C402" t="str">
            <v>04655786/0001-36</v>
          </cell>
          <cell r="D402" t="str">
            <v>NORTHIA ASSESSORIA DE SEGURANCA NO TRABA</v>
          </cell>
          <cell r="E402" t="str">
            <v>A</v>
          </cell>
          <cell r="H402" t="str">
            <v>N/A</v>
          </cell>
          <cell r="I402">
            <v>500001</v>
          </cell>
          <cell r="J402" t="str">
            <v>Fornecedores</v>
          </cell>
          <cell r="K402">
            <v>600017</v>
          </cell>
          <cell r="L402">
            <v>-1</v>
          </cell>
        </row>
        <row r="403">
          <cell r="B403" t="str">
            <v>2.1.1.04.0192</v>
          </cell>
          <cell r="C403" t="str">
            <v>40181919/0001-43</v>
          </cell>
          <cell r="D403" t="str">
            <v>JURIS AMBIENTIS CONSULTORES S/S LTDA</v>
          </cell>
          <cell r="E403" t="str">
            <v>A</v>
          </cell>
          <cell r="H403" t="str">
            <v>N/A</v>
          </cell>
          <cell r="I403">
            <v>500001</v>
          </cell>
          <cell r="J403" t="str">
            <v>Fornecedores</v>
          </cell>
          <cell r="K403">
            <v>600017</v>
          </cell>
          <cell r="L403">
            <v>-1</v>
          </cell>
        </row>
        <row r="404">
          <cell r="B404" t="str">
            <v>2.1.1.04.0193</v>
          </cell>
          <cell r="C404" t="str">
            <v>04832526/0001-99</v>
          </cell>
          <cell r="D404" t="str">
            <v>CASTRO &amp; CASTRO ADV. E CONSULTORES</v>
          </cell>
          <cell r="E404" t="str">
            <v>A</v>
          </cell>
          <cell r="H404" t="str">
            <v>N/A</v>
          </cell>
          <cell r="I404">
            <v>500001</v>
          </cell>
          <cell r="J404" t="str">
            <v>Fornecedores</v>
          </cell>
          <cell r="K404">
            <v>600017</v>
          </cell>
          <cell r="L404">
            <v>-1</v>
          </cell>
        </row>
        <row r="405">
          <cell r="B405" t="str">
            <v>2.1.1.04.0194</v>
          </cell>
          <cell r="C405" t="str">
            <v>13013046/0001-97</v>
          </cell>
          <cell r="D405" t="str">
            <v>SITIAR COM. DE REFRIGERACAO LTDA - ME</v>
          </cell>
          <cell r="E405" t="str">
            <v>A</v>
          </cell>
          <cell r="H405" t="str">
            <v>N/A</v>
          </cell>
          <cell r="I405">
            <v>500001</v>
          </cell>
          <cell r="J405" t="str">
            <v>Fornecedores</v>
          </cell>
          <cell r="K405">
            <v>600017</v>
          </cell>
          <cell r="L405">
            <v>-1</v>
          </cell>
        </row>
        <row r="406">
          <cell r="B406" t="str">
            <v>2.1.1.04.0195</v>
          </cell>
          <cell r="C406" t="str">
            <v>06353807/0001-94</v>
          </cell>
          <cell r="D406" t="str">
            <v>DEWI DO BRASIL</v>
          </cell>
          <cell r="E406" t="str">
            <v>A</v>
          </cell>
          <cell r="H406" t="str">
            <v>N/A</v>
          </cell>
          <cell r="I406">
            <v>500001</v>
          </cell>
          <cell r="J406" t="str">
            <v>Fornecedores</v>
          </cell>
          <cell r="K406">
            <v>600017</v>
          </cell>
          <cell r="L406">
            <v>-1</v>
          </cell>
        </row>
        <row r="407">
          <cell r="B407" t="str">
            <v>2.1.1.04.0196</v>
          </cell>
          <cell r="C407" t="str">
            <v>08257771/0001-70</v>
          </cell>
          <cell r="D407" t="str">
            <v>FABBIO VEMGIZ LOBO CONS. TREINAMENTO</v>
          </cell>
          <cell r="E407" t="str">
            <v>A</v>
          </cell>
          <cell r="H407" t="str">
            <v>N/A</v>
          </cell>
          <cell r="I407">
            <v>500001</v>
          </cell>
          <cell r="J407" t="str">
            <v>Fornecedores</v>
          </cell>
          <cell r="K407">
            <v>600017</v>
          </cell>
          <cell r="L407">
            <v>-1</v>
          </cell>
        </row>
        <row r="408">
          <cell r="B408" t="str">
            <v>2.1.1.04.0197</v>
          </cell>
          <cell r="C408" t="str">
            <v>08844668/0001-27</v>
          </cell>
          <cell r="D408" t="str">
            <v>AGUIAR &amp; VERISSIMO LTDA - ME</v>
          </cell>
          <cell r="E408" t="str">
            <v>A</v>
          </cell>
          <cell r="H408" t="str">
            <v>N/A</v>
          </cell>
          <cell r="I408">
            <v>500001</v>
          </cell>
          <cell r="J408" t="str">
            <v>Fornecedores</v>
          </cell>
          <cell r="K408">
            <v>600017</v>
          </cell>
          <cell r="L408">
            <v>-1</v>
          </cell>
        </row>
        <row r="409">
          <cell r="B409" t="str">
            <v>2.1.1.04.0198</v>
          </cell>
          <cell r="C409" t="str">
            <v>11865040/0001-12</v>
          </cell>
          <cell r="D409" t="str">
            <v>ZFL TRANSPORTE EXECUTIVO LTDA</v>
          </cell>
          <cell r="E409" t="str">
            <v>A</v>
          </cell>
          <cell r="H409" t="str">
            <v>N/A</v>
          </cell>
          <cell r="I409">
            <v>500001</v>
          </cell>
          <cell r="J409" t="str">
            <v>Fornecedores</v>
          </cell>
          <cell r="K409">
            <v>600017</v>
          </cell>
          <cell r="L409">
            <v>-1</v>
          </cell>
        </row>
        <row r="410">
          <cell r="B410" t="str">
            <v>2.1.1.04.0199</v>
          </cell>
          <cell r="C410" t="str">
            <v>02552009/0001-30</v>
          </cell>
          <cell r="D410" t="str">
            <v>DMSS SOFTWARE LTDA</v>
          </cell>
          <cell r="E410" t="str">
            <v>A</v>
          </cell>
          <cell r="H410" t="str">
            <v>N/A</v>
          </cell>
          <cell r="I410">
            <v>500001</v>
          </cell>
          <cell r="J410" t="str">
            <v>Fornecedores</v>
          </cell>
          <cell r="K410">
            <v>600017</v>
          </cell>
          <cell r="L410">
            <v>-1</v>
          </cell>
        </row>
        <row r="411">
          <cell r="B411" t="str">
            <v>2.1.1.04.0200</v>
          </cell>
          <cell r="C411" t="str">
            <v>03557247/0001-00</v>
          </cell>
          <cell r="D411" t="str">
            <v>INTEGRAR CLIMATIZACAO LTDA</v>
          </cell>
          <cell r="E411" t="str">
            <v>A</v>
          </cell>
          <cell r="H411" t="str">
            <v>N/A</v>
          </cell>
          <cell r="I411">
            <v>500001</v>
          </cell>
          <cell r="J411" t="str">
            <v>Fornecedores</v>
          </cell>
          <cell r="K411">
            <v>600017</v>
          </cell>
          <cell r="L411">
            <v>-1</v>
          </cell>
        </row>
        <row r="412">
          <cell r="B412" t="str">
            <v>2.1.1.04.0201</v>
          </cell>
          <cell r="C412">
            <v>1554285000175</v>
          </cell>
          <cell r="D412" t="str">
            <v>CERTISIGN CERTIFICADORA DIGITAL S.A.</v>
          </cell>
          <cell r="E412" t="str">
            <v>A</v>
          </cell>
          <cell r="H412" t="str">
            <v>N/A</v>
          </cell>
          <cell r="I412">
            <v>500001</v>
          </cell>
          <cell r="J412" t="str">
            <v>Fornecedores</v>
          </cell>
          <cell r="K412">
            <v>600017</v>
          </cell>
          <cell r="L412">
            <v>-1</v>
          </cell>
        </row>
        <row r="413">
          <cell r="B413" t="str">
            <v>2.1.1.04.0202</v>
          </cell>
          <cell r="C413" t="str">
            <v>12661222/0001-34</v>
          </cell>
          <cell r="D413" t="str">
            <v>SHOPPING MATRIZ FABRIL LTDA</v>
          </cell>
          <cell r="E413" t="str">
            <v>A</v>
          </cell>
          <cell r="H413" t="str">
            <v>N/A</v>
          </cell>
          <cell r="I413">
            <v>500001</v>
          </cell>
          <cell r="J413" t="str">
            <v>Fornecedores</v>
          </cell>
          <cell r="K413">
            <v>600017</v>
          </cell>
          <cell r="L413">
            <v>-1</v>
          </cell>
        </row>
        <row r="414">
          <cell r="B414" t="str">
            <v>2.1.1.04.0203</v>
          </cell>
          <cell r="C414" t="str">
            <v>05085929/0002-65</v>
          </cell>
          <cell r="D414" t="str">
            <v>GIOCONDA E JOSE CAFE E CULINARIA LTDA</v>
          </cell>
          <cell r="E414" t="str">
            <v>A</v>
          </cell>
          <cell r="H414" t="str">
            <v>N/A</v>
          </cell>
          <cell r="I414">
            <v>500001</v>
          </cell>
          <cell r="J414" t="str">
            <v>Fornecedores</v>
          </cell>
          <cell r="K414">
            <v>600017</v>
          </cell>
          <cell r="L414">
            <v>-1</v>
          </cell>
        </row>
        <row r="415">
          <cell r="B415" t="str">
            <v>2.1.1.04.0204</v>
          </cell>
          <cell r="C415" t="str">
            <v>33438300/0001-06</v>
          </cell>
          <cell r="D415" t="str">
            <v>PAPELARIA COLUMBIA LTDA</v>
          </cell>
          <cell r="E415" t="str">
            <v>A</v>
          </cell>
          <cell r="H415" t="str">
            <v>N/A</v>
          </cell>
          <cell r="I415">
            <v>500001</v>
          </cell>
          <cell r="J415" t="str">
            <v>Fornecedores</v>
          </cell>
          <cell r="K415">
            <v>600017</v>
          </cell>
          <cell r="L415">
            <v>-1</v>
          </cell>
        </row>
        <row r="416">
          <cell r="B416" t="str">
            <v>2.1.1.04.0205</v>
          </cell>
          <cell r="C416" t="str">
            <v>09305304/0001-31</v>
          </cell>
          <cell r="D416" t="str">
            <v>BRISSETT &amp; BRISSETT EVENTOS LTDA</v>
          </cell>
          <cell r="E416" t="str">
            <v>A</v>
          </cell>
          <cell r="H416" t="str">
            <v>N/A</v>
          </cell>
          <cell r="I416">
            <v>500001</v>
          </cell>
          <cell r="J416" t="str">
            <v>Fornecedores</v>
          </cell>
          <cell r="K416">
            <v>600017</v>
          </cell>
          <cell r="L416">
            <v>-1</v>
          </cell>
        </row>
        <row r="417">
          <cell r="B417" t="str">
            <v>2.1.1.04.0206</v>
          </cell>
          <cell r="C417" t="str">
            <v>08575670/000148</v>
          </cell>
          <cell r="D417" t="str">
            <v>DALA AR CONDICIONADO LTDA</v>
          </cell>
          <cell r="E417" t="str">
            <v>A</v>
          </cell>
          <cell r="H417" t="str">
            <v>N/A</v>
          </cell>
          <cell r="I417">
            <v>500001</v>
          </cell>
          <cell r="J417" t="str">
            <v>Fornecedores</v>
          </cell>
          <cell r="K417">
            <v>600017</v>
          </cell>
          <cell r="L417">
            <v>-1</v>
          </cell>
        </row>
        <row r="418">
          <cell r="B418" t="str">
            <v>2.1.1.04.0207</v>
          </cell>
          <cell r="C418" t="str">
            <v>28711539/0001-78</v>
          </cell>
          <cell r="D418" t="str">
            <v>A C BURLAMAQUI CONSULTORES S/C</v>
          </cell>
          <cell r="E418" t="str">
            <v>A</v>
          </cell>
          <cell r="H418" t="str">
            <v>N/A</v>
          </cell>
          <cell r="I418">
            <v>500001</v>
          </cell>
          <cell r="J418" t="str">
            <v>Fornecedores</v>
          </cell>
          <cell r="K418">
            <v>600017</v>
          </cell>
          <cell r="L418">
            <v>-1</v>
          </cell>
        </row>
        <row r="419">
          <cell r="B419" t="str">
            <v>2.1.1.04.0208</v>
          </cell>
          <cell r="C419" t="str">
            <v>10258575/0001-62</v>
          </cell>
          <cell r="D419" t="str">
            <v>SOUZA E VENTURELI LTDA - ME</v>
          </cell>
          <cell r="E419" t="str">
            <v>A</v>
          </cell>
          <cell r="H419" t="str">
            <v>N/A</v>
          </cell>
          <cell r="I419">
            <v>500001</v>
          </cell>
          <cell r="J419" t="str">
            <v>Fornecedores</v>
          </cell>
          <cell r="K419">
            <v>600017</v>
          </cell>
          <cell r="L419">
            <v>-1</v>
          </cell>
        </row>
        <row r="420">
          <cell r="B420" t="str">
            <v>2.1.1.04.0209</v>
          </cell>
          <cell r="C420">
            <v>5902038000173</v>
          </cell>
          <cell r="D420" t="str">
            <v>INST. AMBIENTAL BRA SUSTENTAVEL - IABS</v>
          </cell>
          <cell r="E420" t="str">
            <v>A</v>
          </cell>
          <cell r="H420" t="str">
            <v>N/A</v>
          </cell>
          <cell r="I420">
            <v>500001</v>
          </cell>
          <cell r="J420" t="str">
            <v>Fornecedores</v>
          </cell>
          <cell r="K420">
            <v>600017</v>
          </cell>
          <cell r="L420">
            <v>-1</v>
          </cell>
        </row>
        <row r="421">
          <cell r="B421" t="str">
            <v>2.1.1.04.0210</v>
          </cell>
          <cell r="C421" t="str">
            <v>00885818/000139</v>
          </cell>
          <cell r="D421" t="str">
            <v>TECNOLOGIA E INFORMACAO LTDA - BPGR</v>
          </cell>
          <cell r="E421" t="str">
            <v>A</v>
          </cell>
          <cell r="H421" t="str">
            <v>N/A</v>
          </cell>
          <cell r="I421">
            <v>500001</v>
          </cell>
          <cell r="J421" t="str">
            <v>Fornecedores</v>
          </cell>
          <cell r="K421">
            <v>600017</v>
          </cell>
          <cell r="L421">
            <v>-1</v>
          </cell>
        </row>
        <row r="422">
          <cell r="B422" t="str">
            <v>2.1.1.04.0211</v>
          </cell>
          <cell r="C422" t="str">
            <v>13317281/0001-52</v>
          </cell>
          <cell r="D422" t="str">
            <v>FORUM CULTURAL ORGANI DE EVENTOS LTDA</v>
          </cell>
          <cell r="E422" t="str">
            <v>A</v>
          </cell>
          <cell r="H422" t="str">
            <v>N/A</v>
          </cell>
          <cell r="I422">
            <v>500001</v>
          </cell>
          <cell r="J422" t="str">
            <v>Fornecedores</v>
          </cell>
          <cell r="K422">
            <v>600017</v>
          </cell>
          <cell r="L422">
            <v>-1</v>
          </cell>
        </row>
        <row r="423">
          <cell r="B423" t="str">
            <v>2.1.1.04.0212</v>
          </cell>
          <cell r="C423" t="str">
            <v>15734197/0002-61</v>
          </cell>
          <cell r="D423" t="str">
            <v>SANTOS &amp; SARUBBI LTDA</v>
          </cell>
          <cell r="E423" t="str">
            <v>A</v>
          </cell>
          <cell r="H423" t="str">
            <v>N/A</v>
          </cell>
          <cell r="I423">
            <v>500001</v>
          </cell>
          <cell r="J423" t="str">
            <v>Fornecedores</v>
          </cell>
          <cell r="K423">
            <v>600017</v>
          </cell>
          <cell r="L423">
            <v>-1</v>
          </cell>
        </row>
        <row r="424">
          <cell r="B424" t="str">
            <v>2.1.1.04.0213</v>
          </cell>
          <cell r="C424" t="str">
            <v>07668381/0001-20</v>
          </cell>
          <cell r="D424" t="str">
            <v>JONKOPING BUFFET LTDA</v>
          </cell>
          <cell r="E424" t="str">
            <v>A</v>
          </cell>
          <cell r="H424" t="str">
            <v>N/A</v>
          </cell>
          <cell r="I424">
            <v>500001</v>
          </cell>
          <cell r="J424" t="str">
            <v>Fornecedores</v>
          </cell>
          <cell r="K424">
            <v>600017</v>
          </cell>
          <cell r="L424">
            <v>-1</v>
          </cell>
        </row>
        <row r="425">
          <cell r="B425" t="str">
            <v>2.1.1.04.0214</v>
          </cell>
          <cell r="C425" t="str">
            <v>10383122/0001-68</v>
          </cell>
          <cell r="D425" t="str">
            <v>GAS ENERGY CHEMICALS LTDA</v>
          </cell>
          <cell r="E425" t="str">
            <v>A</v>
          </cell>
          <cell r="H425" t="str">
            <v>N/A</v>
          </cell>
          <cell r="I425">
            <v>500001</v>
          </cell>
          <cell r="J425" t="str">
            <v>Fornecedores</v>
          </cell>
          <cell r="K425">
            <v>600017</v>
          </cell>
          <cell r="L425">
            <v>-1</v>
          </cell>
        </row>
        <row r="426">
          <cell r="B426" t="str">
            <v>2.1.1.04.0215</v>
          </cell>
          <cell r="C426" t="str">
            <v>02606932/0001-08</v>
          </cell>
          <cell r="D426" t="str">
            <v>RM TREINAMENTO EMPRESARIAL LTDA</v>
          </cell>
          <cell r="E426" t="str">
            <v>A</v>
          </cell>
          <cell r="H426" t="str">
            <v>N/A</v>
          </cell>
          <cell r="I426">
            <v>500001</v>
          </cell>
          <cell r="J426" t="str">
            <v>Fornecedores</v>
          </cell>
          <cell r="K426">
            <v>600017</v>
          </cell>
          <cell r="L426">
            <v>-1</v>
          </cell>
        </row>
        <row r="427">
          <cell r="B427" t="str">
            <v>2.1.1.04.0216</v>
          </cell>
          <cell r="C427" t="str">
            <v>01423190/0001-12</v>
          </cell>
          <cell r="D427" t="str">
            <v>R MAIA DESENVOLVIMENTO EMPRESARIAL LTDA</v>
          </cell>
          <cell r="E427" t="str">
            <v>A</v>
          </cell>
          <cell r="H427" t="str">
            <v>N/A</v>
          </cell>
          <cell r="I427">
            <v>500001</v>
          </cell>
          <cell r="J427" t="str">
            <v>Fornecedores</v>
          </cell>
          <cell r="K427">
            <v>600017</v>
          </cell>
          <cell r="L427">
            <v>-1</v>
          </cell>
        </row>
        <row r="428">
          <cell r="B428" t="str">
            <v>2.1.1.04.0217</v>
          </cell>
          <cell r="C428" t="str">
            <v>10559255/0001-42</v>
          </cell>
          <cell r="D428" t="str">
            <v>ZACCHI E ZACCHI LTDA</v>
          </cell>
          <cell r="E428" t="str">
            <v>A</v>
          </cell>
          <cell r="H428" t="str">
            <v>N/A</v>
          </cell>
          <cell r="I428">
            <v>500001</v>
          </cell>
          <cell r="J428" t="str">
            <v>Fornecedores</v>
          </cell>
          <cell r="K428">
            <v>600017</v>
          </cell>
          <cell r="L428">
            <v>-1</v>
          </cell>
        </row>
        <row r="429">
          <cell r="B429" t="str">
            <v>2.1.1.04.0218</v>
          </cell>
          <cell r="C429" t="str">
            <v>33636523/0001-88</v>
          </cell>
          <cell r="D429" t="str">
            <v>CENTRO INDUSTRIAL DO RJ - CIRJ</v>
          </cell>
          <cell r="E429" t="str">
            <v>A</v>
          </cell>
          <cell r="H429" t="str">
            <v>N/A</v>
          </cell>
          <cell r="I429">
            <v>500001</v>
          </cell>
          <cell r="J429" t="str">
            <v>Fornecedores</v>
          </cell>
          <cell r="K429">
            <v>600017</v>
          </cell>
          <cell r="L429">
            <v>-1</v>
          </cell>
        </row>
        <row r="430">
          <cell r="B430" t="str">
            <v>2.1.1.04.0219</v>
          </cell>
          <cell r="C430" t="str">
            <v>33611617/0001-00</v>
          </cell>
          <cell r="D430" t="str">
            <v>ASSOCIACAO COMERCIAL DO RJ</v>
          </cell>
          <cell r="E430" t="str">
            <v>A</v>
          </cell>
          <cell r="H430" t="str">
            <v>N/A</v>
          </cell>
          <cell r="I430">
            <v>500001</v>
          </cell>
          <cell r="J430" t="str">
            <v>Fornecedores</v>
          </cell>
          <cell r="K430">
            <v>600017</v>
          </cell>
          <cell r="L430">
            <v>-1</v>
          </cell>
        </row>
        <row r="431">
          <cell r="B431" t="str">
            <v>2.1.1.04.0220</v>
          </cell>
          <cell r="C431" t="str">
            <v>11061406/0001-09</v>
          </cell>
          <cell r="D431" t="str">
            <v>ZIVA RJ TECNOLOGIA E SOLUCOES</v>
          </cell>
          <cell r="E431" t="str">
            <v>A</v>
          </cell>
          <cell r="H431" t="str">
            <v>N/A</v>
          </cell>
          <cell r="I431">
            <v>500001</v>
          </cell>
          <cell r="J431" t="str">
            <v>Fornecedores</v>
          </cell>
          <cell r="K431">
            <v>600017</v>
          </cell>
          <cell r="L431">
            <v>-1</v>
          </cell>
        </row>
        <row r="432">
          <cell r="B432" t="str">
            <v>2.1.1.04.0221</v>
          </cell>
          <cell r="C432" t="str">
            <v>03829453/0001-13</v>
          </cell>
          <cell r="D432" t="str">
            <v>CONGER ENCADERNACAO LTDA</v>
          </cell>
          <cell r="E432" t="str">
            <v>A</v>
          </cell>
          <cell r="H432" t="str">
            <v>N/A</v>
          </cell>
          <cell r="I432">
            <v>500001</v>
          </cell>
          <cell r="J432" t="str">
            <v>Fornecedores</v>
          </cell>
          <cell r="K432">
            <v>600017</v>
          </cell>
          <cell r="L432">
            <v>-1</v>
          </cell>
        </row>
        <row r="433">
          <cell r="B433" t="str">
            <v>2.1.1.04.0222</v>
          </cell>
          <cell r="C433" t="str">
            <v>13775131/0001-92</v>
          </cell>
          <cell r="D433" t="str">
            <v>U DE ALMEIDA FARIA JUNIOR - BEM BOM</v>
          </cell>
          <cell r="E433" t="str">
            <v>A</v>
          </cell>
          <cell r="H433" t="str">
            <v>N/A</v>
          </cell>
          <cell r="I433">
            <v>500001</v>
          </cell>
          <cell r="J433" t="str">
            <v>Fornecedores</v>
          </cell>
          <cell r="K433">
            <v>600017</v>
          </cell>
          <cell r="L433">
            <v>-1</v>
          </cell>
        </row>
        <row r="434">
          <cell r="B434" t="str">
            <v>2.1.1.04.0223</v>
          </cell>
          <cell r="C434" t="str">
            <v>04918514/0001-81</v>
          </cell>
          <cell r="D434" t="str">
            <v>MAPH - AUDITORIA E ASSESSORIA LTDA</v>
          </cell>
          <cell r="E434" t="str">
            <v>A</v>
          </cell>
          <cell r="H434" t="str">
            <v>N/A</v>
          </cell>
          <cell r="I434">
            <v>500001</v>
          </cell>
          <cell r="J434" t="str">
            <v>Fornecedores</v>
          </cell>
          <cell r="K434">
            <v>600017</v>
          </cell>
          <cell r="L434">
            <v>-1</v>
          </cell>
        </row>
        <row r="435">
          <cell r="B435" t="str">
            <v>2.1.1.04.0224</v>
          </cell>
          <cell r="C435" t="str">
            <v>07544975/0001-20</v>
          </cell>
          <cell r="D435" t="str">
            <v>LUROVA AUTOMACAO INDUSTRIAL  E COME LTDA</v>
          </cell>
          <cell r="E435" t="str">
            <v>A</v>
          </cell>
          <cell r="H435" t="str">
            <v>N/A</v>
          </cell>
          <cell r="I435">
            <v>500001</v>
          </cell>
          <cell r="J435" t="str">
            <v>Fornecedores</v>
          </cell>
          <cell r="K435">
            <v>600017</v>
          </cell>
          <cell r="L435">
            <v>-1</v>
          </cell>
        </row>
        <row r="436">
          <cell r="B436" t="str">
            <v>2.1.1.04.0225</v>
          </cell>
          <cell r="C436" t="str">
            <v>06939256/0001-45</v>
          </cell>
          <cell r="D436" t="str">
            <v>AUGE EVENTOS E AUDIOVISUAL</v>
          </cell>
          <cell r="E436" t="str">
            <v>A</v>
          </cell>
          <cell r="H436" t="str">
            <v>N/A</v>
          </cell>
          <cell r="I436">
            <v>500001</v>
          </cell>
          <cell r="J436" t="str">
            <v>Fornecedores</v>
          </cell>
          <cell r="K436">
            <v>600017</v>
          </cell>
          <cell r="L436">
            <v>-1</v>
          </cell>
        </row>
        <row r="437">
          <cell r="B437" t="str">
            <v>2.1.1.04.0226</v>
          </cell>
          <cell r="C437" t="str">
            <v>13439080/0001-28</v>
          </cell>
          <cell r="D437" t="str">
            <v>JDG SERRALHERIA VIDRACARIA E SERV LTDA</v>
          </cell>
          <cell r="E437" t="str">
            <v>A</v>
          </cell>
          <cell r="H437" t="str">
            <v>N/A</v>
          </cell>
          <cell r="I437">
            <v>500001</v>
          </cell>
          <cell r="J437" t="str">
            <v>Fornecedores</v>
          </cell>
          <cell r="K437">
            <v>600017</v>
          </cell>
          <cell r="L437">
            <v>-1</v>
          </cell>
        </row>
        <row r="438">
          <cell r="B438" t="str">
            <v>2.1.1.04.0227</v>
          </cell>
          <cell r="C438" t="str">
            <v>00572914/0001-27</v>
          </cell>
          <cell r="D438" t="str">
            <v>CENTRAL POINT COMERCIO E SERV LTDA</v>
          </cell>
          <cell r="E438" t="str">
            <v>A</v>
          </cell>
          <cell r="H438" t="str">
            <v>N/A</v>
          </cell>
          <cell r="I438">
            <v>500001</v>
          </cell>
          <cell r="J438" t="str">
            <v>Fornecedores</v>
          </cell>
          <cell r="K438">
            <v>600017</v>
          </cell>
          <cell r="L438">
            <v>-1</v>
          </cell>
        </row>
        <row r="439">
          <cell r="B439" t="str">
            <v>2.1.1.04.0228</v>
          </cell>
          <cell r="C439" t="str">
            <v>07316919/0001-38</v>
          </cell>
          <cell r="D439" t="str">
            <v>GOVERNET EDITORA LTDA</v>
          </cell>
          <cell r="E439" t="str">
            <v>A</v>
          </cell>
          <cell r="H439" t="str">
            <v>N/A</v>
          </cell>
          <cell r="I439">
            <v>500001</v>
          </cell>
          <cell r="J439" t="str">
            <v>Fornecedores</v>
          </cell>
          <cell r="K439">
            <v>600017</v>
          </cell>
          <cell r="L439">
            <v>-1</v>
          </cell>
        </row>
        <row r="440">
          <cell r="B440" t="str">
            <v>2.1.1.04.0229</v>
          </cell>
          <cell r="C440" t="str">
            <v>09663019/0001-92</v>
          </cell>
          <cell r="D440" t="str">
            <v>GBR CONSULTORIA ECONOMICA S/S LTDA</v>
          </cell>
          <cell r="E440" t="str">
            <v>A</v>
          </cell>
          <cell r="H440" t="str">
            <v>N/A</v>
          </cell>
          <cell r="I440">
            <v>500001</v>
          </cell>
          <cell r="J440" t="str">
            <v>Fornecedores</v>
          </cell>
          <cell r="K440">
            <v>600017</v>
          </cell>
          <cell r="L440">
            <v>-1</v>
          </cell>
        </row>
        <row r="441">
          <cell r="B441" t="str">
            <v>2.1.1.04.0230</v>
          </cell>
          <cell r="C441" t="str">
            <v>03662199/0001-01</v>
          </cell>
          <cell r="D441" t="str">
            <v>BACHIANA POLIS PRODUCOES LTDA</v>
          </cell>
          <cell r="E441" t="str">
            <v>A</v>
          </cell>
          <cell r="H441" t="str">
            <v>N/A</v>
          </cell>
          <cell r="I441">
            <v>500001</v>
          </cell>
          <cell r="J441" t="str">
            <v>Fornecedores</v>
          </cell>
          <cell r="K441">
            <v>600017</v>
          </cell>
          <cell r="L441">
            <v>-1</v>
          </cell>
        </row>
        <row r="442">
          <cell r="B442" t="str">
            <v>2.1.1.04.0231</v>
          </cell>
          <cell r="C442" t="str">
            <v>51978633/0001-00</v>
          </cell>
          <cell r="D442" t="str">
            <v>SEMINARIOS ADUANEIRAS SOCIEDADE SIMPLES</v>
          </cell>
          <cell r="E442" t="str">
            <v>A</v>
          </cell>
          <cell r="H442" t="str">
            <v>N/A</v>
          </cell>
          <cell r="I442">
            <v>500001</v>
          </cell>
          <cell r="J442" t="str">
            <v>Fornecedores</v>
          </cell>
          <cell r="K442">
            <v>600017</v>
          </cell>
          <cell r="L442">
            <v>-1</v>
          </cell>
        </row>
        <row r="443">
          <cell r="B443" t="str">
            <v>2.1.1.04.0232</v>
          </cell>
          <cell r="C443" t="str">
            <v>00001172/0001-80</v>
          </cell>
          <cell r="D443" t="str">
            <v>S/A CORREIO BRAZILIENSE</v>
          </cell>
          <cell r="E443" t="str">
            <v>A</v>
          </cell>
          <cell r="H443" t="str">
            <v>N/A</v>
          </cell>
          <cell r="I443">
            <v>500001</v>
          </cell>
          <cell r="J443" t="str">
            <v>Fornecedores</v>
          </cell>
          <cell r="K443">
            <v>600017</v>
          </cell>
          <cell r="L443">
            <v>-1</v>
          </cell>
        </row>
        <row r="444">
          <cell r="B444" t="str">
            <v>2.1.1.04.0233</v>
          </cell>
          <cell r="C444" t="str">
            <v>02537929/0001-80</v>
          </cell>
          <cell r="D444" t="str">
            <v>EIBSNET TREINAMENTO EM INFORMATICA</v>
          </cell>
          <cell r="E444" t="str">
            <v>A</v>
          </cell>
          <cell r="H444" t="str">
            <v>N/A</v>
          </cell>
          <cell r="I444">
            <v>500001</v>
          </cell>
          <cell r="J444" t="str">
            <v>Fornecedores</v>
          </cell>
          <cell r="K444">
            <v>600017</v>
          </cell>
          <cell r="L444">
            <v>-1</v>
          </cell>
        </row>
        <row r="445">
          <cell r="B445" t="str">
            <v>2.1.1.04.0234</v>
          </cell>
          <cell r="C445" t="str">
            <v>02309061/0001-60</v>
          </cell>
          <cell r="D445" t="str">
            <v>BARBOSA E BARBOSA ENGENHARIA ELE LTDA</v>
          </cell>
          <cell r="E445" t="str">
            <v>A</v>
          </cell>
          <cell r="H445" t="str">
            <v>N/A</v>
          </cell>
          <cell r="I445">
            <v>500001</v>
          </cell>
          <cell r="J445" t="str">
            <v>Fornecedores</v>
          </cell>
          <cell r="K445">
            <v>600017</v>
          </cell>
          <cell r="L445">
            <v>-1</v>
          </cell>
        </row>
        <row r="446">
          <cell r="B446" t="str">
            <v>2.1.1.04.0235</v>
          </cell>
          <cell r="C446" t="str">
            <v>01998348/0001-82</v>
          </cell>
          <cell r="D446" t="str">
            <v>BENICIO BIZ EDITORES ASSOCIADOS LTDA</v>
          </cell>
          <cell r="E446" t="str">
            <v>A</v>
          </cell>
          <cell r="H446" t="str">
            <v>N/A</v>
          </cell>
          <cell r="I446">
            <v>500001</v>
          </cell>
          <cell r="J446" t="str">
            <v>Fornecedores</v>
          </cell>
          <cell r="K446">
            <v>600017</v>
          </cell>
          <cell r="L446">
            <v>-1</v>
          </cell>
        </row>
        <row r="447">
          <cell r="B447" t="str">
            <v>2.1.1.04.0236</v>
          </cell>
          <cell r="C447" t="str">
            <v>10762976/0001-55</v>
          </cell>
          <cell r="D447" t="str">
            <v>MINUTA COMUNICACAO LTDA - ME</v>
          </cell>
          <cell r="E447" t="str">
            <v>A</v>
          </cell>
          <cell r="H447" t="str">
            <v>N/A</v>
          </cell>
          <cell r="I447">
            <v>500001</v>
          </cell>
          <cell r="J447" t="str">
            <v>Fornecedores</v>
          </cell>
          <cell r="K447">
            <v>600017</v>
          </cell>
          <cell r="L447">
            <v>-1</v>
          </cell>
        </row>
        <row r="448">
          <cell r="B448" t="str">
            <v>2.1.1.04.0237</v>
          </cell>
          <cell r="C448" t="str">
            <v>05154259/0001-00</v>
          </cell>
          <cell r="D448" t="str">
            <v>2M DESIGN LTDA</v>
          </cell>
          <cell r="E448" t="str">
            <v>A</v>
          </cell>
          <cell r="H448" t="str">
            <v>N/A</v>
          </cell>
          <cell r="I448">
            <v>500001</v>
          </cell>
          <cell r="J448" t="str">
            <v>Fornecedores</v>
          </cell>
          <cell r="K448">
            <v>600017</v>
          </cell>
          <cell r="L448">
            <v>-1</v>
          </cell>
        </row>
        <row r="449">
          <cell r="B449" t="str">
            <v>2.1.1.04.0238</v>
          </cell>
          <cell r="C449" t="str">
            <v>04358563/0001-07</v>
          </cell>
          <cell r="D449" t="str">
            <v>NEOTROPICAL CONSUL. E ASSESS. AMB. LTDA</v>
          </cell>
          <cell r="E449" t="str">
            <v>A</v>
          </cell>
          <cell r="H449" t="str">
            <v>N/A</v>
          </cell>
          <cell r="I449">
            <v>500001</v>
          </cell>
          <cell r="J449" t="str">
            <v>Fornecedores</v>
          </cell>
          <cell r="K449">
            <v>600017</v>
          </cell>
          <cell r="L449">
            <v>-1</v>
          </cell>
        </row>
        <row r="450">
          <cell r="B450" t="str">
            <v>2.1.1.04.0239</v>
          </cell>
          <cell r="C450" t="str">
            <v>40401341/0001-93</v>
          </cell>
          <cell r="D450" t="str">
            <v>HIDROFIRE COM DE MAT CONT INCENDIO LTDA</v>
          </cell>
          <cell r="E450" t="str">
            <v>A</v>
          </cell>
          <cell r="H450" t="str">
            <v>N/A</v>
          </cell>
          <cell r="I450">
            <v>500001</v>
          </cell>
          <cell r="J450" t="str">
            <v>Fornecedores</v>
          </cell>
          <cell r="K450">
            <v>600017</v>
          </cell>
          <cell r="L450">
            <v>-1</v>
          </cell>
        </row>
        <row r="451">
          <cell r="B451" t="str">
            <v>2.1.1.04.0240</v>
          </cell>
          <cell r="C451" t="str">
            <v>28912970/0001-82</v>
          </cell>
          <cell r="D451" t="str">
            <v>ADEMIR DE OLIVEIRA TEIXEIRA</v>
          </cell>
          <cell r="E451" t="str">
            <v>A</v>
          </cell>
          <cell r="H451" t="str">
            <v>N/A</v>
          </cell>
          <cell r="I451">
            <v>500001</v>
          </cell>
          <cell r="J451" t="str">
            <v>Fornecedores</v>
          </cell>
          <cell r="K451">
            <v>600017</v>
          </cell>
          <cell r="L451">
            <v>-1</v>
          </cell>
        </row>
        <row r="452">
          <cell r="B452" t="str">
            <v>2.1.1.04.0241</v>
          </cell>
          <cell r="C452" t="str">
            <v>10933120/0001-03</v>
          </cell>
          <cell r="D452" t="str">
            <v>ATOL CONSULTORIA AMBIENTAL LTDA</v>
          </cell>
          <cell r="E452" t="str">
            <v>A</v>
          </cell>
          <cell r="H452" t="str">
            <v>N/A</v>
          </cell>
          <cell r="I452">
            <v>500001</v>
          </cell>
          <cell r="J452" t="str">
            <v>Fornecedores</v>
          </cell>
          <cell r="K452">
            <v>600017</v>
          </cell>
          <cell r="L452">
            <v>-1</v>
          </cell>
        </row>
        <row r="453">
          <cell r="B453" t="str">
            <v>2.1.1.04.0242</v>
          </cell>
          <cell r="C453" t="str">
            <v>04724924/0001-91</v>
          </cell>
          <cell r="D453" t="str">
            <v>ACTIVEWEB TECHNOLOGIES INFORMATICA LTDA</v>
          </cell>
          <cell r="E453" t="str">
            <v>A</v>
          </cell>
          <cell r="H453" t="str">
            <v>N/A</v>
          </cell>
          <cell r="I453">
            <v>500001</v>
          </cell>
          <cell r="J453" t="str">
            <v>Fornecedores</v>
          </cell>
          <cell r="K453">
            <v>600017</v>
          </cell>
          <cell r="L453">
            <v>-1</v>
          </cell>
        </row>
        <row r="454">
          <cell r="B454" t="str">
            <v>2.1.1.04.0243</v>
          </cell>
          <cell r="C454" t="str">
            <v>33573791/0001-06</v>
          </cell>
          <cell r="D454" t="str">
            <v>CAMARA DE COMERCIO AMER. PARA O BRASIL</v>
          </cell>
          <cell r="E454" t="str">
            <v>A</v>
          </cell>
          <cell r="H454" t="str">
            <v>N/A</v>
          </cell>
          <cell r="I454">
            <v>500001</v>
          </cell>
          <cell r="J454" t="str">
            <v>Fornecedores</v>
          </cell>
          <cell r="K454">
            <v>600017</v>
          </cell>
          <cell r="L454">
            <v>-1</v>
          </cell>
        </row>
        <row r="455">
          <cell r="B455" t="str">
            <v>2.1.1.04.0244</v>
          </cell>
          <cell r="C455" t="str">
            <v>50827039/0001-55</v>
          </cell>
          <cell r="D455" t="str">
            <v>ANTHROPOS CONSULTING LTDA</v>
          </cell>
          <cell r="E455" t="str">
            <v>A</v>
          </cell>
          <cell r="H455" t="str">
            <v>N/A</v>
          </cell>
          <cell r="I455">
            <v>500001</v>
          </cell>
          <cell r="J455" t="str">
            <v>Fornecedores</v>
          </cell>
          <cell r="K455">
            <v>600017</v>
          </cell>
          <cell r="L455">
            <v>-1</v>
          </cell>
        </row>
        <row r="456">
          <cell r="B456" t="str">
            <v>2.1.1.04.0245</v>
          </cell>
          <cell r="C456" t="str">
            <v>07774090/0001-17</v>
          </cell>
          <cell r="D456" t="str">
            <v>ESCOLA DE NEG CONEX EDUC EMPRES LTDA</v>
          </cell>
          <cell r="E456" t="str">
            <v>A</v>
          </cell>
          <cell r="H456" t="str">
            <v>N/A</v>
          </cell>
          <cell r="I456">
            <v>500001</v>
          </cell>
          <cell r="J456" t="str">
            <v>Fornecedores</v>
          </cell>
          <cell r="K456">
            <v>600017</v>
          </cell>
          <cell r="L456">
            <v>-1</v>
          </cell>
        </row>
        <row r="457">
          <cell r="B457" t="str">
            <v>2.1.1.04.0246</v>
          </cell>
          <cell r="C457" t="str">
            <v>42569459/0001-50</v>
          </cell>
          <cell r="D457" t="str">
            <v>ORG BRANCO DE MAQ E EQUIP LTDA - OBM</v>
          </cell>
          <cell r="E457" t="str">
            <v>A</v>
          </cell>
          <cell r="H457" t="str">
            <v>N/A</v>
          </cell>
          <cell r="I457">
            <v>500001</v>
          </cell>
          <cell r="J457" t="str">
            <v>Fornecedores</v>
          </cell>
          <cell r="K457">
            <v>600017</v>
          </cell>
          <cell r="L457">
            <v>-1</v>
          </cell>
        </row>
        <row r="458">
          <cell r="B458" t="str">
            <v>2.1.1.04.0247</v>
          </cell>
          <cell r="C458" t="str">
            <v>09240519/0001-11</v>
          </cell>
          <cell r="D458" t="str">
            <v>TARGETWARE INFORMATICA LTDA</v>
          </cell>
          <cell r="E458" t="str">
            <v>A</v>
          </cell>
          <cell r="H458" t="str">
            <v>N/A</v>
          </cell>
          <cell r="I458">
            <v>500001</v>
          </cell>
          <cell r="J458" t="str">
            <v>Fornecedores</v>
          </cell>
          <cell r="K458">
            <v>600017</v>
          </cell>
          <cell r="L458">
            <v>-1</v>
          </cell>
        </row>
        <row r="459">
          <cell r="B459" t="str">
            <v>2.1.1.04.0248</v>
          </cell>
          <cell r="C459" t="str">
            <v>39092598/0001-21</v>
          </cell>
          <cell r="D459" t="str">
            <v>BAKTRON MICROBIOLOGICA LTDA</v>
          </cell>
          <cell r="E459" t="str">
            <v>A</v>
          </cell>
          <cell r="H459" t="str">
            <v>N/A</v>
          </cell>
          <cell r="I459">
            <v>500001</v>
          </cell>
          <cell r="J459" t="str">
            <v>Fornecedores</v>
          </cell>
          <cell r="K459">
            <v>600017</v>
          </cell>
          <cell r="L459">
            <v>-1</v>
          </cell>
        </row>
        <row r="460">
          <cell r="B460" t="str">
            <v>2.1.1.04.0249</v>
          </cell>
          <cell r="C460" t="str">
            <v>66582784/0001-11</v>
          </cell>
          <cell r="D460" t="str">
            <v>MAPDATA TECNOLOGIA, INFOR. COMERCIO LTDA</v>
          </cell>
          <cell r="E460" t="str">
            <v>A</v>
          </cell>
          <cell r="H460" t="str">
            <v>N/A</v>
          </cell>
          <cell r="I460">
            <v>500001</v>
          </cell>
          <cell r="J460" t="str">
            <v>Fornecedores</v>
          </cell>
          <cell r="K460">
            <v>600017</v>
          </cell>
          <cell r="L460">
            <v>-1</v>
          </cell>
        </row>
        <row r="461">
          <cell r="B461" t="str">
            <v>2.1.1.04.0250</v>
          </cell>
          <cell r="C461" t="str">
            <v>07268152/0001-09</v>
          </cell>
          <cell r="D461" t="str">
            <v>VSDATA COMERCIAL DE INF. LTDA</v>
          </cell>
          <cell r="E461" t="str">
            <v>A</v>
          </cell>
          <cell r="H461" t="str">
            <v>N/A</v>
          </cell>
          <cell r="I461">
            <v>500001</v>
          </cell>
          <cell r="J461" t="str">
            <v>Fornecedores</v>
          </cell>
          <cell r="K461">
            <v>600017</v>
          </cell>
          <cell r="L461">
            <v>-1</v>
          </cell>
        </row>
        <row r="462">
          <cell r="B462" t="str">
            <v>2.1.1.04.0251</v>
          </cell>
          <cell r="C462" t="str">
            <v>11563387/0001-00</v>
          </cell>
          <cell r="D462" t="str">
            <v>EDER DE SOUZA CAVALHEIRO ME</v>
          </cell>
          <cell r="E462" t="str">
            <v>A</v>
          </cell>
          <cell r="H462" t="str">
            <v>N/A</v>
          </cell>
          <cell r="I462">
            <v>500001</v>
          </cell>
          <cell r="J462" t="str">
            <v>Fornecedores</v>
          </cell>
          <cell r="K462">
            <v>600017</v>
          </cell>
          <cell r="L462">
            <v>-1</v>
          </cell>
        </row>
        <row r="463">
          <cell r="B463" t="str">
            <v>2.1.1.04.0252</v>
          </cell>
          <cell r="C463" t="str">
            <v>05347213/0001-08</v>
          </cell>
          <cell r="D463" t="str">
            <v>HSRNET INFORMATICA LTDA</v>
          </cell>
          <cell r="E463" t="str">
            <v>A</v>
          </cell>
          <cell r="H463" t="str">
            <v>N/A</v>
          </cell>
          <cell r="I463">
            <v>500001</v>
          </cell>
          <cell r="J463" t="str">
            <v>Fornecedores</v>
          </cell>
          <cell r="K463">
            <v>600017</v>
          </cell>
          <cell r="L463">
            <v>-1</v>
          </cell>
        </row>
        <row r="464">
          <cell r="B464" t="str">
            <v>2.1.1.04.0253</v>
          </cell>
          <cell r="C464" t="str">
            <v>11329948/0001-01</v>
          </cell>
          <cell r="D464" t="str">
            <v>SANET COMERCIO E SERV. INFOR. LTDA EPP</v>
          </cell>
          <cell r="E464" t="str">
            <v>A</v>
          </cell>
          <cell r="H464" t="str">
            <v>N/A</v>
          </cell>
          <cell r="I464">
            <v>500001</v>
          </cell>
          <cell r="J464" t="str">
            <v>Fornecedores</v>
          </cell>
          <cell r="K464">
            <v>600017</v>
          </cell>
          <cell r="L464">
            <v>-1</v>
          </cell>
        </row>
        <row r="465">
          <cell r="B465" t="str">
            <v>2.1.1.04.0254</v>
          </cell>
          <cell r="C465" t="str">
            <v>01178068/0001-28</v>
          </cell>
          <cell r="D465" t="str">
            <v>ASSOCIACAO BRAS. DE GEOLOGOS DE PETROLEO</v>
          </cell>
          <cell r="E465" t="str">
            <v>A</v>
          </cell>
          <cell r="H465" t="str">
            <v>N/A</v>
          </cell>
          <cell r="I465">
            <v>500001</v>
          </cell>
          <cell r="J465" t="str">
            <v>Fornecedores</v>
          </cell>
          <cell r="K465">
            <v>600017</v>
          </cell>
          <cell r="L465">
            <v>-1</v>
          </cell>
        </row>
        <row r="466">
          <cell r="B466" t="str">
            <v>2.1.1.04.0255</v>
          </cell>
          <cell r="C466" t="str">
            <v>05310737/0001-24</v>
          </cell>
          <cell r="D466" t="str">
            <v>IRJR PRINT CARTUCHOS E SERVICOS LTDA</v>
          </cell>
          <cell r="E466" t="str">
            <v>A</v>
          </cell>
          <cell r="H466" t="str">
            <v>N/A</v>
          </cell>
          <cell r="I466">
            <v>500001</v>
          </cell>
          <cell r="J466" t="str">
            <v>Fornecedores</v>
          </cell>
          <cell r="K466">
            <v>600017</v>
          </cell>
          <cell r="L466">
            <v>-1</v>
          </cell>
        </row>
        <row r="467">
          <cell r="B467" t="str">
            <v>2.1.1.04.0256</v>
          </cell>
          <cell r="C467" t="str">
            <v>13200172/0001-50</v>
          </cell>
          <cell r="D467" t="str">
            <v>SHALLON INST. DE DRY WAL E PERSIANA LTDA</v>
          </cell>
          <cell r="E467" t="str">
            <v>A</v>
          </cell>
          <cell r="H467" t="str">
            <v>N/A</v>
          </cell>
          <cell r="I467">
            <v>500001</v>
          </cell>
          <cell r="J467" t="str">
            <v>Fornecedores</v>
          </cell>
          <cell r="K467">
            <v>600017</v>
          </cell>
          <cell r="L467">
            <v>-1</v>
          </cell>
        </row>
        <row r="468">
          <cell r="B468" t="str">
            <v>2.1.1.04.0257</v>
          </cell>
          <cell r="C468" t="str">
            <v>07998546/0001-22</v>
          </cell>
          <cell r="D468" t="str">
            <v>UNIVERSO DO SOM ELET. LTDA - NALUBEL</v>
          </cell>
          <cell r="E468" t="str">
            <v>A</v>
          </cell>
          <cell r="H468" t="str">
            <v>N/A</v>
          </cell>
          <cell r="I468">
            <v>500001</v>
          </cell>
          <cell r="J468" t="str">
            <v>Fornecedores</v>
          </cell>
          <cell r="K468">
            <v>600017</v>
          </cell>
          <cell r="L468">
            <v>-1</v>
          </cell>
        </row>
        <row r="469">
          <cell r="B469" t="str">
            <v>2.1.1.04.0258</v>
          </cell>
          <cell r="C469" t="str">
            <v>38066296/0001-16</v>
          </cell>
          <cell r="D469" t="str">
            <v>CRISTINA ROBERTO BUFFET PROD CULT. LTDA</v>
          </cell>
          <cell r="E469" t="str">
            <v>A</v>
          </cell>
          <cell r="H469" t="str">
            <v>N/A</v>
          </cell>
          <cell r="I469">
            <v>500001</v>
          </cell>
          <cell r="J469" t="str">
            <v>Fornecedores</v>
          </cell>
          <cell r="K469">
            <v>600017</v>
          </cell>
          <cell r="L469">
            <v>-1</v>
          </cell>
        </row>
        <row r="470">
          <cell r="B470" t="str">
            <v>2.1.1.04.0259</v>
          </cell>
          <cell r="C470" t="str">
            <v>127.091.159-72</v>
          </cell>
          <cell r="D470" t="str">
            <v>ALUGUEL - ROBERTO DORNER</v>
          </cell>
          <cell r="E470" t="str">
            <v>A</v>
          </cell>
          <cell r="H470" t="str">
            <v>N/A</v>
          </cell>
          <cell r="I470">
            <v>500001</v>
          </cell>
          <cell r="J470" t="str">
            <v>Fornecedores</v>
          </cell>
          <cell r="K470">
            <v>600017</v>
          </cell>
          <cell r="L470">
            <v>-1</v>
          </cell>
        </row>
        <row r="471">
          <cell r="B471" t="str">
            <v>2.1.1.04.0260</v>
          </cell>
          <cell r="C471" t="str">
            <v>04637111/0001-64</v>
          </cell>
          <cell r="D471" t="str">
            <v>MCPAR ENGEN. COMER. E SERV LTDA</v>
          </cell>
          <cell r="E471" t="str">
            <v>A</v>
          </cell>
          <cell r="H471" t="str">
            <v>N/A</v>
          </cell>
          <cell r="I471">
            <v>500001</v>
          </cell>
          <cell r="J471" t="str">
            <v>Fornecedores</v>
          </cell>
          <cell r="K471">
            <v>600017</v>
          </cell>
          <cell r="L471">
            <v>-1</v>
          </cell>
        </row>
        <row r="472">
          <cell r="B472" t="str">
            <v>2.1.1.04.0261</v>
          </cell>
          <cell r="C472" t="str">
            <v>11662976/0001-46</v>
          </cell>
          <cell r="D472" t="str">
            <v>F CARDOSO SERV DE INFORMAÇÃO LTDA ME</v>
          </cell>
          <cell r="E472" t="str">
            <v>A</v>
          </cell>
          <cell r="H472" t="str">
            <v>N/A</v>
          </cell>
          <cell r="I472">
            <v>500001</v>
          </cell>
          <cell r="J472" t="str">
            <v>Fornecedores</v>
          </cell>
          <cell r="K472">
            <v>600017</v>
          </cell>
          <cell r="L472">
            <v>-1</v>
          </cell>
        </row>
        <row r="473">
          <cell r="B473" t="str">
            <v>2.1.1.04.0262</v>
          </cell>
          <cell r="C473" t="str">
            <v>33787094/0001-40</v>
          </cell>
          <cell r="D473" t="str">
            <v>IBGE - INST. BRASI. DE GEO E ESTA.</v>
          </cell>
          <cell r="E473" t="str">
            <v>A</v>
          </cell>
          <cell r="H473" t="str">
            <v>N/A</v>
          </cell>
          <cell r="I473">
            <v>500001</v>
          </cell>
          <cell r="J473" t="str">
            <v>Fornecedores</v>
          </cell>
          <cell r="K473">
            <v>600017</v>
          </cell>
          <cell r="L473">
            <v>-1</v>
          </cell>
        </row>
        <row r="474">
          <cell r="B474" t="str">
            <v>2.1.1.04.0263</v>
          </cell>
          <cell r="C474" t="str">
            <v>31925530/0001-74</v>
          </cell>
          <cell r="D474" t="str">
            <v>SHAFT CONSULTORIA LTDA</v>
          </cell>
          <cell r="E474" t="str">
            <v>A</v>
          </cell>
          <cell r="H474" t="str">
            <v>N/A</v>
          </cell>
          <cell r="I474">
            <v>500001</v>
          </cell>
          <cell r="J474" t="str">
            <v>Fornecedores</v>
          </cell>
          <cell r="K474">
            <v>600017</v>
          </cell>
          <cell r="L474">
            <v>-1</v>
          </cell>
        </row>
        <row r="475">
          <cell r="B475" t="str">
            <v>2.1.1.04.0264</v>
          </cell>
          <cell r="C475" t="str">
            <v>06975694/0001-69</v>
          </cell>
          <cell r="D475" t="str">
            <v>ATM SIST. ENERG. INFOR. LTDA</v>
          </cell>
          <cell r="E475" t="str">
            <v>A</v>
          </cell>
          <cell r="H475" t="str">
            <v>N/A</v>
          </cell>
          <cell r="I475">
            <v>500001</v>
          </cell>
          <cell r="J475" t="str">
            <v>Fornecedores</v>
          </cell>
          <cell r="K475">
            <v>600017</v>
          </cell>
          <cell r="L475">
            <v>-1</v>
          </cell>
        </row>
        <row r="476">
          <cell r="B476" t="str">
            <v>2.1.1.04.0265</v>
          </cell>
          <cell r="C476" t="str">
            <v>02309990/0001-70</v>
          </cell>
          <cell r="D476" t="str">
            <v>AZEVEDO E LUZ COMER. E SERV DE INFO. S/A</v>
          </cell>
          <cell r="E476" t="str">
            <v>A</v>
          </cell>
          <cell r="H476" t="str">
            <v>N/A</v>
          </cell>
          <cell r="I476">
            <v>500001</v>
          </cell>
          <cell r="J476" t="str">
            <v>Fornecedores</v>
          </cell>
          <cell r="K476">
            <v>600017</v>
          </cell>
          <cell r="L476">
            <v>-1</v>
          </cell>
        </row>
        <row r="477">
          <cell r="B477" t="str">
            <v>2.1.1.04.0266</v>
          </cell>
          <cell r="C477" t="str">
            <v>08819627/0001-80</v>
          </cell>
          <cell r="D477" t="str">
            <v>DOMINIO CONTABILIDADE LTDA</v>
          </cell>
          <cell r="E477" t="str">
            <v>A</v>
          </cell>
          <cell r="H477" t="str">
            <v>N/A</v>
          </cell>
          <cell r="I477">
            <v>500001</v>
          </cell>
          <cell r="J477" t="str">
            <v>Fornecedores</v>
          </cell>
          <cell r="K477">
            <v>600017</v>
          </cell>
          <cell r="L477">
            <v>-1</v>
          </cell>
        </row>
        <row r="478">
          <cell r="B478" t="str">
            <v>2.1.1.04.0267</v>
          </cell>
          <cell r="C478" t="str">
            <v>12347988/0001-49</v>
          </cell>
          <cell r="D478" t="str">
            <v>4Q TELECOMUNICACOES E MULTIMIDIA LTDA</v>
          </cell>
          <cell r="E478" t="str">
            <v>A</v>
          </cell>
          <cell r="H478" t="str">
            <v>N/A</v>
          </cell>
          <cell r="I478">
            <v>500001</v>
          </cell>
          <cell r="J478" t="str">
            <v>Fornecedores</v>
          </cell>
          <cell r="K478">
            <v>600017</v>
          </cell>
          <cell r="L478">
            <v>-1</v>
          </cell>
        </row>
        <row r="479">
          <cell r="B479" t="str">
            <v>2.1.1.04.0268</v>
          </cell>
          <cell r="C479" t="str">
            <v>10484330/0001-53</v>
          </cell>
          <cell r="D479" t="str">
            <v>LOC MASTER AUTO LOCACAO LTDA</v>
          </cell>
          <cell r="E479" t="str">
            <v>A</v>
          </cell>
          <cell r="H479" t="str">
            <v>N/A</v>
          </cell>
          <cell r="I479">
            <v>500001</v>
          </cell>
          <cell r="J479" t="str">
            <v>Fornecedores</v>
          </cell>
          <cell r="K479">
            <v>600017</v>
          </cell>
          <cell r="L479">
            <v>-1</v>
          </cell>
        </row>
        <row r="480">
          <cell r="B480" t="str">
            <v>2.1.1.04.0269</v>
          </cell>
          <cell r="C480" t="str">
            <v>33183724/0001-77</v>
          </cell>
          <cell r="D480" t="str">
            <v>MODERNOS HOTEIS DO BRASIL LTDA</v>
          </cell>
          <cell r="E480" t="str">
            <v>A</v>
          </cell>
          <cell r="H480" t="str">
            <v>N/A</v>
          </cell>
          <cell r="I480">
            <v>500001</v>
          </cell>
          <cell r="J480" t="str">
            <v>Fornecedores</v>
          </cell>
          <cell r="K480">
            <v>600017</v>
          </cell>
          <cell r="L480">
            <v>-1</v>
          </cell>
        </row>
        <row r="481">
          <cell r="B481" t="str">
            <v>2.1.1.04.0270</v>
          </cell>
          <cell r="C481" t="str">
            <v>14294521/0001-03</v>
          </cell>
          <cell r="D481" t="str">
            <v>TOTAL FILM RJ INST. DE PELICULAS LTDA</v>
          </cell>
          <cell r="E481" t="str">
            <v>A</v>
          </cell>
          <cell r="H481" t="str">
            <v>N/A</v>
          </cell>
          <cell r="I481">
            <v>500001</v>
          </cell>
          <cell r="J481" t="str">
            <v>Fornecedores</v>
          </cell>
          <cell r="K481">
            <v>600017</v>
          </cell>
          <cell r="L481">
            <v>-1</v>
          </cell>
        </row>
        <row r="482">
          <cell r="B482" t="str">
            <v>2.1.1.04.0271</v>
          </cell>
          <cell r="C482" t="str">
            <v>09323210/0001-95</v>
          </cell>
          <cell r="D482" t="str">
            <v>BRAGA E NOVAES LOC. DE VEIC. LTDA</v>
          </cell>
          <cell r="E482" t="str">
            <v>A</v>
          </cell>
          <cell r="H482" t="str">
            <v>N/A</v>
          </cell>
          <cell r="I482">
            <v>500001</v>
          </cell>
          <cell r="J482" t="str">
            <v>Fornecedores</v>
          </cell>
          <cell r="K482">
            <v>600017</v>
          </cell>
          <cell r="L482">
            <v>-1</v>
          </cell>
        </row>
        <row r="483">
          <cell r="B483" t="str">
            <v>2.1.1.04.0272</v>
          </cell>
          <cell r="C483" t="str">
            <v>02558157/0014-87</v>
          </cell>
          <cell r="D483" t="str">
            <v>TELEFONICA BRASIL S.A.</v>
          </cell>
          <cell r="E483" t="str">
            <v>A</v>
          </cell>
          <cell r="H483" t="str">
            <v>N/A</v>
          </cell>
          <cell r="I483">
            <v>500001</v>
          </cell>
          <cell r="J483" t="str">
            <v>Fornecedores</v>
          </cell>
          <cell r="K483">
            <v>600017</v>
          </cell>
          <cell r="L483">
            <v>-1</v>
          </cell>
        </row>
        <row r="484">
          <cell r="B484" t="str">
            <v>2.1.1.04.0273</v>
          </cell>
          <cell r="C484" t="str">
            <v>03873788/0001-39</v>
          </cell>
          <cell r="D484" t="str">
            <v>CANDELABRUS FESTAS LTDA - VIRGINIA D'ARC</v>
          </cell>
          <cell r="E484" t="str">
            <v>A</v>
          </cell>
          <cell r="H484" t="str">
            <v>N/A</v>
          </cell>
          <cell r="I484">
            <v>500001</v>
          </cell>
          <cell r="J484" t="str">
            <v>Fornecedores</v>
          </cell>
          <cell r="K484">
            <v>600017</v>
          </cell>
          <cell r="L484">
            <v>-1</v>
          </cell>
        </row>
        <row r="485">
          <cell r="B485" t="str">
            <v>2.1.1.04.0274</v>
          </cell>
          <cell r="C485" t="str">
            <v>39074190/0006-31</v>
          </cell>
          <cell r="D485" t="str">
            <v>LE TOUR PROD. ALIMENTICIOS LTDA</v>
          </cell>
          <cell r="E485" t="str">
            <v>A</v>
          </cell>
          <cell r="H485" t="str">
            <v>N/A</v>
          </cell>
          <cell r="I485">
            <v>500001</v>
          </cell>
          <cell r="J485" t="str">
            <v>Fornecedores</v>
          </cell>
          <cell r="K485">
            <v>600017</v>
          </cell>
          <cell r="L485">
            <v>-1</v>
          </cell>
        </row>
        <row r="486">
          <cell r="B486" t="str">
            <v>2.1.1.04.0275</v>
          </cell>
          <cell r="C486" t="str">
            <v>03025227/0001-80</v>
          </cell>
          <cell r="D486" t="str">
            <v>I C NASSER E CIA LTDA</v>
          </cell>
          <cell r="E486" t="str">
            <v>A</v>
          </cell>
          <cell r="H486" t="str">
            <v>N/A</v>
          </cell>
          <cell r="I486">
            <v>500001</v>
          </cell>
          <cell r="J486" t="str">
            <v>Fornecedores</v>
          </cell>
          <cell r="K486">
            <v>600017</v>
          </cell>
          <cell r="L486">
            <v>-1</v>
          </cell>
        </row>
        <row r="487">
          <cell r="B487" t="str">
            <v>2.1.1.04.0276</v>
          </cell>
          <cell r="C487" t="str">
            <v>08961200/0001-12</v>
          </cell>
          <cell r="D487" t="str">
            <v>ATHENAS CONTABILIDADE LTDA</v>
          </cell>
          <cell r="E487" t="str">
            <v>A</v>
          </cell>
          <cell r="H487" t="str">
            <v>N/A</v>
          </cell>
          <cell r="I487">
            <v>500001</v>
          </cell>
          <cell r="J487" t="str">
            <v>Fornecedores</v>
          </cell>
          <cell r="K487">
            <v>600017</v>
          </cell>
          <cell r="L487">
            <v>-1</v>
          </cell>
        </row>
        <row r="488">
          <cell r="B488" t="str">
            <v>2.1.1.04.0277</v>
          </cell>
          <cell r="C488" t="str">
            <v>13422884/0001-14</v>
          </cell>
          <cell r="D488" t="str">
            <v>NADJA REGIANE DO NASCIMENTO</v>
          </cell>
          <cell r="E488" t="str">
            <v>A</v>
          </cell>
          <cell r="H488" t="str">
            <v>N/A</v>
          </cell>
          <cell r="I488">
            <v>500001</v>
          </cell>
          <cell r="J488" t="str">
            <v>Fornecedores</v>
          </cell>
          <cell r="K488">
            <v>600017</v>
          </cell>
          <cell r="L488">
            <v>-1</v>
          </cell>
        </row>
        <row r="489">
          <cell r="B489" t="str">
            <v>2.1.1.04.0278</v>
          </cell>
          <cell r="C489" t="str">
            <v>08003201/0001-54</v>
          </cell>
          <cell r="D489" t="str">
            <v>RL CLEAN SERV. DE LIMPEZA E CONS. LTDA</v>
          </cell>
          <cell r="E489" t="str">
            <v>A</v>
          </cell>
          <cell r="H489" t="str">
            <v>N/A</v>
          </cell>
          <cell r="I489">
            <v>500001</v>
          </cell>
          <cell r="J489" t="str">
            <v>Fornecedores</v>
          </cell>
          <cell r="K489">
            <v>600017</v>
          </cell>
          <cell r="L489">
            <v>-1</v>
          </cell>
        </row>
        <row r="490">
          <cell r="B490" t="str">
            <v>2.1.1.04.0279</v>
          </cell>
          <cell r="C490" t="str">
            <v>49351919/0001-19</v>
          </cell>
          <cell r="D490" t="str">
            <v>ASSOC. NAC. DE TRANS. PUBLICOS - ANTP</v>
          </cell>
          <cell r="E490" t="str">
            <v>A</v>
          </cell>
          <cell r="H490" t="str">
            <v>N/A</v>
          </cell>
          <cell r="I490">
            <v>500001</v>
          </cell>
          <cell r="J490" t="str">
            <v>Fornecedores</v>
          </cell>
          <cell r="K490">
            <v>600017</v>
          </cell>
          <cell r="L490">
            <v>-1</v>
          </cell>
        </row>
        <row r="491">
          <cell r="B491" t="str">
            <v>2.1.1.04.0280</v>
          </cell>
          <cell r="C491" t="str">
            <v>10341804/0001-08</v>
          </cell>
          <cell r="D491" t="str">
            <v>PIRES E SCHUNK DESIGN LTDA ME</v>
          </cell>
          <cell r="E491" t="str">
            <v>A</v>
          </cell>
          <cell r="H491" t="str">
            <v>N/A</v>
          </cell>
          <cell r="I491">
            <v>500001</v>
          </cell>
          <cell r="J491" t="str">
            <v>Fornecedores</v>
          </cell>
          <cell r="K491">
            <v>600017</v>
          </cell>
          <cell r="L491">
            <v>-1</v>
          </cell>
        </row>
        <row r="492">
          <cell r="B492" t="str">
            <v>2.1.1.04.0281</v>
          </cell>
          <cell r="C492" t="str">
            <v>01754239/0005-43</v>
          </cell>
          <cell r="D492" t="str">
            <v>REFRIG DUFRIO COM E IMP LTDA</v>
          </cell>
          <cell r="E492" t="str">
            <v>A</v>
          </cell>
          <cell r="H492" t="str">
            <v>N/A</v>
          </cell>
          <cell r="I492">
            <v>500001</v>
          </cell>
          <cell r="J492" t="str">
            <v>Fornecedores</v>
          </cell>
          <cell r="K492">
            <v>600017</v>
          </cell>
          <cell r="L492">
            <v>-1</v>
          </cell>
        </row>
        <row r="493">
          <cell r="B493" t="str">
            <v>2.1.1.04.0282</v>
          </cell>
          <cell r="C493" t="str">
            <v>03582662/0001-05</v>
          </cell>
          <cell r="D493" t="str">
            <v>TRADE CUSTOMS IMPORTE EXPORT LTDA</v>
          </cell>
          <cell r="E493" t="str">
            <v>A</v>
          </cell>
          <cell r="H493" t="str">
            <v>N/A</v>
          </cell>
          <cell r="I493">
            <v>500001</v>
          </cell>
          <cell r="J493" t="str">
            <v>Fornecedores</v>
          </cell>
          <cell r="K493">
            <v>600017</v>
          </cell>
          <cell r="L493">
            <v>-1</v>
          </cell>
        </row>
        <row r="494">
          <cell r="B494" t="str">
            <v>2.1.1.04.0283</v>
          </cell>
          <cell r="C494" t="str">
            <v>78931474/0001-44</v>
          </cell>
          <cell r="D494" t="str">
            <v>REDISUL INFORMATICA LTDA</v>
          </cell>
          <cell r="E494" t="str">
            <v>A</v>
          </cell>
          <cell r="H494" t="str">
            <v>N/A</v>
          </cell>
          <cell r="I494">
            <v>500001</v>
          </cell>
          <cell r="J494" t="str">
            <v>Fornecedores</v>
          </cell>
          <cell r="K494">
            <v>600017</v>
          </cell>
          <cell r="L494">
            <v>-1</v>
          </cell>
        </row>
        <row r="495">
          <cell r="B495" t="str">
            <v>2.1.1.04.0284</v>
          </cell>
          <cell r="C495" t="str">
            <v>02292557/0001-79</v>
          </cell>
          <cell r="D495" t="str">
            <v>SUPER TRAFOS INDUSTRIA E COMERCIO LTDA</v>
          </cell>
          <cell r="E495" t="str">
            <v>A</v>
          </cell>
          <cell r="H495" t="str">
            <v>N/A</v>
          </cell>
          <cell r="I495">
            <v>500001</v>
          </cell>
          <cell r="J495" t="str">
            <v>Fornecedores</v>
          </cell>
          <cell r="K495">
            <v>600017</v>
          </cell>
          <cell r="L495">
            <v>-1</v>
          </cell>
        </row>
        <row r="496">
          <cell r="B496" t="str">
            <v>2.1.1.04.0285</v>
          </cell>
          <cell r="C496" t="str">
            <v>31424369/0001-55</v>
          </cell>
          <cell r="D496" t="str">
            <v>MULTITEC INSTRUMENTOS DE MEDICAO LTDA</v>
          </cell>
          <cell r="E496" t="str">
            <v>A</v>
          </cell>
          <cell r="H496" t="str">
            <v>N/A</v>
          </cell>
          <cell r="I496">
            <v>500001</v>
          </cell>
          <cell r="J496" t="str">
            <v>Fornecedores</v>
          </cell>
          <cell r="K496">
            <v>600017</v>
          </cell>
          <cell r="L496">
            <v>-1</v>
          </cell>
        </row>
        <row r="497">
          <cell r="B497" t="str">
            <v>2.1.1.04.0286</v>
          </cell>
          <cell r="C497" t="str">
            <v>03142200/0001-77</v>
          </cell>
          <cell r="D497" t="str">
            <v>NORMATEC DE SAO CRISTOVAO LTDA</v>
          </cell>
          <cell r="E497" t="str">
            <v>A</v>
          </cell>
          <cell r="H497" t="str">
            <v>N/A</v>
          </cell>
          <cell r="I497">
            <v>500001</v>
          </cell>
          <cell r="J497" t="str">
            <v>Fornecedores</v>
          </cell>
          <cell r="K497">
            <v>600017</v>
          </cell>
          <cell r="L497">
            <v>-1</v>
          </cell>
        </row>
        <row r="498">
          <cell r="B498" t="str">
            <v>2.1.1.04.0287</v>
          </cell>
          <cell r="C498" t="str">
            <v>03687592/0001-50</v>
          </cell>
          <cell r="D498" t="str">
            <v>VALOR ECONOMICO S.A</v>
          </cell>
          <cell r="E498" t="str">
            <v>A</v>
          </cell>
          <cell r="H498" t="str">
            <v>N/A</v>
          </cell>
          <cell r="I498">
            <v>500001</v>
          </cell>
          <cell r="J498" t="str">
            <v>Fornecedores</v>
          </cell>
          <cell r="K498">
            <v>600017</v>
          </cell>
          <cell r="L498">
            <v>-1</v>
          </cell>
        </row>
        <row r="499">
          <cell r="B499" t="str">
            <v>2.1.1.04.0288</v>
          </cell>
          <cell r="C499" t="str">
            <v>14059340/0001-00</v>
          </cell>
          <cell r="D499" t="str">
            <v>PANDORA COM. DE MAT.  DE ESC. DE LIMP.</v>
          </cell>
          <cell r="E499" t="str">
            <v>A</v>
          </cell>
          <cell r="H499" t="str">
            <v>N/A</v>
          </cell>
          <cell r="I499">
            <v>500001</v>
          </cell>
          <cell r="J499" t="str">
            <v>Fornecedores</v>
          </cell>
          <cell r="K499">
            <v>600017</v>
          </cell>
          <cell r="L499">
            <v>-1</v>
          </cell>
        </row>
        <row r="500">
          <cell r="B500" t="str">
            <v>2.1.1.04.0289</v>
          </cell>
          <cell r="C500" t="str">
            <v>26994285/0001-17</v>
          </cell>
          <cell r="D500" t="str">
            <v>TOPOCART TOPOGRAFIA ENG. E AEROL. LTDA</v>
          </cell>
          <cell r="E500" t="str">
            <v>A</v>
          </cell>
          <cell r="H500" t="str">
            <v>N/A</v>
          </cell>
          <cell r="I500">
            <v>500001</v>
          </cell>
          <cell r="J500" t="str">
            <v>Fornecedores</v>
          </cell>
          <cell r="K500">
            <v>600017</v>
          </cell>
          <cell r="L500">
            <v>-1</v>
          </cell>
        </row>
        <row r="501">
          <cell r="B501" t="str">
            <v>2.1.1.04.0290</v>
          </cell>
          <cell r="C501" t="str">
            <v>03951066/0001-55</v>
          </cell>
          <cell r="D501" t="str">
            <v>FOCO ARQUITETOS ASSOCIADOS LTDA</v>
          </cell>
          <cell r="E501" t="str">
            <v>A</v>
          </cell>
          <cell r="H501" t="str">
            <v>N/A</v>
          </cell>
          <cell r="I501">
            <v>500001</v>
          </cell>
          <cell r="J501" t="str">
            <v>Fornecedores</v>
          </cell>
          <cell r="K501">
            <v>600017</v>
          </cell>
          <cell r="L501">
            <v>-1</v>
          </cell>
        </row>
        <row r="502">
          <cell r="B502" t="str">
            <v>2.1.1.04.0291</v>
          </cell>
          <cell r="C502" t="str">
            <v>33717976/0001-39</v>
          </cell>
          <cell r="D502" t="str">
            <v>RIOTRON COMERCIO E INDUSTRIA DE MAQ LTDA</v>
          </cell>
          <cell r="E502" t="str">
            <v>A</v>
          </cell>
          <cell r="H502" t="str">
            <v>N/A</v>
          </cell>
          <cell r="I502">
            <v>500001</v>
          </cell>
          <cell r="J502" t="str">
            <v>Fornecedores</v>
          </cell>
          <cell r="K502">
            <v>600017</v>
          </cell>
          <cell r="L502">
            <v>-1</v>
          </cell>
        </row>
        <row r="503">
          <cell r="B503" t="str">
            <v>2.1.1.04.0292</v>
          </cell>
          <cell r="C503" t="str">
            <v>04656762/0001-00</v>
          </cell>
          <cell r="D503" t="str">
            <v>WALPRINT GRAFICA E EDITORA LTDA</v>
          </cell>
          <cell r="E503" t="str">
            <v>A</v>
          </cell>
          <cell r="H503" t="str">
            <v>N/A</v>
          </cell>
          <cell r="I503">
            <v>500001</v>
          </cell>
          <cell r="J503" t="str">
            <v>Fornecedores</v>
          </cell>
          <cell r="K503">
            <v>600017</v>
          </cell>
          <cell r="L503">
            <v>-1</v>
          </cell>
        </row>
        <row r="504">
          <cell r="B504" t="str">
            <v>2.1.1.04.0293</v>
          </cell>
          <cell r="C504" t="str">
            <v>00441200/0001-80</v>
          </cell>
          <cell r="D504" t="str">
            <v>SERGIO MACHADO REIS EPP</v>
          </cell>
          <cell r="E504" t="str">
            <v>A</v>
          </cell>
          <cell r="H504" t="str">
            <v>N/A</v>
          </cell>
          <cell r="I504">
            <v>500001</v>
          </cell>
          <cell r="J504" t="str">
            <v>Fornecedores</v>
          </cell>
          <cell r="K504">
            <v>600017</v>
          </cell>
          <cell r="L504">
            <v>-1</v>
          </cell>
        </row>
        <row r="505">
          <cell r="B505" t="str">
            <v>2.1.1.04.0294</v>
          </cell>
          <cell r="C505" t="str">
            <v>15278683/0001-10</v>
          </cell>
          <cell r="D505" t="str">
            <v>TAYNAH KAUANY DE OLIV SILVA TRANSPORTE</v>
          </cell>
          <cell r="E505" t="str">
            <v>A</v>
          </cell>
          <cell r="H505" t="str">
            <v>N/A</v>
          </cell>
          <cell r="I505">
            <v>500001</v>
          </cell>
          <cell r="J505" t="str">
            <v>Fornecedores</v>
          </cell>
          <cell r="K505">
            <v>600017</v>
          </cell>
          <cell r="L505">
            <v>-1</v>
          </cell>
        </row>
        <row r="506">
          <cell r="B506" t="str">
            <v>2.1.1.04.0295</v>
          </cell>
          <cell r="C506" t="str">
            <v>31249774/0001-84</v>
          </cell>
          <cell r="D506" t="str">
            <v>MENON COPIAS LTDA</v>
          </cell>
          <cell r="E506" t="str">
            <v>A</v>
          </cell>
          <cell r="H506" t="str">
            <v>N/A</v>
          </cell>
          <cell r="I506">
            <v>500001</v>
          </cell>
          <cell r="J506" t="str">
            <v>Fornecedores</v>
          </cell>
          <cell r="K506">
            <v>600017</v>
          </cell>
          <cell r="L506">
            <v>-1</v>
          </cell>
        </row>
        <row r="507">
          <cell r="B507" t="str">
            <v>2.1.1.04.0296</v>
          </cell>
          <cell r="C507" t="str">
            <v>43217850/0001-59</v>
          </cell>
          <cell r="D507" t="str">
            <v>IOB INFORMACOES OBJ PUB JURIDICAS LTDA</v>
          </cell>
          <cell r="E507" t="str">
            <v>A</v>
          </cell>
          <cell r="H507" t="str">
            <v>N/A</v>
          </cell>
          <cell r="I507">
            <v>500001</v>
          </cell>
          <cell r="J507" t="str">
            <v>Fornecedores</v>
          </cell>
          <cell r="K507">
            <v>600017</v>
          </cell>
          <cell r="L507">
            <v>-1</v>
          </cell>
        </row>
        <row r="508">
          <cell r="B508" t="str">
            <v>2.1.1.04.0297</v>
          </cell>
          <cell r="C508" t="str">
            <v>08740327/0001-01</v>
          </cell>
          <cell r="D508" t="str">
            <v>SYSTEM CARD 460 CONT DE ACESSO E IDENT.</v>
          </cell>
          <cell r="E508" t="str">
            <v>A</v>
          </cell>
          <cell r="H508" t="str">
            <v>N/A</v>
          </cell>
          <cell r="I508">
            <v>500001</v>
          </cell>
          <cell r="J508" t="str">
            <v>Fornecedores</v>
          </cell>
          <cell r="K508">
            <v>600017</v>
          </cell>
          <cell r="L508">
            <v>-1</v>
          </cell>
        </row>
        <row r="509">
          <cell r="B509" t="str">
            <v>2.1.1.04.0298</v>
          </cell>
          <cell r="C509" t="str">
            <v>06281829/0001-96</v>
          </cell>
          <cell r="D509" t="str">
            <v>JP SMART VEND. OP. MAQ. AUTOMATICAS LTDA</v>
          </cell>
          <cell r="E509" t="str">
            <v>A</v>
          </cell>
          <cell r="H509" t="str">
            <v>N/A</v>
          </cell>
          <cell r="I509">
            <v>500001</v>
          </cell>
          <cell r="J509" t="str">
            <v>Fornecedores</v>
          </cell>
          <cell r="K509">
            <v>600017</v>
          </cell>
          <cell r="L509">
            <v>-1</v>
          </cell>
        </row>
        <row r="510">
          <cell r="B510" t="str">
            <v>2.1.1.04.0299</v>
          </cell>
          <cell r="C510" t="str">
            <v>32922205/0001-10</v>
          </cell>
          <cell r="D510" t="str">
            <v>CENTRAL DE AVALIACAO E PERICIAS LTDA</v>
          </cell>
          <cell r="E510" t="str">
            <v>A</v>
          </cell>
          <cell r="H510" t="str">
            <v>N/A</v>
          </cell>
          <cell r="I510">
            <v>500001</v>
          </cell>
          <cell r="J510" t="str">
            <v>Fornecedores</v>
          </cell>
          <cell r="K510">
            <v>600017</v>
          </cell>
          <cell r="L510">
            <v>-1</v>
          </cell>
        </row>
        <row r="511">
          <cell r="B511" t="str">
            <v>2.1.1.04.0300</v>
          </cell>
          <cell r="C511" t="str">
            <v>28015634/0003-07</v>
          </cell>
          <cell r="D511" t="str">
            <v>ESAD CONSULTORIA S/S LTDA</v>
          </cell>
          <cell r="E511" t="str">
            <v>A</v>
          </cell>
          <cell r="H511" t="str">
            <v>N/A</v>
          </cell>
          <cell r="I511">
            <v>500001</v>
          </cell>
          <cell r="J511" t="str">
            <v>Fornecedores</v>
          </cell>
          <cell r="K511">
            <v>600017</v>
          </cell>
          <cell r="L511">
            <v>-1</v>
          </cell>
        </row>
        <row r="512">
          <cell r="B512" t="str">
            <v>2.1.1.04.0301</v>
          </cell>
          <cell r="C512" t="str">
            <v>33073800/0001-91</v>
          </cell>
          <cell r="D512" t="str">
            <v>DANIEL ADVOGADOS</v>
          </cell>
          <cell r="E512" t="str">
            <v>A</v>
          </cell>
          <cell r="H512" t="str">
            <v>N/A</v>
          </cell>
          <cell r="I512">
            <v>500001</v>
          </cell>
          <cell r="J512" t="str">
            <v>Fornecedores</v>
          </cell>
          <cell r="K512">
            <v>600017</v>
          </cell>
          <cell r="L512">
            <v>-1</v>
          </cell>
        </row>
        <row r="513">
          <cell r="B513" t="str">
            <v>2.1.1.04.0302</v>
          </cell>
          <cell r="C513" t="str">
            <v>62277041/0001-87</v>
          </cell>
          <cell r="D513" t="str">
            <v>DISAL S.A</v>
          </cell>
          <cell r="E513" t="str">
            <v>A</v>
          </cell>
          <cell r="H513" t="str">
            <v>N/A</v>
          </cell>
          <cell r="I513">
            <v>500001</v>
          </cell>
          <cell r="J513" t="str">
            <v>Fornecedores</v>
          </cell>
          <cell r="K513">
            <v>600017</v>
          </cell>
          <cell r="L513">
            <v>-1</v>
          </cell>
        </row>
        <row r="514">
          <cell r="B514" t="str">
            <v>2.1.1.04.0303</v>
          </cell>
          <cell r="C514" t="str">
            <v>10418927/0001-08</v>
          </cell>
          <cell r="D514" t="str">
            <v>ECO PLUS 92 NAT WEAR COM PROD ECOL LTDA</v>
          </cell>
          <cell r="E514" t="str">
            <v>A</v>
          </cell>
          <cell r="H514" t="str">
            <v>N/A</v>
          </cell>
          <cell r="I514">
            <v>500001</v>
          </cell>
          <cell r="J514" t="str">
            <v>Fornecedores</v>
          </cell>
          <cell r="K514">
            <v>600017</v>
          </cell>
          <cell r="L514">
            <v>-1</v>
          </cell>
        </row>
        <row r="515">
          <cell r="B515" t="str">
            <v>2.1.1.04.0304</v>
          </cell>
          <cell r="C515" t="str">
            <v>33540014/0001-57</v>
          </cell>
          <cell r="D515" t="str">
            <v>UNIVERSIDADE DO ESTADO DO RIO DE JANEIRO</v>
          </cell>
          <cell r="E515" t="str">
            <v>A</v>
          </cell>
          <cell r="H515" t="str">
            <v>N/A</v>
          </cell>
          <cell r="I515">
            <v>500001</v>
          </cell>
          <cell r="J515" t="str">
            <v>Fornecedores</v>
          </cell>
          <cell r="K515">
            <v>600017</v>
          </cell>
          <cell r="L515">
            <v>-1</v>
          </cell>
        </row>
        <row r="516">
          <cell r="B516" t="str">
            <v>2.1.1.04.0305</v>
          </cell>
          <cell r="C516" t="str">
            <v>05170462/0001-70</v>
          </cell>
          <cell r="D516" t="str">
            <v>SMH ASSESSORIA E CONSULTORIA EMPRE. LTDA</v>
          </cell>
          <cell r="E516" t="str">
            <v>A</v>
          </cell>
          <cell r="H516" t="str">
            <v>N/A</v>
          </cell>
          <cell r="I516">
            <v>500001</v>
          </cell>
          <cell r="J516" t="str">
            <v>Fornecedores</v>
          </cell>
          <cell r="K516">
            <v>600017</v>
          </cell>
          <cell r="L516">
            <v>-1</v>
          </cell>
        </row>
        <row r="517">
          <cell r="B517" t="str">
            <v>2.1.1.04.0306</v>
          </cell>
          <cell r="C517" t="str">
            <v>05764629/0001-21</v>
          </cell>
          <cell r="D517" t="str">
            <v>DFTRANS</v>
          </cell>
          <cell r="E517" t="str">
            <v>A</v>
          </cell>
          <cell r="H517" t="str">
            <v>N/A</v>
          </cell>
          <cell r="I517">
            <v>500001</v>
          </cell>
          <cell r="J517" t="str">
            <v>Fornecedores</v>
          </cell>
          <cell r="K517">
            <v>600017</v>
          </cell>
          <cell r="L517">
            <v>-1</v>
          </cell>
        </row>
        <row r="518">
          <cell r="B518" t="str">
            <v>2.1.1.04.0307</v>
          </cell>
          <cell r="C518" t="str">
            <v>06913480/0001-68</v>
          </cell>
          <cell r="D518" t="str">
            <v>CENTELHA EQUIPAMENTOS ELETRONICOS LTDA</v>
          </cell>
          <cell r="E518" t="str">
            <v>A</v>
          </cell>
          <cell r="H518" t="str">
            <v>N/A</v>
          </cell>
          <cell r="I518">
            <v>500001</v>
          </cell>
          <cell r="J518" t="str">
            <v>Fornecedores</v>
          </cell>
          <cell r="K518">
            <v>600017</v>
          </cell>
          <cell r="L518">
            <v>-1</v>
          </cell>
        </row>
        <row r="519">
          <cell r="B519" t="str">
            <v>2.1.1.04.0308</v>
          </cell>
          <cell r="C519" t="str">
            <v>60455193/0001-05</v>
          </cell>
          <cell r="D519" t="str">
            <v>OPENCADD ADVANCED TECHNOLOGY LTDA</v>
          </cell>
          <cell r="E519" t="str">
            <v>A</v>
          </cell>
          <cell r="H519" t="str">
            <v>N/A</v>
          </cell>
          <cell r="I519">
            <v>500001</v>
          </cell>
          <cell r="J519" t="str">
            <v>Fornecedores</v>
          </cell>
          <cell r="K519">
            <v>600017</v>
          </cell>
          <cell r="L519">
            <v>-1</v>
          </cell>
        </row>
        <row r="520">
          <cell r="B520" t="str">
            <v>2.1.1.04.0309</v>
          </cell>
          <cell r="C520">
            <v>68646553000150</v>
          </cell>
          <cell r="D520" t="str">
            <v>INSTITUTO NAC. DE EFICIENCIA ENERGETICA</v>
          </cell>
          <cell r="E520" t="str">
            <v>A</v>
          </cell>
          <cell r="H520" t="str">
            <v>N/A</v>
          </cell>
          <cell r="I520">
            <v>500001</v>
          </cell>
          <cell r="J520" t="str">
            <v>Fornecedores</v>
          </cell>
          <cell r="K520">
            <v>600017</v>
          </cell>
          <cell r="L520">
            <v>-1</v>
          </cell>
        </row>
        <row r="521">
          <cell r="B521" t="str">
            <v>2.1.1.04.0310</v>
          </cell>
          <cell r="C521" t="str">
            <v>53113791/0001-22</v>
          </cell>
          <cell r="D521" t="str">
            <v>TOTVS SA</v>
          </cell>
          <cell r="E521" t="str">
            <v>A</v>
          </cell>
          <cell r="H521" t="str">
            <v>N/A</v>
          </cell>
          <cell r="I521">
            <v>500001</v>
          </cell>
          <cell r="J521" t="str">
            <v>Fornecedores</v>
          </cell>
          <cell r="K521">
            <v>600017</v>
          </cell>
          <cell r="L521">
            <v>-1</v>
          </cell>
        </row>
        <row r="522">
          <cell r="B522" t="str">
            <v>2.1.1.04.0311</v>
          </cell>
          <cell r="C522" t="str">
            <v>02687045/0001-01</v>
          </cell>
          <cell r="D522" t="str">
            <v>ADMINISTRADORA SANTA CAROLINA LTDA</v>
          </cell>
          <cell r="E522" t="str">
            <v>A</v>
          </cell>
          <cell r="H522" t="str">
            <v>N/A</v>
          </cell>
          <cell r="I522">
            <v>500001</v>
          </cell>
          <cell r="J522" t="str">
            <v>Fornecedores</v>
          </cell>
          <cell r="K522">
            <v>600017</v>
          </cell>
          <cell r="L522">
            <v>-1</v>
          </cell>
        </row>
        <row r="523">
          <cell r="B523" t="str">
            <v>2.1.1.04.0312</v>
          </cell>
          <cell r="C523" t="str">
            <v>33732991/0001-56</v>
          </cell>
          <cell r="D523" t="str">
            <v>ELETRICA ARTURO LTDA</v>
          </cell>
          <cell r="E523" t="str">
            <v>A</v>
          </cell>
          <cell r="H523" t="str">
            <v>N/A</v>
          </cell>
          <cell r="I523">
            <v>500001</v>
          </cell>
          <cell r="J523" t="str">
            <v>Fornecedores</v>
          </cell>
          <cell r="K523">
            <v>600017</v>
          </cell>
          <cell r="L523">
            <v>-1</v>
          </cell>
        </row>
        <row r="524">
          <cell r="B524" t="str">
            <v>2.1.1.04.0313</v>
          </cell>
          <cell r="C524" t="str">
            <v>11425781/0001-82</v>
          </cell>
          <cell r="D524" t="str">
            <v>GRP SOLUTIONS INFORMATICA LTDA</v>
          </cell>
          <cell r="E524" t="str">
            <v>A</v>
          </cell>
          <cell r="H524" t="str">
            <v>N/A</v>
          </cell>
          <cell r="I524">
            <v>500001</v>
          </cell>
          <cell r="J524" t="str">
            <v>Fornecedores</v>
          </cell>
          <cell r="K524">
            <v>600017</v>
          </cell>
          <cell r="L524">
            <v>-1</v>
          </cell>
        </row>
        <row r="525">
          <cell r="B525" t="str">
            <v>2.1.1.04.0314</v>
          </cell>
          <cell r="C525" t="str">
            <v>10354189/0001-74</v>
          </cell>
          <cell r="D525" t="str">
            <v>MACEIO SERVICOS LTDA</v>
          </cell>
          <cell r="E525" t="str">
            <v>A</v>
          </cell>
          <cell r="H525" t="str">
            <v>N/A</v>
          </cell>
          <cell r="I525">
            <v>500001</v>
          </cell>
          <cell r="J525" t="str">
            <v>Fornecedores</v>
          </cell>
          <cell r="K525">
            <v>600017</v>
          </cell>
          <cell r="L525">
            <v>-1</v>
          </cell>
        </row>
        <row r="526">
          <cell r="B526" t="str">
            <v>2.1.1.04.0315</v>
          </cell>
          <cell r="C526" t="str">
            <v>39119656/0001-63</v>
          </cell>
          <cell r="D526" t="str">
            <v>MULTISUPRIMENTOS SUP E EQUIP P/ ESC INFO</v>
          </cell>
          <cell r="E526" t="str">
            <v>A</v>
          </cell>
          <cell r="H526" t="str">
            <v>N/A</v>
          </cell>
          <cell r="I526">
            <v>500001</v>
          </cell>
          <cell r="J526" t="str">
            <v>Fornecedores</v>
          </cell>
          <cell r="K526">
            <v>600017</v>
          </cell>
          <cell r="L526">
            <v>-1</v>
          </cell>
        </row>
        <row r="527">
          <cell r="B527" t="str">
            <v>2.1.1.04.0316</v>
          </cell>
          <cell r="C527" t="str">
            <v>32265811/0001-00</v>
          </cell>
          <cell r="D527" t="str">
            <v>BOLSA DE NEGOCIO IMOBILARIOS DO RIO</v>
          </cell>
          <cell r="E527" t="str">
            <v>A</v>
          </cell>
          <cell r="H527" t="str">
            <v>N/A</v>
          </cell>
          <cell r="I527">
            <v>500001</v>
          </cell>
          <cell r="J527" t="str">
            <v>Fornecedores</v>
          </cell>
          <cell r="K527">
            <v>600017</v>
          </cell>
          <cell r="L527">
            <v>-1</v>
          </cell>
        </row>
        <row r="528">
          <cell r="B528" t="str">
            <v>2.1.1.04.0317</v>
          </cell>
          <cell r="C528" t="str">
            <v>34135509/0001-63</v>
          </cell>
          <cell r="D528" t="str">
            <v>APIMEC RIO</v>
          </cell>
          <cell r="E528" t="str">
            <v>A</v>
          </cell>
          <cell r="H528" t="str">
            <v>N/A</v>
          </cell>
          <cell r="I528">
            <v>500001</v>
          </cell>
          <cell r="J528" t="str">
            <v>Fornecedores</v>
          </cell>
          <cell r="K528">
            <v>600017</v>
          </cell>
          <cell r="L528">
            <v>-1</v>
          </cell>
        </row>
        <row r="529">
          <cell r="B529" t="str">
            <v>2.1.1.04.0318</v>
          </cell>
          <cell r="C529" t="str">
            <v>33368762/0001-02</v>
          </cell>
          <cell r="D529" t="str">
            <v>EMD RIO GUARDA MOVEIS E MUDANCAS LTDA</v>
          </cell>
          <cell r="E529" t="str">
            <v>A</v>
          </cell>
          <cell r="H529" t="str">
            <v>N/A</v>
          </cell>
          <cell r="I529">
            <v>500001</v>
          </cell>
          <cell r="J529" t="str">
            <v>Fornecedores</v>
          </cell>
          <cell r="K529">
            <v>600017</v>
          </cell>
          <cell r="L529">
            <v>-1</v>
          </cell>
        </row>
        <row r="530">
          <cell r="B530" t="str">
            <v>2.1.1.04.0319</v>
          </cell>
          <cell r="C530" t="str">
            <v>32106536/0001-82</v>
          </cell>
          <cell r="D530" t="str">
            <v>EDITORA OBJETIVA LTDA</v>
          </cell>
          <cell r="E530" t="str">
            <v>A</v>
          </cell>
          <cell r="H530" t="str">
            <v>N/A</v>
          </cell>
          <cell r="I530">
            <v>500001</v>
          </cell>
          <cell r="J530" t="str">
            <v>Fornecedores</v>
          </cell>
          <cell r="K530">
            <v>600017</v>
          </cell>
          <cell r="L530">
            <v>-1</v>
          </cell>
        </row>
        <row r="531">
          <cell r="B531" t="str">
            <v>2.1.1.04.0320</v>
          </cell>
          <cell r="C531" t="str">
            <v>33633561/0001-87</v>
          </cell>
          <cell r="D531" t="str">
            <v>LEME ENGENHARIA LTDA</v>
          </cell>
          <cell r="E531" t="str">
            <v>A</v>
          </cell>
          <cell r="H531" t="str">
            <v>N/A</v>
          </cell>
          <cell r="I531">
            <v>500001</v>
          </cell>
          <cell r="J531" t="str">
            <v>Fornecedores</v>
          </cell>
          <cell r="K531">
            <v>600017</v>
          </cell>
          <cell r="L531">
            <v>-1</v>
          </cell>
        </row>
        <row r="532">
          <cell r="B532" t="str">
            <v>2.1.1.04.0321</v>
          </cell>
          <cell r="C532" t="str">
            <v>04911597/00001-87</v>
          </cell>
          <cell r="D532" t="str">
            <v>TREINAMENTO AVANCADO LTDA</v>
          </cell>
          <cell r="E532" t="str">
            <v>A</v>
          </cell>
          <cell r="H532" t="str">
            <v>N/A</v>
          </cell>
          <cell r="I532">
            <v>500001</v>
          </cell>
          <cell r="J532" t="str">
            <v>Fornecedores</v>
          </cell>
          <cell r="K532">
            <v>600017</v>
          </cell>
          <cell r="L532">
            <v>-1</v>
          </cell>
        </row>
        <row r="533">
          <cell r="B533" t="str">
            <v>2.1.1.04.0322</v>
          </cell>
          <cell r="C533" t="str">
            <v>09512865/0001-01</v>
          </cell>
          <cell r="D533" t="str">
            <v>SANDERCOM COMERCIO DE INFORMATICA LTDA</v>
          </cell>
          <cell r="E533" t="str">
            <v>A</v>
          </cell>
          <cell r="H533" t="str">
            <v>N/A</v>
          </cell>
          <cell r="I533">
            <v>500001</v>
          </cell>
          <cell r="J533" t="str">
            <v>Fornecedores</v>
          </cell>
          <cell r="K533">
            <v>600017</v>
          </cell>
          <cell r="L533">
            <v>-1</v>
          </cell>
        </row>
        <row r="534">
          <cell r="B534" t="str">
            <v>2.1.1.04.0323</v>
          </cell>
          <cell r="C534" t="str">
            <v>07522669/0001-92</v>
          </cell>
          <cell r="D534" t="str">
            <v>CEB DISTRIBUICAO</v>
          </cell>
          <cell r="E534" t="str">
            <v>A</v>
          </cell>
          <cell r="H534" t="str">
            <v>N/A</v>
          </cell>
          <cell r="I534">
            <v>500001</v>
          </cell>
          <cell r="J534" t="str">
            <v>Fornecedores</v>
          </cell>
          <cell r="K534">
            <v>600017</v>
          </cell>
          <cell r="L534">
            <v>-1</v>
          </cell>
        </row>
        <row r="535">
          <cell r="B535" t="str">
            <v>2.1.1.04.0324</v>
          </cell>
          <cell r="C535" t="str">
            <v>08208924/0001-90</v>
          </cell>
          <cell r="D535" t="str">
            <v>FORT SAFE COMERCIO DE COFRE LTDA ME</v>
          </cell>
          <cell r="E535" t="str">
            <v>A</v>
          </cell>
          <cell r="H535" t="str">
            <v>N/A</v>
          </cell>
          <cell r="I535">
            <v>500001</v>
          </cell>
          <cell r="J535" t="str">
            <v>Fornecedores</v>
          </cell>
          <cell r="K535">
            <v>600017</v>
          </cell>
          <cell r="L535">
            <v>-1</v>
          </cell>
        </row>
        <row r="536">
          <cell r="B536" t="str">
            <v>2.1.1.04.0325</v>
          </cell>
          <cell r="C536" t="str">
            <v>02605452/0001-22</v>
          </cell>
          <cell r="D536" t="str">
            <v>VIP SERVICE CLUB LOCADORA LTDA</v>
          </cell>
          <cell r="E536" t="str">
            <v>A</v>
          </cell>
          <cell r="H536" t="str">
            <v>N/A</v>
          </cell>
          <cell r="I536">
            <v>500001</v>
          </cell>
          <cell r="J536" t="str">
            <v>Fornecedores</v>
          </cell>
          <cell r="K536">
            <v>600017</v>
          </cell>
          <cell r="L536">
            <v>-1</v>
          </cell>
        </row>
        <row r="537">
          <cell r="B537" t="str">
            <v>2.1.1.04.0326</v>
          </cell>
          <cell r="C537" t="str">
            <v>04982263/0001-02</v>
          </cell>
          <cell r="D537" t="str">
            <v>MONTALVO ADMINISTRACAO E PARTICIPACOES</v>
          </cell>
          <cell r="E537" t="str">
            <v>A</v>
          </cell>
          <cell r="H537" t="str">
            <v>N/A</v>
          </cell>
          <cell r="I537">
            <v>500001</v>
          </cell>
          <cell r="J537" t="str">
            <v>Fornecedores</v>
          </cell>
          <cell r="K537">
            <v>600017</v>
          </cell>
          <cell r="L537">
            <v>-1</v>
          </cell>
        </row>
        <row r="538">
          <cell r="B538" t="str">
            <v>2.1.1.04.0327</v>
          </cell>
          <cell r="C538" t="str">
            <v>33569146/0001-01</v>
          </cell>
          <cell r="D538" t="str">
            <v>BAZAR DOS PRATOS LTDA</v>
          </cell>
          <cell r="E538" t="str">
            <v>A</v>
          </cell>
          <cell r="H538" t="str">
            <v>N/A</v>
          </cell>
          <cell r="I538">
            <v>500001</v>
          </cell>
          <cell r="J538" t="str">
            <v>Fornecedores</v>
          </cell>
          <cell r="K538">
            <v>600017</v>
          </cell>
          <cell r="L538">
            <v>-1</v>
          </cell>
        </row>
        <row r="539">
          <cell r="B539" t="str">
            <v>2.1.1.04.0328</v>
          </cell>
          <cell r="C539" t="str">
            <v>09116592/0001-86</v>
          </cell>
          <cell r="D539" t="str">
            <v>BELLCOMS COM E PREST SERV INFORM LTDA</v>
          </cell>
          <cell r="E539" t="str">
            <v>A</v>
          </cell>
          <cell r="H539" t="str">
            <v>N/A</v>
          </cell>
          <cell r="I539">
            <v>500001</v>
          </cell>
          <cell r="J539" t="str">
            <v>Fornecedores</v>
          </cell>
          <cell r="K539">
            <v>600017</v>
          </cell>
          <cell r="L539">
            <v>-1</v>
          </cell>
        </row>
        <row r="540">
          <cell r="B540" t="str">
            <v>2.1.1.04.0329</v>
          </cell>
          <cell r="C540" t="str">
            <v>62410352/0019-00</v>
          </cell>
          <cell r="D540" t="str">
            <v>LIVRARIA CULTURA S.A</v>
          </cell>
          <cell r="E540" t="str">
            <v>A</v>
          </cell>
          <cell r="H540" t="str">
            <v>N/A</v>
          </cell>
          <cell r="I540">
            <v>500001</v>
          </cell>
          <cell r="J540" t="str">
            <v>Fornecedores</v>
          </cell>
          <cell r="K540">
            <v>600017</v>
          </cell>
          <cell r="L540">
            <v>-1</v>
          </cell>
        </row>
        <row r="541">
          <cell r="B541" t="str">
            <v>2.1.1.04.0330</v>
          </cell>
          <cell r="C541" t="str">
            <v>05977006/0001-37</v>
          </cell>
          <cell r="D541" t="str">
            <v>YP PERSIANAS LTDA</v>
          </cell>
          <cell r="E541" t="str">
            <v>A</v>
          </cell>
          <cell r="H541" t="str">
            <v>N/A</v>
          </cell>
          <cell r="I541">
            <v>500001</v>
          </cell>
          <cell r="J541" t="str">
            <v>Fornecedores</v>
          </cell>
          <cell r="K541">
            <v>600017</v>
          </cell>
          <cell r="L541">
            <v>-1</v>
          </cell>
        </row>
        <row r="542">
          <cell r="B542" t="str">
            <v>2.1.1.04.0331</v>
          </cell>
          <cell r="C542" t="str">
            <v>15272192/0001-62</v>
          </cell>
          <cell r="D542" t="str">
            <v>NOVA TECNICA EDITORA LTDA</v>
          </cell>
          <cell r="E542" t="str">
            <v>A</v>
          </cell>
          <cell r="H542" t="str">
            <v>N/A</v>
          </cell>
          <cell r="I542">
            <v>500001</v>
          </cell>
          <cell r="J542" t="str">
            <v>Fornecedores</v>
          </cell>
          <cell r="K542">
            <v>600017</v>
          </cell>
          <cell r="L542">
            <v>-1</v>
          </cell>
        </row>
        <row r="543">
          <cell r="B543" t="str">
            <v>2.1.1.04.0332</v>
          </cell>
          <cell r="C543" t="str">
            <v>12063470/0001-83</v>
          </cell>
          <cell r="D543" t="str">
            <v>ECOENERGIA EDITORA LTDA</v>
          </cell>
          <cell r="E543" t="str">
            <v>A</v>
          </cell>
          <cell r="H543" t="str">
            <v>N/A</v>
          </cell>
          <cell r="I543">
            <v>500001</v>
          </cell>
          <cell r="J543" t="str">
            <v>Fornecedores</v>
          </cell>
          <cell r="K543">
            <v>600017</v>
          </cell>
          <cell r="L543">
            <v>-1</v>
          </cell>
        </row>
        <row r="544">
          <cell r="B544" t="str">
            <v>2.1.1.04.0333</v>
          </cell>
          <cell r="C544" t="str">
            <v>02990717/0001-53</v>
          </cell>
          <cell r="D544" t="str">
            <v>MACROPLAN PROSPECTVA ESTRATEGIA E GESTAO</v>
          </cell>
          <cell r="E544" t="str">
            <v>A</v>
          </cell>
          <cell r="H544" t="str">
            <v>N/A</v>
          </cell>
          <cell r="I544">
            <v>500001</v>
          </cell>
          <cell r="J544" t="str">
            <v>Fornecedores</v>
          </cell>
          <cell r="K544">
            <v>600017</v>
          </cell>
          <cell r="L544">
            <v>-1</v>
          </cell>
        </row>
        <row r="545">
          <cell r="B545" t="str">
            <v>2.1.1.04.0334</v>
          </cell>
          <cell r="C545" t="str">
            <v>03584647/0001-04</v>
          </cell>
          <cell r="D545" t="str">
            <v>NELSON WILIANS E ADVOGADOS ASSOCIADOS</v>
          </cell>
          <cell r="E545" t="str">
            <v>A</v>
          </cell>
          <cell r="H545" t="str">
            <v>N/A</v>
          </cell>
          <cell r="I545">
            <v>500001</v>
          </cell>
          <cell r="J545" t="str">
            <v>Fornecedores</v>
          </cell>
          <cell r="K545">
            <v>600017</v>
          </cell>
          <cell r="L545">
            <v>-1</v>
          </cell>
        </row>
        <row r="546">
          <cell r="B546" t="str">
            <v>2.1.1.04.0335</v>
          </cell>
          <cell r="C546" t="str">
            <v>07022584/0001-45</v>
          </cell>
          <cell r="D546" t="str">
            <v>LIVRARIA CAFE DO WILSINHO LTDA</v>
          </cell>
          <cell r="E546" t="str">
            <v>A</v>
          </cell>
          <cell r="H546" t="str">
            <v>N/A</v>
          </cell>
          <cell r="I546">
            <v>500001</v>
          </cell>
          <cell r="J546" t="str">
            <v>Fornecedores</v>
          </cell>
          <cell r="K546">
            <v>600017</v>
          </cell>
          <cell r="L546">
            <v>-1</v>
          </cell>
        </row>
        <row r="547">
          <cell r="B547" t="str">
            <v>2.1.1.04.0336</v>
          </cell>
          <cell r="C547" t="str">
            <v>42288886/0001-60</v>
          </cell>
          <cell r="D547" t="str">
            <v>CENTRO DE PESQ DE ENERGIA ELETRICA CEPEL</v>
          </cell>
          <cell r="E547" t="str">
            <v>A</v>
          </cell>
          <cell r="H547" t="str">
            <v>N/A</v>
          </cell>
          <cell r="I547">
            <v>500001</v>
          </cell>
          <cell r="J547" t="str">
            <v>Fornecedores</v>
          </cell>
          <cell r="K547">
            <v>600017</v>
          </cell>
          <cell r="L547">
            <v>-1</v>
          </cell>
        </row>
        <row r="548">
          <cell r="B548" t="str">
            <v>2.1.1.04.0337</v>
          </cell>
          <cell r="C548" t="str">
            <v>60215282/0001-76</v>
          </cell>
          <cell r="D548" t="str">
            <v>SOCIEDADE BRAS. DE PESQ. OPER. SOBRAPO</v>
          </cell>
          <cell r="E548" t="str">
            <v>A</v>
          </cell>
          <cell r="H548" t="str">
            <v>N/A</v>
          </cell>
          <cell r="I548">
            <v>500001</v>
          </cell>
          <cell r="J548" t="str">
            <v>Fornecedores</v>
          </cell>
          <cell r="K548">
            <v>600017</v>
          </cell>
          <cell r="L548">
            <v>-1</v>
          </cell>
        </row>
        <row r="549">
          <cell r="B549" t="str">
            <v>2.1.1.04.0338</v>
          </cell>
          <cell r="C549" t="str">
            <v>05313684/0001-03</v>
          </cell>
          <cell r="D549" t="str">
            <v>MOURAO MARMORES E GRANITOS LTDA</v>
          </cell>
          <cell r="E549" t="str">
            <v>A</v>
          </cell>
          <cell r="H549" t="str">
            <v>N/A</v>
          </cell>
          <cell r="I549">
            <v>500001</v>
          </cell>
          <cell r="J549" t="str">
            <v>Fornecedores</v>
          </cell>
          <cell r="K549">
            <v>600017</v>
          </cell>
          <cell r="L549">
            <v>-1</v>
          </cell>
        </row>
        <row r="550">
          <cell r="B550" t="str">
            <v>2.1.1.04.0339</v>
          </cell>
          <cell r="C550" t="str">
            <v>62958863/0001-23</v>
          </cell>
          <cell r="D550" t="str">
            <v>WGR INDUSTRIA COM. IMP. E EXP. LTDA</v>
          </cell>
          <cell r="E550" t="str">
            <v>A</v>
          </cell>
          <cell r="H550" t="str">
            <v>N/A</v>
          </cell>
          <cell r="I550">
            <v>500001</v>
          </cell>
          <cell r="J550" t="str">
            <v>Fornecedores</v>
          </cell>
          <cell r="K550">
            <v>600017</v>
          </cell>
          <cell r="L550">
            <v>-1</v>
          </cell>
        </row>
        <row r="551">
          <cell r="B551" t="str">
            <v>2.1.1.04.0340</v>
          </cell>
          <cell r="C551" t="str">
            <v>02718533/0001-39</v>
          </cell>
          <cell r="D551" t="str">
            <v>SHOPPING HOUSE UTIL. PARA O LAR LTDA</v>
          </cell>
          <cell r="E551" t="str">
            <v>A</v>
          </cell>
          <cell r="H551" t="str">
            <v>N/A</v>
          </cell>
          <cell r="I551">
            <v>500001</v>
          </cell>
          <cell r="J551" t="str">
            <v>Fornecedores</v>
          </cell>
          <cell r="K551">
            <v>600017</v>
          </cell>
          <cell r="L551">
            <v>-1</v>
          </cell>
        </row>
        <row r="552">
          <cell r="B552" t="str">
            <v>2.1.1.04.0341</v>
          </cell>
          <cell r="C552">
            <v>1250701</v>
          </cell>
          <cell r="D552" t="str">
            <v>CRISDINBASTOS LTDA</v>
          </cell>
          <cell r="E552" t="str">
            <v>A</v>
          </cell>
          <cell r="H552" t="str">
            <v>N/A</v>
          </cell>
          <cell r="I552">
            <v>500001</v>
          </cell>
          <cell r="J552" t="str">
            <v>Fornecedores</v>
          </cell>
          <cell r="K552">
            <v>600017</v>
          </cell>
          <cell r="L552">
            <v>-1</v>
          </cell>
        </row>
        <row r="553">
          <cell r="B553" t="str">
            <v>2.1.1.04.0342</v>
          </cell>
          <cell r="C553">
            <v>3623409</v>
          </cell>
          <cell r="D553" t="str">
            <v>BAZAR FLOR DO ACRE LTDA</v>
          </cell>
          <cell r="E553" t="str">
            <v>A</v>
          </cell>
          <cell r="H553" t="str">
            <v>N/A</v>
          </cell>
          <cell r="I553">
            <v>500001</v>
          </cell>
          <cell r="J553" t="str">
            <v>Fornecedores</v>
          </cell>
          <cell r="K553">
            <v>600017</v>
          </cell>
          <cell r="L553">
            <v>-1</v>
          </cell>
        </row>
        <row r="554">
          <cell r="B554" t="str">
            <v>2.1.1.04.0343</v>
          </cell>
          <cell r="C554" t="str">
            <v>00673757/0001-46</v>
          </cell>
          <cell r="D554" t="str">
            <v>INFNET EDUCACAO LTDA</v>
          </cell>
          <cell r="E554" t="str">
            <v>A</v>
          </cell>
          <cell r="H554" t="str">
            <v>N/A</v>
          </cell>
          <cell r="I554">
            <v>500001</v>
          </cell>
          <cell r="J554" t="str">
            <v>Fornecedores</v>
          </cell>
          <cell r="K554">
            <v>600017</v>
          </cell>
          <cell r="L554">
            <v>-1</v>
          </cell>
        </row>
        <row r="555">
          <cell r="B555" t="str">
            <v>2.1.1.04.0344</v>
          </cell>
          <cell r="C555" t="str">
            <v>04927672/0001-06</v>
          </cell>
          <cell r="D555" t="str">
            <v>SC&amp;M COMER. DE MAT. DE ESCR. E INFO. LT</v>
          </cell>
          <cell r="E555" t="str">
            <v>A</v>
          </cell>
          <cell r="H555" t="str">
            <v>N/A</v>
          </cell>
          <cell r="I555">
            <v>500001</v>
          </cell>
          <cell r="J555" t="str">
            <v>Fornecedores</v>
          </cell>
          <cell r="K555">
            <v>600017</v>
          </cell>
          <cell r="L555">
            <v>-1</v>
          </cell>
        </row>
        <row r="556">
          <cell r="B556" t="str">
            <v>2.1.1.04.0345</v>
          </cell>
          <cell r="C556" t="str">
            <v>02309765/0001-03</v>
          </cell>
          <cell r="D556" t="str">
            <v>EGIDE COM. DE VEST. E ELETROD. LTDA</v>
          </cell>
          <cell r="E556" t="str">
            <v>A</v>
          </cell>
          <cell r="H556" t="str">
            <v>N/A</v>
          </cell>
          <cell r="I556">
            <v>500001</v>
          </cell>
          <cell r="J556" t="str">
            <v>Fornecedores</v>
          </cell>
          <cell r="K556">
            <v>600017</v>
          </cell>
          <cell r="L556">
            <v>-1</v>
          </cell>
        </row>
        <row r="557">
          <cell r="B557" t="str">
            <v>2.1.1.04.0346</v>
          </cell>
          <cell r="C557" t="str">
            <v>30069850/0001-07</v>
          </cell>
          <cell r="D557" t="str">
            <v>MAXPEL DIST. DE INFORM. E PAPELARIA LTDA</v>
          </cell>
          <cell r="E557" t="str">
            <v>A</v>
          </cell>
          <cell r="H557" t="str">
            <v>N/A</v>
          </cell>
          <cell r="I557">
            <v>500001</v>
          </cell>
          <cell r="J557" t="str">
            <v>Fornecedores</v>
          </cell>
          <cell r="K557">
            <v>600017</v>
          </cell>
          <cell r="L557">
            <v>-1</v>
          </cell>
        </row>
        <row r="558">
          <cell r="B558" t="str">
            <v>2.1.1.04.0347</v>
          </cell>
          <cell r="C558" t="str">
            <v>03420926/0058-60</v>
          </cell>
          <cell r="D558" t="str">
            <v>GLOBAL VILLAGE TELECOM LTDA</v>
          </cell>
          <cell r="E558" t="str">
            <v>A</v>
          </cell>
          <cell r="H558" t="str">
            <v>N/A</v>
          </cell>
          <cell r="I558">
            <v>500001</v>
          </cell>
          <cell r="J558" t="str">
            <v>Fornecedores</v>
          </cell>
          <cell r="K558">
            <v>600017</v>
          </cell>
          <cell r="L558">
            <v>-1</v>
          </cell>
        </row>
        <row r="559">
          <cell r="B559" t="str">
            <v>2.1.1.04.0348</v>
          </cell>
          <cell r="C559" t="str">
            <v>01085952/0001-18</v>
          </cell>
          <cell r="D559" t="str">
            <v>PRONTIDAO SERVICOS LTDA</v>
          </cell>
          <cell r="E559" t="str">
            <v>A</v>
          </cell>
          <cell r="H559" t="str">
            <v>N/A</v>
          </cell>
          <cell r="I559">
            <v>500001</v>
          </cell>
          <cell r="J559" t="str">
            <v>Fornecedores</v>
          </cell>
          <cell r="K559">
            <v>600017</v>
          </cell>
          <cell r="L559">
            <v>-1</v>
          </cell>
        </row>
        <row r="560">
          <cell r="B560" t="str">
            <v>2.1.1.04.0349</v>
          </cell>
          <cell r="C560" t="str">
            <v>11114463/0001-09</v>
          </cell>
          <cell r="D560" t="str">
            <v>GRAF EDIT FORMU CONTI E ETIQUE F&amp;F LTDA</v>
          </cell>
          <cell r="E560" t="str">
            <v>A</v>
          </cell>
          <cell r="H560" t="str">
            <v>N/A</v>
          </cell>
          <cell r="I560">
            <v>500001</v>
          </cell>
          <cell r="J560" t="str">
            <v>Fornecedores</v>
          </cell>
          <cell r="K560">
            <v>600017</v>
          </cell>
          <cell r="L560">
            <v>-1</v>
          </cell>
        </row>
        <row r="561">
          <cell r="B561" t="str">
            <v>2.1.1.04.0350</v>
          </cell>
          <cell r="C561" t="str">
            <v>03620596/0012-73</v>
          </cell>
          <cell r="D561" t="str">
            <v>DIDICO COMERCIO CONSULTORIA</v>
          </cell>
          <cell r="E561" t="str">
            <v>A</v>
          </cell>
          <cell r="H561" t="str">
            <v>N/A</v>
          </cell>
          <cell r="I561">
            <v>500001</v>
          </cell>
          <cell r="J561" t="str">
            <v>Fornecedores</v>
          </cell>
          <cell r="K561">
            <v>600017</v>
          </cell>
          <cell r="L561">
            <v>-1</v>
          </cell>
        </row>
        <row r="562">
          <cell r="B562" t="str">
            <v>2.1.1.04.0351</v>
          </cell>
          <cell r="C562" t="str">
            <v>14314927/0001-00</v>
          </cell>
          <cell r="D562" t="str">
            <v>VEM QUE AQUI TEM INFORMATICA LTDA</v>
          </cell>
          <cell r="E562" t="str">
            <v>A</v>
          </cell>
          <cell r="H562" t="str">
            <v>N/A</v>
          </cell>
          <cell r="I562">
            <v>500001</v>
          </cell>
          <cell r="J562" t="str">
            <v>Fornecedores</v>
          </cell>
          <cell r="K562">
            <v>600017</v>
          </cell>
          <cell r="L562">
            <v>-1</v>
          </cell>
        </row>
        <row r="563">
          <cell r="B563" t="str">
            <v>2.1.1.04.0352</v>
          </cell>
          <cell r="C563" t="str">
            <v>33085796/0001-81</v>
          </cell>
          <cell r="D563" t="str">
            <v>FERRAGENS SCALEA LTDA</v>
          </cell>
          <cell r="E563" t="str">
            <v>A</v>
          </cell>
          <cell r="H563" t="str">
            <v>N/A</v>
          </cell>
          <cell r="I563">
            <v>500001</v>
          </cell>
          <cell r="J563" t="str">
            <v>Fornecedores</v>
          </cell>
          <cell r="K563">
            <v>600017</v>
          </cell>
          <cell r="L563">
            <v>-1</v>
          </cell>
        </row>
        <row r="564">
          <cell r="B564" t="str">
            <v>2.1.1.04.0353</v>
          </cell>
          <cell r="C564" t="str">
            <v>10979108/0001-21</v>
          </cell>
          <cell r="D564" t="str">
            <v>DHI BRASIL LTDA</v>
          </cell>
          <cell r="E564" t="str">
            <v>A</v>
          </cell>
          <cell r="H564" t="str">
            <v>N/A</v>
          </cell>
          <cell r="I564">
            <v>500001</v>
          </cell>
          <cell r="J564" t="str">
            <v>Fornecedores</v>
          </cell>
          <cell r="K564">
            <v>600017</v>
          </cell>
          <cell r="L564">
            <v>-1</v>
          </cell>
        </row>
        <row r="565">
          <cell r="B565" t="str">
            <v>2.1.1.04.0354</v>
          </cell>
          <cell r="C565" t="str">
            <v>05875886/0001-30</v>
          </cell>
          <cell r="D565" t="str">
            <v>MENEGHITTIS GRAFICA E EDITORA LTDA</v>
          </cell>
          <cell r="E565" t="str">
            <v>A</v>
          </cell>
          <cell r="H565" t="str">
            <v>N/A</v>
          </cell>
          <cell r="I565">
            <v>500001</v>
          </cell>
          <cell r="J565" t="str">
            <v>Fornecedores</v>
          </cell>
          <cell r="K565">
            <v>600017</v>
          </cell>
          <cell r="L565">
            <v>-1</v>
          </cell>
        </row>
        <row r="566">
          <cell r="B566" t="str">
            <v>2.1.1.04.0355</v>
          </cell>
          <cell r="C566" t="str">
            <v>01778924/0001-86</v>
          </cell>
          <cell r="D566" t="str">
            <v>GELSO ANTONIO LORENZI</v>
          </cell>
          <cell r="E566" t="str">
            <v>A</v>
          </cell>
          <cell r="H566" t="str">
            <v>N/A</v>
          </cell>
          <cell r="I566">
            <v>500001</v>
          </cell>
          <cell r="J566" t="str">
            <v>Fornecedores</v>
          </cell>
          <cell r="K566">
            <v>600017</v>
          </cell>
          <cell r="L566">
            <v>-1</v>
          </cell>
        </row>
        <row r="567">
          <cell r="B567" t="str">
            <v>2.1.1.04.0356</v>
          </cell>
          <cell r="C567" t="str">
            <v>07267692/0001-88</v>
          </cell>
          <cell r="D567" t="str">
            <v>TIMELINE LEARNING SYSTEMS COMP GRAF LTDA</v>
          </cell>
          <cell r="E567" t="str">
            <v>A</v>
          </cell>
          <cell r="H567" t="str">
            <v>N/A</v>
          </cell>
          <cell r="I567">
            <v>500001</v>
          </cell>
          <cell r="J567" t="str">
            <v>Fornecedores</v>
          </cell>
          <cell r="K567">
            <v>600017</v>
          </cell>
          <cell r="L567">
            <v>-1</v>
          </cell>
        </row>
        <row r="568">
          <cell r="B568" t="str">
            <v>2.1.1.04.0357</v>
          </cell>
          <cell r="C568" t="str">
            <v>02707366/0001-20</v>
          </cell>
          <cell r="D568" t="str">
            <v>AMS INFORMATICA LTDA</v>
          </cell>
          <cell r="E568" t="str">
            <v>A</v>
          </cell>
          <cell r="H568" t="str">
            <v>N/A</v>
          </cell>
          <cell r="I568">
            <v>500001</v>
          </cell>
          <cell r="J568" t="str">
            <v>Fornecedores</v>
          </cell>
          <cell r="K568">
            <v>600017</v>
          </cell>
          <cell r="L568">
            <v>-1</v>
          </cell>
        </row>
        <row r="569">
          <cell r="B569" t="str">
            <v>2.1.1.04.0358</v>
          </cell>
          <cell r="C569" t="str">
            <v>01398737/0001-77</v>
          </cell>
          <cell r="D569" t="str">
            <v>CURSO ADV LTDA</v>
          </cell>
          <cell r="E569" t="str">
            <v>A</v>
          </cell>
          <cell r="H569" t="str">
            <v>N/A</v>
          </cell>
          <cell r="I569">
            <v>500001</v>
          </cell>
          <cell r="J569" t="str">
            <v>Fornecedores</v>
          </cell>
          <cell r="K569">
            <v>600017</v>
          </cell>
          <cell r="L569">
            <v>-1</v>
          </cell>
        </row>
        <row r="570">
          <cell r="B570" t="str">
            <v>2.1.1.04.0359</v>
          </cell>
          <cell r="C570" t="str">
            <v>14208689/0001-59</v>
          </cell>
          <cell r="D570" t="str">
            <v>BARLOVENTO BRASIL ENERG RENOVAVEIS LTDA</v>
          </cell>
          <cell r="E570" t="str">
            <v>A</v>
          </cell>
          <cell r="H570" t="str">
            <v>N/A</v>
          </cell>
          <cell r="I570">
            <v>500001</v>
          </cell>
          <cell r="J570" t="str">
            <v>Fornecedores</v>
          </cell>
          <cell r="K570">
            <v>600017</v>
          </cell>
          <cell r="L570">
            <v>-1</v>
          </cell>
        </row>
        <row r="571">
          <cell r="B571" t="str">
            <v>2.1.1.04.0360</v>
          </cell>
          <cell r="C571" t="str">
            <v>14798807/0001-26</v>
          </cell>
          <cell r="D571" t="str">
            <v>GENEBRA RESTAURANTE LTDA</v>
          </cell>
          <cell r="E571" t="str">
            <v>A</v>
          </cell>
          <cell r="H571" t="str">
            <v>N/A</v>
          </cell>
          <cell r="I571">
            <v>500001</v>
          </cell>
          <cell r="J571" t="str">
            <v>Fornecedores</v>
          </cell>
          <cell r="K571">
            <v>600017</v>
          </cell>
          <cell r="L571">
            <v>-1</v>
          </cell>
        </row>
        <row r="572">
          <cell r="B572" t="str">
            <v>2.1.1.04.0361</v>
          </cell>
          <cell r="C572" t="str">
            <v>04073247/0001-99</v>
          </cell>
          <cell r="D572" t="str">
            <v>LEMA PROMOCOES E EVENTOS LTDA</v>
          </cell>
          <cell r="E572" t="str">
            <v>A</v>
          </cell>
          <cell r="H572" t="str">
            <v>N/A</v>
          </cell>
          <cell r="I572">
            <v>500001</v>
          </cell>
          <cell r="J572" t="str">
            <v>Fornecedores</v>
          </cell>
          <cell r="K572">
            <v>600017</v>
          </cell>
          <cell r="L572">
            <v>-1</v>
          </cell>
        </row>
        <row r="573">
          <cell r="B573" t="str">
            <v>2.1.1.04.0362</v>
          </cell>
          <cell r="C573" t="str">
            <v>08964597/0001-04</v>
          </cell>
          <cell r="D573" t="str">
            <v>REPUBLICA DO SOM ELETRONICA LTDA</v>
          </cell>
          <cell r="E573" t="str">
            <v>A</v>
          </cell>
          <cell r="H573" t="str">
            <v>N/A</v>
          </cell>
          <cell r="I573">
            <v>500001</v>
          </cell>
          <cell r="J573" t="str">
            <v>Fornecedores</v>
          </cell>
          <cell r="K573">
            <v>600017</v>
          </cell>
          <cell r="L573">
            <v>-1</v>
          </cell>
        </row>
        <row r="574">
          <cell r="B574" t="str">
            <v>2.1.1.04.0363</v>
          </cell>
          <cell r="C574" t="str">
            <v>51536795/0001-98</v>
          </cell>
          <cell r="D574" t="str">
            <v>SANTIAGO &amp; CINTRA IMPORT E EXPORT LTDA</v>
          </cell>
          <cell r="E574" t="str">
            <v>A</v>
          </cell>
          <cell r="H574" t="str">
            <v>N/A</v>
          </cell>
          <cell r="I574">
            <v>500001</v>
          </cell>
          <cell r="J574" t="str">
            <v>Fornecedores</v>
          </cell>
          <cell r="K574">
            <v>600017</v>
          </cell>
          <cell r="L574">
            <v>-1</v>
          </cell>
        </row>
        <row r="575">
          <cell r="B575" t="str">
            <v>2.1.1.04.0364</v>
          </cell>
          <cell r="C575" t="str">
            <v>0448141/0001-52</v>
          </cell>
          <cell r="D575" t="str">
            <v>IGUACU TUR AGENC DE VIAG E TUR LTDA</v>
          </cell>
          <cell r="E575" t="str">
            <v>A</v>
          </cell>
          <cell r="H575" t="str">
            <v>N/A</v>
          </cell>
          <cell r="I575">
            <v>500001</v>
          </cell>
          <cell r="J575" t="str">
            <v>Fornecedores</v>
          </cell>
          <cell r="K575">
            <v>600017</v>
          </cell>
          <cell r="L575">
            <v>-1</v>
          </cell>
        </row>
        <row r="576">
          <cell r="B576" t="str">
            <v>2.1.1.04.0365</v>
          </cell>
          <cell r="C576">
            <v>32578387000154</v>
          </cell>
          <cell r="D576" t="str">
            <v>UNITECH-RIO COM. E SERV. LTDA</v>
          </cell>
          <cell r="E576" t="str">
            <v>A</v>
          </cell>
          <cell r="H576" t="str">
            <v>N/A</v>
          </cell>
          <cell r="I576">
            <v>500001</v>
          </cell>
          <cell r="J576" t="str">
            <v>Fornecedores</v>
          </cell>
          <cell r="K576">
            <v>600017</v>
          </cell>
          <cell r="L576">
            <v>-1</v>
          </cell>
        </row>
        <row r="577">
          <cell r="B577" t="str">
            <v>2.1.1.04.0366</v>
          </cell>
          <cell r="C577" t="str">
            <v>01797423/0001-47</v>
          </cell>
          <cell r="D577" t="str">
            <v>GHS INDUSTRIA E SERVICOS LTDA</v>
          </cell>
          <cell r="E577" t="str">
            <v>A</v>
          </cell>
          <cell r="H577" t="str">
            <v>N/A</v>
          </cell>
          <cell r="I577">
            <v>500001</v>
          </cell>
          <cell r="J577" t="str">
            <v>Fornecedores</v>
          </cell>
          <cell r="K577">
            <v>600017</v>
          </cell>
          <cell r="L577">
            <v>-1</v>
          </cell>
        </row>
        <row r="578">
          <cell r="B578" t="str">
            <v>2.1.1.04.0367</v>
          </cell>
          <cell r="C578" t="str">
            <v>05777480/0001-15</v>
          </cell>
          <cell r="D578" t="str">
            <v>JBP DOMINICI ME</v>
          </cell>
          <cell r="E578" t="str">
            <v>A</v>
          </cell>
          <cell r="H578" t="str">
            <v>N/A</v>
          </cell>
          <cell r="I578">
            <v>500001</v>
          </cell>
          <cell r="J578" t="str">
            <v>Fornecedores</v>
          </cell>
          <cell r="K578">
            <v>600017</v>
          </cell>
          <cell r="L578">
            <v>-1</v>
          </cell>
        </row>
        <row r="579">
          <cell r="B579" t="str">
            <v>2.1.1.04.0368</v>
          </cell>
          <cell r="C579" t="str">
            <v>53828620/0001-80</v>
          </cell>
          <cell r="D579" t="str">
            <v>SOCIEDADE BRASILEIRA DE ICTIOLOGIA</v>
          </cell>
          <cell r="E579" t="str">
            <v>A</v>
          </cell>
          <cell r="H579" t="str">
            <v>N/A</v>
          </cell>
          <cell r="I579">
            <v>500001</v>
          </cell>
          <cell r="J579" t="str">
            <v>Fornecedores</v>
          </cell>
          <cell r="K579">
            <v>600017</v>
          </cell>
          <cell r="L579">
            <v>-1</v>
          </cell>
        </row>
        <row r="580">
          <cell r="B580" t="str">
            <v>2.1.1.04.0369</v>
          </cell>
          <cell r="C580" t="str">
            <v>16687498/0001-42</v>
          </cell>
          <cell r="D580" t="str">
            <v>PEX SA</v>
          </cell>
          <cell r="E580" t="str">
            <v>A</v>
          </cell>
          <cell r="H580" t="str">
            <v>N/A</v>
          </cell>
          <cell r="I580">
            <v>500001</v>
          </cell>
          <cell r="J580" t="str">
            <v>Fornecedores</v>
          </cell>
          <cell r="K580">
            <v>600017</v>
          </cell>
          <cell r="L580">
            <v>-1</v>
          </cell>
        </row>
        <row r="581">
          <cell r="B581" t="str">
            <v>2.1.1.04.0370</v>
          </cell>
          <cell r="C581" t="str">
            <v>05824164/0001-28</v>
          </cell>
          <cell r="D581" t="str">
            <v>IBDE INST BRAS DE EST DIREITO ENERGIA</v>
          </cell>
          <cell r="E581" t="str">
            <v>A</v>
          </cell>
          <cell r="H581" t="str">
            <v>N/A</v>
          </cell>
          <cell r="I581">
            <v>500001</v>
          </cell>
          <cell r="J581" t="str">
            <v>Fornecedores</v>
          </cell>
          <cell r="K581">
            <v>600017</v>
          </cell>
          <cell r="L581">
            <v>-1</v>
          </cell>
        </row>
        <row r="582">
          <cell r="B582" t="str">
            <v>2.1.1.04.0371</v>
          </cell>
          <cell r="C582" t="str">
            <v>08311546/0001-75</v>
          </cell>
          <cell r="D582" t="str">
            <v>FRAGMEUSER COM D MAQ E EQUIP D ESCR LTDA</v>
          </cell>
          <cell r="E582" t="str">
            <v>A</v>
          </cell>
          <cell r="H582" t="str">
            <v>N/A</v>
          </cell>
          <cell r="I582">
            <v>500001</v>
          </cell>
          <cell r="J582" t="str">
            <v>Fornecedores</v>
          </cell>
          <cell r="K582">
            <v>600017</v>
          </cell>
          <cell r="L582">
            <v>-1</v>
          </cell>
        </row>
        <row r="583">
          <cell r="B583" t="str">
            <v>2.1.1.04.0372</v>
          </cell>
          <cell r="C583" t="str">
            <v>10830126/000147</v>
          </cell>
          <cell r="D583" t="str">
            <v>RESOLUTION CONSUL EM GEST EMPRE E TECN D</v>
          </cell>
          <cell r="E583" t="str">
            <v>A</v>
          </cell>
          <cell r="H583" t="str">
            <v>N/A</v>
          </cell>
          <cell r="I583">
            <v>500001</v>
          </cell>
          <cell r="J583" t="str">
            <v>Fornecedores</v>
          </cell>
          <cell r="K583">
            <v>600017</v>
          </cell>
          <cell r="L583">
            <v>-1</v>
          </cell>
        </row>
        <row r="584">
          <cell r="B584" t="str">
            <v>2.1.1.04.0373</v>
          </cell>
          <cell r="C584" t="str">
            <v>33769639/000195</v>
          </cell>
          <cell r="D584" t="str">
            <v>ELETRICA SANTO MICHELE LTDA</v>
          </cell>
          <cell r="E584" t="str">
            <v>A</v>
          </cell>
          <cell r="H584" t="str">
            <v>N/A</v>
          </cell>
          <cell r="I584">
            <v>500001</v>
          </cell>
          <cell r="J584" t="str">
            <v>Fornecedores</v>
          </cell>
          <cell r="K584">
            <v>600017</v>
          </cell>
          <cell r="L584">
            <v>-1</v>
          </cell>
        </row>
        <row r="585">
          <cell r="B585" t="str">
            <v>2.1.1.04.0374</v>
          </cell>
          <cell r="C585" t="str">
            <v>04325027/0001-05</v>
          </cell>
          <cell r="D585" t="str">
            <v>CALIFORNIA 2001 INFO E MAT LIMPEZA LTDA</v>
          </cell>
          <cell r="E585" t="str">
            <v>A</v>
          </cell>
          <cell r="H585" t="str">
            <v>N/A</v>
          </cell>
          <cell r="I585">
            <v>500001</v>
          </cell>
          <cell r="J585" t="str">
            <v>Fornecedores</v>
          </cell>
          <cell r="K585">
            <v>600017</v>
          </cell>
          <cell r="L585">
            <v>-1</v>
          </cell>
        </row>
        <row r="586">
          <cell r="B586" t="str">
            <v>2.1.1.04.0375</v>
          </cell>
          <cell r="C586" t="str">
            <v>08794730/0001-13</v>
          </cell>
          <cell r="D586" t="str">
            <v>RIOOFFSITE SERVICOS DE FITOTECA LTDA</v>
          </cell>
          <cell r="E586" t="str">
            <v>A</v>
          </cell>
          <cell r="H586" t="str">
            <v>N/A</v>
          </cell>
          <cell r="I586">
            <v>500001</v>
          </cell>
          <cell r="J586" t="str">
            <v>Fornecedores</v>
          </cell>
          <cell r="K586">
            <v>600017</v>
          </cell>
          <cell r="L586">
            <v>-1</v>
          </cell>
        </row>
        <row r="587">
          <cell r="B587" t="str">
            <v>2.1.1.04.0376</v>
          </cell>
          <cell r="C587" t="str">
            <v>62916366/0001-62</v>
          </cell>
          <cell r="D587" t="str">
            <v>SOCIEDADE BRASILEIRA DE GEOLOGIA</v>
          </cell>
          <cell r="E587" t="str">
            <v>A</v>
          </cell>
          <cell r="H587" t="str">
            <v>N/A</v>
          </cell>
          <cell r="I587">
            <v>500001</v>
          </cell>
          <cell r="J587" t="str">
            <v>Fornecedores</v>
          </cell>
          <cell r="K587">
            <v>600017</v>
          </cell>
          <cell r="L587">
            <v>-1</v>
          </cell>
        </row>
        <row r="588">
          <cell r="B588" t="str">
            <v>2.1.1.04.0377</v>
          </cell>
          <cell r="C588" t="str">
            <v>10787431/0001-01</v>
          </cell>
          <cell r="D588" t="str">
            <v>INTITUTO BESC DE HUMANIDADE E ECONOMIA</v>
          </cell>
          <cell r="E588" t="str">
            <v>A</v>
          </cell>
          <cell r="H588" t="str">
            <v>N/A</v>
          </cell>
          <cell r="I588">
            <v>500001</v>
          </cell>
          <cell r="J588" t="str">
            <v>Fornecedores</v>
          </cell>
          <cell r="K588">
            <v>600017</v>
          </cell>
          <cell r="L588">
            <v>-1</v>
          </cell>
        </row>
        <row r="589">
          <cell r="B589" t="str">
            <v>2.1.1.04.0378</v>
          </cell>
          <cell r="C589" t="str">
            <v>00771775/0001-60</v>
          </cell>
          <cell r="D589" t="str">
            <v>JOBAF REFORMAS DE MOVEIS LTDA</v>
          </cell>
          <cell r="E589" t="str">
            <v>A</v>
          </cell>
          <cell r="H589" t="str">
            <v>N/A</v>
          </cell>
          <cell r="I589">
            <v>500001</v>
          </cell>
          <cell r="J589" t="str">
            <v>Fornecedores</v>
          </cell>
          <cell r="K589">
            <v>600017</v>
          </cell>
          <cell r="L589">
            <v>-1</v>
          </cell>
        </row>
        <row r="590">
          <cell r="B590" t="str">
            <v>2.1.1.04.0379</v>
          </cell>
          <cell r="C590" t="str">
            <v>13293067/0001-03</v>
          </cell>
          <cell r="D590" t="str">
            <v>MC QUILLING BRASIL SERV MARITIMOS LTDA</v>
          </cell>
          <cell r="E590" t="str">
            <v>A</v>
          </cell>
          <cell r="H590" t="str">
            <v>N/A</v>
          </cell>
          <cell r="I590">
            <v>500001</v>
          </cell>
          <cell r="J590" t="str">
            <v>Fornecedores</v>
          </cell>
          <cell r="K590">
            <v>600017</v>
          </cell>
          <cell r="L590">
            <v>-1</v>
          </cell>
        </row>
        <row r="591">
          <cell r="B591" t="str">
            <v>2.1.1.04.0380</v>
          </cell>
          <cell r="C591" t="str">
            <v>07668045/0001-88</v>
          </cell>
          <cell r="D591" t="str">
            <v>IMAGEM SISTEMAS DE INFORMACOES LTDA</v>
          </cell>
          <cell r="E591" t="str">
            <v>A</v>
          </cell>
          <cell r="H591" t="str">
            <v>N/A</v>
          </cell>
          <cell r="I591">
            <v>500001</v>
          </cell>
          <cell r="J591" t="str">
            <v>Fornecedores</v>
          </cell>
          <cell r="K591">
            <v>600017</v>
          </cell>
          <cell r="L591">
            <v>-1</v>
          </cell>
        </row>
        <row r="592">
          <cell r="B592" t="str">
            <v>2.1.1.04.0381</v>
          </cell>
          <cell r="C592" t="str">
            <v>14132747/0001-08</v>
          </cell>
          <cell r="D592" t="str">
            <v>ESCOLA DE AUDIT E GOVER CORPORATIVA LTDA</v>
          </cell>
          <cell r="E592" t="str">
            <v>A</v>
          </cell>
          <cell r="H592" t="str">
            <v>N/A</v>
          </cell>
          <cell r="I592">
            <v>500001</v>
          </cell>
          <cell r="J592" t="str">
            <v>Fornecedores</v>
          </cell>
          <cell r="K592">
            <v>600017</v>
          </cell>
          <cell r="L592">
            <v>-1</v>
          </cell>
        </row>
        <row r="593">
          <cell r="B593" t="str">
            <v>2.1.1.04.0382</v>
          </cell>
          <cell r="C593" t="str">
            <v>02317176/0001-05</v>
          </cell>
          <cell r="D593" t="str">
            <v>ESCOLA DE ADMINISTRACAO FAZENDARIA</v>
          </cell>
          <cell r="E593" t="str">
            <v>A</v>
          </cell>
          <cell r="H593" t="str">
            <v>N/A</v>
          </cell>
          <cell r="I593">
            <v>500001</v>
          </cell>
          <cell r="J593" t="str">
            <v>Fornecedores</v>
          </cell>
          <cell r="K593">
            <v>600017</v>
          </cell>
          <cell r="L593">
            <v>-1</v>
          </cell>
        </row>
        <row r="594">
          <cell r="B594" t="str">
            <v>2.1.1.04.0383</v>
          </cell>
          <cell r="C594" t="str">
            <v>06952344/000187</v>
          </cell>
          <cell r="D594" t="str">
            <v>CONSULTOC-CONSULTORIA E TREINAMENTO LTDA</v>
          </cell>
          <cell r="E594" t="str">
            <v>A</v>
          </cell>
          <cell r="H594" t="str">
            <v>N/A</v>
          </cell>
          <cell r="I594">
            <v>500001</v>
          </cell>
          <cell r="J594" t="str">
            <v>Fornecedores</v>
          </cell>
          <cell r="K594">
            <v>600017</v>
          </cell>
          <cell r="L594">
            <v>-1</v>
          </cell>
        </row>
        <row r="595">
          <cell r="B595" t="str">
            <v>2.1.1.04.0384</v>
          </cell>
          <cell r="C595" t="str">
            <v>06229883/0001-92</v>
          </cell>
          <cell r="D595" t="str">
            <v>QUANTUM DO BRASIL LTDA</v>
          </cell>
          <cell r="E595" t="str">
            <v>A</v>
          </cell>
          <cell r="H595" t="str">
            <v>N/A</v>
          </cell>
          <cell r="I595">
            <v>500001</v>
          </cell>
          <cell r="J595" t="str">
            <v>Fornecedores</v>
          </cell>
          <cell r="K595">
            <v>600017</v>
          </cell>
          <cell r="L595">
            <v>-1</v>
          </cell>
        </row>
        <row r="596">
          <cell r="B596" t="str">
            <v>2.1.1.04.0385</v>
          </cell>
          <cell r="C596">
            <v>14084391000184</v>
          </cell>
          <cell r="D596" t="str">
            <v>INSTITUTO CAPACITAR DE EDUCACAO PROF</v>
          </cell>
          <cell r="E596" t="str">
            <v>A</v>
          </cell>
          <cell r="H596" t="str">
            <v>N/A</v>
          </cell>
          <cell r="I596">
            <v>500001</v>
          </cell>
          <cell r="J596" t="str">
            <v>Fornecedores</v>
          </cell>
          <cell r="K596">
            <v>600017</v>
          </cell>
          <cell r="L596">
            <v>-1</v>
          </cell>
        </row>
        <row r="597">
          <cell r="B597" t="str">
            <v>2.1.1.04.0386</v>
          </cell>
          <cell r="C597" t="str">
            <v>13242948/0001-03</v>
          </cell>
          <cell r="D597" t="str">
            <v>DATAGRO MARKETS DADOS E ANALISES LTDA</v>
          </cell>
          <cell r="E597" t="str">
            <v>A</v>
          </cell>
          <cell r="H597" t="str">
            <v>N/A</v>
          </cell>
          <cell r="I597">
            <v>500001</v>
          </cell>
          <cell r="J597" t="str">
            <v>Fornecedores</v>
          </cell>
          <cell r="K597">
            <v>600017</v>
          </cell>
          <cell r="L597">
            <v>-1</v>
          </cell>
        </row>
        <row r="598">
          <cell r="B598" t="str">
            <v>2.1.1.04.0387</v>
          </cell>
          <cell r="C598" t="str">
            <v>66542002/0017-88</v>
          </cell>
          <cell r="D598" t="str">
            <v>BLUE TREE HOTELS &amp; RESORTS DO BRASIL S.A</v>
          </cell>
          <cell r="E598" t="str">
            <v>A</v>
          </cell>
          <cell r="H598" t="str">
            <v>N/A</v>
          </cell>
          <cell r="I598">
            <v>500001</v>
          </cell>
          <cell r="J598" t="str">
            <v>Fornecedores</v>
          </cell>
          <cell r="K598">
            <v>600017</v>
          </cell>
          <cell r="L598">
            <v>-1</v>
          </cell>
        </row>
        <row r="599">
          <cell r="B599" t="str">
            <v>2.1.1.04.0388</v>
          </cell>
          <cell r="C599" t="str">
            <v>73681603/0001-70</v>
          </cell>
          <cell r="D599" t="str">
            <v>NEO CARE CONSUL INFANTIL LTDA</v>
          </cell>
          <cell r="E599" t="str">
            <v>A</v>
          </cell>
          <cell r="H599" t="str">
            <v>N/A</v>
          </cell>
          <cell r="I599">
            <v>500001</v>
          </cell>
          <cell r="J599" t="str">
            <v>Fornecedores</v>
          </cell>
          <cell r="K599">
            <v>600017</v>
          </cell>
          <cell r="L599">
            <v>-1</v>
          </cell>
        </row>
        <row r="600">
          <cell r="B600" t="str">
            <v>2.1.1.04.0389</v>
          </cell>
          <cell r="C600" t="str">
            <v>08493691/0001-14</v>
          </cell>
          <cell r="D600" t="str">
            <v>FLAMAM IND E COM DE FILTROS INDUS LTDA</v>
          </cell>
          <cell r="E600" t="str">
            <v>A</v>
          </cell>
          <cell r="H600" t="str">
            <v>N/A</v>
          </cell>
          <cell r="I600">
            <v>500001</v>
          </cell>
          <cell r="J600" t="str">
            <v>Fornecedores</v>
          </cell>
          <cell r="K600">
            <v>600017</v>
          </cell>
          <cell r="L600">
            <v>-1</v>
          </cell>
        </row>
        <row r="601">
          <cell r="B601" t="str">
            <v>2.1.1.04.0390</v>
          </cell>
          <cell r="C601" t="str">
            <v>04629369/000119</v>
          </cell>
          <cell r="D601" t="str">
            <v>CA SIMPLES COMERCIO E TECNOLOGIA LTDA</v>
          </cell>
          <cell r="E601" t="str">
            <v>A</v>
          </cell>
          <cell r="H601" t="str">
            <v>N/A</v>
          </cell>
          <cell r="I601">
            <v>500001</v>
          </cell>
          <cell r="J601" t="str">
            <v>Fornecedores</v>
          </cell>
          <cell r="K601">
            <v>600017</v>
          </cell>
          <cell r="L601">
            <v>-1</v>
          </cell>
        </row>
        <row r="602">
          <cell r="B602" t="str">
            <v>2.1.1.04.0391</v>
          </cell>
          <cell r="C602" t="str">
            <v>14242413/000197</v>
          </cell>
          <cell r="D602" t="str">
            <v>GL GARRAD HASSAN ENER RENOVAVEL BR LTDA</v>
          </cell>
          <cell r="E602" t="str">
            <v>A</v>
          </cell>
          <cell r="H602" t="str">
            <v>N/A</v>
          </cell>
          <cell r="I602">
            <v>500001</v>
          </cell>
          <cell r="J602" t="str">
            <v>Fornecedores</v>
          </cell>
          <cell r="K602">
            <v>600017</v>
          </cell>
          <cell r="L602">
            <v>-1</v>
          </cell>
        </row>
        <row r="603">
          <cell r="B603" t="str">
            <v>2.1.1.04.0392</v>
          </cell>
          <cell r="C603" t="str">
            <v>32059016/0001-66</v>
          </cell>
          <cell r="D603" t="str">
            <v>ENGEPLAC SIST DE COM VISU LTDA</v>
          </cell>
          <cell r="E603" t="str">
            <v>A</v>
          </cell>
          <cell r="H603" t="str">
            <v>N/A</v>
          </cell>
          <cell r="I603">
            <v>500001</v>
          </cell>
          <cell r="J603" t="str">
            <v>Fornecedores</v>
          </cell>
          <cell r="K603">
            <v>600017</v>
          </cell>
          <cell r="L603">
            <v>-1</v>
          </cell>
        </row>
        <row r="604">
          <cell r="B604" t="str">
            <v>2.1.1.04.0393</v>
          </cell>
          <cell r="C604" t="str">
            <v>13425600/0001-43</v>
          </cell>
          <cell r="D604" t="str">
            <v>SAID AUDIOVISUAL LOC DE EQUI P/ TRAD SIM</v>
          </cell>
          <cell r="E604" t="str">
            <v>A</v>
          </cell>
          <cell r="H604" t="str">
            <v>N/A</v>
          </cell>
          <cell r="I604">
            <v>500001</v>
          </cell>
          <cell r="J604" t="str">
            <v>Fornecedores</v>
          </cell>
          <cell r="K604">
            <v>600017</v>
          </cell>
          <cell r="L604">
            <v>-1</v>
          </cell>
        </row>
        <row r="605">
          <cell r="B605" t="str">
            <v>2.1.1.04.0394</v>
          </cell>
          <cell r="C605" t="str">
            <v>11290557/0001-20</v>
          </cell>
          <cell r="D605" t="str">
            <v>FRANCA COM DE ELTR IMP E EXP</v>
          </cell>
          <cell r="E605" t="str">
            <v>A</v>
          </cell>
          <cell r="H605" t="str">
            <v>N/A</v>
          </cell>
          <cell r="I605">
            <v>500001</v>
          </cell>
          <cell r="J605" t="str">
            <v>Fornecedores</v>
          </cell>
          <cell r="K605">
            <v>600017</v>
          </cell>
          <cell r="L605">
            <v>-1</v>
          </cell>
        </row>
        <row r="606">
          <cell r="B606" t="str">
            <v>2.1.1.04.0395</v>
          </cell>
          <cell r="C606" t="str">
            <v>28948222/0001-50</v>
          </cell>
          <cell r="D606" t="str">
            <v>PAPELARIA ZAP LTDA</v>
          </cell>
          <cell r="E606" t="str">
            <v>A</v>
          </cell>
          <cell r="H606" t="str">
            <v>N/A</v>
          </cell>
          <cell r="I606">
            <v>500001</v>
          </cell>
          <cell r="J606" t="str">
            <v>Fornecedores</v>
          </cell>
          <cell r="K606">
            <v>600017</v>
          </cell>
          <cell r="L606">
            <v>-1</v>
          </cell>
        </row>
        <row r="607">
          <cell r="B607" t="str">
            <v>2.1.1.04.0396</v>
          </cell>
          <cell r="C607" t="str">
            <v>87270690/0001-87</v>
          </cell>
          <cell r="D607" t="str">
            <v>COMERCIO DE APAR MUSICAIS MIL SONS LTDA</v>
          </cell>
          <cell r="E607" t="str">
            <v>A</v>
          </cell>
          <cell r="H607" t="str">
            <v>N/A</v>
          </cell>
          <cell r="I607">
            <v>500001</v>
          </cell>
          <cell r="J607" t="str">
            <v>Fornecedores</v>
          </cell>
          <cell r="K607">
            <v>600017</v>
          </cell>
          <cell r="L607">
            <v>-1</v>
          </cell>
        </row>
        <row r="608">
          <cell r="B608" t="str">
            <v>2.1.1.04.0397</v>
          </cell>
          <cell r="C608" t="str">
            <v>08463170/0003-86</v>
          </cell>
          <cell r="D608" t="str">
            <v>EDITORA WMF MARTINS FONTES LTDA</v>
          </cell>
          <cell r="E608" t="str">
            <v>A</v>
          </cell>
          <cell r="H608" t="str">
            <v>N/A</v>
          </cell>
          <cell r="I608">
            <v>500001</v>
          </cell>
          <cell r="J608" t="str">
            <v>Fornecedores</v>
          </cell>
          <cell r="K608">
            <v>600017</v>
          </cell>
          <cell r="L608">
            <v>-1</v>
          </cell>
        </row>
        <row r="609">
          <cell r="B609" t="str">
            <v>2.1.1.04.0398</v>
          </cell>
          <cell r="C609" t="str">
            <v>32578387/0001-54</v>
          </cell>
          <cell r="D609" t="str">
            <v>UNITECH RIO COMERCIO E SERV LTDA</v>
          </cell>
          <cell r="E609" t="str">
            <v>A</v>
          </cell>
          <cell r="H609" t="str">
            <v>N/A</v>
          </cell>
          <cell r="I609">
            <v>500001</v>
          </cell>
          <cell r="J609" t="str">
            <v>Fornecedores</v>
          </cell>
          <cell r="K609">
            <v>600017</v>
          </cell>
          <cell r="L609">
            <v>-1</v>
          </cell>
        </row>
        <row r="610">
          <cell r="B610" t="str">
            <v>2.1.1.04.0399</v>
          </cell>
          <cell r="C610" t="str">
            <v>07661783/0001-01</v>
          </cell>
          <cell r="D610" t="str">
            <v>AGC RIO FRETAMENTO E TURISMO LTDA</v>
          </cell>
          <cell r="E610" t="str">
            <v>A</v>
          </cell>
          <cell r="H610" t="str">
            <v>N/A</v>
          </cell>
          <cell r="I610">
            <v>500001</v>
          </cell>
          <cell r="J610" t="str">
            <v>Fornecedores</v>
          </cell>
          <cell r="K610">
            <v>600017</v>
          </cell>
          <cell r="L610">
            <v>-1</v>
          </cell>
        </row>
        <row r="611">
          <cell r="B611" t="str">
            <v>2.1.1.04.0400</v>
          </cell>
          <cell r="C611" t="str">
            <v>27158039/0001-98</v>
          </cell>
          <cell r="D611" t="str">
            <v>AGEL COP SERVICOS GERAIS LTDA</v>
          </cell>
          <cell r="E611" t="str">
            <v>A</v>
          </cell>
          <cell r="H611" t="str">
            <v>N/A</v>
          </cell>
          <cell r="I611">
            <v>500001</v>
          </cell>
          <cell r="J611" t="str">
            <v>Fornecedores</v>
          </cell>
          <cell r="K611">
            <v>600017</v>
          </cell>
          <cell r="L611">
            <v>-1</v>
          </cell>
        </row>
        <row r="612">
          <cell r="B612" t="str">
            <v>2.1.1.04.0401</v>
          </cell>
          <cell r="C612" t="str">
            <v>01000601/0001-57</v>
          </cell>
          <cell r="D612" t="str">
            <v>KAHN CONSULTORIA E TREINAMENTO</v>
          </cell>
          <cell r="E612" t="str">
            <v>A</v>
          </cell>
          <cell r="H612" t="str">
            <v>N/A</v>
          </cell>
          <cell r="I612">
            <v>500001</v>
          </cell>
          <cell r="J612" t="str">
            <v>Fornecedores</v>
          </cell>
          <cell r="K612">
            <v>600017</v>
          </cell>
          <cell r="L612">
            <v>-1</v>
          </cell>
        </row>
        <row r="613">
          <cell r="B613" t="str">
            <v>2.1.1.04.0402</v>
          </cell>
          <cell r="C613" t="str">
            <v>07797967/0001-95</v>
          </cell>
          <cell r="D613" t="str">
            <v>NP-EVENTOS E SERVICOS LTDA</v>
          </cell>
          <cell r="E613" t="str">
            <v>A</v>
          </cell>
          <cell r="H613" t="str">
            <v>N/A</v>
          </cell>
          <cell r="I613">
            <v>500001</v>
          </cell>
          <cell r="J613" t="str">
            <v>Fornecedores</v>
          </cell>
          <cell r="K613">
            <v>600017</v>
          </cell>
          <cell r="L613">
            <v>-1</v>
          </cell>
        </row>
        <row r="614">
          <cell r="B614" t="str">
            <v>2.1.1.04.0403</v>
          </cell>
          <cell r="C614" t="str">
            <v>54394630/0002-06</v>
          </cell>
          <cell r="D614" t="str">
            <v>SERVICES LIVRARIA E EDITORA LTDA</v>
          </cell>
          <cell r="E614" t="str">
            <v>A</v>
          </cell>
          <cell r="H614" t="str">
            <v>N/A</v>
          </cell>
          <cell r="I614">
            <v>500001</v>
          </cell>
          <cell r="J614" t="str">
            <v>Fornecedores</v>
          </cell>
          <cell r="K614">
            <v>600017</v>
          </cell>
          <cell r="L614">
            <v>-1</v>
          </cell>
        </row>
        <row r="615">
          <cell r="B615" t="str">
            <v>2.1.1.04.0404</v>
          </cell>
          <cell r="C615" t="str">
            <v>02660104/0001-58</v>
          </cell>
          <cell r="D615" t="str">
            <v>LOGUS DETETIZADORA LTDA</v>
          </cell>
          <cell r="E615" t="str">
            <v>A</v>
          </cell>
          <cell r="H615" t="str">
            <v>N/A</v>
          </cell>
          <cell r="I615">
            <v>500001</v>
          </cell>
          <cell r="J615" t="str">
            <v>Fornecedores</v>
          </cell>
          <cell r="K615">
            <v>600017</v>
          </cell>
          <cell r="L615">
            <v>-1</v>
          </cell>
        </row>
        <row r="616">
          <cell r="B616" t="str">
            <v>2.1.1.04.0405</v>
          </cell>
          <cell r="C616" t="str">
            <v>06326048/0001-70</v>
          </cell>
          <cell r="D616" t="str">
            <v>OVERSTRESS RIO SERVICOS DE RELAXAMENTO</v>
          </cell>
          <cell r="E616" t="str">
            <v>A</v>
          </cell>
          <cell r="H616" t="str">
            <v>N/A</v>
          </cell>
          <cell r="I616">
            <v>500001</v>
          </cell>
          <cell r="J616" t="str">
            <v>Fornecedores</v>
          </cell>
          <cell r="K616">
            <v>600017</v>
          </cell>
          <cell r="L616">
            <v>-1</v>
          </cell>
        </row>
        <row r="617">
          <cell r="B617" t="str">
            <v>2.1.1.04.0406</v>
          </cell>
          <cell r="C617" t="str">
            <v>07271878/0001-00</v>
          </cell>
          <cell r="D617" t="str">
            <v>GRUPO JAM AGENC DE PUBLICIDADE LTDA</v>
          </cell>
          <cell r="E617" t="str">
            <v>A</v>
          </cell>
          <cell r="H617" t="str">
            <v>N/A</v>
          </cell>
          <cell r="I617">
            <v>500001</v>
          </cell>
          <cell r="J617" t="str">
            <v>Fornecedores</v>
          </cell>
          <cell r="K617">
            <v>600017</v>
          </cell>
          <cell r="L617">
            <v>-1</v>
          </cell>
        </row>
        <row r="618">
          <cell r="B618" t="str">
            <v>2.1.1.04.0407</v>
          </cell>
          <cell r="C618" t="str">
            <v>81241515/0001-85</v>
          </cell>
          <cell r="D618" t="str">
            <v>AEROIMAGENS S/A</v>
          </cell>
          <cell r="E618" t="str">
            <v>A</v>
          </cell>
          <cell r="H618" t="str">
            <v>N/A</v>
          </cell>
          <cell r="I618">
            <v>500001</v>
          </cell>
          <cell r="J618" t="str">
            <v>Fornecedores</v>
          </cell>
          <cell r="K618">
            <v>600017</v>
          </cell>
          <cell r="L618">
            <v>-1</v>
          </cell>
        </row>
        <row r="619">
          <cell r="B619" t="str">
            <v>2.1.1.04.0408</v>
          </cell>
          <cell r="C619" t="str">
            <v>01312265/0001-98</v>
          </cell>
          <cell r="D619" t="str">
            <v>VIRTUAL OFFICE COM E IND DE PROD</v>
          </cell>
          <cell r="E619" t="str">
            <v>A</v>
          </cell>
          <cell r="H619" t="str">
            <v>N/A</v>
          </cell>
          <cell r="I619">
            <v>500001</v>
          </cell>
          <cell r="J619" t="str">
            <v>Fornecedores</v>
          </cell>
          <cell r="K619">
            <v>600017</v>
          </cell>
          <cell r="L619">
            <v>-1</v>
          </cell>
        </row>
        <row r="620">
          <cell r="B620" t="str">
            <v>2.1.1.04.0409</v>
          </cell>
          <cell r="C620" t="str">
            <v>05816526/0001-68</v>
          </cell>
          <cell r="D620" t="str">
            <v>ZIVA TECNOLOGIA E SOLUCOES</v>
          </cell>
          <cell r="E620" t="str">
            <v>A</v>
          </cell>
          <cell r="H620" t="str">
            <v>N/A</v>
          </cell>
          <cell r="I620">
            <v>500001</v>
          </cell>
          <cell r="J620" t="str">
            <v>Fornecedores</v>
          </cell>
          <cell r="K620">
            <v>600017</v>
          </cell>
          <cell r="L620">
            <v>-1</v>
          </cell>
        </row>
        <row r="621">
          <cell r="B621" t="str">
            <v>2.1.1.04.0410</v>
          </cell>
          <cell r="C621" t="str">
            <v>35949858/0001-81</v>
          </cell>
          <cell r="D621" t="str">
            <v>ESCOLA DA MAGISTRATURA DO ESTADO RJ</v>
          </cell>
          <cell r="E621" t="str">
            <v>A</v>
          </cell>
          <cell r="H621" t="str">
            <v>N/A</v>
          </cell>
          <cell r="I621">
            <v>500001</v>
          </cell>
          <cell r="J621" t="str">
            <v>Fornecedores</v>
          </cell>
          <cell r="K621">
            <v>600017</v>
          </cell>
          <cell r="L621">
            <v>-1</v>
          </cell>
        </row>
        <row r="622">
          <cell r="B622" t="str">
            <v>2.1.1.04.0411</v>
          </cell>
          <cell r="C622" t="str">
            <v>04183043/0001-00</v>
          </cell>
          <cell r="D622" t="str">
            <v>INNOLAB DO BRASIL LTDA</v>
          </cell>
          <cell r="E622" t="str">
            <v>A</v>
          </cell>
          <cell r="H622" t="str">
            <v>N/A</v>
          </cell>
          <cell r="I622">
            <v>500001</v>
          </cell>
          <cell r="J622" t="str">
            <v>Fornecedores</v>
          </cell>
          <cell r="K622">
            <v>600017</v>
          </cell>
          <cell r="L622">
            <v>-1</v>
          </cell>
        </row>
        <row r="623">
          <cell r="B623" t="str">
            <v>2.1.1.04.0412</v>
          </cell>
          <cell r="C623" t="str">
            <v>62567821/0001-61</v>
          </cell>
          <cell r="D623" t="str">
            <v>ABEGAS - ASSOCIACAO BRASILEIRA DAS EMPRE</v>
          </cell>
          <cell r="E623" t="str">
            <v>A</v>
          </cell>
          <cell r="H623" t="str">
            <v>N/A</v>
          </cell>
          <cell r="I623">
            <v>500001</v>
          </cell>
          <cell r="J623" t="str">
            <v>Fornecedores</v>
          </cell>
          <cell r="K623">
            <v>600017</v>
          </cell>
          <cell r="L623">
            <v>-1</v>
          </cell>
        </row>
        <row r="624">
          <cell r="B624" t="str">
            <v>2.1.1.04.0413</v>
          </cell>
          <cell r="C624" t="str">
            <v>02457524/0001-31</v>
          </cell>
          <cell r="D624" t="str">
            <v>PUBLINT-PUBL NAC E INT LTDA</v>
          </cell>
          <cell r="E624" t="str">
            <v>A</v>
          </cell>
          <cell r="H624" t="str">
            <v>N/A</v>
          </cell>
          <cell r="I624">
            <v>500001</v>
          </cell>
          <cell r="J624" t="str">
            <v>Fornecedores</v>
          </cell>
          <cell r="K624">
            <v>600017</v>
          </cell>
          <cell r="L624">
            <v>-1</v>
          </cell>
        </row>
        <row r="625">
          <cell r="B625" t="str">
            <v>2.1.1.04.0414</v>
          </cell>
          <cell r="C625" t="str">
            <v>12711505/0001-43</v>
          </cell>
          <cell r="D625" t="str">
            <v>EDITORA PAPEIS NOVA ALIANCA LTDA</v>
          </cell>
          <cell r="E625" t="str">
            <v>A</v>
          </cell>
          <cell r="H625" t="str">
            <v>N/A</v>
          </cell>
          <cell r="I625">
            <v>500001</v>
          </cell>
          <cell r="J625" t="str">
            <v>Fornecedores</v>
          </cell>
          <cell r="K625">
            <v>600017</v>
          </cell>
          <cell r="L625">
            <v>-1</v>
          </cell>
        </row>
        <row r="626">
          <cell r="B626" t="str">
            <v>2.1.1.04.0415</v>
          </cell>
          <cell r="C626" t="str">
            <v>12964018/0001-92</v>
          </cell>
          <cell r="D626" t="str">
            <v>AS MARIAS PROPAGANDA LTDA</v>
          </cell>
          <cell r="E626" t="str">
            <v>A</v>
          </cell>
          <cell r="H626" t="str">
            <v>N/A</v>
          </cell>
          <cell r="I626">
            <v>500001</v>
          </cell>
          <cell r="J626" t="str">
            <v>Fornecedores</v>
          </cell>
          <cell r="K626">
            <v>600017</v>
          </cell>
          <cell r="L626">
            <v>-1</v>
          </cell>
        </row>
        <row r="627">
          <cell r="B627" t="str">
            <v>2.1.1.04.0416</v>
          </cell>
          <cell r="C627" t="str">
            <v>09385180/0001-41</v>
          </cell>
          <cell r="D627" t="str">
            <v>IMPRIMINDO CONHECIMENTOS GRAF EDIT LTDA</v>
          </cell>
          <cell r="E627" t="str">
            <v>A</v>
          </cell>
          <cell r="H627" t="str">
            <v>N/A</v>
          </cell>
          <cell r="I627">
            <v>500001</v>
          </cell>
          <cell r="J627" t="str">
            <v>Fornecedores</v>
          </cell>
          <cell r="K627">
            <v>600017</v>
          </cell>
          <cell r="L627">
            <v>-1</v>
          </cell>
        </row>
        <row r="628">
          <cell r="B628" t="str">
            <v>2.1.1.04.0417</v>
          </cell>
          <cell r="C628" t="str">
            <v>04576573/0001-19</v>
          </cell>
          <cell r="D628" t="str">
            <v>IGPLAN INTELIGENCIA GEOGRAFICA LTDA</v>
          </cell>
          <cell r="E628" t="str">
            <v>A</v>
          </cell>
          <cell r="H628" t="str">
            <v>N/A</v>
          </cell>
          <cell r="I628">
            <v>500001</v>
          </cell>
          <cell r="J628" t="str">
            <v>Fornecedores</v>
          </cell>
          <cell r="K628">
            <v>600017</v>
          </cell>
          <cell r="L628">
            <v>-1</v>
          </cell>
        </row>
        <row r="629">
          <cell r="B629" t="str">
            <v>2.1.1.04.0418</v>
          </cell>
          <cell r="C629" t="str">
            <v>11050925/0001-63</v>
          </cell>
          <cell r="D629" t="str">
            <v>GESEQ COMERCIO E SERVICOS DE SEGURANCA</v>
          </cell>
          <cell r="E629" t="str">
            <v>A</v>
          </cell>
          <cell r="H629" t="str">
            <v>N/A</v>
          </cell>
          <cell r="I629">
            <v>500001</v>
          </cell>
          <cell r="J629" t="str">
            <v>Fornecedores</v>
          </cell>
          <cell r="K629">
            <v>600017</v>
          </cell>
          <cell r="L629">
            <v>-1</v>
          </cell>
        </row>
        <row r="630">
          <cell r="B630" t="str">
            <v>2.1.1.04.0419</v>
          </cell>
          <cell r="C630" t="str">
            <v>07134279/0001-45</v>
          </cell>
          <cell r="D630" t="str">
            <v>NOVATERRA GEOP. E CONS. EM MEIO AMBIENTE</v>
          </cell>
          <cell r="E630" t="str">
            <v>A</v>
          </cell>
          <cell r="H630" t="str">
            <v>N/A</v>
          </cell>
          <cell r="I630">
            <v>500001</v>
          </cell>
          <cell r="J630" t="str">
            <v>Fornecedores</v>
          </cell>
          <cell r="K630">
            <v>600017</v>
          </cell>
          <cell r="L630">
            <v>-1</v>
          </cell>
        </row>
        <row r="631">
          <cell r="B631" t="str">
            <v>2.1.1.04.0420</v>
          </cell>
          <cell r="C631" t="str">
            <v>35808948/00001-52</v>
          </cell>
          <cell r="D631" t="str">
            <v>HABTEC ENGENHARIA SANITARIA E AMBIENTAL</v>
          </cell>
          <cell r="E631" t="str">
            <v>A</v>
          </cell>
          <cell r="H631" t="str">
            <v>N/A</v>
          </cell>
          <cell r="I631">
            <v>500001</v>
          </cell>
          <cell r="J631" t="str">
            <v>Fornecedores</v>
          </cell>
          <cell r="K631">
            <v>600017</v>
          </cell>
          <cell r="L631">
            <v>-1</v>
          </cell>
        </row>
        <row r="632">
          <cell r="B632" t="str">
            <v>2.1.1.04.0421</v>
          </cell>
          <cell r="C632" t="str">
            <v>10785597/0001-80</v>
          </cell>
          <cell r="D632" t="str">
            <v>PALISADE COMERCIALIZADORA  DE SOFTWARES</v>
          </cell>
          <cell r="E632" t="str">
            <v>A</v>
          </cell>
          <cell r="H632" t="str">
            <v>N/A</v>
          </cell>
          <cell r="I632">
            <v>500001</v>
          </cell>
          <cell r="J632" t="str">
            <v>Fornecedores</v>
          </cell>
          <cell r="K632">
            <v>600017</v>
          </cell>
          <cell r="L632">
            <v>-1</v>
          </cell>
        </row>
        <row r="633">
          <cell r="B633" t="str">
            <v>2.1.1.04.0422</v>
          </cell>
          <cell r="C633" t="str">
            <v>36084895/0001-37</v>
          </cell>
          <cell r="D633" t="str">
            <v>STRAICK CENTRO DE TREINAMENTO E INF LTDA</v>
          </cell>
          <cell r="E633" t="str">
            <v>A</v>
          </cell>
          <cell r="H633" t="str">
            <v>N/A</v>
          </cell>
          <cell r="I633">
            <v>500001</v>
          </cell>
          <cell r="J633" t="str">
            <v>Fornecedores</v>
          </cell>
          <cell r="K633">
            <v>600017</v>
          </cell>
          <cell r="L633">
            <v>-1</v>
          </cell>
        </row>
        <row r="634">
          <cell r="B634" t="str">
            <v>2.1.1.04.0423</v>
          </cell>
          <cell r="C634" t="str">
            <v>31304371/00001-90</v>
          </cell>
          <cell r="D634" t="str">
            <v>JOALHERIA SILVA CAMPOS  LTDA</v>
          </cell>
          <cell r="E634" t="str">
            <v>A</v>
          </cell>
          <cell r="H634" t="str">
            <v>N/A</v>
          </cell>
          <cell r="I634">
            <v>500001</v>
          </cell>
          <cell r="J634" t="str">
            <v>Fornecedores</v>
          </cell>
          <cell r="K634">
            <v>600017</v>
          </cell>
          <cell r="L634">
            <v>-1</v>
          </cell>
        </row>
        <row r="635">
          <cell r="B635" t="str">
            <v>2.1.1.04.0424</v>
          </cell>
          <cell r="C635" t="str">
            <v>08942118-0001/40</v>
          </cell>
          <cell r="D635" t="str">
            <v>ART DECOR CARPETES PISOS  E REVESTIMENTO</v>
          </cell>
          <cell r="E635" t="str">
            <v>A</v>
          </cell>
          <cell r="H635" t="str">
            <v>N/A</v>
          </cell>
          <cell r="I635">
            <v>500001</v>
          </cell>
          <cell r="J635" t="str">
            <v>Fornecedores</v>
          </cell>
          <cell r="K635">
            <v>600017</v>
          </cell>
          <cell r="L635">
            <v>-1</v>
          </cell>
        </row>
        <row r="636">
          <cell r="B636" t="str">
            <v>2.1.1.04.0425</v>
          </cell>
          <cell r="C636" t="str">
            <v>05325136/0001-95</v>
          </cell>
          <cell r="D636" t="str">
            <v>UB BRASIL EVENTOS LTDA</v>
          </cell>
          <cell r="E636" t="str">
            <v>A</v>
          </cell>
          <cell r="H636" t="str">
            <v>N/A</v>
          </cell>
          <cell r="I636">
            <v>500001</v>
          </cell>
          <cell r="J636" t="str">
            <v>Fornecedores</v>
          </cell>
          <cell r="K636">
            <v>600017</v>
          </cell>
          <cell r="L636">
            <v>-1</v>
          </cell>
        </row>
        <row r="637">
          <cell r="B637" t="str">
            <v>2.1.1.04.0426</v>
          </cell>
          <cell r="C637" t="str">
            <v>08824171/0003-09</v>
          </cell>
          <cell r="D637" t="str">
            <v>JCM NITEROI REFRIGERACAO LTDA</v>
          </cell>
          <cell r="E637" t="str">
            <v>A</v>
          </cell>
          <cell r="H637" t="str">
            <v>N/A</v>
          </cell>
          <cell r="I637">
            <v>500001</v>
          </cell>
          <cell r="J637" t="str">
            <v>Fornecedores</v>
          </cell>
          <cell r="K637">
            <v>600017</v>
          </cell>
          <cell r="L637">
            <v>-1</v>
          </cell>
        </row>
        <row r="638">
          <cell r="B638" t="str">
            <v>2.1.1.04.0427</v>
          </cell>
          <cell r="C638" t="str">
            <v>35808088/0001-57</v>
          </cell>
          <cell r="D638" t="str">
            <v>P C E PROJETOS E CONSULT DE ENG LTDA</v>
          </cell>
          <cell r="E638" t="str">
            <v>A</v>
          </cell>
          <cell r="H638" t="str">
            <v>N/A</v>
          </cell>
          <cell r="I638">
            <v>500001</v>
          </cell>
          <cell r="J638" t="str">
            <v>Fornecedores</v>
          </cell>
          <cell r="K638">
            <v>600017</v>
          </cell>
          <cell r="L638">
            <v>-1</v>
          </cell>
        </row>
        <row r="639">
          <cell r="B639" t="str">
            <v>2.1.1.04.0428</v>
          </cell>
          <cell r="C639" t="str">
            <v>03851171/0001-12</v>
          </cell>
          <cell r="D639" t="str">
            <v>SERVICO SOCIAL DA INDUSTRIA - SESI</v>
          </cell>
          <cell r="E639" t="str">
            <v>A</v>
          </cell>
          <cell r="H639" t="str">
            <v>N/A</v>
          </cell>
          <cell r="I639">
            <v>500001</v>
          </cell>
          <cell r="J639" t="str">
            <v>Fornecedores</v>
          </cell>
          <cell r="K639">
            <v>600017</v>
          </cell>
          <cell r="L639">
            <v>-1</v>
          </cell>
        </row>
        <row r="640">
          <cell r="B640" t="str">
            <v>2.1.1.04.0429</v>
          </cell>
          <cell r="C640" t="str">
            <v>05396069/0001-08</v>
          </cell>
          <cell r="D640" t="str">
            <v>NOVO PONTO DIGITAL COMERCIO LTDA EPP</v>
          </cell>
          <cell r="E640" t="str">
            <v>A</v>
          </cell>
          <cell r="H640" t="str">
            <v>N/A</v>
          </cell>
          <cell r="I640">
            <v>500001</v>
          </cell>
          <cell r="J640" t="str">
            <v>Fornecedores</v>
          </cell>
          <cell r="K640">
            <v>600017</v>
          </cell>
          <cell r="L640">
            <v>-1</v>
          </cell>
        </row>
        <row r="641">
          <cell r="B641" t="str">
            <v>2.1.1.04.0430</v>
          </cell>
          <cell r="C641" t="str">
            <v>11209430/0001-34</v>
          </cell>
          <cell r="D641" t="str">
            <v>EASYTS ASSESSORIA LINGUISTICA LTDA</v>
          </cell>
          <cell r="E641" t="str">
            <v>A</v>
          </cell>
          <cell r="H641" t="str">
            <v>N/A</v>
          </cell>
          <cell r="I641">
            <v>500001</v>
          </cell>
          <cell r="J641" t="str">
            <v>Fornecedores</v>
          </cell>
          <cell r="K641">
            <v>600017</v>
          </cell>
          <cell r="L641">
            <v>-1</v>
          </cell>
        </row>
        <row r="642">
          <cell r="B642" t="str">
            <v>2.1.1.04.0431</v>
          </cell>
          <cell r="C642" t="str">
            <v>03928633/0017-10</v>
          </cell>
          <cell r="D642" t="str">
            <v>HOUTER DO BRASIL LTDA</v>
          </cell>
          <cell r="E642" t="str">
            <v>A</v>
          </cell>
          <cell r="H642" t="str">
            <v>N/A</v>
          </cell>
          <cell r="I642">
            <v>500001</v>
          </cell>
          <cell r="J642" t="str">
            <v>Fornecedores</v>
          </cell>
          <cell r="K642">
            <v>600017</v>
          </cell>
          <cell r="L642">
            <v>-1</v>
          </cell>
        </row>
        <row r="643">
          <cell r="B643" t="str">
            <v>2.1.1.04.0432</v>
          </cell>
          <cell r="C643" t="str">
            <v>10411968/0001-64</v>
          </cell>
          <cell r="D643" t="str">
            <v>WOOD MACKENZE CONSULTORIA E ASSESSORIA</v>
          </cell>
          <cell r="E643" t="str">
            <v>A</v>
          </cell>
          <cell r="H643" t="str">
            <v>N/A</v>
          </cell>
          <cell r="I643">
            <v>500001</v>
          </cell>
          <cell r="J643" t="str">
            <v>Fornecedores</v>
          </cell>
          <cell r="K643">
            <v>600017</v>
          </cell>
          <cell r="L643">
            <v>-1</v>
          </cell>
        </row>
        <row r="644">
          <cell r="B644" t="str">
            <v>2.1.1.04.0433</v>
          </cell>
          <cell r="C644" t="str">
            <v>72381189/0006-25</v>
          </cell>
          <cell r="D644" t="str">
            <v>DELL COMPUTADORES DO BRASIL LTDA</v>
          </cell>
          <cell r="E644" t="str">
            <v>A</v>
          </cell>
          <cell r="H644" t="str">
            <v>N/A</v>
          </cell>
          <cell r="I644">
            <v>500001</v>
          </cell>
          <cell r="J644" t="str">
            <v>Fornecedores</v>
          </cell>
          <cell r="K644">
            <v>600017</v>
          </cell>
          <cell r="L644">
            <v>-1</v>
          </cell>
        </row>
        <row r="645">
          <cell r="B645" t="str">
            <v>2.1.1.04.0434</v>
          </cell>
          <cell r="C645" t="str">
            <v>01113391/0001-13</v>
          </cell>
          <cell r="D645" t="str">
            <v>DOCUMENTAR TECNOLOGIA E INFORMACAO  LTDA</v>
          </cell>
          <cell r="E645" t="str">
            <v>A</v>
          </cell>
          <cell r="H645" t="str">
            <v>N/A</v>
          </cell>
          <cell r="I645">
            <v>500001</v>
          </cell>
          <cell r="J645" t="str">
            <v>Fornecedores</v>
          </cell>
          <cell r="K645">
            <v>600017</v>
          </cell>
          <cell r="L645">
            <v>-1</v>
          </cell>
        </row>
        <row r="646">
          <cell r="B646" t="str">
            <v>2.1.1.04.0435</v>
          </cell>
          <cell r="C646" t="str">
            <v>15208337/0001-66</v>
          </cell>
          <cell r="D646" t="str">
            <v>RICETE CONSERTOS E MANUTENCAO LTDA</v>
          </cell>
          <cell r="E646" t="str">
            <v>A</v>
          </cell>
          <cell r="H646" t="str">
            <v>N/A</v>
          </cell>
          <cell r="I646">
            <v>500001</v>
          </cell>
          <cell r="J646" t="str">
            <v>Fornecedores</v>
          </cell>
          <cell r="K646">
            <v>600017</v>
          </cell>
          <cell r="L646">
            <v>-1</v>
          </cell>
        </row>
        <row r="647">
          <cell r="B647" t="str">
            <v>2.1.1.04.0436</v>
          </cell>
          <cell r="C647" t="str">
            <v>15276795/0001-32</v>
          </cell>
          <cell r="D647" t="str">
            <v>SERCOM SOLUCOES LTDA</v>
          </cell>
          <cell r="E647" t="str">
            <v>A</v>
          </cell>
          <cell r="H647" t="str">
            <v>N/A</v>
          </cell>
          <cell r="I647">
            <v>500001</v>
          </cell>
          <cell r="J647" t="str">
            <v>Fornecedores</v>
          </cell>
          <cell r="K647">
            <v>600017</v>
          </cell>
          <cell r="L647">
            <v>-1</v>
          </cell>
        </row>
        <row r="648">
          <cell r="B648" t="str">
            <v>2.1.1.04.0437</v>
          </cell>
          <cell r="C648" t="str">
            <v>88766936/0001-79</v>
          </cell>
          <cell r="D648" t="str">
            <v>MARELLI MOVEIS PARA ESCRITORIO LTDA</v>
          </cell>
          <cell r="E648" t="str">
            <v>A</v>
          </cell>
          <cell r="H648" t="str">
            <v>N/A</v>
          </cell>
          <cell r="I648">
            <v>500001</v>
          </cell>
          <cell r="J648" t="str">
            <v>Fornecedores</v>
          </cell>
          <cell r="K648">
            <v>600017</v>
          </cell>
          <cell r="L648">
            <v>-1</v>
          </cell>
        </row>
        <row r="649">
          <cell r="B649" t="str">
            <v>2.1.1.04.0438</v>
          </cell>
          <cell r="C649" t="str">
            <v>13098174/0001-80</v>
          </cell>
          <cell r="D649" t="str">
            <v>MACIEL AUDITORES S/S - EPP</v>
          </cell>
          <cell r="E649" t="str">
            <v>A</v>
          </cell>
          <cell r="H649" t="str">
            <v>N/A</v>
          </cell>
          <cell r="I649">
            <v>500001</v>
          </cell>
          <cell r="J649" t="str">
            <v>Fornecedores</v>
          </cell>
          <cell r="K649">
            <v>600017</v>
          </cell>
          <cell r="L649">
            <v>-1</v>
          </cell>
        </row>
        <row r="650">
          <cell r="B650" t="str">
            <v>2.1.1.04.0439</v>
          </cell>
          <cell r="C650" t="str">
            <v>36207710/0001-34</v>
          </cell>
          <cell r="D650" t="str">
            <v>DUPLICA SOM IND. COM. LTDA</v>
          </cell>
          <cell r="E650" t="str">
            <v>A</v>
          </cell>
          <cell r="H650" t="str">
            <v>N/A</v>
          </cell>
          <cell r="I650">
            <v>500001</v>
          </cell>
          <cell r="J650" t="str">
            <v>Fornecedores</v>
          </cell>
          <cell r="K650">
            <v>600017</v>
          </cell>
          <cell r="L650">
            <v>-1</v>
          </cell>
        </row>
        <row r="651">
          <cell r="B651" t="str">
            <v>2.1.1.04.0440</v>
          </cell>
          <cell r="C651" t="str">
            <v>07815873/0001-00</v>
          </cell>
          <cell r="D651" t="str">
            <v>FUNDACAO TROMPOWSKY</v>
          </cell>
          <cell r="E651" t="str">
            <v>A</v>
          </cell>
          <cell r="H651" t="str">
            <v>N/A</v>
          </cell>
          <cell r="I651">
            <v>500001</v>
          </cell>
          <cell r="J651" t="str">
            <v>Fornecedores</v>
          </cell>
          <cell r="K651">
            <v>600017</v>
          </cell>
          <cell r="L651">
            <v>-1</v>
          </cell>
        </row>
        <row r="652">
          <cell r="B652" t="str">
            <v>2.1.1.04.0441</v>
          </cell>
          <cell r="C652" t="str">
            <v>04234330/0001-00</v>
          </cell>
          <cell r="D652" t="str">
            <v>MENEGATTI SOLUCOES SOFTWARE LTDA</v>
          </cell>
          <cell r="E652" t="str">
            <v>A</v>
          </cell>
          <cell r="H652" t="str">
            <v>N/A</v>
          </cell>
          <cell r="I652">
            <v>500001</v>
          </cell>
          <cell r="J652" t="str">
            <v>Fornecedores</v>
          </cell>
          <cell r="K652">
            <v>600017</v>
          </cell>
          <cell r="L652">
            <v>-1</v>
          </cell>
        </row>
        <row r="653">
          <cell r="B653" t="str">
            <v>2.1.1.04.0442</v>
          </cell>
          <cell r="C653" t="str">
            <v>05102374/0001-31</v>
          </cell>
          <cell r="D653" t="str">
            <v>EXTINFIRE EXTINTORES LTDA</v>
          </cell>
          <cell r="E653" t="str">
            <v>A</v>
          </cell>
          <cell r="H653" t="str">
            <v>N/A</v>
          </cell>
          <cell r="I653">
            <v>500001</v>
          </cell>
          <cell r="J653" t="str">
            <v>Fornecedores</v>
          </cell>
          <cell r="K653">
            <v>600017</v>
          </cell>
          <cell r="L653">
            <v>-1</v>
          </cell>
        </row>
        <row r="654">
          <cell r="B654" t="str">
            <v>2.1.1.04.0443</v>
          </cell>
          <cell r="C654" t="str">
            <v>07055987/0001-90</v>
          </cell>
          <cell r="D654" t="str">
            <v>INOVAMAX TELEINFORMATICA LTDA</v>
          </cell>
          <cell r="E654" t="str">
            <v>A</v>
          </cell>
          <cell r="H654" t="str">
            <v>N/A</v>
          </cell>
          <cell r="I654">
            <v>500001</v>
          </cell>
          <cell r="J654" t="str">
            <v>Fornecedores</v>
          </cell>
          <cell r="K654">
            <v>600017</v>
          </cell>
          <cell r="L654">
            <v>-1</v>
          </cell>
        </row>
        <row r="655">
          <cell r="B655" t="str">
            <v>2.1.1.04.0444</v>
          </cell>
          <cell r="C655" t="str">
            <v>07799454/0001-13</v>
          </cell>
          <cell r="D655" t="str">
            <v>CENOFISCO CENTRO DE CAP. PROFISSIONAL</v>
          </cell>
          <cell r="E655" t="str">
            <v>A</v>
          </cell>
          <cell r="H655" t="str">
            <v>N/A</v>
          </cell>
          <cell r="I655">
            <v>500001</v>
          </cell>
          <cell r="J655" t="str">
            <v>Fornecedores</v>
          </cell>
          <cell r="K655">
            <v>600017</v>
          </cell>
          <cell r="L655">
            <v>-1</v>
          </cell>
        </row>
        <row r="656">
          <cell r="B656" t="str">
            <v>2.1.1.04.0445</v>
          </cell>
          <cell r="C656" t="str">
            <v>09308557/0001-69</v>
          </cell>
          <cell r="D656" t="str">
            <v>BUREAURIO REPROGRAFIA E SERVICOS LTDA</v>
          </cell>
          <cell r="E656" t="str">
            <v>A</v>
          </cell>
          <cell r="H656" t="str">
            <v>N/A</v>
          </cell>
          <cell r="I656">
            <v>500001</v>
          </cell>
          <cell r="J656" t="str">
            <v>Fornecedores</v>
          </cell>
          <cell r="K656">
            <v>600017</v>
          </cell>
          <cell r="L656">
            <v>-1</v>
          </cell>
        </row>
        <row r="657">
          <cell r="B657" t="str">
            <v>2.1.1.04.0446</v>
          </cell>
          <cell r="C657" t="str">
            <v>76703404/0001-03</v>
          </cell>
          <cell r="D657" t="str">
            <v>FERMA ENGENHARIA LTDA</v>
          </cell>
          <cell r="E657" t="str">
            <v>A</v>
          </cell>
          <cell r="H657" t="str">
            <v>N/A</v>
          </cell>
          <cell r="I657">
            <v>500001</v>
          </cell>
          <cell r="J657" t="str">
            <v>Fornecedores</v>
          </cell>
          <cell r="K657">
            <v>600017</v>
          </cell>
          <cell r="L657">
            <v>-1</v>
          </cell>
        </row>
        <row r="658">
          <cell r="B658" t="str">
            <v>2.1.1.04.0447</v>
          </cell>
          <cell r="C658" t="str">
            <v>33683111/0008-75</v>
          </cell>
          <cell r="D658" t="str">
            <v>SERVICO FEDERAL DE PROC DE DADOS SERPRO</v>
          </cell>
          <cell r="E658" t="str">
            <v>A</v>
          </cell>
          <cell r="H658" t="str">
            <v>N/A</v>
          </cell>
          <cell r="I658">
            <v>500001</v>
          </cell>
          <cell r="J658" t="str">
            <v>Fornecedores</v>
          </cell>
          <cell r="K658">
            <v>600017</v>
          </cell>
          <cell r="L658">
            <v>-1</v>
          </cell>
        </row>
        <row r="659">
          <cell r="B659" t="str">
            <v>2.1.1.04.0448</v>
          </cell>
          <cell r="C659" t="str">
            <v>02249861/0001-33</v>
          </cell>
          <cell r="D659" t="str">
            <v>ASMEP ASSISTENCIAL DE MOLAS E PORTAS LTD</v>
          </cell>
          <cell r="E659" t="str">
            <v>A</v>
          </cell>
          <cell r="H659" t="str">
            <v>N/A</v>
          </cell>
          <cell r="I659">
            <v>500001</v>
          </cell>
          <cell r="J659" t="str">
            <v>Fornecedores</v>
          </cell>
          <cell r="K659">
            <v>600017</v>
          </cell>
          <cell r="L659">
            <v>-1</v>
          </cell>
        </row>
        <row r="660">
          <cell r="B660" t="str">
            <v>2.1.1.04.0450</v>
          </cell>
          <cell r="C660">
            <v>10282714000193</v>
          </cell>
          <cell r="D660" t="str">
            <v>INSTITUTO SOCIAL IRIS</v>
          </cell>
          <cell r="E660" t="str">
            <v>A</v>
          </cell>
          <cell r="H660" t="str">
            <v>N/A</v>
          </cell>
          <cell r="I660">
            <v>500001</v>
          </cell>
          <cell r="J660" t="str">
            <v>Fornecedores</v>
          </cell>
          <cell r="K660">
            <v>600017</v>
          </cell>
          <cell r="L660">
            <v>-1</v>
          </cell>
        </row>
        <row r="661">
          <cell r="B661" t="str">
            <v>2.1.1.04.0451</v>
          </cell>
          <cell r="C661" t="str">
            <v>04672955/0001-46</v>
          </cell>
          <cell r="D661" t="str">
            <v>MR IRMAO MANSUR LTDA</v>
          </cell>
          <cell r="E661" t="str">
            <v>A</v>
          </cell>
          <cell r="H661" t="str">
            <v>N/A</v>
          </cell>
          <cell r="I661">
            <v>500001</v>
          </cell>
          <cell r="J661" t="str">
            <v>Fornecedores</v>
          </cell>
          <cell r="K661">
            <v>600017</v>
          </cell>
          <cell r="L661">
            <v>-1</v>
          </cell>
        </row>
        <row r="662">
          <cell r="B662" t="str">
            <v>2.1.1.04.0452</v>
          </cell>
          <cell r="C662" t="str">
            <v>90051160/0001-52</v>
          </cell>
          <cell r="D662" t="str">
            <v>BORTOLINI INDUSTRIA DE MOVEIS LTDA</v>
          </cell>
          <cell r="E662" t="str">
            <v>A</v>
          </cell>
          <cell r="H662" t="str">
            <v>N/A</v>
          </cell>
          <cell r="I662">
            <v>500001</v>
          </cell>
          <cell r="J662" t="str">
            <v>Fornecedores</v>
          </cell>
          <cell r="K662">
            <v>600017</v>
          </cell>
          <cell r="L662">
            <v>-1</v>
          </cell>
        </row>
        <row r="663">
          <cell r="B663" t="str">
            <v>2.1.1.04.0453</v>
          </cell>
          <cell r="C663" t="str">
            <v>31401128/0001-90</v>
          </cell>
          <cell r="D663" t="str">
            <v>META EXTINTORES LTDA</v>
          </cell>
          <cell r="E663" t="str">
            <v>A</v>
          </cell>
          <cell r="H663" t="str">
            <v>N/A</v>
          </cell>
          <cell r="I663">
            <v>500001</v>
          </cell>
          <cell r="J663" t="str">
            <v>Fornecedores</v>
          </cell>
          <cell r="K663">
            <v>600017</v>
          </cell>
          <cell r="L663">
            <v>-1</v>
          </cell>
        </row>
        <row r="664">
          <cell r="B664" t="str">
            <v>2.1.1.04.0454</v>
          </cell>
          <cell r="C664" t="str">
            <v>17299828/0001-95</v>
          </cell>
          <cell r="D664" t="str">
            <v>JOSE ARMESINO RODRIGUES NETO</v>
          </cell>
          <cell r="E664" t="str">
            <v>A</v>
          </cell>
          <cell r="H664" t="str">
            <v>N/A</v>
          </cell>
          <cell r="I664">
            <v>500001</v>
          </cell>
          <cell r="J664" t="str">
            <v>Fornecedores</v>
          </cell>
          <cell r="K664">
            <v>600017</v>
          </cell>
          <cell r="L664">
            <v>-1</v>
          </cell>
        </row>
        <row r="665">
          <cell r="B665" t="str">
            <v>2.1.1.04.0455</v>
          </cell>
          <cell r="C665" t="str">
            <v>86781069/0001-15</v>
          </cell>
          <cell r="D665" t="str">
            <v>ZENITE INFORMACAO E CONSULTORIA S/A</v>
          </cell>
          <cell r="E665" t="str">
            <v>A</v>
          </cell>
          <cell r="H665" t="str">
            <v>N/A</v>
          </cell>
          <cell r="I665">
            <v>500001</v>
          </cell>
          <cell r="J665" t="str">
            <v>Fornecedores</v>
          </cell>
          <cell r="K665">
            <v>600017</v>
          </cell>
          <cell r="L665">
            <v>-1</v>
          </cell>
        </row>
        <row r="666">
          <cell r="B666" t="str">
            <v>2.1.1.04.0456</v>
          </cell>
          <cell r="C666" t="str">
            <v>06309379/0001-00</v>
          </cell>
          <cell r="D666" t="str">
            <v>NOVE ORGANIZACAO DE EVENTOS LTDA</v>
          </cell>
          <cell r="E666" t="str">
            <v>A</v>
          </cell>
          <cell r="H666" t="str">
            <v>N/A</v>
          </cell>
          <cell r="I666">
            <v>500001</v>
          </cell>
          <cell r="J666" t="str">
            <v>Fornecedores</v>
          </cell>
          <cell r="K666">
            <v>600017</v>
          </cell>
          <cell r="L666">
            <v>-1</v>
          </cell>
        </row>
        <row r="667">
          <cell r="B667" t="str">
            <v>2.1.1.04.0457</v>
          </cell>
          <cell r="C667" t="str">
            <v>03734114/0001-53</v>
          </cell>
          <cell r="D667" t="str">
            <v>A. ALMEIDA NAVEGACAO E TURISMO LTDA - ME</v>
          </cell>
          <cell r="E667" t="str">
            <v>A</v>
          </cell>
          <cell r="H667" t="str">
            <v>N/A</v>
          </cell>
          <cell r="I667">
            <v>500001</v>
          </cell>
          <cell r="J667" t="str">
            <v>Fornecedores</v>
          </cell>
          <cell r="K667">
            <v>600017</v>
          </cell>
          <cell r="L667">
            <v>-1</v>
          </cell>
        </row>
        <row r="668">
          <cell r="B668" t="str">
            <v>2.1.1.04.0458</v>
          </cell>
          <cell r="C668" t="str">
            <v>09545938/0001-61</v>
          </cell>
          <cell r="D668" t="str">
            <v>INDUSTRIA GOMES MOVEIS DE ACO LTDA</v>
          </cell>
          <cell r="E668" t="str">
            <v>A</v>
          </cell>
          <cell r="H668" t="str">
            <v>N/A</v>
          </cell>
          <cell r="I668">
            <v>500001</v>
          </cell>
          <cell r="J668" t="str">
            <v>Fornecedores</v>
          </cell>
          <cell r="K668">
            <v>600017</v>
          </cell>
          <cell r="L668">
            <v>-1</v>
          </cell>
        </row>
        <row r="669">
          <cell r="B669" t="str">
            <v>2.1.1.04.0459</v>
          </cell>
          <cell r="C669" t="str">
            <v>01802270/0001-89</v>
          </cell>
          <cell r="D669" t="str">
            <v>SOCIEDADE BRASILEIRA DE METROLOGIA</v>
          </cell>
          <cell r="E669" t="str">
            <v>A</v>
          </cell>
          <cell r="H669" t="str">
            <v>N/A</v>
          </cell>
          <cell r="I669">
            <v>500001</v>
          </cell>
          <cell r="J669" t="str">
            <v>Fornecedores</v>
          </cell>
          <cell r="K669">
            <v>600017</v>
          </cell>
          <cell r="L669">
            <v>-1</v>
          </cell>
        </row>
        <row r="670">
          <cell r="B670" t="str">
            <v>2.1.1.04.0460</v>
          </cell>
          <cell r="C670" t="str">
            <v>16455078/0001-30</v>
          </cell>
          <cell r="D670" t="str">
            <v>BRASILIMP LIMPEZA CERTA LTDA</v>
          </cell>
          <cell r="E670" t="str">
            <v>A</v>
          </cell>
          <cell r="H670" t="str">
            <v>N/A</v>
          </cell>
          <cell r="I670">
            <v>500001</v>
          </cell>
          <cell r="J670" t="str">
            <v>Fornecedores</v>
          </cell>
          <cell r="K670">
            <v>600017</v>
          </cell>
          <cell r="L670">
            <v>-1</v>
          </cell>
        </row>
        <row r="671">
          <cell r="B671" t="str">
            <v>2.1.1.04.0461</v>
          </cell>
          <cell r="C671" t="str">
            <v>05276095/0001-94</v>
          </cell>
          <cell r="D671" t="str">
            <v>M. M. 36 MATERIAIS DE LIMPEZA LTDA</v>
          </cell>
          <cell r="E671" t="str">
            <v>A</v>
          </cell>
          <cell r="H671" t="str">
            <v>N/A</v>
          </cell>
          <cell r="I671">
            <v>500001</v>
          </cell>
          <cell r="J671" t="str">
            <v>Fornecedores</v>
          </cell>
          <cell r="K671">
            <v>600017</v>
          </cell>
          <cell r="L671">
            <v>-1</v>
          </cell>
        </row>
        <row r="672">
          <cell r="B672" t="str">
            <v>2.1.1.04.0462</v>
          </cell>
          <cell r="C672" t="str">
            <v>08726836/0001-80</v>
          </cell>
          <cell r="D672" t="str">
            <v>SUPRIWEB COM E SERV INFORMATICA LTDA</v>
          </cell>
          <cell r="E672" t="str">
            <v>A</v>
          </cell>
          <cell r="H672" t="str">
            <v>N/A</v>
          </cell>
          <cell r="I672">
            <v>500001</v>
          </cell>
          <cell r="J672" t="str">
            <v>Fornecedores</v>
          </cell>
          <cell r="K672">
            <v>600017</v>
          </cell>
          <cell r="L672">
            <v>-1</v>
          </cell>
        </row>
        <row r="673">
          <cell r="B673" t="str">
            <v>2.1.1.04.0463</v>
          </cell>
          <cell r="C673" t="str">
            <v>08255393/0001-96</v>
          </cell>
          <cell r="D673" t="str">
            <v>FOCO OPINIAO E MERCADO LTDA</v>
          </cell>
          <cell r="E673" t="str">
            <v>A</v>
          </cell>
          <cell r="H673" t="str">
            <v>N/A</v>
          </cell>
          <cell r="I673">
            <v>500001</v>
          </cell>
          <cell r="J673" t="str">
            <v>Fornecedores</v>
          </cell>
          <cell r="K673">
            <v>600017</v>
          </cell>
          <cell r="L673">
            <v>-1</v>
          </cell>
        </row>
        <row r="674">
          <cell r="B674" t="str">
            <v>2.1.1.04.0464</v>
          </cell>
          <cell r="C674" t="str">
            <v>10213136/0001-33</v>
          </cell>
          <cell r="D674" t="str">
            <v>INDUSTEC COM. E SERV. DE EQUIP. ELET</v>
          </cell>
          <cell r="E674" t="str">
            <v>A</v>
          </cell>
          <cell r="H674" t="str">
            <v>N/A</v>
          </cell>
          <cell r="I674">
            <v>500001</v>
          </cell>
          <cell r="J674" t="str">
            <v>Fornecedores</v>
          </cell>
          <cell r="K674">
            <v>600017</v>
          </cell>
          <cell r="L674">
            <v>-1</v>
          </cell>
        </row>
        <row r="675">
          <cell r="B675" t="str">
            <v>2.1.1.04.0465</v>
          </cell>
          <cell r="C675" t="str">
            <v>00276225/0001-75</v>
          </cell>
          <cell r="D675" t="str">
            <v>BELO HORIZONTE SISTEMAS LTDA</v>
          </cell>
          <cell r="E675" t="str">
            <v>A</v>
          </cell>
          <cell r="H675" t="str">
            <v>N/A</v>
          </cell>
          <cell r="I675">
            <v>500001</v>
          </cell>
          <cell r="J675" t="str">
            <v>Fornecedores</v>
          </cell>
          <cell r="K675">
            <v>600017</v>
          </cell>
          <cell r="L675">
            <v>-1</v>
          </cell>
        </row>
        <row r="676">
          <cell r="B676" t="str">
            <v>2.1.1.04.0466</v>
          </cell>
          <cell r="C676" t="str">
            <v>30055164/0001-87</v>
          </cell>
          <cell r="D676" t="str">
            <v>ROSARIO PLACAS E CARIMBOS</v>
          </cell>
          <cell r="E676" t="str">
            <v>A</v>
          </cell>
          <cell r="H676" t="str">
            <v>N/A</v>
          </cell>
          <cell r="I676">
            <v>500001</v>
          </cell>
          <cell r="J676" t="str">
            <v>Fornecedores</v>
          </cell>
          <cell r="K676">
            <v>600017</v>
          </cell>
          <cell r="L676">
            <v>-1</v>
          </cell>
        </row>
        <row r="677">
          <cell r="B677" t="str">
            <v>2.1.1.04.0467</v>
          </cell>
          <cell r="C677" t="str">
            <v>10828695/0001-58</v>
          </cell>
          <cell r="D677" t="str">
            <v>V3 AGENCIA DE PUBLICIDADE E EVENTOS LTDA</v>
          </cell>
          <cell r="E677" t="str">
            <v>A</v>
          </cell>
          <cell r="H677" t="str">
            <v>N/A</v>
          </cell>
          <cell r="I677">
            <v>500001</v>
          </cell>
          <cell r="J677" t="str">
            <v>Fornecedores</v>
          </cell>
          <cell r="K677">
            <v>600017</v>
          </cell>
          <cell r="L677">
            <v>-1</v>
          </cell>
        </row>
        <row r="678">
          <cell r="B678" t="str">
            <v>2.1.1.04.0468</v>
          </cell>
          <cell r="C678" t="str">
            <v>18546745/0001-16</v>
          </cell>
          <cell r="D678" t="str">
            <v>LB SERVICOS DE INSTALACOES EIRELI EPP</v>
          </cell>
          <cell r="E678" t="str">
            <v>A</v>
          </cell>
          <cell r="H678" t="str">
            <v>N/A</v>
          </cell>
          <cell r="I678">
            <v>500001</v>
          </cell>
          <cell r="J678" t="str">
            <v>Fornecedores</v>
          </cell>
          <cell r="K678">
            <v>600017</v>
          </cell>
          <cell r="L678">
            <v>-1</v>
          </cell>
        </row>
        <row r="679">
          <cell r="B679" t="str">
            <v>2.1.1.04.0469</v>
          </cell>
          <cell r="C679" t="str">
            <v>06954157/0001-32</v>
          </cell>
          <cell r="D679" t="str">
            <v>FRANCISCO A A MEDEIRO IND E COMERCIO</v>
          </cell>
          <cell r="E679" t="str">
            <v>A</v>
          </cell>
          <cell r="H679" t="str">
            <v>N/A</v>
          </cell>
          <cell r="I679">
            <v>500001</v>
          </cell>
          <cell r="J679" t="str">
            <v>Fornecedores</v>
          </cell>
          <cell r="K679">
            <v>600017</v>
          </cell>
          <cell r="L679">
            <v>-1</v>
          </cell>
        </row>
        <row r="680">
          <cell r="B680" t="str">
            <v>2.1.1.04.0470</v>
          </cell>
          <cell r="C680" t="str">
            <v>10646995/0001-16</v>
          </cell>
          <cell r="D680" t="str">
            <v>DCL BRASIL DISTRIBUIDORA LTDA</v>
          </cell>
          <cell r="E680" t="str">
            <v>A</v>
          </cell>
          <cell r="H680" t="str">
            <v>N/A</v>
          </cell>
          <cell r="I680">
            <v>500001</v>
          </cell>
          <cell r="J680" t="str">
            <v>Fornecedores</v>
          </cell>
          <cell r="K680">
            <v>600017</v>
          </cell>
          <cell r="L680">
            <v>-1</v>
          </cell>
        </row>
        <row r="681">
          <cell r="B681" t="str">
            <v>2.1.1.04.0471</v>
          </cell>
          <cell r="C681" t="str">
            <v>47866934/0001-74</v>
          </cell>
          <cell r="D681" t="str">
            <v>TICKET SERVICOS SA</v>
          </cell>
          <cell r="E681" t="str">
            <v>A</v>
          </cell>
          <cell r="H681" t="str">
            <v>N/A</v>
          </cell>
          <cell r="I681">
            <v>500001</v>
          </cell>
          <cell r="J681" t="str">
            <v>Fornecedores</v>
          </cell>
          <cell r="K681">
            <v>600017</v>
          </cell>
          <cell r="L681">
            <v>-1</v>
          </cell>
        </row>
        <row r="682">
          <cell r="B682" t="str">
            <v>2.1.1.04.0472</v>
          </cell>
          <cell r="C682" t="str">
            <v>20198527/0001-80</v>
          </cell>
          <cell r="D682" t="str">
            <v>PABIO FERREIRA VILELA - ME</v>
          </cell>
          <cell r="E682" t="str">
            <v>A</v>
          </cell>
          <cell r="H682" t="str">
            <v>N/A</v>
          </cell>
          <cell r="I682">
            <v>500001</v>
          </cell>
          <cell r="J682" t="str">
            <v>Fornecedores</v>
          </cell>
          <cell r="K682">
            <v>600017</v>
          </cell>
          <cell r="L682">
            <v>-1</v>
          </cell>
        </row>
        <row r="683">
          <cell r="B683" t="str">
            <v>2.1.1.04.0473</v>
          </cell>
          <cell r="C683">
            <v>2794423</v>
          </cell>
          <cell r="D683" t="str">
            <v>UILIAN DE OLIVEIRA JUNIOR</v>
          </cell>
          <cell r="E683" t="str">
            <v>A</v>
          </cell>
          <cell r="H683" t="str">
            <v>N/A</v>
          </cell>
          <cell r="I683">
            <v>500001</v>
          </cell>
          <cell r="J683" t="str">
            <v>Fornecedores</v>
          </cell>
          <cell r="K683">
            <v>600017</v>
          </cell>
          <cell r="L683">
            <v>-1</v>
          </cell>
        </row>
        <row r="684">
          <cell r="B684" t="str">
            <v>2.1.1.04.0474</v>
          </cell>
          <cell r="C684" t="str">
            <v>08060705/0001-06</v>
          </cell>
          <cell r="D684" t="str">
            <v>BCA SERVICOS DE INFORMATICA LTDA</v>
          </cell>
          <cell r="E684" t="str">
            <v>A</v>
          </cell>
          <cell r="H684" t="str">
            <v>N/A</v>
          </cell>
          <cell r="I684">
            <v>500001</v>
          </cell>
          <cell r="J684" t="str">
            <v>Fornecedores</v>
          </cell>
          <cell r="K684">
            <v>600017</v>
          </cell>
          <cell r="L684">
            <v>-1</v>
          </cell>
        </row>
        <row r="685">
          <cell r="B685" t="str">
            <v>2.1.1.04.0475</v>
          </cell>
          <cell r="C685" t="str">
            <v>31823255/0001-88</v>
          </cell>
          <cell r="D685" t="str">
            <v>AGENCIA PORA LTDA ME</v>
          </cell>
          <cell r="E685" t="str">
            <v>A</v>
          </cell>
          <cell r="H685" t="str">
            <v>N/A</v>
          </cell>
          <cell r="I685">
            <v>500001</v>
          </cell>
          <cell r="J685" t="str">
            <v>Fornecedores</v>
          </cell>
          <cell r="K685">
            <v>600017</v>
          </cell>
          <cell r="L685">
            <v>-1</v>
          </cell>
        </row>
        <row r="686">
          <cell r="B686" t="str">
            <v>2.1.1.04.0476</v>
          </cell>
          <cell r="C686" t="str">
            <v>08050705/0001-06</v>
          </cell>
          <cell r="D686" t="str">
            <v>BCA SERVICOS DE INFORMATICA LTDA</v>
          </cell>
          <cell r="E686" t="str">
            <v>A</v>
          </cell>
          <cell r="H686" t="str">
            <v>N/A</v>
          </cell>
          <cell r="I686">
            <v>500001</v>
          </cell>
          <cell r="J686" t="str">
            <v>Fornecedores</v>
          </cell>
          <cell r="K686">
            <v>600017</v>
          </cell>
          <cell r="L686">
            <v>-1</v>
          </cell>
        </row>
        <row r="687">
          <cell r="B687" t="str">
            <v>2.1.1.04.0477</v>
          </cell>
          <cell r="C687">
            <v>7874587000130</v>
          </cell>
          <cell r="D687" t="str">
            <v>INSTITUTO BRAMANTE DE DESEN PROFISSIONAL</v>
          </cell>
          <cell r="E687" t="str">
            <v>A</v>
          </cell>
          <cell r="H687" t="str">
            <v>N/A</v>
          </cell>
          <cell r="I687">
            <v>500001</v>
          </cell>
          <cell r="J687" t="str">
            <v>Fornecedores</v>
          </cell>
          <cell r="K687">
            <v>600017</v>
          </cell>
          <cell r="L687">
            <v>-1</v>
          </cell>
        </row>
        <row r="688">
          <cell r="B688" t="str">
            <v>2.1.1.04.0478</v>
          </cell>
          <cell r="C688" t="str">
            <v>16887672/0001-09</v>
          </cell>
          <cell r="D688" t="str">
            <v>PROTON COM DE ELETRO-ELETRONICOS EIRELI</v>
          </cell>
          <cell r="E688" t="str">
            <v>A</v>
          </cell>
          <cell r="H688" t="str">
            <v>N/A</v>
          </cell>
          <cell r="I688">
            <v>500001</v>
          </cell>
          <cell r="J688" t="str">
            <v>Fornecedores</v>
          </cell>
          <cell r="K688">
            <v>600017</v>
          </cell>
          <cell r="L688">
            <v>-1</v>
          </cell>
        </row>
        <row r="689">
          <cell r="B689" t="str">
            <v>2.1.1.04.0479</v>
          </cell>
          <cell r="C689" t="str">
            <v>03718164/0001-47</v>
          </cell>
          <cell r="D689" t="str">
            <v>WEINSTEIN INFORMATICA LTDA</v>
          </cell>
          <cell r="E689" t="str">
            <v>A</v>
          </cell>
          <cell r="H689" t="str">
            <v>N/A</v>
          </cell>
          <cell r="I689">
            <v>500001</v>
          </cell>
          <cell r="J689" t="str">
            <v>Fornecedores</v>
          </cell>
          <cell r="K689">
            <v>600017</v>
          </cell>
          <cell r="L689">
            <v>-1</v>
          </cell>
        </row>
        <row r="690">
          <cell r="B690" t="str">
            <v>2.1.1.04.0480</v>
          </cell>
          <cell r="C690" t="str">
            <v>15165950/0001-43</v>
          </cell>
          <cell r="D690" t="str">
            <v>ATUALIZACAO PROFISSIONAL CONT E JUR LTDA</v>
          </cell>
          <cell r="E690" t="str">
            <v>A</v>
          </cell>
          <cell r="H690" t="str">
            <v>N/A</v>
          </cell>
          <cell r="I690">
            <v>500001</v>
          </cell>
          <cell r="J690" t="str">
            <v>Fornecedores</v>
          </cell>
          <cell r="K690">
            <v>600017</v>
          </cell>
          <cell r="L690">
            <v>-1</v>
          </cell>
        </row>
        <row r="691">
          <cell r="B691" t="str">
            <v>2.1.1.04.0481</v>
          </cell>
          <cell r="C691" t="str">
            <v>06955770/0001-74</v>
          </cell>
          <cell r="D691" t="str">
            <v>P&amp;P TURISMO LTDA ME</v>
          </cell>
          <cell r="E691" t="str">
            <v>A</v>
          </cell>
          <cell r="H691" t="str">
            <v>N/A</v>
          </cell>
          <cell r="I691">
            <v>500001</v>
          </cell>
          <cell r="J691" t="str">
            <v>Fornecedores</v>
          </cell>
          <cell r="K691">
            <v>600017</v>
          </cell>
          <cell r="L691">
            <v>-1</v>
          </cell>
        </row>
        <row r="692">
          <cell r="B692" t="str">
            <v>2.1.1.04.0482</v>
          </cell>
          <cell r="C692" t="str">
            <v>59527788/0002-12</v>
          </cell>
          <cell r="D692" t="str">
            <v>ERNST &amp; YOUNG ASSESSORIA EMPRESARIAL LTD</v>
          </cell>
          <cell r="E692" t="str">
            <v>A</v>
          </cell>
          <cell r="H692" t="str">
            <v>N/A</v>
          </cell>
          <cell r="I692">
            <v>500001</v>
          </cell>
          <cell r="J692" t="str">
            <v>Fornecedores</v>
          </cell>
          <cell r="K692">
            <v>600017</v>
          </cell>
          <cell r="L692">
            <v>-1</v>
          </cell>
        </row>
        <row r="693">
          <cell r="B693" t="str">
            <v>2.1.1.04.0483</v>
          </cell>
          <cell r="C693" t="str">
            <v>49058654/0001-65</v>
          </cell>
          <cell r="D693" t="str">
            <v>FLEXFORM INDUSTRIA METALURGICA LTDA</v>
          </cell>
          <cell r="E693" t="str">
            <v>A</v>
          </cell>
          <cell r="H693" t="str">
            <v>N/A</v>
          </cell>
          <cell r="I693">
            <v>500001</v>
          </cell>
          <cell r="J693" t="str">
            <v>Fornecedores</v>
          </cell>
          <cell r="K693">
            <v>600017</v>
          </cell>
          <cell r="L693">
            <v>-1</v>
          </cell>
        </row>
        <row r="694">
          <cell r="B694" t="str">
            <v>2.1.1.04.0484</v>
          </cell>
          <cell r="C694" t="str">
            <v>00714403/0001-80</v>
          </cell>
          <cell r="D694" t="str">
            <v>ELO CONSULTORIA EMP. E PROD. DE EVENTOS</v>
          </cell>
          <cell r="E694" t="str">
            <v>A</v>
          </cell>
          <cell r="H694" t="str">
            <v>N/A</v>
          </cell>
          <cell r="I694">
            <v>500001</v>
          </cell>
          <cell r="J694" t="str">
            <v>Fornecedores</v>
          </cell>
          <cell r="K694">
            <v>600017</v>
          </cell>
          <cell r="L694">
            <v>-1</v>
          </cell>
        </row>
        <row r="695">
          <cell r="B695" t="str">
            <v>2.1.1.04.0485</v>
          </cell>
          <cell r="C695" t="str">
            <v>15691419/0001-04</v>
          </cell>
          <cell r="D695" t="str">
            <v>STRUTTURA COM E INST DE PERFIS MET LTDA</v>
          </cell>
          <cell r="E695" t="str">
            <v>A</v>
          </cell>
          <cell r="H695" t="str">
            <v>N/A</v>
          </cell>
          <cell r="I695">
            <v>500001</v>
          </cell>
          <cell r="J695" t="str">
            <v>Fornecedores</v>
          </cell>
          <cell r="K695">
            <v>600017</v>
          </cell>
          <cell r="L695">
            <v>-1</v>
          </cell>
        </row>
        <row r="696">
          <cell r="B696" t="str">
            <v>2.1.1.04.0486</v>
          </cell>
          <cell r="C696" t="str">
            <v>17066652/0001-21</v>
          </cell>
          <cell r="D696" t="str">
            <v>COMFAST COMERCIO DE MATERIAL DE</v>
          </cell>
          <cell r="E696" t="str">
            <v>A</v>
          </cell>
          <cell r="H696" t="str">
            <v>N/A</v>
          </cell>
          <cell r="I696">
            <v>500001</v>
          </cell>
          <cell r="J696" t="str">
            <v>Fornecedores</v>
          </cell>
          <cell r="K696">
            <v>600017</v>
          </cell>
          <cell r="L696">
            <v>-1</v>
          </cell>
        </row>
        <row r="697">
          <cell r="B697" t="str">
            <v>2.1.1.04.0487</v>
          </cell>
          <cell r="C697" t="str">
            <v>01516572/0001-90</v>
          </cell>
          <cell r="D697" t="str">
            <v>COMPUSOFTWARE INFORMATICA LTDA</v>
          </cell>
          <cell r="E697" t="str">
            <v>A</v>
          </cell>
          <cell r="H697" t="str">
            <v>N/A</v>
          </cell>
          <cell r="I697">
            <v>500001</v>
          </cell>
          <cell r="J697" t="str">
            <v>Fornecedores</v>
          </cell>
          <cell r="K697">
            <v>600017</v>
          </cell>
          <cell r="L697">
            <v>-1</v>
          </cell>
        </row>
        <row r="698">
          <cell r="B698" t="str">
            <v>2.1.1.04.0488</v>
          </cell>
          <cell r="C698" t="str">
            <v>09604060/0001-98</v>
          </cell>
          <cell r="D698" t="str">
            <v>BRACIER - COMITE BRASILEIRO</v>
          </cell>
          <cell r="E698" t="str">
            <v>A</v>
          </cell>
          <cell r="H698" t="str">
            <v>N/A</v>
          </cell>
          <cell r="I698">
            <v>500001</v>
          </cell>
          <cell r="J698" t="str">
            <v>Fornecedores</v>
          </cell>
          <cell r="K698">
            <v>600017</v>
          </cell>
          <cell r="L698">
            <v>-1</v>
          </cell>
        </row>
        <row r="699">
          <cell r="B699" t="str">
            <v>2.1.1.04.0489</v>
          </cell>
          <cell r="C699" t="str">
            <v>11373634/0001-06</v>
          </cell>
          <cell r="D699" t="str">
            <v>MEC ETIQUETAS E ROTULOS LTDA</v>
          </cell>
          <cell r="E699" t="str">
            <v>A</v>
          </cell>
          <cell r="H699" t="str">
            <v>N/A</v>
          </cell>
          <cell r="I699">
            <v>500001</v>
          </cell>
          <cell r="J699" t="str">
            <v>Fornecedores</v>
          </cell>
          <cell r="K699">
            <v>600017</v>
          </cell>
          <cell r="L699">
            <v>-1</v>
          </cell>
        </row>
        <row r="700">
          <cell r="B700" t="str">
            <v>2.1.1.04.0490</v>
          </cell>
          <cell r="C700" t="str">
            <v>03148451/0001-69</v>
          </cell>
          <cell r="D700" t="str">
            <v>SECULLUM SOFTWARES LTDA EPP</v>
          </cell>
          <cell r="E700" t="str">
            <v>A</v>
          </cell>
          <cell r="H700" t="str">
            <v>N/A</v>
          </cell>
          <cell r="I700">
            <v>500001</v>
          </cell>
          <cell r="J700" t="str">
            <v>Fornecedores</v>
          </cell>
          <cell r="K700">
            <v>600017</v>
          </cell>
          <cell r="L700">
            <v>-1</v>
          </cell>
        </row>
        <row r="701">
          <cell r="B701" t="str">
            <v>2.1.1.04.0491</v>
          </cell>
          <cell r="C701" t="str">
            <v>07639095/0001-37</v>
          </cell>
          <cell r="D701" t="str">
            <v>INTITUTO ILOS</v>
          </cell>
          <cell r="E701" t="str">
            <v>A</v>
          </cell>
          <cell r="H701" t="str">
            <v>N/A</v>
          </cell>
          <cell r="I701">
            <v>500001</v>
          </cell>
          <cell r="J701" t="str">
            <v>Fornecedores</v>
          </cell>
          <cell r="K701">
            <v>600017</v>
          </cell>
          <cell r="L701">
            <v>-1</v>
          </cell>
        </row>
        <row r="702">
          <cell r="B702" t="str">
            <v>2.1.1.04.0492</v>
          </cell>
          <cell r="C702" t="str">
            <v>17869849/0001-07</v>
          </cell>
          <cell r="D702" t="str">
            <v>AIR TIME RJ AR CONDICIONADO LTDA</v>
          </cell>
          <cell r="E702" t="str">
            <v>A</v>
          </cell>
          <cell r="H702" t="str">
            <v>N/A</v>
          </cell>
          <cell r="I702">
            <v>500001</v>
          </cell>
          <cell r="J702" t="str">
            <v>Fornecedores</v>
          </cell>
          <cell r="K702">
            <v>600017</v>
          </cell>
          <cell r="L702">
            <v>-1</v>
          </cell>
        </row>
        <row r="703">
          <cell r="B703" t="str">
            <v>2.1.1.04.0493</v>
          </cell>
          <cell r="C703" t="str">
            <v>18457113/0001-86</v>
          </cell>
          <cell r="D703" t="str">
            <v>ALL GOOD SUPRIMENTOS E EQUIPAMENTOS LTDA</v>
          </cell>
          <cell r="E703" t="str">
            <v>A</v>
          </cell>
          <cell r="H703" t="str">
            <v>N/A</v>
          </cell>
          <cell r="I703">
            <v>500001</v>
          </cell>
          <cell r="J703" t="str">
            <v>Fornecedores</v>
          </cell>
          <cell r="K703">
            <v>600017</v>
          </cell>
          <cell r="L703">
            <v>-1</v>
          </cell>
        </row>
        <row r="704">
          <cell r="B704" t="str">
            <v>2.1.1.04.0494</v>
          </cell>
          <cell r="C704" t="str">
            <v>07341418/0001-01</v>
          </cell>
          <cell r="D704" t="str">
            <v>INFORMA ECONOMICS FNP CONSULT LTDA</v>
          </cell>
          <cell r="E704" t="str">
            <v>A</v>
          </cell>
          <cell r="H704" t="str">
            <v>N/A</v>
          </cell>
          <cell r="I704">
            <v>500001</v>
          </cell>
          <cell r="J704" t="str">
            <v>Fornecedores</v>
          </cell>
          <cell r="K704">
            <v>600017</v>
          </cell>
          <cell r="L704">
            <v>-1</v>
          </cell>
        </row>
        <row r="705">
          <cell r="B705" t="str">
            <v>2.1.1.04.0495</v>
          </cell>
          <cell r="C705" t="str">
            <v>09388567/0001-51</v>
          </cell>
          <cell r="D705" t="str">
            <v>SHOW TECNOLOGIA DA INFORMACAO LTDA</v>
          </cell>
          <cell r="E705" t="str">
            <v>A</v>
          </cell>
          <cell r="H705" t="str">
            <v>N/A</v>
          </cell>
          <cell r="I705">
            <v>500001</v>
          </cell>
          <cell r="J705" t="str">
            <v>Fornecedores</v>
          </cell>
          <cell r="K705">
            <v>600017</v>
          </cell>
          <cell r="L705">
            <v>-1</v>
          </cell>
        </row>
        <row r="706">
          <cell r="B706" t="str">
            <v>2.1.1.04.0496</v>
          </cell>
          <cell r="C706" t="str">
            <v>12157917/0001-83</v>
          </cell>
          <cell r="D706" t="str">
            <v>ELETRICA KVA LTDA</v>
          </cell>
          <cell r="E706" t="str">
            <v>A</v>
          </cell>
          <cell r="H706" t="str">
            <v>N/A</v>
          </cell>
          <cell r="I706">
            <v>500001</v>
          </cell>
          <cell r="J706" t="str">
            <v>Fornecedores</v>
          </cell>
          <cell r="K706">
            <v>600017</v>
          </cell>
          <cell r="L706">
            <v>-1</v>
          </cell>
        </row>
        <row r="707">
          <cell r="B707" t="str">
            <v>2.1.1.04.0497</v>
          </cell>
          <cell r="C707" t="str">
            <v>16735032/0001-75</v>
          </cell>
          <cell r="D707" t="str">
            <v>FABIO DUTRA DECORACOES LTDA</v>
          </cell>
          <cell r="E707" t="str">
            <v>A</v>
          </cell>
          <cell r="H707" t="str">
            <v>N/A</v>
          </cell>
          <cell r="I707">
            <v>500001</v>
          </cell>
          <cell r="J707" t="str">
            <v>Fornecedores</v>
          </cell>
          <cell r="K707">
            <v>600017</v>
          </cell>
          <cell r="L707">
            <v>-1</v>
          </cell>
        </row>
        <row r="708">
          <cell r="B708" t="str">
            <v>2.1.1.04.0498</v>
          </cell>
          <cell r="C708" t="str">
            <v>05673029/0001-58</v>
          </cell>
          <cell r="D708" t="str">
            <v>DROGARIA MONTANA LTDA</v>
          </cell>
          <cell r="E708" t="str">
            <v>A</v>
          </cell>
          <cell r="H708" t="str">
            <v>N/A</v>
          </cell>
          <cell r="I708">
            <v>500001</v>
          </cell>
          <cell r="J708" t="str">
            <v>Fornecedores</v>
          </cell>
          <cell r="K708">
            <v>600017</v>
          </cell>
          <cell r="L708">
            <v>-1</v>
          </cell>
        </row>
        <row r="709">
          <cell r="B709" t="str">
            <v>2.1.1.04.0499</v>
          </cell>
          <cell r="C709" t="str">
            <v>04481410/000152</v>
          </cell>
          <cell r="D709" t="str">
            <v>NÃO USAR</v>
          </cell>
          <cell r="E709" t="str">
            <v>A</v>
          </cell>
          <cell r="H709" t="str">
            <v>N/A</v>
          </cell>
          <cell r="I709">
            <v>500001</v>
          </cell>
          <cell r="J709" t="str">
            <v>Fornecedores</v>
          </cell>
          <cell r="K709">
            <v>600017</v>
          </cell>
          <cell r="L709">
            <v>-1</v>
          </cell>
        </row>
        <row r="710">
          <cell r="B710" t="str">
            <v>2.1.1.04.0501</v>
          </cell>
          <cell r="C710" t="str">
            <v>12432924/0001-46</v>
          </cell>
          <cell r="D710" t="str">
            <v>CASA VIVA EVENTOS AMBIENTAIS LTDA</v>
          </cell>
          <cell r="E710" t="str">
            <v>A</v>
          </cell>
          <cell r="H710" t="str">
            <v>N/A</v>
          </cell>
          <cell r="I710">
            <v>500001</v>
          </cell>
          <cell r="J710" t="str">
            <v>Fornecedores</v>
          </cell>
          <cell r="K710">
            <v>600017</v>
          </cell>
          <cell r="L710">
            <v>-1</v>
          </cell>
        </row>
        <row r="711">
          <cell r="B711" t="str">
            <v>2.1.1.04.0502</v>
          </cell>
          <cell r="C711" t="str">
            <v>71584338/0001-86</v>
          </cell>
          <cell r="D711" t="str">
            <v>ELO ENGENHARIA COMERCIO E CONSTRUÇOES</v>
          </cell>
          <cell r="E711" t="str">
            <v>A</v>
          </cell>
          <cell r="H711" t="str">
            <v>N/A</v>
          </cell>
          <cell r="I711">
            <v>500001</v>
          </cell>
          <cell r="J711" t="str">
            <v>Fornecedores</v>
          </cell>
          <cell r="K711">
            <v>600017</v>
          </cell>
          <cell r="L711">
            <v>-1</v>
          </cell>
        </row>
        <row r="712">
          <cell r="B712" t="str">
            <v>2.1.1.04.0503</v>
          </cell>
          <cell r="C712" t="str">
            <v>34275982/0001-46</v>
          </cell>
          <cell r="D712" t="str">
            <v>PAPELARIA APOLLO LTDA</v>
          </cell>
          <cell r="E712" t="str">
            <v>A</v>
          </cell>
          <cell r="H712" t="str">
            <v>N/A</v>
          </cell>
          <cell r="I712">
            <v>500001</v>
          </cell>
          <cell r="J712" t="str">
            <v>Fornecedores</v>
          </cell>
          <cell r="K712">
            <v>600017</v>
          </cell>
          <cell r="L712">
            <v>-1</v>
          </cell>
        </row>
        <row r="713">
          <cell r="B713" t="str">
            <v>2.1.1.04.0504</v>
          </cell>
          <cell r="C713" t="str">
            <v>08881332/0001-34</v>
          </cell>
          <cell r="D713" t="str">
            <v>VOLGA ENGENHARIA DE PRODUCAO LTDA</v>
          </cell>
          <cell r="E713" t="str">
            <v>A</v>
          </cell>
          <cell r="H713" t="str">
            <v>N/A</v>
          </cell>
          <cell r="I713">
            <v>500001</v>
          </cell>
          <cell r="J713" t="str">
            <v>Fornecedores</v>
          </cell>
          <cell r="K713">
            <v>600017</v>
          </cell>
          <cell r="L713">
            <v>-1</v>
          </cell>
        </row>
        <row r="714">
          <cell r="B714" t="str">
            <v>2.1.1.04.0505</v>
          </cell>
          <cell r="C714" t="str">
            <v>12622028/0001-40</v>
          </cell>
          <cell r="D714" t="str">
            <v>GLOBALPRINT EDITORA GRAFICA LTDA</v>
          </cell>
          <cell r="E714" t="str">
            <v>A</v>
          </cell>
          <cell r="H714" t="str">
            <v>N/A</v>
          </cell>
          <cell r="I714">
            <v>500001</v>
          </cell>
          <cell r="J714" t="str">
            <v>Fornecedores</v>
          </cell>
          <cell r="K714">
            <v>600017</v>
          </cell>
          <cell r="L714">
            <v>-1</v>
          </cell>
        </row>
        <row r="715">
          <cell r="B715" t="str">
            <v>2.1.1.04.0506</v>
          </cell>
          <cell r="C715" t="str">
            <v>40389603/0001-41</v>
          </cell>
          <cell r="D715" t="str">
            <v>ESTOFADOS BEM NA MODA LTDA</v>
          </cell>
          <cell r="E715" t="str">
            <v>A</v>
          </cell>
          <cell r="H715" t="str">
            <v>N/A</v>
          </cell>
          <cell r="I715">
            <v>500001</v>
          </cell>
          <cell r="J715" t="str">
            <v>Fornecedores</v>
          </cell>
          <cell r="K715">
            <v>600017</v>
          </cell>
          <cell r="L715">
            <v>-1</v>
          </cell>
        </row>
        <row r="716">
          <cell r="B716" t="str">
            <v>2.1.1.04.0507</v>
          </cell>
          <cell r="C716" t="str">
            <v>05340639/0001-30</v>
          </cell>
          <cell r="D716" t="str">
            <v>PRIME CONSULTORIA E ASSESSORIA EMP. LTDA</v>
          </cell>
          <cell r="E716" t="str">
            <v>A</v>
          </cell>
          <cell r="H716" t="str">
            <v>N/A</v>
          </cell>
          <cell r="I716">
            <v>500001</v>
          </cell>
          <cell r="J716" t="str">
            <v>Fornecedores</v>
          </cell>
          <cell r="K716">
            <v>600017</v>
          </cell>
          <cell r="L716">
            <v>-1</v>
          </cell>
        </row>
        <row r="717">
          <cell r="B717" t="str">
            <v>2.1.1.04.0508</v>
          </cell>
          <cell r="C717" t="str">
            <v>40432544/0001-47</v>
          </cell>
          <cell r="D717" t="str">
            <v>CLARO S/A</v>
          </cell>
          <cell r="E717" t="str">
            <v>A</v>
          </cell>
          <cell r="H717" t="str">
            <v>N/A</v>
          </cell>
          <cell r="I717">
            <v>500001</v>
          </cell>
          <cell r="J717" t="str">
            <v>Fornecedores</v>
          </cell>
          <cell r="K717">
            <v>600017</v>
          </cell>
          <cell r="L717">
            <v>-1</v>
          </cell>
        </row>
        <row r="718">
          <cell r="B718" t="str">
            <v>2.1.1.04.0509</v>
          </cell>
          <cell r="C718" t="str">
            <v>02191676/0001-35</v>
          </cell>
          <cell r="D718" t="str">
            <v>FORSEG COMERCIO DE EXTINTORES LTDA -ME</v>
          </cell>
          <cell r="E718" t="str">
            <v>A</v>
          </cell>
          <cell r="H718" t="str">
            <v>N/A</v>
          </cell>
          <cell r="I718">
            <v>500001</v>
          </cell>
          <cell r="J718" t="str">
            <v>Fornecedores</v>
          </cell>
          <cell r="K718">
            <v>600017</v>
          </cell>
          <cell r="L718">
            <v>-1</v>
          </cell>
        </row>
        <row r="719">
          <cell r="B719" t="str">
            <v>2.1.1.04.0510</v>
          </cell>
          <cell r="C719" t="str">
            <v>07692685/0001-23</v>
          </cell>
          <cell r="D719" t="str">
            <v>J S R C GNV SEGURANCA CONTRA INCENDIO</v>
          </cell>
          <cell r="E719" t="str">
            <v>A</v>
          </cell>
          <cell r="H719" t="str">
            <v>N/A</v>
          </cell>
          <cell r="I719">
            <v>500001</v>
          </cell>
          <cell r="J719" t="str">
            <v>Fornecedores</v>
          </cell>
          <cell r="K719">
            <v>600017</v>
          </cell>
          <cell r="L719">
            <v>-1</v>
          </cell>
        </row>
        <row r="720">
          <cell r="B720" t="str">
            <v>2.1.1.04.0511</v>
          </cell>
          <cell r="C720" t="str">
            <v>01513667/0001-50</v>
          </cell>
          <cell r="D720" t="str">
            <v>KA IQUE COMERCIO E SERVICOS EIRELI EPP</v>
          </cell>
          <cell r="E720" t="str">
            <v>A</v>
          </cell>
          <cell r="H720" t="str">
            <v>N/A</v>
          </cell>
          <cell r="I720">
            <v>500001</v>
          </cell>
          <cell r="J720" t="str">
            <v>Fornecedores</v>
          </cell>
          <cell r="K720">
            <v>600017</v>
          </cell>
          <cell r="L720">
            <v>-1</v>
          </cell>
        </row>
        <row r="721">
          <cell r="B721" t="str">
            <v>2.1.1.04.0512</v>
          </cell>
          <cell r="C721" t="str">
            <v>05930146/0001-50</v>
          </cell>
          <cell r="D721" t="str">
            <v>FERNANDO JC PINASSO ASSESSORIA  EVENTOS</v>
          </cell>
          <cell r="E721" t="str">
            <v>A</v>
          </cell>
          <cell r="H721" t="str">
            <v>N/A</v>
          </cell>
          <cell r="I721">
            <v>500001</v>
          </cell>
          <cell r="J721" t="str">
            <v>Fornecedores</v>
          </cell>
          <cell r="K721">
            <v>600017</v>
          </cell>
          <cell r="L721">
            <v>-1</v>
          </cell>
        </row>
        <row r="722">
          <cell r="B722" t="str">
            <v>2.1.1.04.0513</v>
          </cell>
          <cell r="C722" t="str">
            <v>00849315/0001-08</v>
          </cell>
          <cell r="D722" t="str">
            <v>FN EQUIP TECNOLOGICOS E  SEGURANCA LTDA</v>
          </cell>
          <cell r="E722" t="str">
            <v>A</v>
          </cell>
          <cell r="H722" t="str">
            <v>N/A</v>
          </cell>
          <cell r="I722">
            <v>500001</v>
          </cell>
          <cell r="J722" t="str">
            <v>Fornecedores</v>
          </cell>
          <cell r="K722">
            <v>600017</v>
          </cell>
          <cell r="L722">
            <v>-1</v>
          </cell>
        </row>
        <row r="723">
          <cell r="B723" t="str">
            <v>2.1.1.04.0514</v>
          </cell>
          <cell r="C723" t="str">
            <v>10777099/0001-96</v>
          </cell>
          <cell r="D723" t="str">
            <v>BRXNQ TELECOMUNICACOES LTDA</v>
          </cell>
          <cell r="E723" t="str">
            <v>A</v>
          </cell>
          <cell r="H723" t="str">
            <v>N/A</v>
          </cell>
          <cell r="I723">
            <v>500001</v>
          </cell>
          <cell r="J723" t="str">
            <v>Fornecedores</v>
          </cell>
          <cell r="K723">
            <v>600017</v>
          </cell>
          <cell r="L723">
            <v>-1</v>
          </cell>
        </row>
        <row r="724">
          <cell r="B724" t="str">
            <v>2.1.1.04.0515</v>
          </cell>
          <cell r="C724" t="str">
            <v>76535764/0001-43</v>
          </cell>
          <cell r="D724" t="str">
            <v>OI SA</v>
          </cell>
          <cell r="E724" t="str">
            <v>A</v>
          </cell>
          <cell r="H724" t="str">
            <v>N/A</v>
          </cell>
          <cell r="I724">
            <v>500001</v>
          </cell>
          <cell r="J724" t="str">
            <v>Fornecedores</v>
          </cell>
          <cell r="K724">
            <v>600017</v>
          </cell>
          <cell r="L724">
            <v>-1</v>
          </cell>
        </row>
        <row r="725">
          <cell r="B725" t="str">
            <v>2.1.1.04.0516</v>
          </cell>
          <cell r="C725" t="str">
            <v>62652961/0001-38</v>
          </cell>
          <cell r="D725" t="str">
            <v>AGENCIA ESTADO S.A</v>
          </cell>
          <cell r="E725" t="str">
            <v>A</v>
          </cell>
          <cell r="H725" t="str">
            <v>N/A</v>
          </cell>
          <cell r="I725">
            <v>500001</v>
          </cell>
          <cell r="J725" t="str">
            <v>Fornecedores</v>
          </cell>
          <cell r="K725">
            <v>600017</v>
          </cell>
          <cell r="L725">
            <v>-1</v>
          </cell>
        </row>
        <row r="726">
          <cell r="B726" t="str">
            <v>2.1.1.04.0517</v>
          </cell>
          <cell r="C726" t="str">
            <v>10727138/0001-40</v>
          </cell>
          <cell r="D726" t="str">
            <v>CVNI CENTRO DE VACINACAO NOVA IGUACU</v>
          </cell>
          <cell r="E726" t="str">
            <v>A</v>
          </cell>
          <cell r="H726" t="str">
            <v>N/A</v>
          </cell>
          <cell r="I726">
            <v>500001</v>
          </cell>
          <cell r="J726" t="str">
            <v>Fornecedores</v>
          </cell>
          <cell r="K726">
            <v>600017</v>
          </cell>
          <cell r="L726">
            <v>-1</v>
          </cell>
        </row>
        <row r="727">
          <cell r="B727" t="str">
            <v>2.1.1.04.0518</v>
          </cell>
          <cell r="C727" t="str">
            <v>00055671/0001-50</v>
          </cell>
          <cell r="D727" t="str">
            <v>VAN MEX COMERCIAL E SERVIÇOS LTDA</v>
          </cell>
          <cell r="E727" t="str">
            <v>A</v>
          </cell>
          <cell r="H727" t="str">
            <v>N/A</v>
          </cell>
          <cell r="I727">
            <v>500001</v>
          </cell>
          <cell r="J727" t="str">
            <v>Fornecedores</v>
          </cell>
          <cell r="K727">
            <v>600017</v>
          </cell>
          <cell r="L727">
            <v>-1</v>
          </cell>
        </row>
        <row r="728">
          <cell r="B728" t="str">
            <v>2.1.1.04.0519</v>
          </cell>
          <cell r="C728" t="str">
            <v>01436782/0001-79</v>
          </cell>
          <cell r="D728" t="str">
            <v>KANTRO SERVICOS TERCEIRIZADOS LTDA</v>
          </cell>
          <cell r="E728" t="str">
            <v>A</v>
          </cell>
          <cell r="H728" t="str">
            <v>N/A</v>
          </cell>
          <cell r="I728">
            <v>500001</v>
          </cell>
          <cell r="J728" t="str">
            <v>Fornecedores</v>
          </cell>
          <cell r="K728">
            <v>600017</v>
          </cell>
          <cell r="L728">
            <v>-1</v>
          </cell>
        </row>
        <row r="729">
          <cell r="B729" t="str">
            <v>2.1.1.04.0520</v>
          </cell>
          <cell r="C729" t="str">
            <v>16465373/0001-78</v>
          </cell>
          <cell r="D729" t="str">
            <v>L R B NEVES GRAFICA EDITORA</v>
          </cell>
          <cell r="E729" t="str">
            <v>A</v>
          </cell>
          <cell r="H729" t="str">
            <v>N/A</v>
          </cell>
          <cell r="I729">
            <v>500001</v>
          </cell>
          <cell r="J729" t="str">
            <v>Fornecedores</v>
          </cell>
          <cell r="K729">
            <v>600017</v>
          </cell>
          <cell r="L729">
            <v>-1</v>
          </cell>
        </row>
        <row r="730">
          <cell r="B730" t="str">
            <v>2.1.1.04.0521</v>
          </cell>
          <cell r="C730" t="str">
            <v>14438757/0001-76</v>
          </cell>
          <cell r="D730" t="str">
            <v>CAM TECNOLOGIA LTDA ME</v>
          </cell>
          <cell r="E730" t="str">
            <v>A</v>
          </cell>
          <cell r="H730" t="str">
            <v>N/A</v>
          </cell>
          <cell r="I730">
            <v>500001</v>
          </cell>
          <cell r="J730" t="str">
            <v>Fornecedores</v>
          </cell>
          <cell r="K730">
            <v>600017</v>
          </cell>
          <cell r="L730">
            <v>-1</v>
          </cell>
        </row>
        <row r="731">
          <cell r="B731" t="str">
            <v>2.1.1.04.0522</v>
          </cell>
          <cell r="C731" t="str">
            <v>08286246/0001-83</v>
          </cell>
          <cell r="D731" t="str">
            <v>NEWCREATIVE ARTESHOW LTDA</v>
          </cell>
          <cell r="E731" t="str">
            <v>A</v>
          </cell>
          <cell r="H731" t="str">
            <v>N/A</v>
          </cell>
          <cell r="I731">
            <v>500001</v>
          </cell>
          <cell r="J731" t="str">
            <v>Fornecedores</v>
          </cell>
          <cell r="K731">
            <v>600017</v>
          </cell>
          <cell r="L731">
            <v>-1</v>
          </cell>
        </row>
        <row r="732">
          <cell r="B732" t="str">
            <v>2.1.1.04.0523</v>
          </cell>
          <cell r="C732" t="str">
            <v>14644934/0001-70</v>
          </cell>
          <cell r="D732" t="str">
            <v>SOCIEDADE BRASILEIRA DE GEOFISICA</v>
          </cell>
          <cell r="E732" t="str">
            <v>A</v>
          </cell>
          <cell r="H732" t="str">
            <v>N/A</v>
          </cell>
          <cell r="I732">
            <v>500001</v>
          </cell>
          <cell r="J732" t="str">
            <v>Fornecedores</v>
          </cell>
          <cell r="K732">
            <v>600017</v>
          </cell>
          <cell r="L732">
            <v>-1</v>
          </cell>
        </row>
        <row r="733">
          <cell r="B733" t="str">
            <v>2.1.1.04.0524</v>
          </cell>
          <cell r="C733">
            <v>4709191000116</v>
          </cell>
          <cell r="D733" t="str">
            <v>INSTITUTO ACENDE BRASIL</v>
          </cell>
          <cell r="E733" t="str">
            <v>A</v>
          </cell>
          <cell r="H733" t="str">
            <v>N/A</v>
          </cell>
          <cell r="I733">
            <v>500001</v>
          </cell>
          <cell r="J733" t="str">
            <v>Fornecedores</v>
          </cell>
          <cell r="K733">
            <v>600017</v>
          </cell>
          <cell r="L733">
            <v>-1</v>
          </cell>
        </row>
        <row r="734">
          <cell r="B734" t="str">
            <v>2.1.1.04.0525</v>
          </cell>
          <cell r="C734" t="str">
            <v>13060810/0001-85</v>
          </cell>
          <cell r="D734" t="str">
            <v>SUPRIZ COMERCIO DE SUPRIMENTOS LTDA</v>
          </cell>
          <cell r="E734" t="str">
            <v>A</v>
          </cell>
          <cell r="H734" t="str">
            <v>N/A</v>
          </cell>
          <cell r="I734">
            <v>500001</v>
          </cell>
          <cell r="J734" t="str">
            <v>Fornecedores</v>
          </cell>
          <cell r="K734">
            <v>600017</v>
          </cell>
          <cell r="L734">
            <v>-1</v>
          </cell>
        </row>
        <row r="735">
          <cell r="B735" t="str">
            <v>2.1.1.04.0526</v>
          </cell>
          <cell r="C735" t="str">
            <v>21340197/0001-88</v>
          </cell>
          <cell r="D735" t="str">
            <v>TECHVET SERVICOS LTDA ME</v>
          </cell>
          <cell r="E735" t="str">
            <v>A</v>
          </cell>
          <cell r="H735" t="str">
            <v>N/A</v>
          </cell>
          <cell r="I735">
            <v>500001</v>
          </cell>
          <cell r="J735" t="str">
            <v>Fornecedores</v>
          </cell>
          <cell r="K735">
            <v>600017</v>
          </cell>
          <cell r="L735">
            <v>-1</v>
          </cell>
        </row>
        <row r="736">
          <cell r="B736" t="str">
            <v>2.1.1.04.0527</v>
          </cell>
          <cell r="C736">
            <v>7866293000133</v>
          </cell>
          <cell r="D736" t="str">
            <v>INSTITUTO BRASILEIRO DE DIREITO PUBLICO</v>
          </cell>
          <cell r="E736" t="str">
            <v>A</v>
          </cell>
          <cell r="H736" t="str">
            <v>N/A</v>
          </cell>
          <cell r="I736">
            <v>500001</v>
          </cell>
          <cell r="J736" t="str">
            <v>Fornecedores</v>
          </cell>
          <cell r="K736">
            <v>600017</v>
          </cell>
          <cell r="L736">
            <v>-1</v>
          </cell>
        </row>
        <row r="737">
          <cell r="B737" t="str">
            <v>2.1.1.04.0528</v>
          </cell>
          <cell r="C737" t="str">
            <v>10825457/0001-99</v>
          </cell>
          <cell r="D737" t="str">
            <v>IOC CAPACITACAO LTDA</v>
          </cell>
          <cell r="E737" t="str">
            <v>A</v>
          </cell>
          <cell r="H737" t="str">
            <v>N/A</v>
          </cell>
          <cell r="I737">
            <v>500001</v>
          </cell>
          <cell r="J737" t="str">
            <v>Fornecedores</v>
          </cell>
          <cell r="K737">
            <v>600017</v>
          </cell>
          <cell r="L737">
            <v>-1</v>
          </cell>
        </row>
        <row r="738">
          <cell r="B738" t="str">
            <v>2.1.1.04.0529</v>
          </cell>
          <cell r="C738" t="str">
            <v>94526480/0001-72</v>
          </cell>
          <cell r="D738" t="str">
            <v>M R S ESTUDOS AMBIENTAIS LTDA</v>
          </cell>
          <cell r="E738" t="str">
            <v>A</v>
          </cell>
          <cell r="H738" t="str">
            <v>N/A</v>
          </cell>
          <cell r="I738">
            <v>500001</v>
          </cell>
          <cell r="J738" t="str">
            <v>Fornecedores</v>
          </cell>
          <cell r="K738">
            <v>600017</v>
          </cell>
          <cell r="L738">
            <v>-1</v>
          </cell>
        </row>
        <row r="739">
          <cell r="B739" t="str">
            <v>2.1.1.04.0530</v>
          </cell>
          <cell r="C739" t="str">
            <v>08379106/0001-50</v>
          </cell>
          <cell r="D739" t="str">
            <v>PAPELARIA BASE DAS ARTES LTDA ME</v>
          </cell>
          <cell r="E739" t="str">
            <v>A</v>
          </cell>
          <cell r="H739" t="str">
            <v>N/A</v>
          </cell>
          <cell r="I739">
            <v>500001</v>
          </cell>
          <cell r="J739" t="str">
            <v>Fornecedores</v>
          </cell>
          <cell r="K739">
            <v>600017</v>
          </cell>
          <cell r="L739">
            <v>-1</v>
          </cell>
        </row>
        <row r="740">
          <cell r="B740" t="str">
            <v>2.1.1.04.0531</v>
          </cell>
          <cell r="C740" t="str">
            <v>03746938/0001-43</v>
          </cell>
          <cell r="D740" t="str">
            <v>STAPLES BRASIL COM DE MATERIAIS DE ESCR</v>
          </cell>
          <cell r="E740" t="str">
            <v>A</v>
          </cell>
          <cell r="H740" t="str">
            <v>N/A</v>
          </cell>
          <cell r="I740">
            <v>500001</v>
          </cell>
          <cell r="J740" t="str">
            <v>Fornecedores</v>
          </cell>
          <cell r="K740">
            <v>600017</v>
          </cell>
          <cell r="L740">
            <v>-1</v>
          </cell>
        </row>
        <row r="741">
          <cell r="B741" t="str">
            <v>2.1.1.04.0532</v>
          </cell>
          <cell r="C741" t="str">
            <v>19950386/0001-20</v>
          </cell>
          <cell r="D741" t="str">
            <v>SINERGIA COM E SERV DE EQUI ELETRO</v>
          </cell>
          <cell r="E741" t="str">
            <v>A</v>
          </cell>
          <cell r="H741" t="str">
            <v>N/A</v>
          </cell>
          <cell r="I741">
            <v>500001</v>
          </cell>
          <cell r="J741" t="str">
            <v>Fornecedores</v>
          </cell>
          <cell r="K741">
            <v>600017</v>
          </cell>
          <cell r="L741">
            <v>-1</v>
          </cell>
        </row>
        <row r="742">
          <cell r="B742" t="str">
            <v>2.1.1.04.0533</v>
          </cell>
          <cell r="C742" t="str">
            <v>3259002/0001-74</v>
          </cell>
          <cell r="D742" t="str">
            <v>ARACAJU ELETRO FERRAGENS LTDA</v>
          </cell>
          <cell r="E742" t="str">
            <v>A</v>
          </cell>
          <cell r="H742" t="str">
            <v>N/A</v>
          </cell>
          <cell r="I742">
            <v>500001</v>
          </cell>
          <cell r="J742" t="str">
            <v>Fornecedores</v>
          </cell>
          <cell r="K742">
            <v>600017</v>
          </cell>
          <cell r="L742">
            <v>-1</v>
          </cell>
        </row>
        <row r="743">
          <cell r="B743" t="str">
            <v>2.1.1.04.0534</v>
          </cell>
          <cell r="C743" t="str">
            <v>59105999/0001-86</v>
          </cell>
          <cell r="D743" t="str">
            <v>WHIRLPOOL SA</v>
          </cell>
          <cell r="E743" t="str">
            <v>A</v>
          </cell>
          <cell r="H743" t="str">
            <v>N/A</v>
          </cell>
          <cell r="I743">
            <v>500001</v>
          </cell>
          <cell r="J743" t="str">
            <v>Fornecedores</v>
          </cell>
          <cell r="K743">
            <v>600017</v>
          </cell>
          <cell r="L743">
            <v>-1</v>
          </cell>
        </row>
        <row r="744">
          <cell r="B744" t="str">
            <v>2.1.1.04.0535</v>
          </cell>
          <cell r="C744" t="str">
            <v>18090313/0001-43</v>
          </cell>
          <cell r="D744" t="str">
            <v>DALA SERVICE AR CONDICIONADO LTDA</v>
          </cell>
          <cell r="E744" t="str">
            <v>A</v>
          </cell>
          <cell r="H744" t="str">
            <v>N/A</v>
          </cell>
          <cell r="I744">
            <v>500001</v>
          </cell>
          <cell r="J744" t="str">
            <v>Fornecedores</v>
          </cell>
          <cell r="K744">
            <v>600017</v>
          </cell>
          <cell r="L744">
            <v>-1</v>
          </cell>
        </row>
        <row r="745">
          <cell r="B745" t="str">
            <v>2.1.1.04.0536</v>
          </cell>
          <cell r="C745" t="str">
            <v>06012731/0001-33</v>
          </cell>
          <cell r="D745" t="str">
            <v>ONE CURSOS-TREINAMENTO DESEN CAPACITACAO</v>
          </cell>
          <cell r="E745" t="str">
            <v>A</v>
          </cell>
          <cell r="H745" t="str">
            <v>N/A</v>
          </cell>
          <cell r="I745">
            <v>500001</v>
          </cell>
          <cell r="J745" t="str">
            <v>Fornecedores</v>
          </cell>
          <cell r="K745">
            <v>600017</v>
          </cell>
          <cell r="L745">
            <v>-1</v>
          </cell>
        </row>
        <row r="746">
          <cell r="B746" t="str">
            <v>2.1.1.04.0537</v>
          </cell>
          <cell r="C746" t="str">
            <v>05344234/0001-70</v>
          </cell>
          <cell r="D746" t="str">
            <v>RJ LOCACAO DE VEICULOS E SERVICOS LTDA</v>
          </cell>
          <cell r="E746" t="str">
            <v>A</v>
          </cell>
          <cell r="H746" t="str">
            <v>N/A</v>
          </cell>
          <cell r="I746">
            <v>500001</v>
          </cell>
          <cell r="J746" t="str">
            <v>Fornecedores</v>
          </cell>
          <cell r="K746">
            <v>600017</v>
          </cell>
          <cell r="L746">
            <v>-1</v>
          </cell>
        </row>
        <row r="747">
          <cell r="B747" t="str">
            <v>2.1.1.04.0538</v>
          </cell>
          <cell r="C747" t="str">
            <v>03090756/0001-67</v>
          </cell>
          <cell r="D747" t="str">
            <v>AMAZONAVES TÁXI AÉREO LTDA</v>
          </cell>
          <cell r="E747" t="str">
            <v>A</v>
          </cell>
          <cell r="H747" t="str">
            <v>N/A</v>
          </cell>
          <cell r="I747">
            <v>500001</v>
          </cell>
          <cell r="J747" t="str">
            <v>Fornecedores</v>
          </cell>
          <cell r="K747">
            <v>600017</v>
          </cell>
          <cell r="L747">
            <v>-1</v>
          </cell>
        </row>
        <row r="748">
          <cell r="B748" t="str">
            <v>2.1.1.04.0539</v>
          </cell>
          <cell r="C748" t="str">
            <v>03618435/0001-92</v>
          </cell>
          <cell r="D748" t="str">
            <v>BRASILL INFORMATICA E PRODUTOS LTDA</v>
          </cell>
          <cell r="E748" t="str">
            <v>A</v>
          </cell>
          <cell r="H748" t="str">
            <v>N/A</v>
          </cell>
          <cell r="I748">
            <v>500001</v>
          </cell>
          <cell r="J748" t="str">
            <v>Fornecedores</v>
          </cell>
          <cell r="K748">
            <v>600017</v>
          </cell>
          <cell r="L748">
            <v>-1</v>
          </cell>
        </row>
        <row r="749">
          <cell r="B749" t="str">
            <v>2.1.1.04.0540</v>
          </cell>
          <cell r="C749" t="str">
            <v>06161716/0001-57</v>
          </cell>
          <cell r="D749" t="str">
            <v>AVELAR &amp; DUARTE SERVIÇOS CULTURAIS LTDA</v>
          </cell>
          <cell r="E749" t="str">
            <v>A</v>
          </cell>
          <cell r="H749" t="str">
            <v>N/A</v>
          </cell>
          <cell r="I749">
            <v>500001</v>
          </cell>
          <cell r="J749" t="str">
            <v>Fornecedores</v>
          </cell>
          <cell r="K749">
            <v>600017</v>
          </cell>
          <cell r="L749">
            <v>-1</v>
          </cell>
        </row>
        <row r="750">
          <cell r="B750" t="str">
            <v>2.1.1.04.0541</v>
          </cell>
          <cell r="C750" t="str">
            <v>03619767/0002-61</v>
          </cell>
          <cell r="D750" t="str">
            <v>TORINO INFORMATICA LTDA</v>
          </cell>
          <cell r="E750" t="str">
            <v>A</v>
          </cell>
          <cell r="H750" t="str">
            <v>N/A</v>
          </cell>
          <cell r="I750">
            <v>500001</v>
          </cell>
          <cell r="J750" t="str">
            <v>Fornecedores</v>
          </cell>
          <cell r="K750">
            <v>600017</v>
          </cell>
          <cell r="L750">
            <v>-1</v>
          </cell>
        </row>
        <row r="751">
          <cell r="B751" t="str">
            <v>2.1.1.04.0542</v>
          </cell>
          <cell r="C751" t="str">
            <v>49045552/0001-05</v>
          </cell>
          <cell r="D751" t="str">
            <v>ELASTICOS OLIMPIA LTDA</v>
          </cell>
          <cell r="E751" t="str">
            <v>A</v>
          </cell>
          <cell r="H751" t="str">
            <v>N/A</v>
          </cell>
          <cell r="I751">
            <v>500001</v>
          </cell>
          <cell r="J751" t="str">
            <v>Fornecedores</v>
          </cell>
          <cell r="K751">
            <v>600017</v>
          </cell>
          <cell r="L751">
            <v>-1</v>
          </cell>
        </row>
        <row r="752">
          <cell r="B752" t="str">
            <v>2.1.1.04.0543</v>
          </cell>
          <cell r="C752" t="str">
            <v>07446868/0001-69</v>
          </cell>
          <cell r="D752" t="str">
            <v>DANDY LOCAÇÃO DE VEÍCULOS LTDA.</v>
          </cell>
          <cell r="E752" t="str">
            <v>A</v>
          </cell>
          <cell r="H752" t="str">
            <v>N/A</v>
          </cell>
          <cell r="I752">
            <v>500001</v>
          </cell>
          <cell r="J752" t="str">
            <v>Fornecedores</v>
          </cell>
          <cell r="K752">
            <v>600017</v>
          </cell>
          <cell r="L752">
            <v>-1</v>
          </cell>
        </row>
        <row r="753">
          <cell r="B753" t="str">
            <v>2.1.1.04.0544</v>
          </cell>
          <cell r="C753" t="str">
            <v>07101088/0001-87</v>
          </cell>
          <cell r="D753" t="str">
            <v>DEALWAY INFORMATICA LTDA</v>
          </cell>
          <cell r="E753" t="str">
            <v>A</v>
          </cell>
          <cell r="H753" t="str">
            <v>N/A</v>
          </cell>
          <cell r="I753">
            <v>500001</v>
          </cell>
          <cell r="J753" t="str">
            <v>Fornecedores</v>
          </cell>
          <cell r="K753">
            <v>600017</v>
          </cell>
          <cell r="L753">
            <v>-1</v>
          </cell>
        </row>
        <row r="754">
          <cell r="B754" t="str">
            <v>2.1.1.04.0545</v>
          </cell>
          <cell r="C754" t="str">
            <v>04556971/0001-73</v>
          </cell>
          <cell r="D754" t="str">
            <v>ANGELTEC COPIADORA LTDA</v>
          </cell>
          <cell r="E754" t="str">
            <v>A</v>
          </cell>
          <cell r="H754" t="str">
            <v>N/A</v>
          </cell>
          <cell r="I754">
            <v>500001</v>
          </cell>
          <cell r="J754" t="str">
            <v>Fornecedores</v>
          </cell>
          <cell r="K754">
            <v>600017</v>
          </cell>
          <cell r="L754">
            <v>-1</v>
          </cell>
        </row>
        <row r="755">
          <cell r="B755" t="str">
            <v>2.1.1.04.0546</v>
          </cell>
          <cell r="C755" t="str">
            <v>10548069/0001-08</v>
          </cell>
          <cell r="D755" t="str">
            <v>DANIELA RISSON - JORNALISTA</v>
          </cell>
          <cell r="E755" t="str">
            <v>A</v>
          </cell>
          <cell r="H755" t="str">
            <v>N/A</v>
          </cell>
          <cell r="I755">
            <v>500001</v>
          </cell>
          <cell r="J755" t="str">
            <v>Fornecedores</v>
          </cell>
          <cell r="K755">
            <v>600017</v>
          </cell>
          <cell r="L755">
            <v>-1</v>
          </cell>
        </row>
        <row r="756">
          <cell r="B756" t="str">
            <v>2.1.1.04.0547</v>
          </cell>
          <cell r="C756" t="str">
            <v>33267642/0001-00</v>
          </cell>
          <cell r="D756" t="str">
            <v>GRAFICA EDITORA JORNAL DO COMERCIO S/A</v>
          </cell>
          <cell r="E756" t="str">
            <v>A</v>
          </cell>
          <cell r="H756" t="str">
            <v>N/A</v>
          </cell>
          <cell r="I756">
            <v>500001</v>
          </cell>
          <cell r="J756" t="str">
            <v>Fornecedores</v>
          </cell>
          <cell r="K756">
            <v>600017</v>
          </cell>
          <cell r="L756">
            <v>-1</v>
          </cell>
        </row>
        <row r="757">
          <cell r="B757" t="str">
            <v>2.1.1.04.0548</v>
          </cell>
          <cell r="C757" t="str">
            <v>21051277/0001-13</v>
          </cell>
          <cell r="D757" t="str">
            <v>RT EDITORA E DISTRIBUIDORA DE PAPEIS</v>
          </cell>
          <cell r="E757" t="str">
            <v>A</v>
          </cell>
          <cell r="H757" t="str">
            <v>N/A</v>
          </cell>
          <cell r="I757">
            <v>500001</v>
          </cell>
          <cell r="J757" t="str">
            <v>Fornecedores</v>
          </cell>
          <cell r="K757">
            <v>600017</v>
          </cell>
          <cell r="L757">
            <v>-1</v>
          </cell>
        </row>
        <row r="758">
          <cell r="B758" t="str">
            <v>2.1.1.04.0549</v>
          </cell>
          <cell r="C758" t="str">
            <v>86517729/0001-55</v>
          </cell>
          <cell r="D758" t="str">
            <v>VIENA EMPREENDIMENTOS LTDA</v>
          </cell>
          <cell r="E758" t="str">
            <v>A</v>
          </cell>
          <cell r="H758" t="str">
            <v>N/A</v>
          </cell>
          <cell r="I758">
            <v>500001</v>
          </cell>
          <cell r="J758" t="str">
            <v>Fornecedores</v>
          </cell>
          <cell r="K758">
            <v>600017</v>
          </cell>
          <cell r="L758">
            <v>-1</v>
          </cell>
        </row>
        <row r="759">
          <cell r="B759" t="str">
            <v>2.1.1.04.0550</v>
          </cell>
          <cell r="C759" t="str">
            <v>18023708/0001-23</v>
          </cell>
          <cell r="D759" t="str">
            <v>ALFREDO ALVES DA COSTA NETO</v>
          </cell>
          <cell r="E759" t="str">
            <v>A</v>
          </cell>
          <cell r="H759" t="str">
            <v>N/A</v>
          </cell>
          <cell r="I759">
            <v>500001</v>
          </cell>
          <cell r="J759" t="str">
            <v>Fornecedores</v>
          </cell>
          <cell r="K759">
            <v>600017</v>
          </cell>
          <cell r="L759">
            <v>-1</v>
          </cell>
        </row>
        <row r="760">
          <cell r="B760" t="str">
            <v>2.1.1.04.0551</v>
          </cell>
          <cell r="C760" t="str">
            <v>05214413/0001-92</v>
          </cell>
          <cell r="D760" t="str">
            <v>FUNDACAO MIGUEL DE CERVANTES DE APOIO</v>
          </cell>
          <cell r="E760" t="str">
            <v>A</v>
          </cell>
          <cell r="H760" t="str">
            <v>N/A</v>
          </cell>
          <cell r="I760">
            <v>500001</v>
          </cell>
          <cell r="J760" t="str">
            <v>Fornecedores</v>
          </cell>
          <cell r="K760">
            <v>600017</v>
          </cell>
          <cell r="L760">
            <v>-1</v>
          </cell>
        </row>
        <row r="761">
          <cell r="B761" t="str">
            <v>2.1.1.04.0552</v>
          </cell>
          <cell r="C761" t="str">
            <v>22238694/0001-32</v>
          </cell>
          <cell r="D761" t="str">
            <v>BERNARDES COM E IND GRAF EIRELI</v>
          </cell>
          <cell r="E761" t="str">
            <v>A</v>
          </cell>
          <cell r="H761" t="str">
            <v>N/A</v>
          </cell>
          <cell r="I761">
            <v>500001</v>
          </cell>
          <cell r="J761" t="str">
            <v>Fornecedores</v>
          </cell>
          <cell r="K761">
            <v>600017</v>
          </cell>
          <cell r="L761">
            <v>-1</v>
          </cell>
        </row>
        <row r="762">
          <cell r="B762" t="str">
            <v>2.1.1.04.0553</v>
          </cell>
          <cell r="C762" t="str">
            <v>03831133/0001-06</v>
          </cell>
          <cell r="D762" t="str">
            <v>ROTAPLAN GRAFICA E EDITORA LTDA</v>
          </cell>
          <cell r="E762" t="str">
            <v>A</v>
          </cell>
          <cell r="H762" t="str">
            <v>N/A</v>
          </cell>
          <cell r="I762">
            <v>500001</v>
          </cell>
          <cell r="J762" t="str">
            <v>Fornecedores</v>
          </cell>
          <cell r="K762">
            <v>600017</v>
          </cell>
          <cell r="L762">
            <v>-1</v>
          </cell>
        </row>
        <row r="763">
          <cell r="B763" t="str">
            <v>2.1.1.04.0554</v>
          </cell>
          <cell r="C763" t="str">
            <v>73415655/0001-02</v>
          </cell>
          <cell r="D763" t="str">
            <v>TEMATICA CARTOGRAFO</v>
          </cell>
          <cell r="E763" t="str">
            <v>A</v>
          </cell>
          <cell r="H763" t="str">
            <v>N/A</v>
          </cell>
          <cell r="I763">
            <v>500001</v>
          </cell>
          <cell r="J763" t="str">
            <v>Fornecedores</v>
          </cell>
          <cell r="K763">
            <v>600017</v>
          </cell>
          <cell r="L763">
            <v>-1</v>
          </cell>
        </row>
        <row r="764">
          <cell r="B764" t="str">
            <v>2.1.1.04.0555</v>
          </cell>
          <cell r="C764" t="str">
            <v>00274602/0001-37</v>
          </cell>
          <cell r="D764" t="str">
            <v>ART GLORIA SERRALHERIA LTDA</v>
          </cell>
          <cell r="E764" t="str">
            <v>A</v>
          </cell>
          <cell r="H764" t="str">
            <v>N/A</v>
          </cell>
          <cell r="I764">
            <v>500001</v>
          </cell>
          <cell r="J764" t="str">
            <v>Fornecedores</v>
          </cell>
          <cell r="K764">
            <v>600017</v>
          </cell>
          <cell r="L764">
            <v>-1</v>
          </cell>
        </row>
        <row r="765">
          <cell r="B765" t="str">
            <v>2.1.1.04.0556</v>
          </cell>
          <cell r="C765" t="str">
            <v>54102785/0001-32</v>
          </cell>
          <cell r="D765" t="str">
            <v>EDITORIA NDJ LTDA</v>
          </cell>
          <cell r="E765" t="str">
            <v>A</v>
          </cell>
          <cell r="H765" t="str">
            <v>N/A</v>
          </cell>
          <cell r="I765">
            <v>500001</v>
          </cell>
          <cell r="J765" t="str">
            <v>Fornecedores</v>
          </cell>
          <cell r="K765">
            <v>600017</v>
          </cell>
          <cell r="L765">
            <v>-1</v>
          </cell>
        </row>
        <row r="766">
          <cell r="B766" t="str">
            <v>2.1.1.04.0557</v>
          </cell>
          <cell r="C766" t="str">
            <v>12369441/0001-44</v>
          </cell>
          <cell r="D766" t="str">
            <v>CONSEG EQUP E SIST CONTRA INCENDIO LTDA</v>
          </cell>
          <cell r="E766" t="str">
            <v>A</v>
          </cell>
          <cell r="H766" t="str">
            <v>N/A</v>
          </cell>
          <cell r="I766">
            <v>500001</v>
          </cell>
          <cell r="J766" t="str">
            <v>Fornecedores</v>
          </cell>
          <cell r="K766">
            <v>600017</v>
          </cell>
          <cell r="L766">
            <v>-1</v>
          </cell>
        </row>
        <row r="767">
          <cell r="B767" t="str">
            <v>2.1.1.04.0558</v>
          </cell>
          <cell r="C767" t="str">
            <v>24221596/0001-82</v>
          </cell>
          <cell r="D767" t="str">
            <v>EASY SR SERVICOS LTDA ME</v>
          </cell>
          <cell r="E767" t="str">
            <v>A</v>
          </cell>
          <cell r="H767" t="str">
            <v>N/A</v>
          </cell>
          <cell r="I767">
            <v>500001</v>
          </cell>
          <cell r="J767" t="str">
            <v>Fornecedores</v>
          </cell>
          <cell r="K767">
            <v>600017</v>
          </cell>
          <cell r="L767">
            <v>-1</v>
          </cell>
        </row>
        <row r="768">
          <cell r="B768" t="str">
            <v>2.1.1.04.0559</v>
          </cell>
          <cell r="C768" t="str">
            <v>02550956/0001-92</v>
          </cell>
          <cell r="D768" t="str">
            <v>CASA DE IDEIAS COMUNICACAO LTDA</v>
          </cell>
          <cell r="E768" t="str">
            <v>A</v>
          </cell>
          <cell r="H768" t="str">
            <v>N/A</v>
          </cell>
          <cell r="I768">
            <v>500001</v>
          </cell>
          <cell r="J768" t="str">
            <v>Fornecedores</v>
          </cell>
          <cell r="K768">
            <v>600017</v>
          </cell>
          <cell r="L768">
            <v>-1</v>
          </cell>
        </row>
        <row r="769">
          <cell r="B769" t="str">
            <v>2.1.1.04.0560</v>
          </cell>
          <cell r="C769" t="str">
            <v>04707003/0001-10</v>
          </cell>
          <cell r="D769" t="str">
            <v>SPRANGER ESTMATIVAS DE CUSTO LTDA</v>
          </cell>
          <cell r="E769" t="str">
            <v>A</v>
          </cell>
          <cell r="H769" t="str">
            <v>N/A</v>
          </cell>
          <cell r="I769">
            <v>500001</v>
          </cell>
          <cell r="J769" t="str">
            <v>Fornecedores</v>
          </cell>
          <cell r="K769">
            <v>600017</v>
          </cell>
          <cell r="L769">
            <v>-1</v>
          </cell>
        </row>
        <row r="770">
          <cell r="B770" t="str">
            <v>2.1.1.04.0561</v>
          </cell>
          <cell r="C770" t="str">
            <v>08513498/0001-06</v>
          </cell>
          <cell r="D770" t="str">
            <v>CVI CURSOS E TREINAMENTOS EMPRESARIAIS</v>
          </cell>
          <cell r="E770" t="str">
            <v>A</v>
          </cell>
          <cell r="H770" t="str">
            <v>N/A</v>
          </cell>
          <cell r="I770">
            <v>500001</v>
          </cell>
          <cell r="J770" t="str">
            <v>Fornecedores</v>
          </cell>
          <cell r="K770">
            <v>600017</v>
          </cell>
          <cell r="L770">
            <v>-1</v>
          </cell>
        </row>
        <row r="771">
          <cell r="B771" t="str">
            <v>2.1.1.04.0562</v>
          </cell>
          <cell r="C771" t="str">
            <v>11013199/0001-09</v>
          </cell>
          <cell r="D771" t="str">
            <v>INT PRINT SERVICOS DE INFORMATICA LTDA</v>
          </cell>
          <cell r="E771" t="str">
            <v>A</v>
          </cell>
          <cell r="H771" t="str">
            <v>N/A</v>
          </cell>
          <cell r="I771">
            <v>500001</v>
          </cell>
          <cell r="J771" t="str">
            <v>Fornecedores</v>
          </cell>
          <cell r="K771">
            <v>600017</v>
          </cell>
          <cell r="L771">
            <v>-1</v>
          </cell>
        </row>
        <row r="772">
          <cell r="B772" t="str">
            <v>2.1.1.04.0563</v>
          </cell>
          <cell r="C772" t="str">
            <v>04154489/0001-07</v>
          </cell>
          <cell r="D772" t="str">
            <v>ABACO FORROS E DIVISORIAS LTDA</v>
          </cell>
          <cell r="E772" t="str">
            <v>A</v>
          </cell>
          <cell r="H772" t="str">
            <v>N/A</v>
          </cell>
          <cell r="I772">
            <v>500001</v>
          </cell>
          <cell r="J772" t="str">
            <v>Fornecedores</v>
          </cell>
          <cell r="K772">
            <v>600017</v>
          </cell>
          <cell r="L772">
            <v>-1</v>
          </cell>
        </row>
        <row r="773">
          <cell r="B773" t="str">
            <v>2.1.1.04.0564</v>
          </cell>
          <cell r="C773" t="str">
            <v>09012638/0001-07</v>
          </cell>
          <cell r="D773" t="str">
            <v>J L CLEAN COM E SERV DE ART DE VESTUARIO</v>
          </cell>
          <cell r="E773" t="str">
            <v>A</v>
          </cell>
          <cell r="H773" t="str">
            <v>N/A</v>
          </cell>
          <cell r="I773">
            <v>500001</v>
          </cell>
          <cell r="J773" t="str">
            <v>Fornecedores</v>
          </cell>
          <cell r="K773">
            <v>600017</v>
          </cell>
          <cell r="L773">
            <v>-1</v>
          </cell>
        </row>
        <row r="774">
          <cell r="B774" t="str">
            <v>2.1.1.04.0565</v>
          </cell>
          <cell r="C774">
            <v>40232548000181</v>
          </cell>
          <cell r="D774" t="str">
            <v>ASSOCIAÇÃO DOS CONDÔMINIOS DO ED. DA AV.</v>
          </cell>
          <cell r="E774" t="str">
            <v>A</v>
          </cell>
          <cell r="H774" t="str">
            <v>N/A</v>
          </cell>
          <cell r="I774">
            <v>500001</v>
          </cell>
          <cell r="J774" t="str">
            <v>Fornecedores</v>
          </cell>
          <cell r="K774">
            <v>600017</v>
          </cell>
          <cell r="L774">
            <v>-1</v>
          </cell>
        </row>
        <row r="775">
          <cell r="B775" t="str">
            <v>2.1.1.04.0566</v>
          </cell>
          <cell r="C775">
            <v>4725674000104</v>
          </cell>
          <cell r="D775" t="str">
            <v>LABORINFO TECNOLOGIA DA INFORMAÇÃO LTDA</v>
          </cell>
          <cell r="E775" t="str">
            <v>A</v>
          </cell>
          <cell r="H775" t="str">
            <v>N/A</v>
          </cell>
          <cell r="I775">
            <v>500001</v>
          </cell>
          <cell r="J775" t="str">
            <v>Fornecedores</v>
          </cell>
          <cell r="K775">
            <v>600017</v>
          </cell>
          <cell r="L775">
            <v>-1</v>
          </cell>
        </row>
        <row r="776">
          <cell r="B776" t="str">
            <v>2.1.1.04.0567</v>
          </cell>
          <cell r="C776">
            <v>20491368000107</v>
          </cell>
          <cell r="D776" t="str">
            <v>AZURE PROPAGANDA LTDA</v>
          </cell>
          <cell r="E776" t="str">
            <v>A</v>
          </cell>
          <cell r="H776" t="str">
            <v>N/A</v>
          </cell>
          <cell r="I776">
            <v>500001</v>
          </cell>
          <cell r="J776" t="str">
            <v>Fornecedores</v>
          </cell>
          <cell r="K776">
            <v>600017</v>
          </cell>
          <cell r="L776">
            <v>-1</v>
          </cell>
        </row>
        <row r="777">
          <cell r="B777" t="str">
            <v>2.1.1.04.0568</v>
          </cell>
          <cell r="C777">
            <v>33754482000124</v>
          </cell>
          <cell r="D777" t="str">
            <v>PREVI - CAIXA DE PREVIDÊNCIA DOS FUNCION</v>
          </cell>
          <cell r="E777" t="str">
            <v>A</v>
          </cell>
          <cell r="H777" t="str">
            <v>N/A</v>
          </cell>
          <cell r="I777">
            <v>500001</v>
          </cell>
          <cell r="J777" t="str">
            <v>Fornecedores</v>
          </cell>
          <cell r="K777">
            <v>600017</v>
          </cell>
          <cell r="L777">
            <v>-1</v>
          </cell>
        </row>
        <row r="778">
          <cell r="B778" t="str">
            <v>2.1.1.04.0569</v>
          </cell>
          <cell r="C778" t="str">
            <v>15135210/0001-64</v>
          </cell>
          <cell r="D778" t="str">
            <v>TECPARTS IMP. E DISTRIB. DE PECAS LTDA</v>
          </cell>
          <cell r="E778" t="str">
            <v>A</v>
          </cell>
          <cell r="H778" t="str">
            <v>N/A</v>
          </cell>
          <cell r="I778">
            <v>500001</v>
          </cell>
          <cell r="J778" t="str">
            <v>Fornecedores</v>
          </cell>
          <cell r="K778">
            <v>600017</v>
          </cell>
          <cell r="L778">
            <v>-1</v>
          </cell>
        </row>
        <row r="779">
          <cell r="B779" t="str">
            <v>2.1.1.04.0570</v>
          </cell>
          <cell r="C779" t="str">
            <v>15249200/0001-50</v>
          </cell>
          <cell r="D779" t="str">
            <v>CEOX - PLANEJAMENTO E OTIMIZAÇÃO LTDA</v>
          </cell>
          <cell r="E779" t="str">
            <v>A</v>
          </cell>
          <cell r="H779" t="str">
            <v>N/A</v>
          </cell>
          <cell r="I779">
            <v>500001</v>
          </cell>
          <cell r="J779" t="str">
            <v>Fornecedores</v>
          </cell>
          <cell r="K779">
            <v>600017</v>
          </cell>
          <cell r="L779">
            <v>-1</v>
          </cell>
        </row>
        <row r="780">
          <cell r="B780" t="str">
            <v>2.1.1.04.0571</v>
          </cell>
          <cell r="C780" t="str">
            <v>147834160001/38</v>
          </cell>
          <cell r="D780" t="str">
            <v>GRUPOJAM MIDIA INTEGRADA EIRELI - ME</v>
          </cell>
          <cell r="E780" t="str">
            <v>A</v>
          </cell>
          <cell r="H780" t="str">
            <v>N/A</v>
          </cell>
          <cell r="I780">
            <v>500001</v>
          </cell>
          <cell r="J780" t="str">
            <v>Fornecedores</v>
          </cell>
          <cell r="K780">
            <v>600017</v>
          </cell>
          <cell r="L780">
            <v>-1</v>
          </cell>
        </row>
        <row r="781">
          <cell r="B781" t="str">
            <v>2.1.1.04.0572</v>
          </cell>
          <cell r="C781" t="str">
            <v>10320951/0001-00</v>
          </cell>
          <cell r="D781" t="str">
            <v>TNS COMERCIAL LTDA</v>
          </cell>
          <cell r="E781" t="str">
            <v>A</v>
          </cell>
          <cell r="H781" t="str">
            <v>N/A</v>
          </cell>
          <cell r="I781">
            <v>500001</v>
          </cell>
          <cell r="J781" t="str">
            <v>Fornecedores</v>
          </cell>
          <cell r="K781">
            <v>600017</v>
          </cell>
          <cell r="L781">
            <v>-1</v>
          </cell>
        </row>
        <row r="782">
          <cell r="B782" t="str">
            <v>2.1.1.04.0573</v>
          </cell>
          <cell r="C782">
            <v>7775025000126</v>
          </cell>
          <cell r="D782" t="str">
            <v>SAUDE &amp; BEM ESTAR FISIOTERAPIA LTDA</v>
          </cell>
          <cell r="E782" t="str">
            <v>A</v>
          </cell>
          <cell r="H782" t="str">
            <v>N/A</v>
          </cell>
          <cell r="I782">
            <v>500001</v>
          </cell>
          <cell r="J782" t="str">
            <v>Fornecedores</v>
          </cell>
          <cell r="K782">
            <v>600017</v>
          </cell>
          <cell r="L782">
            <v>-1</v>
          </cell>
        </row>
        <row r="783">
          <cell r="B783" t="str">
            <v>2.1.1.04.0574</v>
          </cell>
          <cell r="C783">
            <v>9664482000159</v>
          </cell>
          <cell r="D783" t="str">
            <v>BSL COMÉRCIO, IMPORTAÇÃO E EXPORTAÇÃO</v>
          </cell>
          <cell r="E783" t="str">
            <v>A</v>
          </cell>
          <cell r="H783" t="str">
            <v>N/A</v>
          </cell>
          <cell r="I783">
            <v>500001</v>
          </cell>
          <cell r="J783" t="str">
            <v>Fornecedores</v>
          </cell>
          <cell r="K783">
            <v>600017</v>
          </cell>
          <cell r="L783">
            <v>-1</v>
          </cell>
        </row>
        <row r="784">
          <cell r="B784" t="str">
            <v>2.1.1.04.0575</v>
          </cell>
          <cell r="C784">
            <v>23056156000190</v>
          </cell>
          <cell r="D784" t="str">
            <v>CORTEX EVENTOS - ORGANIZAÇÃO DE FEIRAS E</v>
          </cell>
          <cell r="E784" t="str">
            <v>A</v>
          </cell>
          <cell r="H784" t="str">
            <v>N/A</v>
          </cell>
          <cell r="I784">
            <v>500001</v>
          </cell>
          <cell r="J784" t="str">
            <v>Fornecedores</v>
          </cell>
          <cell r="K784">
            <v>600017</v>
          </cell>
          <cell r="L784">
            <v>-1</v>
          </cell>
        </row>
        <row r="785">
          <cell r="B785" t="str">
            <v>2.1.1.04.0576</v>
          </cell>
          <cell r="C785">
            <v>7993228000179</v>
          </cell>
          <cell r="D785" t="str">
            <v>LIVRARIA BIOTEC LTDA</v>
          </cell>
          <cell r="E785" t="str">
            <v>A</v>
          </cell>
          <cell r="H785" t="str">
            <v>N/A</v>
          </cell>
          <cell r="I785">
            <v>500001</v>
          </cell>
          <cell r="J785" t="str">
            <v>Fornecedores</v>
          </cell>
          <cell r="K785">
            <v>600017</v>
          </cell>
          <cell r="L785">
            <v>-1</v>
          </cell>
        </row>
        <row r="786">
          <cell r="B786" t="str">
            <v>2.1.1.04.0577</v>
          </cell>
          <cell r="C786">
            <v>10865068000197</v>
          </cell>
          <cell r="D786" t="str">
            <v>THARGO AUDITORES E CONSULTORES</v>
          </cell>
          <cell r="E786" t="str">
            <v>A</v>
          </cell>
          <cell r="H786" t="str">
            <v>N/A</v>
          </cell>
          <cell r="I786">
            <v>500001</v>
          </cell>
          <cell r="J786" t="str">
            <v>Fornecedores</v>
          </cell>
          <cell r="K786">
            <v>600017</v>
          </cell>
          <cell r="L786">
            <v>-1</v>
          </cell>
        </row>
        <row r="787">
          <cell r="B787" t="str">
            <v>2.1.1.04.0578</v>
          </cell>
          <cell r="C787">
            <v>41769803000192</v>
          </cell>
          <cell r="D787" t="str">
            <v>EDITORA FORUM LTDA</v>
          </cell>
          <cell r="E787" t="str">
            <v>A</v>
          </cell>
          <cell r="H787" t="str">
            <v>N/A</v>
          </cell>
          <cell r="I787">
            <v>500001</v>
          </cell>
          <cell r="J787" t="str">
            <v>Fornecedores</v>
          </cell>
          <cell r="K787">
            <v>600017</v>
          </cell>
          <cell r="L787">
            <v>-1</v>
          </cell>
        </row>
        <row r="788">
          <cell r="B788" t="str">
            <v>2.1.1.04.0579</v>
          </cell>
          <cell r="C788">
            <v>5430532000263</v>
          </cell>
          <cell r="D788" t="str">
            <v>CABRERA CONSULT. CONTÁBIL E TRIBUTÁRIA L</v>
          </cell>
          <cell r="E788" t="str">
            <v>A</v>
          </cell>
          <cell r="H788" t="str">
            <v>N/A</v>
          </cell>
          <cell r="I788">
            <v>500001</v>
          </cell>
          <cell r="J788" t="str">
            <v>Fornecedores</v>
          </cell>
          <cell r="K788">
            <v>600017</v>
          </cell>
          <cell r="L788">
            <v>-1</v>
          </cell>
        </row>
        <row r="789">
          <cell r="B789" t="str">
            <v>2.1.1.04.0580</v>
          </cell>
          <cell r="C789">
            <v>20177000114</v>
          </cell>
          <cell r="D789" t="str">
            <v>PRO VIDEO SERVIÇOS LTDA</v>
          </cell>
          <cell r="E789" t="str">
            <v>A</v>
          </cell>
          <cell r="H789" t="str">
            <v>N/A</v>
          </cell>
          <cell r="I789">
            <v>500001</v>
          </cell>
          <cell r="J789" t="str">
            <v>Fornecedores</v>
          </cell>
          <cell r="K789">
            <v>600017</v>
          </cell>
          <cell r="L789">
            <v>-1</v>
          </cell>
        </row>
        <row r="790">
          <cell r="B790" t="str">
            <v>2.1.1.04.0581</v>
          </cell>
          <cell r="C790">
            <v>55475115000124</v>
          </cell>
          <cell r="D790" t="str">
            <v>LIVRARIA ENGETEC LTDA</v>
          </cell>
          <cell r="E790" t="str">
            <v>A</v>
          </cell>
          <cell r="H790" t="str">
            <v>N/A</v>
          </cell>
          <cell r="I790">
            <v>500001</v>
          </cell>
          <cell r="J790" t="str">
            <v>Fornecedores</v>
          </cell>
          <cell r="K790">
            <v>600017</v>
          </cell>
          <cell r="L790">
            <v>-1</v>
          </cell>
        </row>
        <row r="791">
          <cell r="B791" t="str">
            <v>2.1.1.04.0582</v>
          </cell>
          <cell r="C791">
            <v>9193427000128</v>
          </cell>
          <cell r="D791" t="str">
            <v>SIP VOX TCNOLOGIA LTDA</v>
          </cell>
          <cell r="E791" t="str">
            <v>A</v>
          </cell>
          <cell r="H791" t="str">
            <v>N/A</v>
          </cell>
          <cell r="I791">
            <v>500001</v>
          </cell>
          <cell r="J791" t="str">
            <v>Fornecedores</v>
          </cell>
          <cell r="K791">
            <v>600017</v>
          </cell>
          <cell r="L791">
            <v>-1</v>
          </cell>
        </row>
        <row r="792">
          <cell r="B792" t="str">
            <v>2.1.1.04.0583</v>
          </cell>
          <cell r="C792">
            <v>17069036000124</v>
          </cell>
          <cell r="D792" t="str">
            <v>DIVINO LOCADORA DE VEÍCULOS LTDA</v>
          </cell>
          <cell r="E792" t="str">
            <v>A</v>
          </cell>
          <cell r="H792" t="str">
            <v>N/A</v>
          </cell>
          <cell r="I792">
            <v>500001</v>
          </cell>
          <cell r="J792" t="str">
            <v>Fornecedores</v>
          </cell>
          <cell r="K792">
            <v>600017</v>
          </cell>
          <cell r="L792">
            <v>-1</v>
          </cell>
        </row>
        <row r="793">
          <cell r="B793" t="str">
            <v>2.1.1.04.0584</v>
          </cell>
          <cell r="C793">
            <v>71196034000141</v>
          </cell>
          <cell r="D793" t="str">
            <v>APRC ENGENHARIA LTDA</v>
          </cell>
          <cell r="E793" t="str">
            <v>A</v>
          </cell>
          <cell r="H793" t="str">
            <v>N/A</v>
          </cell>
          <cell r="I793">
            <v>500001</v>
          </cell>
          <cell r="J793" t="str">
            <v>Fornecedores</v>
          </cell>
          <cell r="K793">
            <v>600017</v>
          </cell>
          <cell r="L793">
            <v>-1</v>
          </cell>
        </row>
        <row r="794">
          <cell r="B794" t="str">
            <v>2.1.1.04.0585</v>
          </cell>
          <cell r="C794">
            <v>5724276000136</v>
          </cell>
          <cell r="D794" t="str">
            <v>SOLARIZE SERVICOS EM TEC AMBIENTAL LTDA</v>
          </cell>
          <cell r="E794" t="str">
            <v>A</v>
          </cell>
          <cell r="H794" t="str">
            <v>N/A</v>
          </cell>
          <cell r="I794">
            <v>500001</v>
          </cell>
          <cell r="J794" t="str">
            <v>Fornecedores</v>
          </cell>
          <cell r="K794">
            <v>600017</v>
          </cell>
          <cell r="L794">
            <v>-1</v>
          </cell>
        </row>
        <row r="795">
          <cell r="B795" t="str">
            <v>2.1.1.04.0586</v>
          </cell>
          <cell r="C795">
            <v>19803838000141</v>
          </cell>
          <cell r="D795" t="str">
            <v>BE COACHING BRASIL LTDA</v>
          </cell>
          <cell r="E795" t="str">
            <v>A</v>
          </cell>
          <cell r="H795" t="str">
            <v>N/A</v>
          </cell>
          <cell r="I795">
            <v>500001</v>
          </cell>
          <cell r="J795" t="str">
            <v>Fornecedores</v>
          </cell>
          <cell r="K795">
            <v>600017</v>
          </cell>
          <cell r="L795">
            <v>-1</v>
          </cell>
        </row>
        <row r="796">
          <cell r="B796" t="str">
            <v>2.1.1.04.0587</v>
          </cell>
          <cell r="C796">
            <v>53437406000100</v>
          </cell>
          <cell r="D796" t="str">
            <v>BRASFILTER INDUSTRIA E COMÉRCIO LTDA</v>
          </cell>
          <cell r="E796" t="str">
            <v>A</v>
          </cell>
          <cell r="H796" t="str">
            <v>N/A</v>
          </cell>
          <cell r="I796">
            <v>500001</v>
          </cell>
          <cell r="J796" t="str">
            <v>Fornecedores</v>
          </cell>
          <cell r="K796">
            <v>600017</v>
          </cell>
          <cell r="L796">
            <v>-1</v>
          </cell>
        </row>
        <row r="797">
          <cell r="B797" t="str">
            <v>2.1.1.04.0588</v>
          </cell>
          <cell r="C797">
            <v>9096717000315</v>
          </cell>
          <cell r="D797" t="str">
            <v>BORTOLAI LIVROS LTDA - EPP</v>
          </cell>
          <cell r="E797" t="str">
            <v>A</v>
          </cell>
          <cell r="H797" t="str">
            <v>N/A</v>
          </cell>
          <cell r="I797">
            <v>500001</v>
          </cell>
          <cell r="J797" t="str">
            <v>Fornecedores</v>
          </cell>
          <cell r="K797">
            <v>600017</v>
          </cell>
          <cell r="L797">
            <v>-1</v>
          </cell>
        </row>
        <row r="798">
          <cell r="B798" t="str">
            <v>2.1.1.04.0589</v>
          </cell>
          <cell r="C798">
            <v>68153238000190</v>
          </cell>
          <cell r="D798" t="str">
            <v>MOLICAR PUBLICAÇÕES AUTOMOTIVAS S/A</v>
          </cell>
          <cell r="E798" t="str">
            <v>A</v>
          </cell>
          <cell r="H798" t="str">
            <v>N/A</v>
          </cell>
          <cell r="I798">
            <v>500001</v>
          </cell>
          <cell r="J798" t="str">
            <v>Fornecedores</v>
          </cell>
          <cell r="K798">
            <v>600017</v>
          </cell>
          <cell r="L798">
            <v>-1</v>
          </cell>
        </row>
        <row r="799">
          <cell r="B799" t="str">
            <v>2.1.1.04.0590</v>
          </cell>
          <cell r="C799">
            <v>1804986000115</v>
          </cell>
          <cell r="D799" t="str">
            <v>SECULO XXI COMERCIO DE LIVROS E LIVRARIA</v>
          </cell>
          <cell r="E799" t="str">
            <v>A</v>
          </cell>
          <cell r="H799" t="str">
            <v>N/A</v>
          </cell>
          <cell r="I799">
            <v>500001</v>
          </cell>
          <cell r="J799" t="str">
            <v>Fornecedores</v>
          </cell>
          <cell r="K799">
            <v>600017</v>
          </cell>
          <cell r="L799">
            <v>-1</v>
          </cell>
        </row>
        <row r="800">
          <cell r="B800" t="str">
            <v>2.1.1.04.0591</v>
          </cell>
          <cell r="C800">
            <v>3017428000135</v>
          </cell>
          <cell r="D800" t="str">
            <v>NCT INFORMATICA LTDA</v>
          </cell>
          <cell r="E800" t="str">
            <v>A</v>
          </cell>
          <cell r="H800" t="str">
            <v>N/A</v>
          </cell>
          <cell r="I800">
            <v>500001</v>
          </cell>
          <cell r="J800" t="str">
            <v>Fornecedores</v>
          </cell>
          <cell r="K800">
            <v>600017</v>
          </cell>
          <cell r="L800">
            <v>-1</v>
          </cell>
        </row>
        <row r="801">
          <cell r="B801" t="str">
            <v>2.1.1.04.0592</v>
          </cell>
          <cell r="C801">
            <v>4131922000199</v>
          </cell>
          <cell r="D801" t="str">
            <v>KAPX COMÉRCIO E SERVIÇOS LTDA - ME</v>
          </cell>
          <cell r="E801" t="str">
            <v>A</v>
          </cell>
          <cell r="H801" t="str">
            <v>N/A</v>
          </cell>
          <cell r="I801">
            <v>500001</v>
          </cell>
          <cell r="J801" t="str">
            <v>Fornecedores</v>
          </cell>
          <cell r="K801">
            <v>600017</v>
          </cell>
          <cell r="L801">
            <v>-1</v>
          </cell>
        </row>
        <row r="802">
          <cell r="B802" t="str">
            <v>2.1.1.04.0593</v>
          </cell>
          <cell r="C802" t="str">
            <v>005705050001-91</v>
          </cell>
          <cell r="D802" t="str">
            <v>COOPER POWER SYSTEMS BRASIL LTDA</v>
          </cell>
          <cell r="E802" t="str">
            <v>A</v>
          </cell>
          <cell r="H802" t="str">
            <v>N/A</v>
          </cell>
          <cell r="I802">
            <v>500001</v>
          </cell>
          <cell r="J802" t="str">
            <v>Fornecedores</v>
          </cell>
          <cell r="K802">
            <v>600017</v>
          </cell>
          <cell r="L802">
            <v>-1</v>
          </cell>
        </row>
        <row r="803">
          <cell r="B803" t="str">
            <v>2.1.1.04.0594</v>
          </cell>
          <cell r="C803" t="str">
            <v>30258404/0001-40</v>
          </cell>
          <cell r="D803" t="str">
            <v>ASSOCIAÇÃO DAS EMP. BRAS. DE TECNOLOGIA</v>
          </cell>
          <cell r="E803" t="str">
            <v>A</v>
          </cell>
          <cell r="H803" t="str">
            <v>N/A</v>
          </cell>
          <cell r="I803">
            <v>500001</v>
          </cell>
          <cell r="J803" t="str">
            <v>Fornecedores</v>
          </cell>
          <cell r="K803">
            <v>600017</v>
          </cell>
          <cell r="L803">
            <v>-1</v>
          </cell>
        </row>
        <row r="804">
          <cell r="B804" t="str">
            <v>2.1.1.04.0595</v>
          </cell>
          <cell r="C804" t="str">
            <v>24602524/0001-10</v>
          </cell>
          <cell r="D804" t="str">
            <v>BIODIESELBR INFORMAÇÃO ESPECIALIZADA LTD</v>
          </cell>
          <cell r="E804" t="str">
            <v>A</v>
          </cell>
          <cell r="H804" t="str">
            <v>N/A</v>
          </cell>
          <cell r="I804">
            <v>500001</v>
          </cell>
          <cell r="J804" t="str">
            <v>Fornecedores</v>
          </cell>
          <cell r="K804">
            <v>600017</v>
          </cell>
          <cell r="L804">
            <v>-1</v>
          </cell>
        </row>
        <row r="805">
          <cell r="B805" t="str">
            <v>2.1.1.04.0596</v>
          </cell>
          <cell r="C805" t="str">
            <v>08863523/0002-54</v>
          </cell>
          <cell r="D805" t="str">
            <v>ADVENTURE VIAGENS E ART ESPORTIVOS LTDA</v>
          </cell>
          <cell r="E805" t="str">
            <v>A</v>
          </cell>
          <cell r="H805" t="str">
            <v>N/A</v>
          </cell>
          <cell r="I805">
            <v>500001</v>
          </cell>
          <cell r="J805" t="str">
            <v>Fornecedores</v>
          </cell>
          <cell r="K805">
            <v>600017</v>
          </cell>
          <cell r="L805">
            <v>-1</v>
          </cell>
        </row>
        <row r="806">
          <cell r="B806" t="str">
            <v>2.1.1.04.0597</v>
          </cell>
          <cell r="C806" t="str">
            <v>11318047/0001-14</v>
          </cell>
          <cell r="D806" t="str">
            <v>CONSULCANA - SOLUÇÕES APLICADAS A CANA</v>
          </cell>
          <cell r="E806" t="str">
            <v>A</v>
          </cell>
          <cell r="H806" t="str">
            <v>N/A</v>
          </cell>
          <cell r="I806">
            <v>500001</v>
          </cell>
          <cell r="J806" t="str">
            <v>Fornecedores</v>
          </cell>
          <cell r="K806">
            <v>600017</v>
          </cell>
          <cell r="L806">
            <v>-1</v>
          </cell>
        </row>
        <row r="807">
          <cell r="B807" t="str">
            <v>2.1.1.04.0598</v>
          </cell>
          <cell r="C807" t="str">
            <v>05565257/0001-04</v>
          </cell>
          <cell r="D807" t="str">
            <v>ELETRONICA PLAY POWER LTDA - ME</v>
          </cell>
          <cell r="E807" t="str">
            <v>A</v>
          </cell>
          <cell r="H807" t="str">
            <v>N/A</v>
          </cell>
          <cell r="I807">
            <v>500001</v>
          </cell>
          <cell r="J807" t="str">
            <v>Fornecedores</v>
          </cell>
          <cell r="K807">
            <v>600017</v>
          </cell>
          <cell r="L807">
            <v>-1</v>
          </cell>
        </row>
        <row r="808">
          <cell r="B808" t="str">
            <v>2.1.1.04.0599</v>
          </cell>
          <cell r="C808" t="str">
            <v>05500641/0001-29</v>
          </cell>
          <cell r="D808" t="str">
            <v>GIOM COMERCIO DE MOVEIS E REPRESENTAÇÕES</v>
          </cell>
          <cell r="E808" t="str">
            <v>A</v>
          </cell>
          <cell r="H808" t="str">
            <v>N/A</v>
          </cell>
          <cell r="I808">
            <v>500001</v>
          </cell>
          <cell r="J808" t="str">
            <v>Fornecedores</v>
          </cell>
          <cell r="K808">
            <v>600017</v>
          </cell>
          <cell r="L808">
            <v>-1</v>
          </cell>
        </row>
        <row r="809">
          <cell r="B809" t="str">
            <v>2.1.1.04.0600</v>
          </cell>
          <cell r="C809" t="str">
            <v>03493782/0001-36</v>
          </cell>
          <cell r="D809" t="str">
            <v>INTEGRAÇÃO - ESCOLA DE NEGOCIOS LTDA</v>
          </cell>
          <cell r="E809" t="str">
            <v>A</v>
          </cell>
          <cell r="H809" t="str">
            <v>N/A</v>
          </cell>
          <cell r="I809">
            <v>500001</v>
          </cell>
          <cell r="J809" t="str">
            <v>Fornecedores</v>
          </cell>
          <cell r="K809">
            <v>600017</v>
          </cell>
          <cell r="L809">
            <v>-1</v>
          </cell>
        </row>
        <row r="810">
          <cell r="B810" t="str">
            <v>2.1.1.04.0601</v>
          </cell>
          <cell r="C810">
            <v>23656099000180</v>
          </cell>
          <cell r="D810" t="str">
            <v>NIMAWORLD LTDA - ME</v>
          </cell>
          <cell r="E810" t="str">
            <v>A</v>
          </cell>
          <cell r="H810" t="str">
            <v>N/A</v>
          </cell>
          <cell r="I810">
            <v>500001</v>
          </cell>
          <cell r="J810" t="str">
            <v>Fornecedores</v>
          </cell>
          <cell r="K810">
            <v>600017</v>
          </cell>
          <cell r="L810">
            <v>-1</v>
          </cell>
        </row>
        <row r="811">
          <cell r="B811" t="str">
            <v>2.1.1.04.0602</v>
          </cell>
          <cell r="C811">
            <v>3344826000166</v>
          </cell>
          <cell r="D811" t="str">
            <v>SOUZA E LOMBA COMÉRCIO DE BRINDES E PLAC</v>
          </cell>
          <cell r="E811" t="str">
            <v>A</v>
          </cell>
          <cell r="H811" t="str">
            <v>N/A</v>
          </cell>
          <cell r="I811">
            <v>500001</v>
          </cell>
          <cell r="J811" t="str">
            <v>Fornecedores</v>
          </cell>
          <cell r="K811">
            <v>600017</v>
          </cell>
          <cell r="L811">
            <v>-1</v>
          </cell>
        </row>
        <row r="812">
          <cell r="B812" t="str">
            <v>2.1.1.04.0603</v>
          </cell>
          <cell r="C812">
            <v>8086693000199</v>
          </cell>
          <cell r="D812" t="str">
            <v>UNITY BRINDES LTDA - ME</v>
          </cell>
          <cell r="E812" t="str">
            <v>A</v>
          </cell>
          <cell r="H812" t="str">
            <v>N/A</v>
          </cell>
          <cell r="I812">
            <v>500001</v>
          </cell>
          <cell r="J812" t="str">
            <v>Fornecedores</v>
          </cell>
          <cell r="K812">
            <v>600017</v>
          </cell>
          <cell r="L812">
            <v>-1</v>
          </cell>
        </row>
        <row r="813">
          <cell r="B813" t="str">
            <v>2.1.1.04.0604</v>
          </cell>
          <cell r="C813">
            <v>12114529000115</v>
          </cell>
          <cell r="D813" t="str">
            <v>ZAG CONSULTORIA EM EXP. DE PET.</v>
          </cell>
          <cell r="E813" t="str">
            <v>A</v>
          </cell>
          <cell r="H813" t="str">
            <v>N/A</v>
          </cell>
          <cell r="I813">
            <v>500001</v>
          </cell>
          <cell r="J813" t="str">
            <v>Fornecedores</v>
          </cell>
          <cell r="K813">
            <v>600017</v>
          </cell>
          <cell r="L813">
            <v>-1</v>
          </cell>
        </row>
        <row r="814">
          <cell r="B814" t="str">
            <v>2.1.1.04.0605</v>
          </cell>
          <cell r="C814" t="str">
            <v>14784795/0001-80</v>
          </cell>
          <cell r="D814" t="str">
            <v>GIGA MATERIAIS ELETRICOS LTDA</v>
          </cell>
          <cell r="E814" t="str">
            <v>A</v>
          </cell>
          <cell r="H814" t="str">
            <v>N/A</v>
          </cell>
          <cell r="I814">
            <v>500001</v>
          </cell>
          <cell r="J814" t="str">
            <v>Fornecedores</v>
          </cell>
          <cell r="K814">
            <v>600017</v>
          </cell>
          <cell r="L814">
            <v>-1</v>
          </cell>
        </row>
        <row r="815">
          <cell r="B815" t="str">
            <v>2.1.1.04.0606</v>
          </cell>
          <cell r="C815" t="str">
            <v>19509519/0001-28</v>
          </cell>
          <cell r="D815" t="str">
            <v>SOFTLINE INT BRASIL COM E LIC SOFTWARE</v>
          </cell>
          <cell r="E815" t="str">
            <v>A</v>
          </cell>
          <cell r="H815" t="str">
            <v>N/A</v>
          </cell>
          <cell r="I815">
            <v>500001</v>
          </cell>
          <cell r="J815" t="str">
            <v>Fornecedores</v>
          </cell>
          <cell r="K815">
            <v>600017</v>
          </cell>
          <cell r="L815">
            <v>-1</v>
          </cell>
        </row>
        <row r="816">
          <cell r="B816" t="str">
            <v>2.1.1.04.0607</v>
          </cell>
          <cell r="C816">
            <v>15586880000105</v>
          </cell>
          <cell r="D816" t="str">
            <v>ARGUS MEDIA BRASIL RELATÓRIOS DE PREÇOS</v>
          </cell>
          <cell r="E816" t="str">
            <v>A</v>
          </cell>
          <cell r="H816" t="str">
            <v>N/A</v>
          </cell>
          <cell r="I816">
            <v>500001</v>
          </cell>
          <cell r="J816" t="str">
            <v>Fornecedores</v>
          </cell>
          <cell r="K816">
            <v>600017</v>
          </cell>
          <cell r="L816">
            <v>-1</v>
          </cell>
        </row>
        <row r="817">
          <cell r="B817" t="str">
            <v>2.1.1.04.0608</v>
          </cell>
          <cell r="C817">
            <v>13159833000141</v>
          </cell>
          <cell r="D817" t="str">
            <v>ROMABOOKS EDUCAÇÃO E TURISMO EIRELI</v>
          </cell>
          <cell r="E817" t="str">
            <v>A</v>
          </cell>
          <cell r="H817" t="str">
            <v>N/A</v>
          </cell>
          <cell r="I817">
            <v>500001</v>
          </cell>
          <cell r="J817" t="str">
            <v>Fornecedores</v>
          </cell>
          <cell r="K817">
            <v>600017</v>
          </cell>
          <cell r="L817">
            <v>-1</v>
          </cell>
        </row>
        <row r="818">
          <cell r="B818" t="str">
            <v>2.1.1.04.0609</v>
          </cell>
          <cell r="C818">
            <v>5633420000129</v>
          </cell>
          <cell r="D818" t="str">
            <v>VENUS WORLD COM. DE EQUIP. E MAT.</v>
          </cell>
          <cell r="E818" t="str">
            <v>A</v>
          </cell>
          <cell r="H818" t="str">
            <v>N/A</v>
          </cell>
          <cell r="I818">
            <v>500001</v>
          </cell>
          <cell r="J818" t="str">
            <v>Fornecedores</v>
          </cell>
          <cell r="K818">
            <v>600017</v>
          </cell>
          <cell r="L818">
            <v>-1</v>
          </cell>
        </row>
        <row r="819">
          <cell r="B819" t="str">
            <v>2.1.1.04.0610</v>
          </cell>
          <cell r="C819">
            <v>20120933000120</v>
          </cell>
          <cell r="D819" t="str">
            <v>INQC - INSTITUTO NACIONAL DE QUALIFICAÇÃ</v>
          </cell>
          <cell r="E819" t="str">
            <v>A</v>
          </cell>
          <cell r="H819" t="str">
            <v>N/A</v>
          </cell>
          <cell r="I819">
            <v>500001</v>
          </cell>
          <cell r="J819" t="str">
            <v>Fornecedores</v>
          </cell>
          <cell r="K819">
            <v>600017</v>
          </cell>
          <cell r="L819">
            <v>-1</v>
          </cell>
        </row>
        <row r="820">
          <cell r="B820" t="str">
            <v>2.1.1.04.0611</v>
          </cell>
          <cell r="C820" t="str">
            <v>10806106/000130</v>
          </cell>
          <cell r="D820" t="str">
            <v>R&amp;R EQUIPAMENTOS ELETRONICOS LTDA</v>
          </cell>
          <cell r="E820" t="str">
            <v>A</v>
          </cell>
          <cell r="H820" t="str">
            <v>N/A</v>
          </cell>
          <cell r="I820">
            <v>500001</v>
          </cell>
          <cell r="J820" t="str">
            <v>Fornecedores</v>
          </cell>
          <cell r="K820">
            <v>600017</v>
          </cell>
          <cell r="L820">
            <v>-1</v>
          </cell>
        </row>
        <row r="821">
          <cell r="B821" t="str">
            <v>2.1.1.04.0612</v>
          </cell>
          <cell r="C821" t="str">
            <v>16951665/000110</v>
          </cell>
          <cell r="D821" t="str">
            <v>RB GRAFICA DIGITAL EIRELI ME</v>
          </cell>
          <cell r="E821" t="str">
            <v>A</v>
          </cell>
          <cell r="H821" t="str">
            <v>N/A</v>
          </cell>
          <cell r="I821">
            <v>500001</v>
          </cell>
          <cell r="J821" t="str">
            <v>Fornecedores</v>
          </cell>
          <cell r="K821">
            <v>600017</v>
          </cell>
          <cell r="L821">
            <v>-1</v>
          </cell>
        </row>
        <row r="822">
          <cell r="B822" t="str">
            <v>2.1.1.04.0613</v>
          </cell>
          <cell r="C822" t="str">
            <v>18343644/000148</v>
          </cell>
          <cell r="D822" t="str">
            <v>SUPERMIX COM DE UTIL VARIEDADES LTDA</v>
          </cell>
          <cell r="E822" t="str">
            <v>A</v>
          </cell>
          <cell r="H822" t="str">
            <v>N/A</v>
          </cell>
          <cell r="I822">
            <v>500001</v>
          </cell>
          <cell r="J822" t="str">
            <v>Fornecedores</v>
          </cell>
          <cell r="K822">
            <v>600017</v>
          </cell>
          <cell r="L822">
            <v>-1</v>
          </cell>
        </row>
        <row r="823">
          <cell r="B823" t="str">
            <v>2.1.1.04.0614</v>
          </cell>
          <cell r="C823" t="str">
            <v>02558157/0002-43</v>
          </cell>
          <cell r="D823" t="str">
            <v>TELEFONICA BRASIL S.A.</v>
          </cell>
          <cell r="E823" t="str">
            <v>A</v>
          </cell>
          <cell r="H823" t="str">
            <v>N/A</v>
          </cell>
          <cell r="I823">
            <v>500001</v>
          </cell>
          <cell r="J823" t="str">
            <v>Fornecedores</v>
          </cell>
          <cell r="K823">
            <v>600017</v>
          </cell>
          <cell r="L823">
            <v>-1</v>
          </cell>
        </row>
        <row r="824">
          <cell r="B824" t="str">
            <v>2.1.1.04.0615</v>
          </cell>
          <cell r="C824" t="str">
            <v>02629884/0001-73</v>
          </cell>
          <cell r="D824" t="str">
            <v>CROMA ELETRONICA LTDA</v>
          </cell>
          <cell r="E824" t="str">
            <v>A</v>
          </cell>
          <cell r="H824" t="str">
            <v>N/A</v>
          </cell>
          <cell r="I824">
            <v>500001</v>
          </cell>
          <cell r="J824" t="str">
            <v>Fornecedores</v>
          </cell>
          <cell r="K824">
            <v>600017</v>
          </cell>
          <cell r="L824">
            <v>-1</v>
          </cell>
        </row>
        <row r="825">
          <cell r="B825" t="str">
            <v>2.1.1.04.0616</v>
          </cell>
          <cell r="C825" t="str">
            <v>12480720/0001-80</v>
          </cell>
          <cell r="D825" t="str">
            <v>CENTRAL GLASS ALUMINIUM COMERCIO DE VIDR</v>
          </cell>
          <cell r="E825" t="str">
            <v>A</v>
          </cell>
          <cell r="H825" t="str">
            <v>N/A</v>
          </cell>
          <cell r="I825">
            <v>500001</v>
          </cell>
          <cell r="J825" t="str">
            <v>Fornecedores</v>
          </cell>
          <cell r="K825">
            <v>600017</v>
          </cell>
          <cell r="L825">
            <v>-1</v>
          </cell>
        </row>
        <row r="826">
          <cell r="B826" t="str">
            <v>2.1.1.04.0617</v>
          </cell>
          <cell r="C826" t="str">
            <v>33000118/0001-79</v>
          </cell>
          <cell r="D826" t="str">
            <v>TELEMAR NORTE LESTE S/A</v>
          </cell>
          <cell r="E826" t="str">
            <v>A</v>
          </cell>
          <cell r="H826" t="str">
            <v>N/A</v>
          </cell>
          <cell r="I826">
            <v>500001</v>
          </cell>
          <cell r="J826" t="str">
            <v>Fornecedores</v>
          </cell>
          <cell r="K826">
            <v>600017</v>
          </cell>
          <cell r="L826">
            <v>-1</v>
          </cell>
        </row>
        <row r="827">
          <cell r="B827" t="str">
            <v>2.1.1.04.0618</v>
          </cell>
          <cell r="C827">
            <v>10498974000109</v>
          </cell>
          <cell r="D827" t="str">
            <v>INSTITUTO NEGOCIOS PUBLICOS DO BRASIL</v>
          </cell>
          <cell r="E827" t="str">
            <v>A</v>
          </cell>
          <cell r="H827" t="str">
            <v>N/A</v>
          </cell>
          <cell r="I827">
            <v>500001</v>
          </cell>
          <cell r="J827" t="str">
            <v>Fornecedores</v>
          </cell>
          <cell r="K827">
            <v>600017</v>
          </cell>
          <cell r="L827">
            <v>-1</v>
          </cell>
        </row>
        <row r="828">
          <cell r="B828" t="str">
            <v>2.1.1.04.0619</v>
          </cell>
          <cell r="C828" t="str">
            <v>03014670/0001-55</v>
          </cell>
          <cell r="D828" t="str">
            <v>LAUTEC EQUIPE TECNICA ENGENHARIA S/C LTD</v>
          </cell>
          <cell r="E828" t="str">
            <v>A</v>
          </cell>
          <cell r="H828" t="str">
            <v>N/A</v>
          </cell>
          <cell r="I828">
            <v>500001</v>
          </cell>
          <cell r="J828" t="str">
            <v>Fornecedores</v>
          </cell>
          <cell r="K828">
            <v>600017</v>
          </cell>
          <cell r="L828">
            <v>-1</v>
          </cell>
        </row>
        <row r="829">
          <cell r="B829" t="str">
            <v>2.1.1.04.0620</v>
          </cell>
          <cell r="C829" t="str">
            <v>37535259/0001-47</v>
          </cell>
          <cell r="D829" t="str">
            <v>SEDEP-SERVIÇO DE ENTREGA DE DESPACHOS E</v>
          </cell>
          <cell r="E829" t="str">
            <v>A</v>
          </cell>
          <cell r="H829" t="str">
            <v>N/A</v>
          </cell>
          <cell r="I829">
            <v>500001</v>
          </cell>
          <cell r="J829" t="str">
            <v>Fornecedores</v>
          </cell>
          <cell r="K829">
            <v>600017</v>
          </cell>
          <cell r="L829">
            <v>-1</v>
          </cell>
        </row>
        <row r="830">
          <cell r="B830" t="str">
            <v>2.1.1.04.0621</v>
          </cell>
          <cell r="C830" t="str">
            <v>26528905/0001-47</v>
          </cell>
          <cell r="D830" t="str">
            <v>CONFIT ASSESSORIA E CONSULTORIA EMPRESAR</v>
          </cell>
          <cell r="E830" t="str">
            <v>A</v>
          </cell>
          <cell r="H830" t="str">
            <v>N/A</v>
          </cell>
          <cell r="I830">
            <v>500001</v>
          </cell>
          <cell r="J830" t="str">
            <v>Fornecedores</v>
          </cell>
          <cell r="K830">
            <v>600017</v>
          </cell>
          <cell r="L830">
            <v>-1</v>
          </cell>
        </row>
        <row r="831">
          <cell r="B831" t="str">
            <v>2.1.1.04.0622</v>
          </cell>
          <cell r="C831" t="str">
            <v>05607657/0001-35</v>
          </cell>
          <cell r="D831" t="str">
            <v>SCANSOURCE BRASIL DISTRIBUIDORA DE TECNO</v>
          </cell>
          <cell r="E831" t="str">
            <v>A</v>
          </cell>
          <cell r="H831" t="str">
            <v>N/A</v>
          </cell>
          <cell r="I831">
            <v>500001</v>
          </cell>
          <cell r="J831" t="str">
            <v>Fornecedores</v>
          </cell>
          <cell r="K831">
            <v>600017</v>
          </cell>
          <cell r="L831">
            <v>-1</v>
          </cell>
        </row>
        <row r="832">
          <cell r="B832" t="str">
            <v>2.1.1.04.0623</v>
          </cell>
          <cell r="C832" t="str">
            <v>61873469/0001-20</v>
          </cell>
          <cell r="D832" t="str">
            <v>ASSOCIAÇÃO DE ESPECIALISTAS LATINOAMERIC</v>
          </cell>
          <cell r="E832" t="str">
            <v>A</v>
          </cell>
          <cell r="H832" t="str">
            <v>N/A</v>
          </cell>
          <cell r="I832">
            <v>500001</v>
          </cell>
          <cell r="J832" t="str">
            <v>Fornecedores</v>
          </cell>
          <cell r="K832">
            <v>600017</v>
          </cell>
          <cell r="L832">
            <v>-1</v>
          </cell>
        </row>
        <row r="833">
          <cell r="B833" t="str">
            <v>2.1.1.04.0624</v>
          </cell>
          <cell r="C833">
            <v>26172558000148</v>
          </cell>
          <cell r="D833" t="str">
            <v>MONIQUE PERRONE AGUEDA ASSESSORIA DE EVE</v>
          </cell>
          <cell r="E833" t="str">
            <v>A</v>
          </cell>
          <cell r="H833" t="str">
            <v>N/A</v>
          </cell>
          <cell r="I833">
            <v>500001</v>
          </cell>
          <cell r="J833" t="str">
            <v>Fornecedores</v>
          </cell>
          <cell r="K833">
            <v>600017</v>
          </cell>
          <cell r="L833">
            <v>-1</v>
          </cell>
        </row>
        <row r="834">
          <cell r="B834" t="str">
            <v>2.1.1.04.0625</v>
          </cell>
          <cell r="C834">
            <v>7282516000115</v>
          </cell>
          <cell r="D834" t="str">
            <v>NINJA SOM COMERCIO DE ELETRONICOS LTDA</v>
          </cell>
          <cell r="E834" t="str">
            <v>A</v>
          </cell>
          <cell r="H834" t="str">
            <v>N/A</v>
          </cell>
          <cell r="I834">
            <v>500001</v>
          </cell>
          <cell r="J834" t="str">
            <v>Fornecedores</v>
          </cell>
          <cell r="K834">
            <v>600017</v>
          </cell>
          <cell r="L834">
            <v>-1</v>
          </cell>
        </row>
        <row r="835">
          <cell r="B835" t="str">
            <v>2.1.1.04.0626</v>
          </cell>
          <cell r="C835">
            <v>86046463000100</v>
          </cell>
          <cell r="D835" t="str">
            <v>OXFORD PORCELANAS S/A</v>
          </cell>
          <cell r="E835" t="str">
            <v>A</v>
          </cell>
          <cell r="H835" t="str">
            <v>N/A</v>
          </cell>
          <cell r="I835">
            <v>500001</v>
          </cell>
          <cell r="J835" t="str">
            <v>Fornecedores</v>
          </cell>
          <cell r="K835">
            <v>600017</v>
          </cell>
          <cell r="L835">
            <v>-1</v>
          </cell>
        </row>
        <row r="836">
          <cell r="B836" t="str">
            <v>2.1.1.04.0627</v>
          </cell>
          <cell r="C836">
            <v>523726000109</v>
          </cell>
          <cell r="D836" t="str">
            <v>LINTER FILTROS INDUSTRIAIS LTDA</v>
          </cell>
          <cell r="E836" t="str">
            <v>A</v>
          </cell>
          <cell r="H836" t="str">
            <v>N/A</v>
          </cell>
          <cell r="I836">
            <v>500001</v>
          </cell>
          <cell r="J836" t="str">
            <v>Fornecedores</v>
          </cell>
          <cell r="K836">
            <v>600017</v>
          </cell>
          <cell r="L836">
            <v>-1</v>
          </cell>
        </row>
        <row r="837">
          <cell r="B837" t="str">
            <v>2.1.1.04.0628</v>
          </cell>
          <cell r="C837">
            <v>16599987000142</v>
          </cell>
          <cell r="D837" t="str">
            <v>QUALITEC ENGENHARIA DA QUALIDADE LTDA</v>
          </cell>
          <cell r="E837" t="str">
            <v>A</v>
          </cell>
          <cell r="H837" t="str">
            <v>N/A</v>
          </cell>
          <cell r="I837">
            <v>500001</v>
          </cell>
          <cell r="J837" t="str">
            <v>Fornecedores</v>
          </cell>
          <cell r="K837">
            <v>600017</v>
          </cell>
          <cell r="L837">
            <v>-1</v>
          </cell>
        </row>
        <row r="838">
          <cell r="B838" t="str">
            <v>2.1.1.04.0629</v>
          </cell>
          <cell r="C838">
            <v>7524037000168</v>
          </cell>
          <cell r="D838" t="str">
            <v>NEO DESIGN DECOR COMERCIO E DECORACOES</v>
          </cell>
          <cell r="E838" t="str">
            <v>A</v>
          </cell>
          <cell r="H838" t="str">
            <v>N/A</v>
          </cell>
          <cell r="I838">
            <v>500001</v>
          </cell>
          <cell r="J838" t="str">
            <v>Fornecedores</v>
          </cell>
          <cell r="K838">
            <v>600017</v>
          </cell>
          <cell r="L838">
            <v>-1</v>
          </cell>
        </row>
        <row r="839">
          <cell r="B839" t="str">
            <v>2.1.1.04.0630</v>
          </cell>
          <cell r="C839">
            <v>8827630000146</v>
          </cell>
          <cell r="D839" t="str">
            <v>ROCA SERVICOS CONTABEIS E FISCAIS LTDA</v>
          </cell>
          <cell r="E839" t="str">
            <v>A</v>
          </cell>
          <cell r="H839" t="str">
            <v>N/A</v>
          </cell>
          <cell r="I839">
            <v>500001</v>
          </cell>
          <cell r="J839" t="str">
            <v>Fornecedores</v>
          </cell>
          <cell r="K839">
            <v>600017</v>
          </cell>
          <cell r="L839">
            <v>-1</v>
          </cell>
        </row>
        <row r="840">
          <cell r="B840" t="str">
            <v>2.1.1.04.0631</v>
          </cell>
          <cell r="C840">
            <v>10741678000189</v>
          </cell>
          <cell r="D840" t="str">
            <v>WALLERRY FLECK &amp; CIA LTDA ME</v>
          </cell>
          <cell r="E840" t="str">
            <v>A</v>
          </cell>
          <cell r="H840" t="str">
            <v>N/A</v>
          </cell>
          <cell r="I840">
            <v>500001</v>
          </cell>
          <cell r="J840" t="str">
            <v>Fornecedores</v>
          </cell>
          <cell r="K840">
            <v>600017</v>
          </cell>
          <cell r="L840">
            <v>-1</v>
          </cell>
        </row>
        <row r="841">
          <cell r="B841" t="str">
            <v>2.1.1.04.0632</v>
          </cell>
          <cell r="C841">
            <v>33555921000170</v>
          </cell>
          <cell r="D841" t="str">
            <v>FACULDADES CATÓLICAS</v>
          </cell>
          <cell r="E841" t="str">
            <v>A</v>
          </cell>
          <cell r="H841" t="str">
            <v>N/A</v>
          </cell>
          <cell r="I841">
            <v>500001</v>
          </cell>
          <cell r="J841" t="str">
            <v>Fornecedores</v>
          </cell>
          <cell r="K841">
            <v>600017</v>
          </cell>
          <cell r="L841">
            <v>-1</v>
          </cell>
        </row>
        <row r="842">
          <cell r="B842" t="str">
            <v>2.1.1.04.0633</v>
          </cell>
          <cell r="C842">
            <v>482998000108</v>
          </cell>
          <cell r="D842" t="str">
            <v>COPY HOUSE SERVICOS REPROGRAFICOS EIRELI</v>
          </cell>
          <cell r="E842" t="str">
            <v>A</v>
          </cell>
          <cell r="H842" t="str">
            <v>N/A</v>
          </cell>
          <cell r="I842">
            <v>500001</v>
          </cell>
          <cell r="J842" t="str">
            <v>Fornecedores</v>
          </cell>
          <cell r="K842">
            <v>600017</v>
          </cell>
          <cell r="L842">
            <v>-1</v>
          </cell>
        </row>
        <row r="843">
          <cell r="B843" t="str">
            <v>2.1.1.04.0634</v>
          </cell>
          <cell r="C843">
            <v>28019214000129</v>
          </cell>
          <cell r="D843" t="str">
            <v>FUNDACAO PADRE LEONEL FRANCA</v>
          </cell>
          <cell r="E843" t="str">
            <v>A</v>
          </cell>
          <cell r="H843" t="str">
            <v>N/A</v>
          </cell>
          <cell r="I843">
            <v>500001</v>
          </cell>
          <cell r="J843" t="str">
            <v>Fornecedores</v>
          </cell>
          <cell r="K843">
            <v>600017</v>
          </cell>
          <cell r="L843">
            <v>-1</v>
          </cell>
        </row>
        <row r="844">
          <cell r="B844" t="str">
            <v>2.1.1.04.0635</v>
          </cell>
          <cell r="C844">
            <v>3254967000198</v>
          </cell>
          <cell r="D844" t="str">
            <v>PAULO RICARDO BRAGA - ME</v>
          </cell>
          <cell r="E844" t="str">
            <v>A</v>
          </cell>
          <cell r="H844" t="str">
            <v>N/A</v>
          </cell>
          <cell r="I844">
            <v>500001</v>
          </cell>
          <cell r="J844" t="str">
            <v>Fornecedores</v>
          </cell>
          <cell r="K844">
            <v>600017</v>
          </cell>
          <cell r="L844">
            <v>-1</v>
          </cell>
        </row>
        <row r="845">
          <cell r="B845" t="str">
            <v>2.1.1.04.0636</v>
          </cell>
          <cell r="C845">
            <v>429640000111</v>
          </cell>
          <cell r="D845" t="str">
            <v>RTA - REDE DE TECNOLOGIA AVANÇADA LTDA</v>
          </cell>
          <cell r="E845" t="str">
            <v>A</v>
          </cell>
          <cell r="H845" t="str">
            <v>N/A</v>
          </cell>
          <cell r="I845">
            <v>500001</v>
          </cell>
          <cell r="J845" t="str">
            <v>Fornecedores</v>
          </cell>
          <cell r="K845">
            <v>600017</v>
          </cell>
          <cell r="L845">
            <v>-1</v>
          </cell>
        </row>
        <row r="846">
          <cell r="B846" t="str">
            <v>2.1.1.04.0637</v>
          </cell>
          <cell r="C846">
            <v>10656935000184</v>
          </cell>
          <cell r="D846" t="str">
            <v>BOBINA SUPER INDUSTRIA E COMERCIO EIRELI</v>
          </cell>
          <cell r="E846" t="str">
            <v>A</v>
          </cell>
          <cell r="H846" t="str">
            <v>N/A</v>
          </cell>
          <cell r="I846">
            <v>500001</v>
          </cell>
          <cell r="J846" t="str">
            <v>Fornecedores</v>
          </cell>
          <cell r="K846">
            <v>600017</v>
          </cell>
          <cell r="L846">
            <v>-1</v>
          </cell>
        </row>
        <row r="847">
          <cell r="B847" t="str">
            <v>2.1.1.04.0638</v>
          </cell>
          <cell r="C847">
            <v>61398244000169</v>
          </cell>
          <cell r="D847" t="str">
            <v>UNISOMA COMPUTAÇÃO LTDA</v>
          </cell>
          <cell r="E847" t="str">
            <v>A</v>
          </cell>
          <cell r="H847" t="str">
            <v>N/A</v>
          </cell>
          <cell r="I847">
            <v>500001</v>
          </cell>
          <cell r="J847" t="str">
            <v>Fornecedores</v>
          </cell>
          <cell r="K847">
            <v>600017</v>
          </cell>
          <cell r="L847">
            <v>-1</v>
          </cell>
        </row>
        <row r="848">
          <cell r="B848" t="str">
            <v>2.1.1.04.0639</v>
          </cell>
          <cell r="C848">
            <v>15805747000194</v>
          </cell>
          <cell r="D848" t="str">
            <v>ESCOLA DE GESTÃO TRIBUTÁRIA E AUDITORIA</v>
          </cell>
          <cell r="E848" t="str">
            <v>A</v>
          </cell>
          <cell r="H848" t="str">
            <v>N/A</v>
          </cell>
          <cell r="I848">
            <v>500001</v>
          </cell>
          <cell r="J848" t="str">
            <v>Fornecedores</v>
          </cell>
          <cell r="K848">
            <v>600017</v>
          </cell>
          <cell r="L848">
            <v>-1</v>
          </cell>
        </row>
        <row r="849">
          <cell r="B849" t="str">
            <v>2.1.1.04.0640</v>
          </cell>
          <cell r="C849">
            <v>39183975000138</v>
          </cell>
          <cell r="D849" t="str">
            <v>I GRAFICCI PROGRAMACAO VISUAL LTDA - ME</v>
          </cell>
          <cell r="E849" t="str">
            <v>A</v>
          </cell>
          <cell r="H849" t="str">
            <v>N/A</v>
          </cell>
          <cell r="I849">
            <v>500001</v>
          </cell>
          <cell r="J849" t="str">
            <v>Fornecedores</v>
          </cell>
          <cell r="K849">
            <v>600017</v>
          </cell>
          <cell r="L849">
            <v>-1</v>
          </cell>
        </row>
        <row r="850">
          <cell r="B850" t="str">
            <v>2.1.1.04.0641</v>
          </cell>
          <cell r="C850">
            <v>13828422000100</v>
          </cell>
          <cell r="D850" t="str">
            <v>PENTAC ACRILICOS</v>
          </cell>
          <cell r="E850" t="str">
            <v>A</v>
          </cell>
          <cell r="H850" t="str">
            <v>N/A</v>
          </cell>
          <cell r="I850">
            <v>500001</v>
          </cell>
          <cell r="J850" t="str">
            <v>Fornecedores</v>
          </cell>
          <cell r="K850">
            <v>600017</v>
          </cell>
          <cell r="L850">
            <v>-1</v>
          </cell>
        </row>
        <row r="851">
          <cell r="B851" t="str">
            <v>2.1.1.04.0642</v>
          </cell>
          <cell r="C851">
            <v>2497398000149</v>
          </cell>
          <cell r="D851" t="str">
            <v>TOTVS SERVICOS LTDA</v>
          </cell>
          <cell r="E851" t="str">
            <v>A</v>
          </cell>
          <cell r="H851" t="str">
            <v>N/A</v>
          </cell>
          <cell r="I851">
            <v>500001</v>
          </cell>
          <cell r="J851" t="str">
            <v>Fornecedores</v>
          </cell>
          <cell r="K851">
            <v>600017</v>
          </cell>
          <cell r="L851">
            <v>-1</v>
          </cell>
        </row>
        <row r="852">
          <cell r="B852" t="str">
            <v>2.1.1.04.0643</v>
          </cell>
          <cell r="C852">
            <v>4206050000180</v>
          </cell>
          <cell r="D852" t="str">
            <v>TIM CELULAR S.A.</v>
          </cell>
          <cell r="E852" t="str">
            <v>A</v>
          </cell>
          <cell r="H852" t="str">
            <v>N/A</v>
          </cell>
          <cell r="I852">
            <v>500001</v>
          </cell>
          <cell r="J852" t="str">
            <v>Fornecedores</v>
          </cell>
          <cell r="K852">
            <v>600017</v>
          </cell>
          <cell r="L852">
            <v>-1</v>
          </cell>
        </row>
        <row r="853">
          <cell r="B853" t="str">
            <v>2.1.1.04.0644</v>
          </cell>
          <cell r="C853">
            <v>9597887000111</v>
          </cell>
          <cell r="D853" t="str">
            <v>ECONET TREINAMENTO E DESENVOLVIMENTO</v>
          </cell>
          <cell r="E853" t="str">
            <v>A</v>
          </cell>
          <cell r="H853" t="str">
            <v>N/A</v>
          </cell>
          <cell r="I853">
            <v>500001</v>
          </cell>
          <cell r="J853" t="str">
            <v>Fornecedores</v>
          </cell>
          <cell r="K853">
            <v>600017</v>
          </cell>
          <cell r="L853">
            <v>-1</v>
          </cell>
        </row>
        <row r="854">
          <cell r="B854" t="str">
            <v>2.1.1.04.0645</v>
          </cell>
          <cell r="C854">
            <v>24521860000139</v>
          </cell>
          <cell r="D854" t="str">
            <v>NOVACANA EVENTOS LTDA - ME</v>
          </cell>
          <cell r="E854" t="str">
            <v>A</v>
          </cell>
          <cell r="H854" t="str">
            <v>N/A</v>
          </cell>
          <cell r="I854">
            <v>500001</v>
          </cell>
          <cell r="J854" t="str">
            <v>Fornecedores</v>
          </cell>
          <cell r="K854">
            <v>600017</v>
          </cell>
          <cell r="L854">
            <v>-1</v>
          </cell>
        </row>
        <row r="855">
          <cell r="B855" t="str">
            <v>2.1.1.04.0646</v>
          </cell>
          <cell r="C855">
            <v>8071768000168</v>
          </cell>
          <cell r="D855" t="str">
            <v>NOVACANA INFORMAÇÃO ESPECIALIZADA LTDA</v>
          </cell>
          <cell r="E855" t="str">
            <v>A</v>
          </cell>
          <cell r="H855" t="str">
            <v>N/A</v>
          </cell>
          <cell r="I855">
            <v>500001</v>
          </cell>
          <cell r="J855" t="str">
            <v>Fornecedores</v>
          </cell>
          <cell r="K855">
            <v>600017</v>
          </cell>
          <cell r="L855">
            <v>-1</v>
          </cell>
        </row>
        <row r="856">
          <cell r="B856" t="str">
            <v>2.1.1.04.0647</v>
          </cell>
          <cell r="C856">
            <v>29108107000130</v>
          </cell>
          <cell r="D856" t="str">
            <v>SOLAZER TRANSPORTES E TURISMO LTDA</v>
          </cell>
          <cell r="E856" t="str">
            <v>A</v>
          </cell>
          <cell r="H856" t="str">
            <v>N/A</v>
          </cell>
          <cell r="I856">
            <v>500001</v>
          </cell>
          <cell r="J856" t="str">
            <v>Fornecedores</v>
          </cell>
          <cell r="K856">
            <v>600017</v>
          </cell>
          <cell r="L856">
            <v>-1</v>
          </cell>
        </row>
        <row r="857">
          <cell r="B857" t="str">
            <v>2.1.1.04.0648</v>
          </cell>
          <cell r="C857">
            <v>16727386000178</v>
          </cell>
          <cell r="D857" t="str">
            <v>RIOPAR Participações S/A</v>
          </cell>
          <cell r="E857" t="str">
            <v>A</v>
          </cell>
          <cell r="H857" t="str">
            <v>N/A</v>
          </cell>
          <cell r="I857">
            <v>500001</v>
          </cell>
          <cell r="J857" t="str">
            <v>Fornecedores</v>
          </cell>
          <cell r="K857">
            <v>600017</v>
          </cell>
          <cell r="L857">
            <v>-1</v>
          </cell>
        </row>
        <row r="858">
          <cell r="B858" t="str">
            <v>2.1.1.04.0649</v>
          </cell>
          <cell r="C858">
            <v>18696859</v>
          </cell>
          <cell r="D858" t="str">
            <v>INOVA EMPRESA BRASILEIRA EM SOLUCOES E N</v>
          </cell>
          <cell r="E858" t="str">
            <v>A</v>
          </cell>
          <cell r="H858" t="str">
            <v>N/A</v>
          </cell>
          <cell r="I858">
            <v>500001</v>
          </cell>
          <cell r="J858" t="str">
            <v>Fornecedores</v>
          </cell>
          <cell r="K858">
            <v>600017</v>
          </cell>
          <cell r="L858">
            <v>-1</v>
          </cell>
        </row>
        <row r="859">
          <cell r="B859" t="str">
            <v>2.1.1.04.0650</v>
          </cell>
          <cell r="C859">
            <v>21687254</v>
          </cell>
          <cell r="D859" t="str">
            <v>PORTO NOVO PAPEL E MATERIAL DE ESCRITORI</v>
          </cell>
          <cell r="E859" t="str">
            <v>A</v>
          </cell>
          <cell r="H859" t="str">
            <v>N/A</v>
          </cell>
          <cell r="I859">
            <v>500001</v>
          </cell>
          <cell r="J859" t="str">
            <v>Fornecedores</v>
          </cell>
          <cell r="K859">
            <v>600017</v>
          </cell>
          <cell r="L859">
            <v>-1</v>
          </cell>
        </row>
        <row r="860">
          <cell r="B860" t="str">
            <v>2.1.1.04.0651</v>
          </cell>
          <cell r="C860">
            <v>21456509</v>
          </cell>
          <cell r="D860" t="str">
            <v>SHAREPRIME TECNOLOGIA LTDA</v>
          </cell>
          <cell r="E860" t="str">
            <v>A</v>
          </cell>
          <cell r="H860" t="str">
            <v>N/A</v>
          </cell>
          <cell r="I860">
            <v>500001</v>
          </cell>
          <cell r="J860" t="str">
            <v>Fornecedores</v>
          </cell>
          <cell r="K860">
            <v>600017</v>
          </cell>
          <cell r="L860">
            <v>-1</v>
          </cell>
        </row>
        <row r="861">
          <cell r="B861" t="str">
            <v>2.1.1.04.0652</v>
          </cell>
          <cell r="C861">
            <v>3535902000544</v>
          </cell>
          <cell r="D861" t="str">
            <v>DECISION SERVIÇOS DE TECNOLOGIA DA INFOR</v>
          </cell>
          <cell r="E861" t="str">
            <v>A</v>
          </cell>
          <cell r="H861" t="str">
            <v>N/A</v>
          </cell>
          <cell r="I861">
            <v>500001</v>
          </cell>
          <cell r="J861" t="str">
            <v>Fornecedores</v>
          </cell>
          <cell r="K861">
            <v>600017</v>
          </cell>
          <cell r="L861">
            <v>-1</v>
          </cell>
        </row>
        <row r="862">
          <cell r="B862" t="str">
            <v>2.1.1.04.0653</v>
          </cell>
          <cell r="C862">
            <v>13403896</v>
          </cell>
          <cell r="D862" t="str">
            <v>DIVISANIT INSTALACOES E MONTAGENS LTDA</v>
          </cell>
          <cell r="E862" t="str">
            <v>A</v>
          </cell>
          <cell r="H862" t="str">
            <v>N/A</v>
          </cell>
          <cell r="I862">
            <v>500001</v>
          </cell>
          <cell r="J862" t="str">
            <v>Fornecedores</v>
          </cell>
          <cell r="K862">
            <v>600017</v>
          </cell>
          <cell r="L862">
            <v>-1</v>
          </cell>
        </row>
        <row r="863">
          <cell r="B863" t="str">
            <v>2.1.1.04.0654</v>
          </cell>
          <cell r="C863">
            <v>18324158</v>
          </cell>
          <cell r="D863" t="str">
            <v>MR EVENTOS TREINAMENTO E AGENCIAMENTO</v>
          </cell>
          <cell r="E863" t="str">
            <v>A</v>
          </cell>
          <cell r="H863" t="str">
            <v>N/A</v>
          </cell>
          <cell r="I863">
            <v>500001</v>
          </cell>
          <cell r="J863" t="str">
            <v>Fornecedores</v>
          </cell>
          <cell r="K863">
            <v>600017</v>
          </cell>
          <cell r="L863">
            <v>-1</v>
          </cell>
        </row>
        <row r="864">
          <cell r="B864" t="str">
            <v>2.1.1.04.0655</v>
          </cell>
          <cell r="C864">
            <v>1337552</v>
          </cell>
          <cell r="D864" t="str">
            <v>EDITORA SIGNER LTDA</v>
          </cell>
          <cell r="E864" t="str">
            <v>A</v>
          </cell>
          <cell r="H864" t="str">
            <v>N/A</v>
          </cell>
          <cell r="I864">
            <v>500001</v>
          </cell>
          <cell r="J864" t="str">
            <v>Fornecedores</v>
          </cell>
          <cell r="K864">
            <v>600017</v>
          </cell>
          <cell r="L864">
            <v>-1</v>
          </cell>
        </row>
        <row r="865">
          <cell r="B865" t="str">
            <v>2.1.1.04.0656</v>
          </cell>
          <cell r="C865">
            <v>7777721000151</v>
          </cell>
          <cell r="D865" t="str">
            <v>JML MENDES &amp; LOPES PESQUISA, TREINAMENTO E</v>
          </cell>
          <cell r="E865" t="str">
            <v>A</v>
          </cell>
          <cell r="H865" t="str">
            <v>N/A</v>
          </cell>
          <cell r="I865">
            <v>500001</v>
          </cell>
          <cell r="J865" t="str">
            <v>Fornecedores</v>
          </cell>
          <cell r="K865">
            <v>600017</v>
          </cell>
          <cell r="L865">
            <v>-1</v>
          </cell>
        </row>
        <row r="866">
          <cell r="B866" t="str">
            <v>2.1.1.04.0657</v>
          </cell>
          <cell r="C866">
            <v>5794827000138</v>
          </cell>
          <cell r="D866" t="str">
            <v>JP DA SILVA SOUSA DIVISORIAS</v>
          </cell>
          <cell r="E866" t="str">
            <v>A</v>
          </cell>
          <cell r="H866" t="str">
            <v>N/A</v>
          </cell>
          <cell r="I866">
            <v>500001</v>
          </cell>
          <cell r="J866" t="str">
            <v>Fornecedores</v>
          </cell>
          <cell r="K866">
            <v>600017</v>
          </cell>
          <cell r="L866">
            <v>-1</v>
          </cell>
        </row>
        <row r="867">
          <cell r="B867" t="str">
            <v>2.1.1.04.0658</v>
          </cell>
          <cell r="C867">
            <v>5512472000147</v>
          </cell>
          <cell r="D867" t="str">
            <v>SEENERGIA SER ESPECIALIZADOS ENG SS</v>
          </cell>
          <cell r="E867" t="str">
            <v>A</v>
          </cell>
          <cell r="H867" t="str">
            <v>N/A</v>
          </cell>
          <cell r="I867">
            <v>500001</v>
          </cell>
          <cell r="J867" t="str">
            <v>Fornecedores</v>
          </cell>
          <cell r="K867">
            <v>600017</v>
          </cell>
          <cell r="L867">
            <v>-1</v>
          </cell>
        </row>
        <row r="868">
          <cell r="B868" t="str">
            <v>2.1.1.04.0659</v>
          </cell>
          <cell r="C868">
            <v>9398232000114</v>
          </cell>
          <cell r="D868" t="str">
            <v>MERCADO ARAGUAIA LTDA - ME</v>
          </cell>
          <cell r="E868" t="str">
            <v>A</v>
          </cell>
          <cell r="H868" t="str">
            <v>N/A</v>
          </cell>
          <cell r="I868">
            <v>500001</v>
          </cell>
          <cell r="J868" t="str">
            <v>Fornecedores</v>
          </cell>
          <cell r="K868">
            <v>600017</v>
          </cell>
          <cell r="L868">
            <v>-1</v>
          </cell>
        </row>
        <row r="869">
          <cell r="B869" t="str">
            <v>2.1.1.04.0660</v>
          </cell>
          <cell r="C869">
            <v>9676510000158</v>
          </cell>
          <cell r="D869" t="str">
            <v>CENTRO DE APERFEICOAMENTO DA VOZ FALA E</v>
          </cell>
          <cell r="E869" t="str">
            <v>A</v>
          </cell>
          <cell r="H869" t="str">
            <v>N/A</v>
          </cell>
          <cell r="I869">
            <v>500001</v>
          </cell>
          <cell r="J869" t="str">
            <v>Fornecedores</v>
          </cell>
          <cell r="K869">
            <v>600017</v>
          </cell>
          <cell r="L869">
            <v>-1</v>
          </cell>
        </row>
        <row r="870">
          <cell r="B870" t="str">
            <v>2.1.1.04.0661</v>
          </cell>
          <cell r="C870">
            <v>14783416000138</v>
          </cell>
          <cell r="D870" t="str">
            <v>UP MIDIA INTEGRADA EIRELI</v>
          </cell>
          <cell r="E870" t="str">
            <v>A</v>
          </cell>
          <cell r="H870" t="str">
            <v>N/A</v>
          </cell>
          <cell r="I870">
            <v>500001</v>
          </cell>
          <cell r="J870" t="str">
            <v>Fornecedores</v>
          </cell>
          <cell r="K870">
            <v>600017</v>
          </cell>
          <cell r="L870">
            <v>-1</v>
          </cell>
        </row>
        <row r="871">
          <cell r="B871" t="str">
            <v>2.1.1.04.0662</v>
          </cell>
          <cell r="C871">
            <v>1001722000123</v>
          </cell>
          <cell r="D871" t="str">
            <v>FUNDAÇÃO DO INSTITUTO DE BIOCIENCIAS - F</v>
          </cell>
          <cell r="E871" t="str">
            <v>A</v>
          </cell>
          <cell r="H871" t="str">
            <v>N/A</v>
          </cell>
          <cell r="I871">
            <v>500001</v>
          </cell>
          <cell r="J871" t="str">
            <v>Fornecedores</v>
          </cell>
          <cell r="K871">
            <v>600017</v>
          </cell>
          <cell r="L871">
            <v>-1</v>
          </cell>
        </row>
        <row r="872">
          <cell r="B872" t="str">
            <v>2.1.1.04.0663</v>
          </cell>
          <cell r="C872">
            <v>854137000103</v>
          </cell>
          <cell r="D872" t="str">
            <v>INSTITUTO BRASILEIRO DE AVALIAÇÕES IBAPE</v>
          </cell>
          <cell r="E872" t="str">
            <v>A</v>
          </cell>
          <cell r="H872" t="str">
            <v>N/A</v>
          </cell>
          <cell r="I872">
            <v>500001</v>
          </cell>
          <cell r="J872" t="str">
            <v>Fornecedores</v>
          </cell>
          <cell r="K872">
            <v>600017</v>
          </cell>
          <cell r="L872">
            <v>-1</v>
          </cell>
        </row>
        <row r="873">
          <cell r="B873" t="str">
            <v>2.1.1.04.0664</v>
          </cell>
          <cell r="C873">
            <v>2799288000131</v>
          </cell>
          <cell r="D873" t="str">
            <v>LCM TREINAMENTO EMPRESARIAL LTDA</v>
          </cell>
          <cell r="E873" t="str">
            <v>A</v>
          </cell>
          <cell r="H873" t="str">
            <v>N/A</v>
          </cell>
          <cell r="I873">
            <v>500001</v>
          </cell>
          <cell r="J873" t="str">
            <v>Fornecedores</v>
          </cell>
          <cell r="K873">
            <v>600017</v>
          </cell>
          <cell r="L873">
            <v>-1</v>
          </cell>
        </row>
        <row r="874">
          <cell r="B874" t="str">
            <v>2.1.1.04.0665</v>
          </cell>
          <cell r="C874">
            <v>5555382000133</v>
          </cell>
          <cell r="D874" t="str">
            <v>AOVS SISTEMA DE INFORMATICA</v>
          </cell>
          <cell r="E874" t="str">
            <v>A</v>
          </cell>
          <cell r="H874" t="str">
            <v>N/A</v>
          </cell>
          <cell r="I874">
            <v>500001</v>
          </cell>
          <cell r="J874" t="str">
            <v>Fornecedores</v>
          </cell>
          <cell r="K874">
            <v>600017</v>
          </cell>
          <cell r="L874">
            <v>-1</v>
          </cell>
        </row>
        <row r="875">
          <cell r="B875" t="str">
            <v>2.1.1.04.0666</v>
          </cell>
          <cell r="C875">
            <v>6166645000185</v>
          </cell>
          <cell r="D875" t="str">
            <v>MANAGEMENT SCIENCE LTDA ME</v>
          </cell>
          <cell r="E875" t="str">
            <v>A</v>
          </cell>
          <cell r="H875" t="str">
            <v>N/A</v>
          </cell>
          <cell r="I875">
            <v>500001</v>
          </cell>
          <cell r="J875" t="str">
            <v>Fornecedores</v>
          </cell>
          <cell r="K875">
            <v>600017</v>
          </cell>
          <cell r="L875">
            <v>-1</v>
          </cell>
        </row>
        <row r="876">
          <cell r="B876" t="str">
            <v>2.1.1.04.0667</v>
          </cell>
          <cell r="C876">
            <v>51109130000106</v>
          </cell>
          <cell r="D876" t="str">
            <v>ASSOC. PROF. DA IND. DE FABRIC. ALCOOL</v>
          </cell>
          <cell r="E876" t="str">
            <v>A</v>
          </cell>
          <cell r="H876" t="str">
            <v>N/A</v>
          </cell>
          <cell r="I876">
            <v>500001</v>
          </cell>
          <cell r="J876" t="str">
            <v>Fornecedores</v>
          </cell>
          <cell r="K876">
            <v>600017</v>
          </cell>
          <cell r="L876">
            <v>-1</v>
          </cell>
        </row>
        <row r="877">
          <cell r="B877" t="str">
            <v>2.1.1.04.0668</v>
          </cell>
          <cell r="C877">
            <v>8518872000158</v>
          </cell>
          <cell r="D877" t="str">
            <v>EDOCAVONI AUTOMAÇÃO E INFORMÁTICA LTDA</v>
          </cell>
          <cell r="E877" t="str">
            <v>A</v>
          </cell>
          <cell r="H877" t="str">
            <v>N/A</v>
          </cell>
          <cell r="I877">
            <v>500001</v>
          </cell>
          <cell r="J877" t="str">
            <v>Fornecedores</v>
          </cell>
          <cell r="K877">
            <v>600017</v>
          </cell>
          <cell r="L877">
            <v>-1</v>
          </cell>
        </row>
        <row r="878">
          <cell r="B878" t="str">
            <v>2.1.1.04.0669</v>
          </cell>
          <cell r="C878">
            <v>14885757000114</v>
          </cell>
          <cell r="D878" t="str">
            <v>ONE ENGLISH CULTURAL E EDUCACIONAL LTDA</v>
          </cell>
          <cell r="E878" t="str">
            <v>A</v>
          </cell>
          <cell r="H878" t="str">
            <v>N/A</v>
          </cell>
          <cell r="I878">
            <v>500001</v>
          </cell>
          <cell r="J878" t="str">
            <v>Fornecedores</v>
          </cell>
          <cell r="K878">
            <v>600017</v>
          </cell>
          <cell r="L878">
            <v>-1</v>
          </cell>
        </row>
        <row r="879">
          <cell r="B879" t="str">
            <v>2.1.1.04.0670</v>
          </cell>
          <cell r="C879">
            <v>2922874000121</v>
          </cell>
          <cell r="D879" t="str">
            <v>SINERCONSULT CONSULTORIA E TREIN. LTDA</v>
          </cell>
          <cell r="E879" t="str">
            <v>A</v>
          </cell>
          <cell r="H879" t="str">
            <v>N/A</v>
          </cell>
          <cell r="I879">
            <v>500001</v>
          </cell>
          <cell r="J879" t="str">
            <v>Fornecedores</v>
          </cell>
          <cell r="K879">
            <v>600017</v>
          </cell>
          <cell r="L879">
            <v>-1</v>
          </cell>
        </row>
        <row r="880">
          <cell r="B880" t="str">
            <v>2.1.1.04.0671</v>
          </cell>
          <cell r="C880">
            <v>12538037000157</v>
          </cell>
          <cell r="D880" t="str">
            <v>AMBIENTE DIRETO CONSULT.SOCIOAMBIENTAL L</v>
          </cell>
          <cell r="E880" t="str">
            <v>A</v>
          </cell>
          <cell r="H880" t="str">
            <v>N/A</v>
          </cell>
          <cell r="I880">
            <v>500001</v>
          </cell>
          <cell r="J880" t="str">
            <v>Fornecedores</v>
          </cell>
          <cell r="K880">
            <v>600017</v>
          </cell>
          <cell r="L880">
            <v>-1</v>
          </cell>
        </row>
        <row r="881">
          <cell r="B881" t="str">
            <v>2.1.1.04.0672</v>
          </cell>
          <cell r="C881">
            <v>4001949000167</v>
          </cell>
          <cell r="D881" t="str">
            <v>PRO OCEANO SERV.OCEANOGRAFICO E AMBIENTA</v>
          </cell>
          <cell r="E881" t="str">
            <v>A</v>
          </cell>
          <cell r="H881" t="str">
            <v>N/A</v>
          </cell>
          <cell r="I881">
            <v>500001</v>
          </cell>
          <cell r="J881" t="str">
            <v>Fornecedores</v>
          </cell>
          <cell r="K881">
            <v>600017</v>
          </cell>
          <cell r="L881">
            <v>-1</v>
          </cell>
        </row>
        <row r="882">
          <cell r="B882" t="str">
            <v>2.1.1.04.0673</v>
          </cell>
          <cell r="C882">
            <v>22939871000108</v>
          </cell>
          <cell r="D882" t="str">
            <v>RIO LETRAS LETREIROS LTDA. - ME</v>
          </cell>
          <cell r="E882" t="str">
            <v>A</v>
          </cell>
          <cell r="H882" t="str">
            <v>N/A</v>
          </cell>
          <cell r="I882">
            <v>500001</v>
          </cell>
          <cell r="J882" t="str">
            <v>Fornecedores</v>
          </cell>
          <cell r="K882">
            <v>600017</v>
          </cell>
          <cell r="L882">
            <v>-1</v>
          </cell>
        </row>
        <row r="883">
          <cell r="B883" t="str">
            <v>2.1.1.04.0674</v>
          </cell>
          <cell r="C883">
            <v>10378823000109</v>
          </cell>
          <cell r="D883" t="str">
            <v>IPEC TREINAMENTO LTDA</v>
          </cell>
          <cell r="E883" t="str">
            <v>A</v>
          </cell>
          <cell r="H883" t="str">
            <v>N/A</v>
          </cell>
          <cell r="I883">
            <v>500001</v>
          </cell>
          <cell r="J883" t="str">
            <v>Fornecedores</v>
          </cell>
          <cell r="K883">
            <v>600017</v>
          </cell>
          <cell r="L883">
            <v>-1</v>
          </cell>
        </row>
        <row r="884">
          <cell r="B884" t="str">
            <v>2.1.1.04.0675</v>
          </cell>
          <cell r="C884">
            <v>875135000109</v>
          </cell>
          <cell r="D884" t="str">
            <v>PHONOWAY SOLUÇOES TELEINFORMATICA</v>
          </cell>
          <cell r="E884" t="str">
            <v>A</v>
          </cell>
          <cell r="H884" t="str">
            <v>N/A</v>
          </cell>
          <cell r="I884">
            <v>500001</v>
          </cell>
          <cell r="J884" t="str">
            <v>Fornecedores</v>
          </cell>
          <cell r="K884">
            <v>600017</v>
          </cell>
          <cell r="L884">
            <v>-1</v>
          </cell>
        </row>
        <row r="885">
          <cell r="B885" t="str">
            <v>2.1.1.04.0676</v>
          </cell>
          <cell r="C885">
            <v>7491336000143</v>
          </cell>
          <cell r="D885" t="str">
            <v>ARV BRADFORD CURSOS E TREINAMENTO</v>
          </cell>
          <cell r="E885" t="str">
            <v>A</v>
          </cell>
          <cell r="H885" t="str">
            <v>N/A</v>
          </cell>
          <cell r="I885">
            <v>500001</v>
          </cell>
          <cell r="J885" t="str">
            <v>Fornecedores</v>
          </cell>
          <cell r="K885">
            <v>600017</v>
          </cell>
          <cell r="L885">
            <v>-1</v>
          </cell>
        </row>
        <row r="886">
          <cell r="B886" t="str">
            <v>2.1.1.04.0677</v>
          </cell>
          <cell r="C886">
            <v>4298309000756</v>
          </cell>
          <cell r="D886" t="str">
            <v>GRUPO IBEMEC EDUCACIONAL S/A</v>
          </cell>
          <cell r="E886" t="str">
            <v>A</v>
          </cell>
          <cell r="H886" t="str">
            <v>N/A</v>
          </cell>
          <cell r="I886">
            <v>500001</v>
          </cell>
          <cell r="J886" t="str">
            <v>Fornecedores</v>
          </cell>
          <cell r="K886">
            <v>600017</v>
          </cell>
          <cell r="L886">
            <v>-1</v>
          </cell>
        </row>
        <row r="887">
          <cell r="B887" t="str">
            <v>2.1.1.04.0678</v>
          </cell>
          <cell r="C887">
            <v>12482786000100</v>
          </cell>
          <cell r="D887" t="str">
            <v>JRM HELOANI DESENVOLVIMENTO GERENCIAL</v>
          </cell>
          <cell r="E887" t="str">
            <v>A</v>
          </cell>
          <cell r="H887" t="str">
            <v>N/A</v>
          </cell>
          <cell r="I887">
            <v>500001</v>
          </cell>
          <cell r="J887" t="str">
            <v>Fornecedores</v>
          </cell>
          <cell r="K887">
            <v>600017</v>
          </cell>
          <cell r="L887">
            <v>-1</v>
          </cell>
        </row>
        <row r="888">
          <cell r="B888" t="str">
            <v>2.1.1.04.0679</v>
          </cell>
          <cell r="C888">
            <v>26464902000172</v>
          </cell>
          <cell r="D888" t="str">
            <v>LANTYX TECNOLOGIA E PUBLICIDADE EIRILE</v>
          </cell>
          <cell r="E888" t="str">
            <v>A</v>
          </cell>
          <cell r="H888" t="str">
            <v>N/A</v>
          </cell>
          <cell r="I888">
            <v>500001</v>
          </cell>
          <cell r="J888" t="str">
            <v>Fornecedores</v>
          </cell>
          <cell r="K888">
            <v>600017</v>
          </cell>
          <cell r="L888">
            <v>-1</v>
          </cell>
        </row>
        <row r="889">
          <cell r="B889" t="str">
            <v>2.1.1.04.0680</v>
          </cell>
          <cell r="C889">
            <v>18522913000133</v>
          </cell>
          <cell r="D889" t="str">
            <v>MUNDIVOX COMUNICAÇÕES LTDA</v>
          </cell>
          <cell r="E889" t="str">
            <v>A</v>
          </cell>
          <cell r="H889" t="str">
            <v>N/A</v>
          </cell>
          <cell r="I889">
            <v>500001</v>
          </cell>
          <cell r="J889" t="str">
            <v>Fornecedores</v>
          </cell>
          <cell r="K889">
            <v>600017</v>
          </cell>
          <cell r="L889">
            <v>-1</v>
          </cell>
        </row>
        <row r="890">
          <cell r="B890" t="str">
            <v>2.1.1.04.0681</v>
          </cell>
          <cell r="C890">
            <v>14129133000177</v>
          </cell>
          <cell r="D890" t="str">
            <v>SOLLUS COMERCIO EM TECNOLOGIA E CONTROLE</v>
          </cell>
          <cell r="E890" t="str">
            <v>A</v>
          </cell>
          <cell r="H890" t="str">
            <v>N/A</v>
          </cell>
          <cell r="I890">
            <v>500001</v>
          </cell>
          <cell r="J890" t="str">
            <v>Fornecedores</v>
          </cell>
          <cell r="K890">
            <v>600017</v>
          </cell>
          <cell r="L890">
            <v>-1</v>
          </cell>
        </row>
        <row r="891">
          <cell r="B891" t="str">
            <v>2.1.1.04.0682</v>
          </cell>
          <cell r="C891">
            <v>82581406000170</v>
          </cell>
          <cell r="D891" t="str">
            <v>CROMOS EDIT. E IND. GRAFICA LTDA</v>
          </cell>
          <cell r="E891" t="str">
            <v>A</v>
          </cell>
          <cell r="H891" t="str">
            <v>N/A</v>
          </cell>
          <cell r="I891">
            <v>500001</v>
          </cell>
          <cell r="J891" t="str">
            <v>Fornecedores</v>
          </cell>
          <cell r="K891">
            <v>600017</v>
          </cell>
          <cell r="L891">
            <v>-1</v>
          </cell>
        </row>
        <row r="892">
          <cell r="B892" t="str">
            <v>2.1.1.04.0683</v>
          </cell>
          <cell r="C892">
            <v>3200400001</v>
          </cell>
          <cell r="D892" t="str">
            <v>COORDENAÇÃO GERAL DE RECURSOS LOGISTICOS</v>
          </cell>
          <cell r="E892" t="str">
            <v>A</v>
          </cell>
          <cell r="H892" t="str">
            <v>N/A</v>
          </cell>
          <cell r="I892">
            <v>500001</v>
          </cell>
          <cell r="J892" t="str">
            <v>Fornecedores</v>
          </cell>
          <cell r="K892">
            <v>600017</v>
          </cell>
          <cell r="L892">
            <v>-1</v>
          </cell>
        </row>
        <row r="893">
          <cell r="B893" t="str">
            <v>2.1.1.04.0684</v>
          </cell>
          <cell r="C893">
            <v>11543346000152</v>
          </cell>
          <cell r="D893" t="str">
            <v>GRUPO GENIAL ME LTDA</v>
          </cell>
          <cell r="E893" t="str">
            <v>A</v>
          </cell>
          <cell r="H893" t="str">
            <v>N/A</v>
          </cell>
          <cell r="I893">
            <v>500001</v>
          </cell>
          <cell r="J893" t="str">
            <v>Fornecedores</v>
          </cell>
          <cell r="K893">
            <v>600017</v>
          </cell>
          <cell r="L893">
            <v>-1</v>
          </cell>
        </row>
        <row r="894">
          <cell r="B894" t="str">
            <v>2.1.1.04.0685</v>
          </cell>
          <cell r="C894">
            <v>8582483000191</v>
          </cell>
          <cell r="D894" t="str">
            <v>GREEN RABBIT DESENV. DE SOFTWARE LTDA</v>
          </cell>
          <cell r="E894" t="str">
            <v>A</v>
          </cell>
          <cell r="H894" t="str">
            <v>N/A</v>
          </cell>
          <cell r="I894">
            <v>500001</v>
          </cell>
          <cell r="J894" t="str">
            <v>Fornecedores</v>
          </cell>
          <cell r="K894">
            <v>600017</v>
          </cell>
          <cell r="L894">
            <v>-1</v>
          </cell>
        </row>
        <row r="895">
          <cell r="B895" t="str">
            <v>2.1.1.04.0686</v>
          </cell>
          <cell r="C895">
            <v>8254940000119</v>
          </cell>
          <cell r="D895" t="str">
            <v>PRDW BRASIL ENGENHARIA LTDA</v>
          </cell>
          <cell r="E895" t="str">
            <v>A</v>
          </cell>
          <cell r="H895" t="str">
            <v>N/A</v>
          </cell>
          <cell r="I895">
            <v>500001</v>
          </cell>
          <cell r="J895" t="str">
            <v>Fornecedores</v>
          </cell>
          <cell r="K895">
            <v>600017</v>
          </cell>
          <cell r="L895">
            <v>-1</v>
          </cell>
        </row>
        <row r="896">
          <cell r="B896" t="str">
            <v>2.1.1.04.0687</v>
          </cell>
          <cell r="C896">
            <v>19268267000192</v>
          </cell>
          <cell r="D896" t="str">
            <v>FUNDAÇÃO DOM CABRAL</v>
          </cell>
          <cell r="E896" t="str">
            <v>A</v>
          </cell>
          <cell r="H896" t="str">
            <v>N/A</v>
          </cell>
          <cell r="I896">
            <v>500001</v>
          </cell>
          <cell r="J896" t="str">
            <v>Fornecedores</v>
          </cell>
          <cell r="K896">
            <v>600017</v>
          </cell>
          <cell r="L896">
            <v>-1</v>
          </cell>
        </row>
        <row r="897">
          <cell r="B897" t="str">
            <v>2.1.1.04.0688</v>
          </cell>
          <cell r="C897">
            <v>2402497000108</v>
          </cell>
          <cell r="D897" t="str">
            <v>REPROPAPER SERVIÇOS DE REPROGRAFIA LTDA</v>
          </cell>
          <cell r="E897" t="str">
            <v>A</v>
          </cell>
          <cell r="H897" t="str">
            <v>N/A</v>
          </cell>
          <cell r="I897">
            <v>500001</v>
          </cell>
          <cell r="J897" t="str">
            <v>Fornecedores</v>
          </cell>
          <cell r="K897">
            <v>600017</v>
          </cell>
          <cell r="L897">
            <v>-1</v>
          </cell>
        </row>
        <row r="898">
          <cell r="B898" t="str">
            <v>2.1.1.04.0689</v>
          </cell>
          <cell r="C898">
            <v>12270578000147</v>
          </cell>
          <cell r="D898" t="str">
            <v>TRANSTATHICA AG. DE VIAGEM E TURISMO</v>
          </cell>
          <cell r="E898" t="str">
            <v>A</v>
          </cell>
          <cell r="H898" t="str">
            <v>N/A</v>
          </cell>
          <cell r="I898">
            <v>500001</v>
          </cell>
          <cell r="J898" t="str">
            <v>Fornecedores</v>
          </cell>
          <cell r="K898">
            <v>600017</v>
          </cell>
          <cell r="L898">
            <v>-1</v>
          </cell>
        </row>
        <row r="899">
          <cell r="B899" t="str">
            <v>2.1.1.04.0690</v>
          </cell>
          <cell r="C899">
            <v>1437165800014</v>
          </cell>
          <cell r="D899" t="str">
            <v>FOX SMART BUSINESS DO BRASIL LTDA</v>
          </cell>
          <cell r="E899" t="str">
            <v>A</v>
          </cell>
          <cell r="H899" t="str">
            <v>N/A</v>
          </cell>
          <cell r="I899">
            <v>500001</v>
          </cell>
          <cell r="J899" t="str">
            <v>Fornecedores</v>
          </cell>
          <cell r="K899">
            <v>600017</v>
          </cell>
          <cell r="L899">
            <v>-1</v>
          </cell>
        </row>
        <row r="900">
          <cell r="B900" t="str">
            <v>2.1.1.04.0691</v>
          </cell>
          <cell r="C900">
            <v>22233581000144</v>
          </cell>
          <cell r="D900" t="str">
            <v>AX4B SISTEMAS DE INFORMATICA LTDA</v>
          </cell>
          <cell r="E900" t="str">
            <v>A</v>
          </cell>
          <cell r="H900" t="str">
            <v>N/A</v>
          </cell>
          <cell r="I900">
            <v>500001</v>
          </cell>
          <cell r="J900" t="str">
            <v>Fornecedores</v>
          </cell>
          <cell r="K900">
            <v>600017</v>
          </cell>
          <cell r="L900">
            <v>-1</v>
          </cell>
        </row>
        <row r="901">
          <cell r="B901" t="str">
            <v>2.1.1.04.0692</v>
          </cell>
          <cell r="C901">
            <v>307049000191</v>
          </cell>
          <cell r="D901" t="str">
            <v>HSR SISTEMAS E REDES LTDA</v>
          </cell>
          <cell r="E901" t="str">
            <v>A</v>
          </cell>
          <cell r="H901" t="str">
            <v>N/A</v>
          </cell>
          <cell r="I901">
            <v>500001</v>
          </cell>
          <cell r="J901" t="str">
            <v>Fornecedores</v>
          </cell>
          <cell r="K901">
            <v>600017</v>
          </cell>
          <cell r="L901">
            <v>-1</v>
          </cell>
        </row>
        <row r="902">
          <cell r="B902" t="str">
            <v>2.1.1.04.0693</v>
          </cell>
          <cell r="C902">
            <v>6942472000140</v>
          </cell>
          <cell r="D902" t="str">
            <v>F5 SOFTWARE LTDA</v>
          </cell>
          <cell r="E902" t="str">
            <v>A</v>
          </cell>
          <cell r="H902" t="str">
            <v>N/A</v>
          </cell>
          <cell r="I902">
            <v>500001</v>
          </cell>
          <cell r="J902" t="str">
            <v>Fornecedores</v>
          </cell>
          <cell r="K902">
            <v>600017</v>
          </cell>
          <cell r="L902">
            <v>-1</v>
          </cell>
        </row>
        <row r="903">
          <cell r="B903" t="str">
            <v>2.1.1.04.0694</v>
          </cell>
          <cell r="C903">
            <v>2114694</v>
          </cell>
          <cell r="D903" t="str">
            <v>CARTÃO CORPORATIVO - SCDP</v>
          </cell>
          <cell r="E903" t="str">
            <v>A</v>
          </cell>
          <cell r="H903" t="str">
            <v>N/A</v>
          </cell>
          <cell r="I903">
            <v>500001</v>
          </cell>
          <cell r="J903" t="str">
            <v>Fornecedores</v>
          </cell>
          <cell r="K903">
            <v>600017</v>
          </cell>
          <cell r="L903">
            <v>-1</v>
          </cell>
        </row>
        <row r="904">
          <cell r="B904" t="str">
            <v>2.1.1.04.0695</v>
          </cell>
          <cell r="C904">
            <v>81708497000107</v>
          </cell>
          <cell r="D904" t="str">
            <v>PREMIER IT GLOBAL SERVICES LTDA</v>
          </cell>
          <cell r="E904" t="str">
            <v>A</v>
          </cell>
          <cell r="H904" t="str">
            <v>N/A</v>
          </cell>
          <cell r="I904">
            <v>500001</v>
          </cell>
          <cell r="J904" t="str">
            <v>Fornecedores</v>
          </cell>
          <cell r="K904">
            <v>600017</v>
          </cell>
          <cell r="L904">
            <v>-1</v>
          </cell>
        </row>
        <row r="905">
          <cell r="B905" t="str">
            <v>2.1.1.04.0696</v>
          </cell>
          <cell r="C905">
            <v>35794064000196</v>
          </cell>
          <cell r="D905" t="str">
            <v>CENTRO EMPRESARIAL INTERNACIONAL RIO</v>
          </cell>
          <cell r="E905" t="str">
            <v>A</v>
          </cell>
          <cell r="H905" t="str">
            <v>N/A</v>
          </cell>
          <cell r="I905">
            <v>500001</v>
          </cell>
          <cell r="J905" t="str">
            <v>Fornecedores</v>
          </cell>
          <cell r="K905">
            <v>600017</v>
          </cell>
          <cell r="L905">
            <v>-1</v>
          </cell>
        </row>
        <row r="906">
          <cell r="B906" t="str">
            <v>2.1.1.04.0697</v>
          </cell>
          <cell r="C906">
            <v>24695880000126</v>
          </cell>
          <cell r="D906" t="str">
            <v>PROJUD TECNOLOGIA LTDA</v>
          </cell>
          <cell r="E906" t="str">
            <v>A</v>
          </cell>
          <cell r="H906" t="str">
            <v>N/A</v>
          </cell>
          <cell r="I906">
            <v>500001</v>
          </cell>
          <cell r="J906" t="str">
            <v>Fornecedores</v>
          </cell>
          <cell r="K906">
            <v>600017</v>
          </cell>
          <cell r="L906">
            <v>-1</v>
          </cell>
        </row>
        <row r="907">
          <cell r="B907" t="str">
            <v>2.1.1.04.0698</v>
          </cell>
          <cell r="C907">
            <v>8432362000163</v>
          </cell>
          <cell r="D907" t="str">
            <v>ELO EVENTOS LTDA</v>
          </cell>
          <cell r="E907" t="str">
            <v>A</v>
          </cell>
          <cell r="H907" t="str">
            <v>N/A</v>
          </cell>
          <cell r="I907">
            <v>500001</v>
          </cell>
          <cell r="J907" t="str">
            <v>Fornecedores</v>
          </cell>
          <cell r="K907">
            <v>600017</v>
          </cell>
          <cell r="L907">
            <v>-1</v>
          </cell>
        </row>
        <row r="908">
          <cell r="B908" t="str">
            <v>2.1.1.04.0699</v>
          </cell>
          <cell r="C908">
            <v>14337022000155</v>
          </cell>
          <cell r="D908" t="str">
            <v>LEANDRO ANDRÉ DE QUEIROZ - MEI</v>
          </cell>
          <cell r="E908" t="str">
            <v>A</v>
          </cell>
          <cell r="H908" t="str">
            <v>N/A</v>
          </cell>
          <cell r="I908">
            <v>500001</v>
          </cell>
          <cell r="J908" t="str">
            <v>Fornecedores</v>
          </cell>
          <cell r="K908">
            <v>600017</v>
          </cell>
          <cell r="L908">
            <v>-1</v>
          </cell>
        </row>
        <row r="909">
          <cell r="B909" t="str">
            <v>2.1.1.04.0700</v>
          </cell>
          <cell r="C909">
            <v>32039927000121</v>
          </cell>
          <cell r="D909" t="str">
            <v>DIVIGAMA DIVISÓRIAS LTDA</v>
          </cell>
          <cell r="E909" t="str">
            <v>A</v>
          </cell>
          <cell r="H909" t="str">
            <v>N/A</v>
          </cell>
          <cell r="I909">
            <v>500001</v>
          </cell>
          <cell r="J909" t="str">
            <v>Fornecedores</v>
          </cell>
          <cell r="K909">
            <v>600017</v>
          </cell>
          <cell r="L909">
            <v>-1</v>
          </cell>
        </row>
        <row r="910">
          <cell r="B910" t="str">
            <v>2.1.1.04.0701</v>
          </cell>
          <cell r="C910">
            <v>8022646000181</v>
          </cell>
          <cell r="D910" t="str">
            <v>RA2 PRINT ETIQUETAS</v>
          </cell>
          <cell r="E910" t="str">
            <v>A</v>
          </cell>
          <cell r="H910" t="str">
            <v>N/A</v>
          </cell>
          <cell r="I910">
            <v>500001</v>
          </cell>
          <cell r="J910" t="str">
            <v>Fornecedores</v>
          </cell>
          <cell r="K910">
            <v>600017</v>
          </cell>
          <cell r="L910">
            <v>-1</v>
          </cell>
        </row>
        <row r="911">
          <cell r="B911" t="str">
            <v>2.1.1.04.0702</v>
          </cell>
          <cell r="C911">
            <v>13918884000100</v>
          </cell>
          <cell r="D911" t="str">
            <v>GENESIS COACHING TREIN. E DESENV. LTDA</v>
          </cell>
          <cell r="E911" t="str">
            <v>A</v>
          </cell>
          <cell r="H911" t="str">
            <v>N/A</v>
          </cell>
          <cell r="I911">
            <v>500001</v>
          </cell>
          <cell r="J911" t="str">
            <v>Fornecedores</v>
          </cell>
          <cell r="K911">
            <v>600017</v>
          </cell>
          <cell r="L911">
            <v>-1</v>
          </cell>
        </row>
        <row r="912">
          <cell r="B912" t="str">
            <v>2.1.1.04.0703</v>
          </cell>
          <cell r="C912">
            <v>67632216000140</v>
          </cell>
          <cell r="D912" t="str">
            <v>WALM ENG. E TEC. AMBIENTAL LTDA</v>
          </cell>
          <cell r="E912" t="str">
            <v>A</v>
          </cell>
          <cell r="H912" t="str">
            <v>N/A</v>
          </cell>
          <cell r="I912">
            <v>500001</v>
          </cell>
          <cell r="J912" t="str">
            <v>Fornecedores</v>
          </cell>
          <cell r="K912">
            <v>600017</v>
          </cell>
          <cell r="L912">
            <v>-1</v>
          </cell>
        </row>
        <row r="913">
          <cell r="B913" t="str">
            <v>2.1.1.04.0704</v>
          </cell>
          <cell r="C913">
            <v>5761748000120</v>
          </cell>
          <cell r="D913" t="str">
            <v>BIOTA PROJETOS E CONSULTORIA AMBIENTAL</v>
          </cell>
          <cell r="E913" t="str">
            <v>A</v>
          </cell>
          <cell r="H913" t="str">
            <v>N/A</v>
          </cell>
          <cell r="I913">
            <v>500001</v>
          </cell>
          <cell r="J913" t="str">
            <v>Fornecedores</v>
          </cell>
          <cell r="K913">
            <v>600017</v>
          </cell>
          <cell r="L913">
            <v>-1</v>
          </cell>
        </row>
        <row r="914">
          <cell r="B914" t="str">
            <v>2.1.1.04.0705</v>
          </cell>
          <cell r="C914">
            <v>24120157000119</v>
          </cell>
          <cell r="D914" t="str">
            <v>LUAN MACEDO FERNANDES EI</v>
          </cell>
          <cell r="E914" t="str">
            <v>A</v>
          </cell>
          <cell r="H914" t="str">
            <v>N/A</v>
          </cell>
          <cell r="I914">
            <v>500001</v>
          </cell>
          <cell r="J914" t="str">
            <v>Fornecedores</v>
          </cell>
          <cell r="K914">
            <v>600017</v>
          </cell>
          <cell r="L914">
            <v>-1</v>
          </cell>
        </row>
        <row r="915">
          <cell r="B915" t="str">
            <v>2.1.1.04.0706</v>
          </cell>
          <cell r="C915">
            <v>28101417000160</v>
          </cell>
          <cell r="D915" t="str">
            <v>CLAMED CLINICA VACINAÇÃO</v>
          </cell>
          <cell r="E915" t="str">
            <v>A</v>
          </cell>
          <cell r="H915" t="str">
            <v>N/A</v>
          </cell>
          <cell r="I915">
            <v>500001</v>
          </cell>
          <cell r="J915" t="str">
            <v>Fornecedores</v>
          </cell>
          <cell r="K915">
            <v>600017</v>
          </cell>
          <cell r="L915">
            <v>-1</v>
          </cell>
        </row>
        <row r="916">
          <cell r="B916" t="str">
            <v>2.1.1.04.0707</v>
          </cell>
          <cell r="C916">
            <v>27869148000113</v>
          </cell>
          <cell r="D916" t="str">
            <v>DANGERCOMERCIAL E INDUSTRIAL LTDA</v>
          </cell>
          <cell r="E916" t="str">
            <v>A</v>
          </cell>
          <cell r="H916" t="str">
            <v>N/A</v>
          </cell>
          <cell r="I916">
            <v>500001</v>
          </cell>
          <cell r="J916" t="str">
            <v>Fornecedores</v>
          </cell>
          <cell r="K916">
            <v>600017</v>
          </cell>
          <cell r="L916">
            <v>-1</v>
          </cell>
        </row>
        <row r="917">
          <cell r="B917" t="str">
            <v>2.1.1.04.0708</v>
          </cell>
          <cell r="C917" t="str">
            <v>AEPE</v>
          </cell>
          <cell r="D917" t="str">
            <v>ASSOCIAÇÃO DOS EMPREGADOS DA EPE - AEPE</v>
          </cell>
          <cell r="E917" t="str">
            <v>A</v>
          </cell>
          <cell r="H917" t="str">
            <v>N/A</v>
          </cell>
          <cell r="I917">
            <v>500001</v>
          </cell>
          <cell r="J917" t="str">
            <v>Fornecedores</v>
          </cell>
          <cell r="K917">
            <v>600017</v>
          </cell>
          <cell r="L917">
            <v>-1</v>
          </cell>
        </row>
        <row r="918">
          <cell r="B918" t="str">
            <v>2.1.1.04.0709</v>
          </cell>
          <cell r="C918">
            <v>10742589000157</v>
          </cell>
          <cell r="D918" t="str">
            <v>LUANDA COM. SUPR. INFORMÁTICA LTDA</v>
          </cell>
          <cell r="E918" t="str">
            <v>A</v>
          </cell>
          <cell r="H918" t="str">
            <v>N/A</v>
          </cell>
          <cell r="I918">
            <v>500001</v>
          </cell>
          <cell r="J918" t="str">
            <v>Fornecedores</v>
          </cell>
          <cell r="K918">
            <v>600017</v>
          </cell>
          <cell r="L918">
            <v>-1</v>
          </cell>
        </row>
        <row r="919">
          <cell r="B919" t="str">
            <v>2.1.1.04.0710</v>
          </cell>
          <cell r="C919">
            <v>30024640000100</v>
          </cell>
          <cell r="D919" t="str">
            <v>ASSOCIAÇÃO BRASILEIRA DE ANTROPOLOGIA</v>
          </cell>
          <cell r="E919" t="str">
            <v>A</v>
          </cell>
          <cell r="H919" t="str">
            <v>N/A</v>
          </cell>
          <cell r="I919">
            <v>500001</v>
          </cell>
          <cell r="J919" t="str">
            <v>Fornecedores</v>
          </cell>
          <cell r="K919">
            <v>600017</v>
          </cell>
          <cell r="L919">
            <v>-1</v>
          </cell>
        </row>
        <row r="920">
          <cell r="B920" t="str">
            <v>2.1.1.04.0711</v>
          </cell>
          <cell r="C920">
            <v>30735771000198</v>
          </cell>
          <cell r="D920" t="str">
            <v>LIMA COM. DE MAT. E SERVIÇOS</v>
          </cell>
          <cell r="E920" t="str">
            <v>A</v>
          </cell>
          <cell r="H920" t="str">
            <v>N/A</v>
          </cell>
          <cell r="I920">
            <v>500001</v>
          </cell>
          <cell r="J920" t="str">
            <v>Fornecedores</v>
          </cell>
          <cell r="K920">
            <v>600017</v>
          </cell>
          <cell r="L920">
            <v>-1</v>
          </cell>
        </row>
        <row r="921">
          <cell r="B921" t="str">
            <v>2.1.1.04.0712</v>
          </cell>
          <cell r="C921">
            <v>2247352000171</v>
          </cell>
          <cell r="D921" t="str">
            <v>ASS.BRAS. DAS EMPRESAS DE SERV.COS.ENG</v>
          </cell>
          <cell r="E921" t="str">
            <v>A</v>
          </cell>
          <cell r="H921" t="str">
            <v>N/A</v>
          </cell>
          <cell r="I921">
            <v>500001</v>
          </cell>
          <cell r="J921" t="str">
            <v>Fornecedores</v>
          </cell>
          <cell r="K921">
            <v>600017</v>
          </cell>
          <cell r="L921">
            <v>-1</v>
          </cell>
        </row>
        <row r="922">
          <cell r="B922" t="str">
            <v>2.1.1.04.0713</v>
          </cell>
          <cell r="C922">
            <v>3556998000101</v>
          </cell>
          <cell r="D922" t="str">
            <v>ENGDTP E MULTIMÍDIA COMÉRCIO E PRESTAÇÃO</v>
          </cell>
          <cell r="E922" t="str">
            <v>A</v>
          </cell>
          <cell r="H922" t="str">
            <v>N/A</v>
          </cell>
          <cell r="I922">
            <v>500001</v>
          </cell>
          <cell r="J922" t="str">
            <v>Fornecedores</v>
          </cell>
          <cell r="K922">
            <v>600017</v>
          </cell>
          <cell r="L922">
            <v>-1</v>
          </cell>
        </row>
        <row r="923">
          <cell r="B923" t="str">
            <v>2.1.1.04.0714</v>
          </cell>
          <cell r="C923">
            <v>23327378000108</v>
          </cell>
          <cell r="D923" t="str">
            <v>ZUGNI GESTÃO DE CONHECIMENTO EIRELI - ME</v>
          </cell>
          <cell r="E923" t="str">
            <v>A</v>
          </cell>
          <cell r="H923" t="str">
            <v>N/A</v>
          </cell>
          <cell r="I923">
            <v>500001</v>
          </cell>
          <cell r="J923" t="str">
            <v>Fornecedores</v>
          </cell>
          <cell r="K923">
            <v>600017</v>
          </cell>
          <cell r="L923">
            <v>-1</v>
          </cell>
        </row>
        <row r="924">
          <cell r="B924" t="str">
            <v>2.1.1.04.0715</v>
          </cell>
          <cell r="C924">
            <v>20593807000192</v>
          </cell>
          <cell r="D924" t="str">
            <v>RSA SOLUÇÕES ELETRICAS LTDA - EPP</v>
          </cell>
          <cell r="E924" t="str">
            <v>A</v>
          </cell>
          <cell r="H924" t="str">
            <v>N/A</v>
          </cell>
          <cell r="I924">
            <v>500001</v>
          </cell>
          <cell r="J924" t="str">
            <v>Fornecedores</v>
          </cell>
          <cell r="K924">
            <v>600017</v>
          </cell>
          <cell r="L924">
            <v>-1</v>
          </cell>
        </row>
        <row r="925">
          <cell r="B925" t="str">
            <v>2.1.1.04.0716</v>
          </cell>
          <cell r="C925">
            <v>14683228000138</v>
          </cell>
          <cell r="D925" t="str">
            <v>TI ENGENHARIA COMERCIO E SERVIÇO DE INFO</v>
          </cell>
          <cell r="E925" t="str">
            <v>A</v>
          </cell>
          <cell r="H925" t="str">
            <v>N/A</v>
          </cell>
          <cell r="I925">
            <v>500001</v>
          </cell>
          <cell r="J925" t="str">
            <v>Fornecedores</v>
          </cell>
          <cell r="K925">
            <v>600017</v>
          </cell>
          <cell r="L925">
            <v>-1</v>
          </cell>
        </row>
        <row r="926">
          <cell r="B926" t="str">
            <v>2.1.1.04.0717</v>
          </cell>
          <cell r="C926">
            <v>32088205000167</v>
          </cell>
          <cell r="D926" t="str">
            <v>HICON ENGENHARIA LTDA</v>
          </cell>
          <cell r="E926" t="str">
            <v>A</v>
          </cell>
          <cell r="H926" t="str">
            <v>N/A</v>
          </cell>
          <cell r="I926">
            <v>500001</v>
          </cell>
          <cell r="J926" t="str">
            <v>Fornecedores</v>
          </cell>
          <cell r="K926">
            <v>600017</v>
          </cell>
          <cell r="L926">
            <v>-1</v>
          </cell>
        </row>
        <row r="927">
          <cell r="B927" t="str">
            <v>2.1.1.04.0718</v>
          </cell>
          <cell r="C927">
            <v>49738636000124</v>
          </cell>
          <cell r="D927" t="str">
            <v>INSTITUTO BRAS. DE ENGENHARIA DE CUSTOS</v>
          </cell>
          <cell r="E927" t="str">
            <v>A</v>
          </cell>
          <cell r="H927" t="str">
            <v>N/A</v>
          </cell>
          <cell r="I927">
            <v>500001</v>
          </cell>
          <cell r="J927" t="str">
            <v>Fornecedores</v>
          </cell>
          <cell r="K927">
            <v>600017</v>
          </cell>
          <cell r="L927">
            <v>-1</v>
          </cell>
        </row>
        <row r="928">
          <cell r="B928" t="str">
            <v>2.1.1.04.0719</v>
          </cell>
          <cell r="C928">
            <v>78954286000131</v>
          </cell>
          <cell r="D928" t="str">
            <v>GL EVENTSLIVE SA</v>
          </cell>
          <cell r="E928" t="str">
            <v>A</v>
          </cell>
          <cell r="H928" t="str">
            <v>N/A</v>
          </cell>
          <cell r="I928">
            <v>500001</v>
          </cell>
          <cell r="J928" t="str">
            <v>Fornecedores</v>
          </cell>
          <cell r="K928">
            <v>600017</v>
          </cell>
          <cell r="L928">
            <v>-1</v>
          </cell>
        </row>
        <row r="929">
          <cell r="B929" t="str">
            <v>2.1.1.04.0720</v>
          </cell>
          <cell r="C929">
            <v>8418174000180</v>
          </cell>
          <cell r="D929" t="str">
            <v>SAUDE E GINASTICA LABORAL</v>
          </cell>
          <cell r="E929" t="str">
            <v>A</v>
          </cell>
          <cell r="H929" t="str">
            <v>N/A</v>
          </cell>
          <cell r="I929">
            <v>500001</v>
          </cell>
          <cell r="J929" t="str">
            <v>Fornecedores</v>
          </cell>
          <cell r="K929">
            <v>600017</v>
          </cell>
          <cell r="L929">
            <v>-1</v>
          </cell>
        </row>
        <row r="930">
          <cell r="B930" t="str">
            <v>2.1.1.04.0721</v>
          </cell>
          <cell r="C930">
            <v>31206521000123</v>
          </cell>
          <cell r="D930" t="str">
            <v>GS TELECOM COMÉRCIO DE INFORMÁTICA LTDA</v>
          </cell>
          <cell r="E930" t="str">
            <v>A</v>
          </cell>
          <cell r="H930" t="str">
            <v>N/A</v>
          </cell>
          <cell r="I930">
            <v>500001</v>
          </cell>
          <cell r="J930" t="str">
            <v>Fornecedores</v>
          </cell>
          <cell r="K930">
            <v>600017</v>
          </cell>
          <cell r="L930">
            <v>-1</v>
          </cell>
        </row>
        <row r="931">
          <cell r="B931" t="str">
            <v>2.1.1.04.0722</v>
          </cell>
          <cell r="C931">
            <v>27214907000100</v>
          </cell>
          <cell r="D931" t="str">
            <v>INSTITUTO DE ARQUEOLOGIA BRASILEIRA</v>
          </cell>
          <cell r="E931" t="str">
            <v>A</v>
          </cell>
          <cell r="H931" t="str">
            <v>N/A</v>
          </cell>
          <cell r="I931">
            <v>500001</v>
          </cell>
          <cell r="J931" t="str">
            <v>Fornecedores</v>
          </cell>
          <cell r="K931">
            <v>600017</v>
          </cell>
          <cell r="L931">
            <v>-1</v>
          </cell>
        </row>
        <row r="932">
          <cell r="B932" t="str">
            <v>2.1.1.04.0723</v>
          </cell>
          <cell r="C932">
            <v>11168199000188</v>
          </cell>
          <cell r="D932" t="str">
            <v>HITSS DO BRASIL SERV. TECNOLOGICOS LTDA</v>
          </cell>
          <cell r="E932" t="str">
            <v>A</v>
          </cell>
          <cell r="H932" t="str">
            <v>N/A</v>
          </cell>
          <cell r="I932">
            <v>500001</v>
          </cell>
          <cell r="J932" t="str">
            <v>Fornecedores</v>
          </cell>
          <cell r="K932">
            <v>600017</v>
          </cell>
          <cell r="L932">
            <v>-1</v>
          </cell>
        </row>
        <row r="933">
          <cell r="B933" t="str">
            <v>2.1.1.04.0724</v>
          </cell>
          <cell r="C933">
            <v>9967852019308</v>
          </cell>
          <cell r="D933" t="str">
            <v>HOTELARIA ACCOR BRASIL</v>
          </cell>
          <cell r="E933" t="str">
            <v>A</v>
          </cell>
          <cell r="H933" t="str">
            <v>N/A</v>
          </cell>
          <cell r="I933">
            <v>500001</v>
          </cell>
          <cell r="J933" t="str">
            <v>Fornecedores</v>
          </cell>
          <cell r="K933">
            <v>600017</v>
          </cell>
          <cell r="L933">
            <v>-1</v>
          </cell>
        </row>
        <row r="934">
          <cell r="B934" t="str">
            <v>2.1.1.04.0725</v>
          </cell>
          <cell r="C934">
            <v>24158718000179</v>
          </cell>
          <cell r="D934" t="str">
            <v>FRG EVENTOS DO BRASIL LTDA</v>
          </cell>
          <cell r="E934" t="str">
            <v>A</v>
          </cell>
          <cell r="H934" t="str">
            <v>N/A</v>
          </cell>
          <cell r="I934">
            <v>500001</v>
          </cell>
          <cell r="J934" t="str">
            <v>Fornecedores</v>
          </cell>
          <cell r="K934">
            <v>600017</v>
          </cell>
          <cell r="L934">
            <v>-1</v>
          </cell>
        </row>
        <row r="935">
          <cell r="B935" t="str">
            <v>2.1.1.04.0726</v>
          </cell>
          <cell r="C935">
            <v>9656613000156</v>
          </cell>
          <cell r="D935" t="str">
            <v>M&amp;W COMUN. INTEGRADA LTDA</v>
          </cell>
          <cell r="E935" t="str">
            <v>A</v>
          </cell>
          <cell r="H935" t="str">
            <v>N/A</v>
          </cell>
          <cell r="I935">
            <v>500001</v>
          </cell>
          <cell r="J935" t="str">
            <v>Fornecedores</v>
          </cell>
          <cell r="K935">
            <v>600017</v>
          </cell>
          <cell r="L935">
            <v>-1</v>
          </cell>
        </row>
        <row r="936">
          <cell r="B936" t="str">
            <v>2.1.1.04.0727</v>
          </cell>
          <cell r="C936">
            <v>7868103000117</v>
          </cell>
          <cell r="D936" t="str">
            <v>CIRILO CABOS IMPORTAÇÃO EXPORTAÇÃO LTDA</v>
          </cell>
          <cell r="E936" t="str">
            <v>A</v>
          </cell>
          <cell r="H936" t="str">
            <v>N/A</v>
          </cell>
          <cell r="I936">
            <v>500001</v>
          </cell>
          <cell r="J936" t="str">
            <v>Fornecedores</v>
          </cell>
          <cell r="K936">
            <v>600017</v>
          </cell>
          <cell r="L936">
            <v>-1</v>
          </cell>
        </row>
        <row r="937">
          <cell r="B937" t="str">
            <v>2.1.1.04.0728</v>
          </cell>
          <cell r="C937">
            <v>8763638000196</v>
          </cell>
          <cell r="D937" t="str">
            <v>PRINTCOM ASSESSORIA DE COMUNICAÇÃO</v>
          </cell>
          <cell r="E937" t="str">
            <v>A</v>
          </cell>
          <cell r="H937" t="str">
            <v>N/A</v>
          </cell>
          <cell r="I937">
            <v>500001</v>
          </cell>
          <cell r="J937" t="str">
            <v>Fornecedores</v>
          </cell>
          <cell r="K937">
            <v>600017</v>
          </cell>
          <cell r="L937">
            <v>-1</v>
          </cell>
        </row>
        <row r="938">
          <cell r="B938" t="str">
            <v>2.1.1.04.0729</v>
          </cell>
          <cell r="C938">
            <v>776574001390</v>
          </cell>
          <cell r="D938" t="str">
            <v>B2W COMPANHIA DIGITAL</v>
          </cell>
          <cell r="E938" t="str">
            <v>A</v>
          </cell>
          <cell r="H938" t="str">
            <v>N/A</v>
          </cell>
          <cell r="I938">
            <v>500001</v>
          </cell>
          <cell r="J938" t="str">
            <v>Fornecedores</v>
          </cell>
          <cell r="K938">
            <v>600017</v>
          </cell>
          <cell r="L938">
            <v>-1</v>
          </cell>
        </row>
        <row r="939">
          <cell r="B939" t="str">
            <v>2.1.1.04.0730</v>
          </cell>
          <cell r="C939">
            <v>3989368000236</v>
          </cell>
          <cell r="D939" t="str">
            <v>SUPERCOMMERCE LTDA</v>
          </cell>
          <cell r="E939" t="str">
            <v>A</v>
          </cell>
          <cell r="H939" t="str">
            <v>N/A</v>
          </cell>
          <cell r="I939">
            <v>500001</v>
          </cell>
          <cell r="J939" t="str">
            <v>Fornecedores</v>
          </cell>
          <cell r="K939">
            <v>600017</v>
          </cell>
          <cell r="L939">
            <v>-1</v>
          </cell>
        </row>
        <row r="940">
          <cell r="B940" t="str">
            <v>2.1.1.04.0731</v>
          </cell>
          <cell r="C940">
            <v>5809981000136</v>
          </cell>
          <cell r="D940" t="str">
            <v>CAFÉ BRASIL EDITORIAL LTDA</v>
          </cell>
          <cell r="E940" t="str">
            <v>A</v>
          </cell>
          <cell r="H940" t="str">
            <v>N/A</v>
          </cell>
          <cell r="I940">
            <v>500001</v>
          </cell>
          <cell r="J940" t="str">
            <v>Fornecedores</v>
          </cell>
          <cell r="K940">
            <v>600017</v>
          </cell>
          <cell r="L940">
            <v>-1</v>
          </cell>
        </row>
        <row r="941">
          <cell r="B941" t="str">
            <v>2.1.1.04.0732</v>
          </cell>
          <cell r="C941">
            <v>8752567000126</v>
          </cell>
          <cell r="D941" t="str">
            <v>INSTITUTO PIATAM</v>
          </cell>
          <cell r="E941" t="str">
            <v>A</v>
          </cell>
          <cell r="H941" t="str">
            <v>N/A</v>
          </cell>
          <cell r="I941">
            <v>500001</v>
          </cell>
          <cell r="J941" t="str">
            <v>Fornecedores</v>
          </cell>
          <cell r="K941">
            <v>600017</v>
          </cell>
          <cell r="L941">
            <v>-1</v>
          </cell>
        </row>
        <row r="942">
          <cell r="B942" t="str">
            <v>2.1.1.04.0733</v>
          </cell>
          <cell r="C942">
            <v>79942645000101</v>
          </cell>
          <cell r="D942" t="str">
            <v>REIVAX S.A AUTOMAÇÃO E CONTROLE</v>
          </cell>
          <cell r="E942" t="str">
            <v>A</v>
          </cell>
          <cell r="H942" t="str">
            <v>N/A</v>
          </cell>
          <cell r="I942">
            <v>500001</v>
          </cell>
          <cell r="J942" t="str">
            <v>Fornecedores</v>
          </cell>
          <cell r="K942">
            <v>600017</v>
          </cell>
          <cell r="L942">
            <v>-1</v>
          </cell>
        </row>
        <row r="943">
          <cell r="B943" t="str">
            <v>2.1.1.04.0734</v>
          </cell>
          <cell r="C943">
            <v>42356782000146</v>
          </cell>
          <cell r="D943" t="str">
            <v>EBSCO BRASIL LTDA</v>
          </cell>
          <cell r="E943" t="str">
            <v>A</v>
          </cell>
          <cell r="H943" t="str">
            <v>N/A</v>
          </cell>
          <cell r="I943">
            <v>500001</v>
          </cell>
          <cell r="J943" t="str">
            <v>Fornecedores</v>
          </cell>
          <cell r="K943">
            <v>600017</v>
          </cell>
          <cell r="L943">
            <v>-1</v>
          </cell>
        </row>
        <row r="944">
          <cell r="B944" t="str">
            <v>2.1.1.04.0735</v>
          </cell>
          <cell r="C944">
            <v>19238116000191</v>
          </cell>
          <cell r="D944" t="str">
            <v>INSTITUTO NACIONAL DE QUALIDADE DE VIDA</v>
          </cell>
          <cell r="E944" t="str">
            <v>A</v>
          </cell>
          <cell r="H944" t="str">
            <v>N/A</v>
          </cell>
          <cell r="I944">
            <v>500001</v>
          </cell>
          <cell r="J944" t="str">
            <v>Fornecedores</v>
          </cell>
          <cell r="K944">
            <v>600017</v>
          </cell>
          <cell r="L944">
            <v>-1</v>
          </cell>
        </row>
        <row r="945">
          <cell r="B945" t="str">
            <v>2.1.1.04.0736</v>
          </cell>
          <cell r="C945">
            <v>30636928000128</v>
          </cell>
          <cell r="D945" t="str">
            <v>TS1 IT SOLUTIONS</v>
          </cell>
          <cell r="E945" t="str">
            <v>A</v>
          </cell>
          <cell r="H945" t="str">
            <v>N/A</v>
          </cell>
          <cell r="I945">
            <v>500001</v>
          </cell>
          <cell r="J945" t="str">
            <v>Fornecedores</v>
          </cell>
          <cell r="K945">
            <v>600017</v>
          </cell>
          <cell r="L945">
            <v>-1</v>
          </cell>
        </row>
        <row r="946">
          <cell r="B946" t="str">
            <v>2.1.1.04.0737</v>
          </cell>
          <cell r="C946">
            <v>14186328000159</v>
          </cell>
          <cell r="D946" t="str">
            <v>HVNA DESIGN PROJETOS E CONSULTORIA LTDA</v>
          </cell>
          <cell r="E946" t="str">
            <v>A</v>
          </cell>
          <cell r="H946" t="str">
            <v>N/A</v>
          </cell>
          <cell r="I946">
            <v>500001</v>
          </cell>
          <cell r="J946" t="str">
            <v>Fornecedores</v>
          </cell>
          <cell r="K946">
            <v>600017</v>
          </cell>
          <cell r="L946">
            <v>-1</v>
          </cell>
        </row>
        <row r="947">
          <cell r="B947" t="str">
            <v>2.1.1.04.0738</v>
          </cell>
          <cell r="C947">
            <v>24875181000168</v>
          </cell>
          <cell r="D947" t="str">
            <v>GAF EVENTOS SPE LTDA</v>
          </cell>
          <cell r="E947" t="str">
            <v>A</v>
          </cell>
          <cell r="H947" t="str">
            <v>N/A</v>
          </cell>
          <cell r="I947">
            <v>500001</v>
          </cell>
          <cell r="J947" t="str">
            <v>Fornecedores</v>
          </cell>
          <cell r="K947">
            <v>600017</v>
          </cell>
          <cell r="L947">
            <v>-1</v>
          </cell>
        </row>
        <row r="948">
          <cell r="B948" t="str">
            <v>2.1.1.04.0739</v>
          </cell>
          <cell r="C948">
            <v>12929258000156</v>
          </cell>
          <cell r="D948" t="str">
            <v>MR PROMOÇÕES E EVENTOS</v>
          </cell>
          <cell r="E948" t="str">
            <v>A</v>
          </cell>
          <cell r="H948" t="str">
            <v>N/A</v>
          </cell>
          <cell r="I948">
            <v>500001</v>
          </cell>
          <cell r="J948" t="str">
            <v>Fornecedores</v>
          </cell>
          <cell r="K948">
            <v>600017</v>
          </cell>
          <cell r="L948">
            <v>-1</v>
          </cell>
        </row>
        <row r="949">
          <cell r="B949" t="str">
            <v>2.1.1.04.0740</v>
          </cell>
          <cell r="C949">
            <v>26986552000104</v>
          </cell>
          <cell r="D949" t="str">
            <v>KONO IT CONSULTORIA E TECNOLOGIA EIRELI</v>
          </cell>
          <cell r="E949" t="str">
            <v>A</v>
          </cell>
          <cell r="H949" t="str">
            <v>N/A</v>
          </cell>
          <cell r="I949">
            <v>500001</v>
          </cell>
          <cell r="J949" t="str">
            <v>Fornecedores</v>
          </cell>
          <cell r="K949">
            <v>600017</v>
          </cell>
          <cell r="L949">
            <v>-1</v>
          </cell>
        </row>
        <row r="950">
          <cell r="B950" t="str">
            <v>2.1.1.04.0741</v>
          </cell>
          <cell r="C950">
            <v>57988867000700</v>
          </cell>
          <cell r="D950" t="str">
            <v>PLANUS INFORMÁTICA E TECNOLOGIA LTDA</v>
          </cell>
          <cell r="E950" t="str">
            <v>A</v>
          </cell>
          <cell r="H950" t="str">
            <v>N/A</v>
          </cell>
          <cell r="I950">
            <v>500001</v>
          </cell>
          <cell r="J950" t="str">
            <v>Fornecedores</v>
          </cell>
          <cell r="K950">
            <v>600017</v>
          </cell>
          <cell r="L950">
            <v>-1</v>
          </cell>
        </row>
        <row r="951">
          <cell r="B951" t="str">
            <v>2.1.1.04.0742</v>
          </cell>
          <cell r="C951">
            <v>2421421000111</v>
          </cell>
          <cell r="D951" t="str">
            <v>TIM S.A</v>
          </cell>
          <cell r="E951" t="str">
            <v>A</v>
          </cell>
          <cell r="H951" t="str">
            <v>N/A</v>
          </cell>
          <cell r="I951">
            <v>500001</v>
          </cell>
          <cell r="J951" t="str">
            <v>Fornecedores</v>
          </cell>
          <cell r="K951">
            <v>600017</v>
          </cell>
          <cell r="L951">
            <v>-1</v>
          </cell>
        </row>
        <row r="952">
          <cell r="B952" t="str">
            <v>2.1.1.04.0743</v>
          </cell>
          <cell r="C952">
            <v>4524235000133</v>
          </cell>
          <cell r="D952" t="str">
            <v>REDE BRAS. PARA DESENV. METROLOGIA E TEC</v>
          </cell>
          <cell r="E952" t="str">
            <v>A</v>
          </cell>
          <cell r="H952" t="str">
            <v>N/A</v>
          </cell>
          <cell r="I952">
            <v>500001</v>
          </cell>
          <cell r="J952" t="str">
            <v>Fornecedores</v>
          </cell>
          <cell r="K952">
            <v>600017</v>
          </cell>
          <cell r="L952">
            <v>-1</v>
          </cell>
        </row>
        <row r="953">
          <cell r="B953" t="str">
            <v>2.1.1.04.0744</v>
          </cell>
          <cell r="C953">
            <v>10348318000111</v>
          </cell>
          <cell r="D953" t="str">
            <v>WINDSOR ADM. DE HOTÉIS E SERVIÇOS</v>
          </cell>
          <cell r="E953" t="str">
            <v>A</v>
          </cell>
          <cell r="H953" t="str">
            <v>N/A</v>
          </cell>
          <cell r="I953">
            <v>500001</v>
          </cell>
          <cell r="J953" t="str">
            <v>Fornecedores</v>
          </cell>
          <cell r="K953">
            <v>600017</v>
          </cell>
          <cell r="L953">
            <v>-1</v>
          </cell>
        </row>
        <row r="954">
          <cell r="B954" t="str">
            <v>2.1.1.04.0745</v>
          </cell>
          <cell r="C954">
            <v>3498013000120</v>
          </cell>
          <cell r="D954" t="str">
            <v>CONTROL C. COOP E TRANSPORTES LTDA</v>
          </cell>
          <cell r="E954" t="str">
            <v>A</v>
          </cell>
          <cell r="H954" t="str">
            <v>N/A</v>
          </cell>
          <cell r="I954">
            <v>500001</v>
          </cell>
          <cell r="J954" t="str">
            <v>Fornecedores</v>
          </cell>
          <cell r="K954">
            <v>600017</v>
          </cell>
          <cell r="L954">
            <v>-1</v>
          </cell>
        </row>
        <row r="955">
          <cell r="B955" t="str">
            <v>2.1.1.04.0746</v>
          </cell>
          <cell r="C955">
            <v>7731741000128</v>
          </cell>
          <cell r="D955" t="str">
            <v>BRIGHTNETWORKS COM. E SERV. TELECOMUN.</v>
          </cell>
          <cell r="E955" t="str">
            <v>A</v>
          </cell>
          <cell r="H955" t="str">
            <v>N/A</v>
          </cell>
          <cell r="I955">
            <v>500001</v>
          </cell>
          <cell r="J955" t="str">
            <v>Fornecedores</v>
          </cell>
          <cell r="K955">
            <v>600017</v>
          </cell>
          <cell r="L955">
            <v>-1</v>
          </cell>
        </row>
        <row r="956">
          <cell r="B956" t="str">
            <v>2.1.1.04.0747</v>
          </cell>
          <cell r="C956">
            <v>11749674000100</v>
          </cell>
          <cell r="D956" t="str">
            <v>TREINAMENTO MÍDIA E DESEN.PROFISSIONAL</v>
          </cell>
          <cell r="E956" t="str">
            <v>A</v>
          </cell>
          <cell r="H956" t="str">
            <v>N/A</v>
          </cell>
          <cell r="I956">
            <v>500001</v>
          </cell>
          <cell r="J956" t="str">
            <v>Fornecedores</v>
          </cell>
          <cell r="K956">
            <v>600017</v>
          </cell>
          <cell r="L956">
            <v>-1</v>
          </cell>
        </row>
        <row r="957">
          <cell r="B957" t="str">
            <v>2.1.1.04.0748</v>
          </cell>
          <cell r="C957">
            <v>16457791000113</v>
          </cell>
          <cell r="D957" t="str">
            <v>LEC EDITORA  ORGANIZAÇÃO DE EVENTOS LTDA</v>
          </cell>
          <cell r="E957" t="str">
            <v>A</v>
          </cell>
          <cell r="H957" t="str">
            <v>N/A</v>
          </cell>
          <cell r="I957">
            <v>500001</v>
          </cell>
          <cell r="J957" t="str">
            <v>Fornecedores</v>
          </cell>
          <cell r="K957">
            <v>600017</v>
          </cell>
          <cell r="L957">
            <v>-1</v>
          </cell>
        </row>
        <row r="958">
          <cell r="B958" t="str">
            <v>2.1.1.04.0749</v>
          </cell>
          <cell r="C958">
            <v>12390967000106</v>
          </cell>
          <cell r="D958" t="str">
            <v>ZETECH MAN. SERV. EM ENERGIA LTDA</v>
          </cell>
          <cell r="E958" t="str">
            <v>A</v>
          </cell>
          <cell r="H958" t="str">
            <v>N/A</v>
          </cell>
          <cell r="I958">
            <v>500001</v>
          </cell>
          <cell r="J958" t="str">
            <v>Fornecedores</v>
          </cell>
          <cell r="K958">
            <v>600017</v>
          </cell>
          <cell r="L958">
            <v>-1</v>
          </cell>
        </row>
        <row r="959">
          <cell r="B959" t="str">
            <v>2.1.1.04.0750</v>
          </cell>
          <cell r="C959">
            <v>7802996000106</v>
          </cell>
          <cell r="D959" t="str">
            <v>MULTPAINEL SOL CORP VID DEC LTDA</v>
          </cell>
          <cell r="E959" t="str">
            <v>A</v>
          </cell>
          <cell r="H959" t="str">
            <v>N/A</v>
          </cell>
          <cell r="I959">
            <v>500001</v>
          </cell>
          <cell r="J959" t="str">
            <v>Fornecedores</v>
          </cell>
          <cell r="K959">
            <v>600017</v>
          </cell>
          <cell r="L959">
            <v>-1</v>
          </cell>
        </row>
        <row r="960">
          <cell r="B960" t="str">
            <v>2.1.1.04.0751</v>
          </cell>
          <cell r="C960">
            <v>8896745000192</v>
          </cell>
          <cell r="D960" t="str">
            <v>IHS INFORMAÇÕES E INSIGHTS LTDA</v>
          </cell>
          <cell r="E960" t="str">
            <v>A</v>
          </cell>
          <cell r="H960" t="str">
            <v>N/A</v>
          </cell>
          <cell r="I960">
            <v>500001</v>
          </cell>
          <cell r="J960" t="str">
            <v>Fornecedores</v>
          </cell>
          <cell r="K960">
            <v>600017</v>
          </cell>
          <cell r="L960">
            <v>-1</v>
          </cell>
        </row>
        <row r="961">
          <cell r="B961" t="str">
            <v>2.1.1.04.0752</v>
          </cell>
          <cell r="C961">
            <v>43942358000146</v>
          </cell>
          <cell r="D961" t="str">
            <v>FIPE FUNDAÇÃO INST.PESQUISAS ECONOMICAS</v>
          </cell>
          <cell r="E961" t="str">
            <v>A</v>
          </cell>
          <cell r="H961" t="str">
            <v>N/A</v>
          </cell>
          <cell r="I961">
            <v>500001</v>
          </cell>
          <cell r="J961" t="str">
            <v>Fornecedores</v>
          </cell>
          <cell r="K961">
            <v>600017</v>
          </cell>
          <cell r="L961">
            <v>-1</v>
          </cell>
        </row>
        <row r="962">
          <cell r="B962" t="str">
            <v>2.1.1.04.0753</v>
          </cell>
          <cell r="C962">
            <v>28542017000190</v>
          </cell>
          <cell r="D962" t="str">
            <v>IMPRENSA OF. DO ESTADO DO RIO DE JANEIRO</v>
          </cell>
          <cell r="E962" t="str">
            <v>A</v>
          </cell>
          <cell r="H962" t="str">
            <v>N/A</v>
          </cell>
          <cell r="I962">
            <v>500001</v>
          </cell>
          <cell r="J962" t="str">
            <v>Fornecedores</v>
          </cell>
          <cell r="K962">
            <v>600017</v>
          </cell>
          <cell r="L962">
            <v>-1</v>
          </cell>
        </row>
        <row r="963">
          <cell r="B963" t="str">
            <v>2.1.1.04.0754</v>
          </cell>
          <cell r="C963">
            <v>3282066000100</v>
          </cell>
          <cell r="D963" t="str">
            <v>CASTELO DE PAIVA VIDROS E FERRAGENS</v>
          </cell>
          <cell r="E963" t="str">
            <v>A</v>
          </cell>
          <cell r="H963" t="str">
            <v>N/A</v>
          </cell>
          <cell r="I963">
            <v>500001</v>
          </cell>
          <cell r="J963" t="str">
            <v>Fornecedores</v>
          </cell>
          <cell r="K963">
            <v>600017</v>
          </cell>
          <cell r="L963">
            <v>-1</v>
          </cell>
        </row>
        <row r="964">
          <cell r="B964" t="str">
            <v>2.1.1.04.0755</v>
          </cell>
          <cell r="C964">
            <v>2114755</v>
          </cell>
          <cell r="D964" t="str">
            <v>HOMER ENERGY</v>
          </cell>
          <cell r="E964" t="str">
            <v>A</v>
          </cell>
          <cell r="H964" t="str">
            <v>N/A</v>
          </cell>
          <cell r="I964">
            <v>500001</v>
          </cell>
          <cell r="J964" t="str">
            <v>Fornecedores</v>
          </cell>
          <cell r="K964">
            <v>600017</v>
          </cell>
          <cell r="L964">
            <v>-1</v>
          </cell>
        </row>
        <row r="965">
          <cell r="B965" t="str">
            <v>2.1.1.04.0756</v>
          </cell>
          <cell r="C965">
            <v>2114756</v>
          </cell>
          <cell r="D965" t="str">
            <v>EMERSON PROCESS MANAGEMENT</v>
          </cell>
          <cell r="E965" t="str">
            <v>A</v>
          </cell>
          <cell r="H965" t="str">
            <v>N/A</v>
          </cell>
          <cell r="I965">
            <v>500001</v>
          </cell>
          <cell r="J965" t="str">
            <v>Fornecedores</v>
          </cell>
          <cell r="K965">
            <v>600017</v>
          </cell>
          <cell r="L965">
            <v>-1</v>
          </cell>
        </row>
        <row r="966">
          <cell r="B966" t="str">
            <v>2.1.1.04.0757</v>
          </cell>
          <cell r="C966">
            <v>2114757</v>
          </cell>
          <cell r="D966" t="str">
            <v>VENTANA SYSTEMS</v>
          </cell>
          <cell r="E966" t="str">
            <v>A</v>
          </cell>
          <cell r="H966" t="str">
            <v>N/A</v>
          </cell>
          <cell r="I966">
            <v>500001</v>
          </cell>
          <cell r="J966" t="str">
            <v>Fornecedores</v>
          </cell>
          <cell r="K966">
            <v>600017</v>
          </cell>
          <cell r="L966">
            <v>-1</v>
          </cell>
        </row>
        <row r="967">
          <cell r="B967" t="str">
            <v>2.1.1.04.0758</v>
          </cell>
          <cell r="C967">
            <v>22891456000121</v>
          </cell>
          <cell r="D967" t="str">
            <v>A4A SOLUÇÕES E SERVIÇOS EIRELI</v>
          </cell>
          <cell r="E967" t="str">
            <v>A</v>
          </cell>
          <cell r="H967" t="str">
            <v>N/A</v>
          </cell>
          <cell r="I967">
            <v>500001</v>
          </cell>
          <cell r="J967" t="str">
            <v>Fornecedores</v>
          </cell>
          <cell r="K967">
            <v>600017</v>
          </cell>
          <cell r="L967">
            <v>-1</v>
          </cell>
        </row>
        <row r="968">
          <cell r="B968" t="str">
            <v>2.1.1.04.0759</v>
          </cell>
          <cell r="C968">
            <v>3589089000161</v>
          </cell>
          <cell r="D968" t="str">
            <v>MFC CONSULTORIA E ASS. EMPRESARIAL</v>
          </cell>
          <cell r="E968" t="str">
            <v>A</v>
          </cell>
          <cell r="H968" t="str">
            <v>N/A</v>
          </cell>
          <cell r="I968">
            <v>500001</v>
          </cell>
          <cell r="J968" t="str">
            <v>Fornecedores</v>
          </cell>
          <cell r="K968">
            <v>600017</v>
          </cell>
          <cell r="L968">
            <v>-1</v>
          </cell>
        </row>
        <row r="969">
          <cell r="B969" t="str">
            <v>2.1.1.04.0760</v>
          </cell>
          <cell r="C969">
            <v>13398976000106</v>
          </cell>
          <cell r="D969" t="str">
            <v>WORK TEMPORARY SERV. EMPRESARIAIS</v>
          </cell>
          <cell r="E969" t="str">
            <v>A</v>
          </cell>
          <cell r="H969" t="str">
            <v>N/A</v>
          </cell>
          <cell r="I969">
            <v>500001</v>
          </cell>
          <cell r="J969" t="str">
            <v>Fornecedores</v>
          </cell>
          <cell r="K969">
            <v>600017</v>
          </cell>
          <cell r="L969">
            <v>-1</v>
          </cell>
        </row>
        <row r="970">
          <cell r="B970" t="str">
            <v>2.1.1.04.0761</v>
          </cell>
          <cell r="C970">
            <v>23458515000135</v>
          </cell>
          <cell r="D970" t="str">
            <v>4E FOR ECONOMICS CONSULTORIA LTDA</v>
          </cell>
          <cell r="E970" t="str">
            <v>A</v>
          </cell>
          <cell r="H970" t="str">
            <v>N/A</v>
          </cell>
          <cell r="I970">
            <v>500001</v>
          </cell>
          <cell r="J970" t="str">
            <v>Fornecedores</v>
          </cell>
          <cell r="K970">
            <v>600017</v>
          </cell>
          <cell r="L970">
            <v>-1</v>
          </cell>
        </row>
        <row r="971">
          <cell r="B971" t="str">
            <v>2.1.1.04.0762</v>
          </cell>
          <cell r="C971">
            <v>5888814000128</v>
          </cell>
          <cell r="D971" t="str">
            <v>INFOJET COMÉRCIO E SERVIÇOS DE INFORMÁTI</v>
          </cell>
          <cell r="E971" t="str">
            <v>A</v>
          </cell>
          <cell r="H971" t="str">
            <v>N/A</v>
          </cell>
          <cell r="I971">
            <v>500001</v>
          </cell>
          <cell r="J971" t="str">
            <v>Fornecedores</v>
          </cell>
          <cell r="K971">
            <v>600017</v>
          </cell>
          <cell r="L971">
            <v>-1</v>
          </cell>
        </row>
        <row r="972">
          <cell r="B972" t="str">
            <v>2.1.1.04.0763</v>
          </cell>
          <cell r="C972">
            <v>3659166000102</v>
          </cell>
          <cell r="D972" t="str">
            <v>INST.BRAS.DO MEIO AMBIENTE IBAMA</v>
          </cell>
          <cell r="E972" t="str">
            <v>A</v>
          </cell>
          <cell r="H972" t="str">
            <v>N/A</v>
          </cell>
          <cell r="I972">
            <v>500001</v>
          </cell>
          <cell r="J972" t="str">
            <v>Fornecedores</v>
          </cell>
          <cell r="K972">
            <v>600017</v>
          </cell>
          <cell r="L972">
            <v>-1</v>
          </cell>
        </row>
        <row r="973">
          <cell r="B973" t="str">
            <v>2.1.1.04.0764</v>
          </cell>
          <cell r="C973">
            <v>10939406000198</v>
          </cell>
          <cell r="D973" t="str">
            <v>FRAMAR CONTABILIDADE LTDA</v>
          </cell>
          <cell r="E973" t="str">
            <v>A</v>
          </cell>
          <cell r="H973" t="str">
            <v>N/A</v>
          </cell>
          <cell r="I973">
            <v>500001</v>
          </cell>
          <cell r="J973" t="str">
            <v>Fornecedores</v>
          </cell>
          <cell r="K973">
            <v>600017</v>
          </cell>
          <cell r="L973">
            <v>-1</v>
          </cell>
        </row>
        <row r="974">
          <cell r="B974" t="str">
            <v>2.1.1.04.0765</v>
          </cell>
          <cell r="C974">
            <v>89237911000140</v>
          </cell>
          <cell r="D974" t="str">
            <v>GLOBAL DISTRIBUIÇÃO DE BENS DE CONSUMO</v>
          </cell>
          <cell r="E974" t="str">
            <v>A</v>
          </cell>
          <cell r="H974" t="str">
            <v>N/A</v>
          </cell>
          <cell r="I974">
            <v>500001</v>
          </cell>
          <cell r="J974" t="str">
            <v>Fornecedores</v>
          </cell>
          <cell r="K974">
            <v>600017</v>
          </cell>
          <cell r="L974">
            <v>-1</v>
          </cell>
        </row>
        <row r="975">
          <cell r="B975" t="str">
            <v>2.1.1.04.0766</v>
          </cell>
          <cell r="C975">
            <v>11311279000140</v>
          </cell>
          <cell r="D975" t="str">
            <v>EUNICE MARIA GONÇALVES DE OLIVEIRA - EPP</v>
          </cell>
          <cell r="E975" t="str">
            <v>A</v>
          </cell>
          <cell r="H975" t="str">
            <v>N/A</v>
          </cell>
          <cell r="I975">
            <v>500001</v>
          </cell>
          <cell r="J975" t="str">
            <v>Fornecedores</v>
          </cell>
          <cell r="K975">
            <v>600017</v>
          </cell>
          <cell r="L975">
            <v>-1</v>
          </cell>
        </row>
        <row r="976">
          <cell r="B976" t="str">
            <v>2.1.1.04.0767</v>
          </cell>
          <cell r="C976">
            <v>18704019000184</v>
          </cell>
          <cell r="D976" t="str">
            <v>CORUJET IMPORTAÇÃO E EXPORTAÇÃO LTDA ME</v>
          </cell>
          <cell r="E976" t="str">
            <v>A</v>
          </cell>
          <cell r="H976" t="str">
            <v>N/A</v>
          </cell>
          <cell r="I976">
            <v>500001</v>
          </cell>
          <cell r="J976" t="str">
            <v>Fornecedores</v>
          </cell>
          <cell r="K976">
            <v>600017</v>
          </cell>
          <cell r="L976">
            <v>-1</v>
          </cell>
        </row>
        <row r="977">
          <cell r="B977" t="str">
            <v>2.1.1.04.0768</v>
          </cell>
          <cell r="C977">
            <v>1590728000264</v>
          </cell>
          <cell r="D977" t="str">
            <v>MICROTECNICA INFORMATICA LTDA</v>
          </cell>
          <cell r="E977" t="str">
            <v>A</v>
          </cell>
          <cell r="H977" t="str">
            <v>N/A</v>
          </cell>
          <cell r="I977">
            <v>500001</v>
          </cell>
          <cell r="J977" t="str">
            <v>Fornecedores</v>
          </cell>
          <cell r="K977">
            <v>600017</v>
          </cell>
          <cell r="L977">
            <v>-1</v>
          </cell>
        </row>
        <row r="978">
          <cell r="B978" t="str">
            <v>2.1.1.04.0769</v>
          </cell>
          <cell r="C978">
            <v>4602789000101</v>
          </cell>
          <cell r="D978" t="str">
            <v>DATEN TECNOLOGIA LTDA</v>
          </cell>
          <cell r="E978" t="str">
            <v>A</v>
          </cell>
          <cell r="H978" t="str">
            <v>N/A</v>
          </cell>
          <cell r="I978">
            <v>500001</v>
          </cell>
          <cell r="J978" t="str">
            <v>Fornecedores</v>
          </cell>
          <cell r="K978">
            <v>600017</v>
          </cell>
          <cell r="L978">
            <v>-1</v>
          </cell>
        </row>
        <row r="979">
          <cell r="B979" t="str">
            <v>2.1.1.04.0770</v>
          </cell>
          <cell r="C979">
            <v>8139874000136</v>
          </cell>
          <cell r="D979" t="str">
            <v>UBM BRAZIL FEIRAS E EVENTOS LTDA</v>
          </cell>
          <cell r="E979" t="str">
            <v>A</v>
          </cell>
          <cell r="H979" t="str">
            <v>N/A</v>
          </cell>
          <cell r="I979">
            <v>500001</v>
          </cell>
          <cell r="J979" t="str">
            <v>Fornecedores</v>
          </cell>
          <cell r="K979">
            <v>600017</v>
          </cell>
          <cell r="L979">
            <v>-1</v>
          </cell>
        </row>
        <row r="980">
          <cell r="B980" t="str">
            <v>2.1.1.04.0771</v>
          </cell>
          <cell r="C980">
            <v>779548000181</v>
          </cell>
          <cell r="D980" t="str">
            <v>ACQUA AIR MICROBIOLÓGICA ANÁLISES AMBIEN</v>
          </cell>
          <cell r="E980" t="str">
            <v>A</v>
          </cell>
          <cell r="H980" t="str">
            <v>N/A</v>
          </cell>
          <cell r="I980">
            <v>500001</v>
          </cell>
          <cell r="J980" t="str">
            <v>Fornecedores</v>
          </cell>
          <cell r="K980">
            <v>600017</v>
          </cell>
          <cell r="L980">
            <v>-1</v>
          </cell>
        </row>
        <row r="981">
          <cell r="B981" t="str">
            <v>2.1.1.04.0772</v>
          </cell>
          <cell r="C981">
            <v>9364566000177</v>
          </cell>
          <cell r="D981" t="str">
            <v>SANDECH CONSULTORIA EM ENGENHARIA E GEST</v>
          </cell>
          <cell r="E981" t="str">
            <v>A</v>
          </cell>
          <cell r="H981" t="str">
            <v>N/A</v>
          </cell>
          <cell r="I981">
            <v>500001</v>
          </cell>
          <cell r="J981" t="str">
            <v>Fornecedores</v>
          </cell>
          <cell r="K981">
            <v>600017</v>
          </cell>
          <cell r="L981">
            <v>-1</v>
          </cell>
        </row>
        <row r="982">
          <cell r="B982" t="str">
            <v>2.1.1.04.0773</v>
          </cell>
          <cell r="C982">
            <v>22108379000190</v>
          </cell>
          <cell r="D982" t="str">
            <v>MORENO BOOKSTORE LIVRARIA LTDA</v>
          </cell>
          <cell r="E982" t="str">
            <v>A</v>
          </cell>
          <cell r="H982" t="str">
            <v>N/A</v>
          </cell>
          <cell r="I982">
            <v>500001</v>
          </cell>
          <cell r="J982" t="str">
            <v>Fornecedores</v>
          </cell>
          <cell r="K982">
            <v>600017</v>
          </cell>
          <cell r="L982">
            <v>-1</v>
          </cell>
        </row>
        <row r="983">
          <cell r="B983" t="str">
            <v>2.1.1.04.0774</v>
          </cell>
          <cell r="C983">
            <v>31328282000184</v>
          </cell>
          <cell r="D983" t="str">
            <v>TL COMÉRCIO DE MATERIAL DE INFORMÁTICA</v>
          </cell>
          <cell r="E983" t="str">
            <v>A</v>
          </cell>
          <cell r="H983" t="str">
            <v>N/A</v>
          </cell>
          <cell r="I983">
            <v>500001</v>
          </cell>
          <cell r="J983" t="str">
            <v>Fornecedores</v>
          </cell>
          <cell r="K983">
            <v>600017</v>
          </cell>
          <cell r="L983">
            <v>-1</v>
          </cell>
        </row>
        <row r="984">
          <cell r="B984" t="str">
            <v>2.1.1.04.0775</v>
          </cell>
          <cell r="C984">
            <v>21823206000191</v>
          </cell>
          <cell r="D984" t="str">
            <v>GLOBAL TTI SOLUCOES EM TECNOLOGIA LTDA</v>
          </cell>
          <cell r="E984" t="str">
            <v>A</v>
          </cell>
          <cell r="H984" t="str">
            <v>N/A</v>
          </cell>
          <cell r="I984">
            <v>500001</v>
          </cell>
          <cell r="J984" t="str">
            <v>Fornecedores</v>
          </cell>
          <cell r="K984">
            <v>600017</v>
          </cell>
          <cell r="L984">
            <v>-1</v>
          </cell>
        </row>
        <row r="985">
          <cell r="B985" t="str">
            <v>2.1.1.04.0776</v>
          </cell>
          <cell r="C985">
            <v>5953553000182</v>
          </cell>
          <cell r="D985" t="str">
            <v>PRINT GRAF GRÁFICA E EDITORA LTDA.</v>
          </cell>
          <cell r="E985" t="str">
            <v>A</v>
          </cell>
          <cell r="H985" t="str">
            <v>N/A</v>
          </cell>
          <cell r="I985">
            <v>500001</v>
          </cell>
          <cell r="J985" t="str">
            <v>Fornecedores</v>
          </cell>
          <cell r="K985">
            <v>600017</v>
          </cell>
          <cell r="L985">
            <v>-1</v>
          </cell>
        </row>
        <row r="986">
          <cell r="B986" t="str">
            <v>2.1.1.04.0777</v>
          </cell>
          <cell r="C986">
            <v>52618139003031</v>
          </cell>
          <cell r="D986" t="str">
            <v>GL ELETRO-ELETRONICOS LTDA</v>
          </cell>
          <cell r="E986" t="str">
            <v>A</v>
          </cell>
          <cell r="H986" t="str">
            <v>N/A</v>
          </cell>
          <cell r="I986">
            <v>500001</v>
          </cell>
          <cell r="J986" t="str">
            <v>Fornecedores</v>
          </cell>
          <cell r="K986">
            <v>600017</v>
          </cell>
          <cell r="L986">
            <v>-1</v>
          </cell>
        </row>
        <row r="987">
          <cell r="B987" t="str">
            <v>2.1.1.04.0778</v>
          </cell>
          <cell r="C987">
            <v>61665212000182</v>
          </cell>
          <cell r="D987" t="str">
            <v>AEROGLASS BRASILEIRA SA FIBRAS DE VIDRO</v>
          </cell>
          <cell r="E987" t="str">
            <v>A</v>
          </cell>
          <cell r="H987" t="str">
            <v>N/A</v>
          </cell>
          <cell r="I987">
            <v>500001</v>
          </cell>
          <cell r="J987" t="str">
            <v>Fornecedores</v>
          </cell>
          <cell r="K987">
            <v>600017</v>
          </cell>
          <cell r="L987">
            <v>-1</v>
          </cell>
        </row>
        <row r="988">
          <cell r="B988" t="str">
            <v>2.1.1.04.0779</v>
          </cell>
          <cell r="C988">
            <v>62328984000191</v>
          </cell>
          <cell r="D988" t="str">
            <v>EDITORA IRACEMA LTDA-ME</v>
          </cell>
          <cell r="E988" t="str">
            <v>A</v>
          </cell>
          <cell r="H988" t="str">
            <v>N/A</v>
          </cell>
          <cell r="I988">
            <v>500001</v>
          </cell>
          <cell r="J988" t="str">
            <v>Fornecedores</v>
          </cell>
          <cell r="K988">
            <v>600017</v>
          </cell>
          <cell r="L988">
            <v>-1</v>
          </cell>
        </row>
        <row r="989">
          <cell r="B989" t="str">
            <v>2.1.1.04.0780</v>
          </cell>
          <cell r="C989">
            <v>33402892000106</v>
          </cell>
          <cell r="D989" t="str">
            <v>ASSOCIAÇÃO BRASILEIRA DE NORMAS TÉCNICAS</v>
          </cell>
          <cell r="E989" t="str">
            <v>A</v>
          </cell>
          <cell r="H989" t="str">
            <v>N/A</v>
          </cell>
          <cell r="I989">
            <v>500001</v>
          </cell>
          <cell r="J989" t="str">
            <v>Fornecedores</v>
          </cell>
          <cell r="K989">
            <v>600017</v>
          </cell>
          <cell r="L989">
            <v>-1</v>
          </cell>
        </row>
        <row r="990">
          <cell r="B990" t="str">
            <v>2.1.1.04.0781</v>
          </cell>
          <cell r="C990">
            <v>2593165000140</v>
          </cell>
          <cell r="D990" t="str">
            <v>GARTNER DO BRASIL SERVIÇOS DE PESQUISA L</v>
          </cell>
          <cell r="E990" t="str">
            <v>A</v>
          </cell>
          <cell r="H990" t="str">
            <v>N/A</v>
          </cell>
          <cell r="I990">
            <v>500001</v>
          </cell>
          <cell r="J990" t="str">
            <v>Fornecedores</v>
          </cell>
          <cell r="K990">
            <v>600017</v>
          </cell>
          <cell r="L990">
            <v>-1</v>
          </cell>
        </row>
        <row r="991">
          <cell r="B991" t="str">
            <v>2.1.1.04.0782</v>
          </cell>
          <cell r="C991">
            <v>11662810000120</v>
          </cell>
          <cell r="D991" t="str">
            <v>R W REIS COMÉRCIO E SERVIÇOS LTDA-ME</v>
          </cell>
          <cell r="E991" t="str">
            <v>A</v>
          </cell>
          <cell r="H991" t="str">
            <v>N/A</v>
          </cell>
          <cell r="I991">
            <v>500001</v>
          </cell>
          <cell r="J991" t="str">
            <v>Fornecedores</v>
          </cell>
          <cell r="K991">
            <v>600017</v>
          </cell>
          <cell r="L991">
            <v>-1</v>
          </cell>
        </row>
        <row r="992">
          <cell r="B992" t="str">
            <v>2.1.1.04.0783</v>
          </cell>
          <cell r="C992">
            <v>14350699000124</v>
          </cell>
          <cell r="D992" t="str">
            <v>LIVRARIA STUDIUM</v>
          </cell>
          <cell r="E992" t="str">
            <v>A</v>
          </cell>
          <cell r="H992" t="str">
            <v>N/A</v>
          </cell>
          <cell r="I992">
            <v>500001</v>
          </cell>
          <cell r="J992" t="str">
            <v>Fornecedores</v>
          </cell>
          <cell r="K992">
            <v>600017</v>
          </cell>
          <cell r="L992">
            <v>-1</v>
          </cell>
        </row>
        <row r="993">
          <cell r="B993" t="str">
            <v>2.1.1.04.0784</v>
          </cell>
          <cell r="C993">
            <v>52168481000142</v>
          </cell>
          <cell r="D993" t="str">
            <v>SOCIEDADE BRASILEIRA DE ESPELEOLOGIA</v>
          </cell>
          <cell r="E993" t="str">
            <v>A</v>
          </cell>
          <cell r="H993" t="str">
            <v>N/A</v>
          </cell>
          <cell r="I993">
            <v>500001</v>
          </cell>
          <cell r="J993" t="str">
            <v>Fornecedores</v>
          </cell>
          <cell r="K993">
            <v>600017</v>
          </cell>
          <cell r="L993">
            <v>-1</v>
          </cell>
        </row>
        <row r="994">
          <cell r="B994" t="str">
            <v>2.1.1.04.0785</v>
          </cell>
          <cell r="C994">
            <v>4999511000110</v>
          </cell>
          <cell r="D994" t="str">
            <v>TAMANDUA PRESTADORA DE SERVIÇOS LTDA</v>
          </cell>
          <cell r="E994" t="str">
            <v>A</v>
          </cell>
          <cell r="H994" t="str">
            <v>N/A</v>
          </cell>
          <cell r="I994">
            <v>500001</v>
          </cell>
          <cell r="J994" t="str">
            <v>Fornecedores</v>
          </cell>
          <cell r="K994">
            <v>600017</v>
          </cell>
          <cell r="L994">
            <v>-1</v>
          </cell>
        </row>
        <row r="995">
          <cell r="B995" t="str">
            <v>2.1.1.04.0786</v>
          </cell>
          <cell r="C995">
            <v>8821745000123</v>
          </cell>
          <cell r="D995" t="str">
            <v>CERTSYS TECNOLOGIA DA INFORMAÇÃO LTDA</v>
          </cell>
          <cell r="E995" t="str">
            <v>A</v>
          </cell>
          <cell r="H995" t="str">
            <v>N/A</v>
          </cell>
          <cell r="I995">
            <v>500001</v>
          </cell>
          <cell r="J995" t="str">
            <v>Fornecedores</v>
          </cell>
          <cell r="K995">
            <v>600017</v>
          </cell>
          <cell r="L995">
            <v>-1</v>
          </cell>
        </row>
        <row r="996">
          <cell r="B996" t="str">
            <v>2.1.1.04.0787</v>
          </cell>
          <cell r="C996">
            <v>62044151000107</v>
          </cell>
          <cell r="D996" t="str">
            <v>AMERICAN CHAMBER OF COMMERCE FOR BRAZIL</v>
          </cell>
          <cell r="E996" t="str">
            <v>A</v>
          </cell>
          <cell r="H996" t="str">
            <v>N/A</v>
          </cell>
          <cell r="I996">
            <v>500001</v>
          </cell>
          <cell r="J996" t="str">
            <v>Fornecedores</v>
          </cell>
          <cell r="K996">
            <v>600017</v>
          </cell>
          <cell r="L996">
            <v>-1</v>
          </cell>
        </row>
        <row r="997">
          <cell r="B997" t="str">
            <v>2.1.1.04.0788</v>
          </cell>
          <cell r="C997">
            <v>31316334000100</v>
          </cell>
          <cell r="D997" t="str">
            <v>REFRIMEC REFRIGERAÇÃO LTDA</v>
          </cell>
          <cell r="E997" t="str">
            <v>A</v>
          </cell>
          <cell r="H997" t="str">
            <v>N/A</v>
          </cell>
          <cell r="I997">
            <v>500001</v>
          </cell>
          <cell r="J997" t="str">
            <v>Fornecedores</v>
          </cell>
          <cell r="K997">
            <v>600017</v>
          </cell>
          <cell r="L997">
            <v>-1</v>
          </cell>
        </row>
        <row r="998">
          <cell r="B998" t="str">
            <v>2.1.1.04.0789</v>
          </cell>
          <cell r="C998">
            <v>18534239000107</v>
          </cell>
          <cell r="D998" t="str">
            <v>NILZA ROGERIA DE ANDRADE NUNES</v>
          </cell>
          <cell r="E998" t="str">
            <v>A</v>
          </cell>
          <cell r="H998" t="str">
            <v>N/A</v>
          </cell>
          <cell r="I998">
            <v>500001</v>
          </cell>
          <cell r="J998" t="str">
            <v>Fornecedores</v>
          </cell>
          <cell r="K998">
            <v>600017</v>
          </cell>
          <cell r="L998">
            <v>-1</v>
          </cell>
        </row>
        <row r="999">
          <cell r="B999" t="str">
            <v>2.1.1.04.0790</v>
          </cell>
          <cell r="C999">
            <v>17781694000144</v>
          </cell>
          <cell r="D999" t="str">
            <v>PRESSCLIPPING PRODUÇÕES DE CLIPPING LTDA</v>
          </cell>
          <cell r="E999" t="str">
            <v>A</v>
          </cell>
          <cell r="H999" t="str">
            <v>N/A</v>
          </cell>
          <cell r="I999">
            <v>500001</v>
          </cell>
          <cell r="J999" t="str">
            <v>Fornecedores</v>
          </cell>
          <cell r="K999">
            <v>600017</v>
          </cell>
          <cell r="L999">
            <v>-1</v>
          </cell>
        </row>
        <row r="1000">
          <cell r="B1000" t="str">
            <v>2.1.1.04.0791</v>
          </cell>
          <cell r="C1000">
            <v>258246000168</v>
          </cell>
          <cell r="D1000" t="str">
            <v>SOLO NETWORK BRASIL S/A</v>
          </cell>
          <cell r="E1000" t="str">
            <v>A</v>
          </cell>
          <cell r="H1000" t="str">
            <v>N/A</v>
          </cell>
          <cell r="I1000">
            <v>500001</v>
          </cell>
          <cell r="J1000" t="str">
            <v>Fornecedores</v>
          </cell>
          <cell r="K1000">
            <v>600017</v>
          </cell>
          <cell r="L1000">
            <v>-1</v>
          </cell>
        </row>
        <row r="1001">
          <cell r="B1001" t="str">
            <v>2.1.1.04.0792</v>
          </cell>
          <cell r="C1001">
            <v>13921061000133</v>
          </cell>
          <cell r="D1001" t="str">
            <v>RIOMEGA SERVIÇOS GRAFICOS LTDA ME</v>
          </cell>
          <cell r="E1001" t="str">
            <v>A</v>
          </cell>
          <cell r="H1001" t="str">
            <v>N/A</v>
          </cell>
          <cell r="I1001">
            <v>500001</v>
          </cell>
          <cell r="J1001" t="str">
            <v>Fornecedores</v>
          </cell>
          <cell r="K1001">
            <v>600017</v>
          </cell>
          <cell r="L1001">
            <v>-1</v>
          </cell>
        </row>
        <row r="1002">
          <cell r="B1002" t="str">
            <v>2.1.1.04.0793</v>
          </cell>
          <cell r="C1002">
            <v>30947559000194</v>
          </cell>
          <cell r="D1002" t="str">
            <v>HM ROUPAS PROFISSIONAIS EIRELI</v>
          </cell>
          <cell r="E1002" t="str">
            <v>A</v>
          </cell>
          <cell r="H1002" t="str">
            <v>N/A</v>
          </cell>
          <cell r="I1002">
            <v>500001</v>
          </cell>
          <cell r="J1002" t="str">
            <v>Fornecedores</v>
          </cell>
          <cell r="K1002">
            <v>600017</v>
          </cell>
          <cell r="L1002">
            <v>-1</v>
          </cell>
        </row>
        <row r="1003">
          <cell r="B1003" t="str">
            <v>2.1.1.04.0794</v>
          </cell>
          <cell r="C1003">
            <v>3598920000141</v>
          </cell>
          <cell r="D1003" t="str">
            <v>ARANDA EVENTOS E CONGRESSOS LTDA</v>
          </cell>
          <cell r="E1003" t="str">
            <v>A</v>
          </cell>
          <cell r="H1003" t="str">
            <v>N/A</v>
          </cell>
          <cell r="I1003">
            <v>500001</v>
          </cell>
          <cell r="J1003" t="str">
            <v>Fornecedores</v>
          </cell>
          <cell r="K1003">
            <v>600017</v>
          </cell>
          <cell r="L1003">
            <v>-1</v>
          </cell>
        </row>
        <row r="1004">
          <cell r="B1004" t="str">
            <v>2.1.1.04.0795</v>
          </cell>
          <cell r="C1004">
            <v>62642913000169</v>
          </cell>
          <cell r="D1004" t="str">
            <v>ASSOCIAÇÃO BRASILEIRA INDÚSTRIA QUÍMICA</v>
          </cell>
          <cell r="E1004" t="str">
            <v>A</v>
          </cell>
          <cell r="H1004" t="str">
            <v>N/A</v>
          </cell>
          <cell r="I1004">
            <v>500001</v>
          </cell>
          <cell r="J1004" t="str">
            <v>Fornecedores</v>
          </cell>
          <cell r="K1004">
            <v>600017</v>
          </cell>
          <cell r="L1004">
            <v>-1</v>
          </cell>
        </row>
        <row r="1005">
          <cell r="B1005" t="str">
            <v>2.1.1.04.0796</v>
          </cell>
          <cell r="C1005">
            <v>28861370000132</v>
          </cell>
          <cell r="D1005" t="str">
            <v>ROTA 183 EVENTOS EIRELI</v>
          </cell>
          <cell r="E1005" t="str">
            <v>A</v>
          </cell>
          <cell r="H1005" t="str">
            <v>N/A</v>
          </cell>
          <cell r="I1005">
            <v>500001</v>
          </cell>
          <cell r="J1005" t="str">
            <v>Fornecedores</v>
          </cell>
          <cell r="K1005">
            <v>600017</v>
          </cell>
          <cell r="L1005">
            <v>-1</v>
          </cell>
        </row>
        <row r="1006">
          <cell r="B1006" t="str">
            <v>2.1.1.04.0797</v>
          </cell>
          <cell r="C1006">
            <v>30526748000193</v>
          </cell>
          <cell r="D1006" t="str">
            <v>IVAN LEONARDO MACHADO</v>
          </cell>
          <cell r="E1006" t="str">
            <v>A</v>
          </cell>
          <cell r="H1006" t="str">
            <v>N/A</v>
          </cell>
          <cell r="I1006">
            <v>500001</v>
          </cell>
          <cell r="J1006" t="str">
            <v>Fornecedores</v>
          </cell>
          <cell r="K1006">
            <v>600017</v>
          </cell>
          <cell r="L1006">
            <v>-1</v>
          </cell>
        </row>
        <row r="1007">
          <cell r="B1007" t="str">
            <v>2.1.1.04.0798</v>
          </cell>
          <cell r="C1007">
            <v>460831000146</v>
          </cell>
          <cell r="D1007" t="str">
            <v>INSTITUTO BRASILEIRO PRO-CIDADANIA</v>
          </cell>
          <cell r="E1007" t="str">
            <v>A</v>
          </cell>
          <cell r="H1007" t="str">
            <v>N/A</v>
          </cell>
          <cell r="I1007">
            <v>500001</v>
          </cell>
          <cell r="J1007" t="str">
            <v>Fornecedores</v>
          </cell>
          <cell r="K1007">
            <v>600017</v>
          </cell>
          <cell r="L1007">
            <v>-1</v>
          </cell>
        </row>
        <row r="1008">
          <cell r="B1008" t="str">
            <v>2.1.1.04.0799</v>
          </cell>
          <cell r="C1008">
            <v>35794064000196</v>
          </cell>
          <cell r="D1008" t="str">
            <v>COND. DO ED.CENTRO EMPRESARIAL RB1</v>
          </cell>
          <cell r="E1008" t="str">
            <v>A</v>
          </cell>
          <cell r="H1008" t="str">
            <v>N/A</v>
          </cell>
          <cell r="I1008">
            <v>500001</v>
          </cell>
          <cell r="J1008" t="str">
            <v>Fornecedores</v>
          </cell>
          <cell r="K1008">
            <v>600017</v>
          </cell>
          <cell r="L1008">
            <v>-1</v>
          </cell>
        </row>
        <row r="1009">
          <cell r="B1009" t="str">
            <v>2.1.1.04.0800</v>
          </cell>
          <cell r="C1009">
            <v>5533015000139</v>
          </cell>
          <cell r="D1009" t="str">
            <v>V OFFICE CONSULTORES ASSOCIADOS LTDA</v>
          </cell>
          <cell r="E1009" t="str">
            <v>A</v>
          </cell>
          <cell r="H1009" t="str">
            <v>N/A</v>
          </cell>
          <cell r="I1009">
            <v>500001</v>
          </cell>
          <cell r="J1009" t="str">
            <v>Fornecedores</v>
          </cell>
          <cell r="K1009">
            <v>600017</v>
          </cell>
          <cell r="L1009">
            <v>-1</v>
          </cell>
        </row>
        <row r="1010">
          <cell r="B1010" t="str">
            <v>2.1.1.04.0801</v>
          </cell>
          <cell r="C1010">
            <v>4527228000195</v>
          </cell>
          <cell r="D1010" t="str">
            <v>KA SOLUTION INFORMATICA LTDA</v>
          </cell>
          <cell r="E1010" t="str">
            <v>A</v>
          </cell>
          <cell r="H1010" t="str">
            <v>N/A</v>
          </cell>
          <cell r="I1010">
            <v>500001</v>
          </cell>
          <cell r="J1010" t="str">
            <v>Fornecedores</v>
          </cell>
          <cell r="K1010">
            <v>600017</v>
          </cell>
          <cell r="L1010">
            <v>-1</v>
          </cell>
        </row>
        <row r="1011">
          <cell r="B1011" t="str">
            <v>2.1.1.04.0802</v>
          </cell>
          <cell r="C1011">
            <v>46359865000140</v>
          </cell>
          <cell r="D1011" t="str">
            <v>FUNDAÇÃO INST PESQ CONT ATUARIAIS E FINA</v>
          </cell>
          <cell r="E1011" t="str">
            <v>A</v>
          </cell>
          <cell r="H1011" t="str">
            <v>N/A</v>
          </cell>
          <cell r="I1011">
            <v>500001</v>
          </cell>
          <cell r="J1011" t="str">
            <v>Fornecedores</v>
          </cell>
          <cell r="K1011">
            <v>600017</v>
          </cell>
          <cell r="L1011">
            <v>-1</v>
          </cell>
        </row>
        <row r="1012">
          <cell r="B1012" t="str">
            <v>2.1.1.04.0803</v>
          </cell>
          <cell r="C1012">
            <v>30980274000155</v>
          </cell>
          <cell r="D1012" t="str">
            <v>TRUE SERV E CONSULTORIA EM ENERGIA LTDA</v>
          </cell>
          <cell r="E1012" t="str">
            <v>A</v>
          </cell>
          <cell r="H1012" t="str">
            <v>N/A</v>
          </cell>
          <cell r="I1012">
            <v>500001</v>
          </cell>
          <cell r="J1012" t="str">
            <v>Fornecedores</v>
          </cell>
          <cell r="K1012">
            <v>600017</v>
          </cell>
          <cell r="L1012">
            <v>-1</v>
          </cell>
        </row>
        <row r="1013">
          <cell r="B1013" t="str">
            <v>2.1.1.04.0804</v>
          </cell>
          <cell r="C1013">
            <v>13992585000115</v>
          </cell>
          <cell r="D1013" t="str">
            <v>DCIDE LTDA EPP</v>
          </cell>
          <cell r="E1013" t="str">
            <v>A</v>
          </cell>
          <cell r="H1013" t="str">
            <v>N/A</v>
          </cell>
          <cell r="I1013">
            <v>500001</v>
          </cell>
          <cell r="J1013" t="str">
            <v>Fornecedores</v>
          </cell>
          <cell r="K1013">
            <v>600017</v>
          </cell>
          <cell r="L1013">
            <v>-1</v>
          </cell>
        </row>
        <row r="1014">
          <cell r="B1014" t="str">
            <v>2.1.1.04.0805</v>
          </cell>
          <cell r="C1014">
            <v>10498974000281</v>
          </cell>
          <cell r="D1014" t="str">
            <v>INST NEGÓCIOS PÚBLICOS DO BRASIL -FILIAL</v>
          </cell>
          <cell r="E1014" t="str">
            <v>A</v>
          </cell>
          <cell r="H1014" t="str">
            <v>N/A</v>
          </cell>
          <cell r="I1014">
            <v>500001</v>
          </cell>
          <cell r="J1014" t="str">
            <v>Fornecedores</v>
          </cell>
          <cell r="K1014">
            <v>600017</v>
          </cell>
          <cell r="L1014">
            <v>-1</v>
          </cell>
        </row>
        <row r="1015">
          <cell r="B1015" t="str">
            <v>2.1.1.04.0806</v>
          </cell>
          <cell r="C1015">
            <v>8257348000170</v>
          </cell>
          <cell r="D1015" t="str">
            <v>DPI COMERCIO DE ELETRO EIRELI</v>
          </cell>
          <cell r="E1015" t="str">
            <v>A</v>
          </cell>
          <cell r="H1015" t="str">
            <v>N/A</v>
          </cell>
          <cell r="I1015">
            <v>500001</v>
          </cell>
          <cell r="J1015" t="str">
            <v>Fornecedores</v>
          </cell>
          <cell r="K1015">
            <v>600017</v>
          </cell>
          <cell r="L1015">
            <v>-1</v>
          </cell>
        </row>
        <row r="1016">
          <cell r="B1016" t="str">
            <v>2.1.1.04.0807</v>
          </cell>
          <cell r="C1016">
            <v>29508686000370</v>
          </cell>
          <cell r="D1016" t="str">
            <v>REFINITIV BRASIL SERVIÇOS ECONOMICOS LTD</v>
          </cell>
          <cell r="E1016" t="str">
            <v>A</v>
          </cell>
          <cell r="H1016" t="str">
            <v>N/A</v>
          </cell>
          <cell r="I1016">
            <v>500001</v>
          </cell>
          <cell r="J1016" t="str">
            <v>Fornecedores</v>
          </cell>
          <cell r="K1016">
            <v>600017</v>
          </cell>
          <cell r="L1016">
            <v>-1</v>
          </cell>
        </row>
        <row r="1017">
          <cell r="B1017" t="str">
            <v>2.1.1.04.0808</v>
          </cell>
          <cell r="C1017">
            <v>29576784000182</v>
          </cell>
          <cell r="D1017" t="str">
            <v>LR SOLUÇÕES LTDA</v>
          </cell>
          <cell r="E1017" t="str">
            <v>A</v>
          </cell>
          <cell r="H1017" t="str">
            <v>N/A</v>
          </cell>
          <cell r="I1017">
            <v>500001</v>
          </cell>
          <cell r="J1017" t="str">
            <v>Fornecedores</v>
          </cell>
          <cell r="K1017">
            <v>600017</v>
          </cell>
          <cell r="L1017">
            <v>-1</v>
          </cell>
        </row>
        <row r="1018">
          <cell r="B1018" t="str">
            <v>2.1.1.04.0809</v>
          </cell>
          <cell r="C1018">
            <v>8703044000190</v>
          </cell>
          <cell r="D1018" t="str">
            <v>RH CURSOS E TREINAMENTO EMPRESARIAL LTDA</v>
          </cell>
          <cell r="E1018" t="str">
            <v>A</v>
          </cell>
          <cell r="H1018" t="str">
            <v>N/A</v>
          </cell>
          <cell r="I1018">
            <v>500001</v>
          </cell>
          <cell r="J1018" t="str">
            <v>Fornecedores</v>
          </cell>
          <cell r="K1018">
            <v>600017</v>
          </cell>
          <cell r="L1018">
            <v>-1</v>
          </cell>
        </row>
        <row r="1019">
          <cell r="B1019" t="str">
            <v>2.1.1.04.0810</v>
          </cell>
          <cell r="C1019">
            <v>56958000102</v>
          </cell>
          <cell r="D1019" t="str">
            <v>IDEALLE EDITORA E PUBLICIDADE LTDA ME</v>
          </cell>
          <cell r="E1019" t="str">
            <v>A</v>
          </cell>
          <cell r="H1019" t="str">
            <v>N/A</v>
          </cell>
          <cell r="I1019">
            <v>500001</v>
          </cell>
          <cell r="J1019" t="str">
            <v>Fornecedores</v>
          </cell>
          <cell r="K1019">
            <v>600017</v>
          </cell>
          <cell r="L1019">
            <v>-1</v>
          </cell>
        </row>
        <row r="1020">
          <cell r="B1020" t="str">
            <v>2.1.1.04.0811</v>
          </cell>
          <cell r="C1020">
            <v>2676310000156</v>
          </cell>
          <cell r="D1020" t="str">
            <v>IDEIAS TURISMO EIRELI</v>
          </cell>
          <cell r="E1020" t="str">
            <v>A</v>
          </cell>
          <cell r="H1020" t="str">
            <v>N/A</v>
          </cell>
          <cell r="I1020">
            <v>500001</v>
          </cell>
          <cell r="J1020" t="str">
            <v>Fornecedores</v>
          </cell>
          <cell r="K1020">
            <v>600017</v>
          </cell>
          <cell r="L1020">
            <v>-1</v>
          </cell>
        </row>
        <row r="1021">
          <cell r="B1021" t="str">
            <v>2.1.1.04.0812</v>
          </cell>
          <cell r="C1021">
            <v>40181307000150</v>
          </cell>
          <cell r="D1021" t="str">
            <v>ASSOCIAÇÃO CULTURAL E DE PESQ NOEL ROSA</v>
          </cell>
          <cell r="E1021" t="str">
            <v>A</v>
          </cell>
          <cell r="H1021" t="str">
            <v>N/A</v>
          </cell>
          <cell r="I1021">
            <v>500001</v>
          </cell>
          <cell r="J1021" t="str">
            <v>Fornecedores</v>
          </cell>
          <cell r="K1021">
            <v>600017</v>
          </cell>
          <cell r="L1021">
            <v>-1</v>
          </cell>
        </row>
        <row r="1022">
          <cell r="B1022" t="str">
            <v>2.1.1.04.0813</v>
          </cell>
          <cell r="C1022">
            <v>1959083000103</v>
          </cell>
          <cell r="D1022" t="str">
            <v>INSTITUTO PROMUNDO</v>
          </cell>
          <cell r="E1022" t="str">
            <v>A</v>
          </cell>
          <cell r="H1022" t="str">
            <v>N/A</v>
          </cell>
          <cell r="I1022">
            <v>500001</v>
          </cell>
          <cell r="J1022" t="str">
            <v>Fornecedores</v>
          </cell>
          <cell r="K1022">
            <v>600017</v>
          </cell>
          <cell r="L1022">
            <v>-1</v>
          </cell>
        </row>
        <row r="1023">
          <cell r="B1023" t="str">
            <v>2.1.1.04.0814</v>
          </cell>
          <cell r="C1023">
            <v>14291005000125</v>
          </cell>
          <cell r="D1023" t="str">
            <v>JOSE RODRIGUES DE SOUZA NETO</v>
          </cell>
          <cell r="E1023" t="str">
            <v>A</v>
          </cell>
          <cell r="H1023" t="str">
            <v>N/A</v>
          </cell>
          <cell r="I1023">
            <v>500001</v>
          </cell>
          <cell r="J1023" t="str">
            <v>Fornecedores</v>
          </cell>
          <cell r="K1023">
            <v>600017</v>
          </cell>
          <cell r="L1023">
            <v>-1</v>
          </cell>
        </row>
        <row r="1024">
          <cell r="B1024" t="str">
            <v>2.1.1.04.0815</v>
          </cell>
          <cell r="C1024">
            <v>10320360000124</v>
          </cell>
          <cell r="D1024" t="str">
            <v>MM DESENVOLVIMENTO LTDA</v>
          </cell>
          <cell r="E1024" t="str">
            <v>A</v>
          </cell>
          <cell r="H1024" t="str">
            <v>N/A</v>
          </cell>
          <cell r="I1024">
            <v>500001</v>
          </cell>
          <cell r="J1024" t="str">
            <v>Fornecedores</v>
          </cell>
          <cell r="K1024">
            <v>600017</v>
          </cell>
          <cell r="L1024">
            <v>-1</v>
          </cell>
        </row>
        <row r="1025">
          <cell r="B1025" t="str">
            <v>2.1.1.04.0816</v>
          </cell>
          <cell r="C1025">
            <v>24725007000139</v>
          </cell>
          <cell r="D1025" t="str">
            <v>NORTE EDUCAÇÃO EXECUTIVA LTDA ME</v>
          </cell>
          <cell r="E1025" t="str">
            <v>A</v>
          </cell>
          <cell r="H1025" t="str">
            <v>N/A</v>
          </cell>
          <cell r="I1025">
            <v>500001</v>
          </cell>
          <cell r="J1025" t="str">
            <v>Fornecedores</v>
          </cell>
          <cell r="K1025">
            <v>600017</v>
          </cell>
          <cell r="L1025">
            <v>-1</v>
          </cell>
        </row>
        <row r="1026">
          <cell r="B1026" t="str">
            <v>2.1.1.04.0817</v>
          </cell>
          <cell r="C1026">
            <v>21348170000131</v>
          </cell>
          <cell r="D1026" t="str">
            <v>VINICIUS JOSE EUGENIO - ME</v>
          </cell>
          <cell r="E1026" t="str">
            <v>A</v>
          </cell>
          <cell r="H1026" t="str">
            <v>N/A</v>
          </cell>
          <cell r="I1026">
            <v>500001</v>
          </cell>
          <cell r="J1026" t="str">
            <v>Fornecedores</v>
          </cell>
          <cell r="K1026">
            <v>600017</v>
          </cell>
          <cell r="L1026">
            <v>-1</v>
          </cell>
        </row>
        <row r="1027">
          <cell r="B1027" t="str">
            <v>2.1.1.04.0818</v>
          </cell>
          <cell r="C1027">
            <v>5025586000162</v>
          </cell>
          <cell r="D1027" t="str">
            <v>ENE TREINAMENTOS CURSOS E EVENTOS EIRELI</v>
          </cell>
          <cell r="E1027" t="str">
            <v>A</v>
          </cell>
          <cell r="H1027" t="str">
            <v>N/A</v>
          </cell>
          <cell r="I1027">
            <v>500001</v>
          </cell>
          <cell r="J1027" t="str">
            <v>Fornecedores</v>
          </cell>
          <cell r="K1027">
            <v>600017</v>
          </cell>
          <cell r="L1027">
            <v>-1</v>
          </cell>
        </row>
        <row r="1028">
          <cell r="B1028" t="str">
            <v>2.1.1.04.0819</v>
          </cell>
          <cell r="C1028">
            <v>29969193000175</v>
          </cell>
          <cell r="D1028" t="str">
            <v>ASS BRASILEIRA DE RECURSOS HIDRICOS</v>
          </cell>
          <cell r="E1028" t="str">
            <v>A</v>
          </cell>
          <cell r="H1028" t="str">
            <v>N/A</v>
          </cell>
          <cell r="I1028">
            <v>500001</v>
          </cell>
          <cell r="J1028" t="str">
            <v>Fornecedores</v>
          </cell>
          <cell r="K1028">
            <v>600017</v>
          </cell>
          <cell r="L1028">
            <v>-1</v>
          </cell>
        </row>
        <row r="1029">
          <cell r="B1029" t="str">
            <v>2.1.1.04.0820</v>
          </cell>
          <cell r="C1029">
            <v>32452635000116</v>
          </cell>
          <cell r="D1029" t="str">
            <v>UNITIZA CONSULTORIA EM ENERGIA LTDA</v>
          </cell>
          <cell r="E1029" t="str">
            <v>A</v>
          </cell>
          <cell r="H1029" t="str">
            <v>N/A</v>
          </cell>
          <cell r="I1029">
            <v>500001</v>
          </cell>
          <cell r="J1029" t="str">
            <v>Fornecedores</v>
          </cell>
          <cell r="K1029">
            <v>600017</v>
          </cell>
          <cell r="L1029">
            <v>-1</v>
          </cell>
        </row>
        <row r="1030">
          <cell r="B1030" t="str">
            <v>2.1.1.04.0821</v>
          </cell>
          <cell r="C1030">
            <v>7808205000147</v>
          </cell>
          <cell r="D1030" t="str">
            <v>CEDIN-CENTRO DE ESTUDOS EM DIR E NEG LTD</v>
          </cell>
          <cell r="E1030" t="str">
            <v>A</v>
          </cell>
          <cell r="H1030" t="str">
            <v>N/A</v>
          </cell>
          <cell r="I1030">
            <v>500001</v>
          </cell>
          <cell r="J1030" t="str">
            <v>Fornecedores</v>
          </cell>
          <cell r="K1030">
            <v>600017</v>
          </cell>
          <cell r="L1030">
            <v>-1</v>
          </cell>
        </row>
        <row r="1031">
          <cell r="B1031" t="str">
            <v>2.1.1.04.0822</v>
          </cell>
          <cell r="C1031">
            <v>26644405000156</v>
          </cell>
          <cell r="D1031" t="str">
            <v>LAUDOS ENGENHARIA LTDA</v>
          </cell>
          <cell r="E1031" t="str">
            <v>A</v>
          </cell>
          <cell r="H1031" t="str">
            <v>N/A</v>
          </cell>
          <cell r="I1031">
            <v>500001</v>
          </cell>
          <cell r="J1031" t="str">
            <v>Fornecedores</v>
          </cell>
          <cell r="K1031">
            <v>600017</v>
          </cell>
          <cell r="L1031">
            <v>-1</v>
          </cell>
        </row>
        <row r="1032">
          <cell r="B1032" t="str">
            <v>2.1.1.04.0823</v>
          </cell>
          <cell r="C1032">
            <v>14016884000187</v>
          </cell>
          <cell r="D1032" t="str">
            <v>FL SOLUCOES COORPORATIVAS INTELIGENTES L</v>
          </cell>
          <cell r="E1032" t="str">
            <v>A</v>
          </cell>
          <cell r="H1032" t="str">
            <v>N/A</v>
          </cell>
          <cell r="I1032">
            <v>500001</v>
          </cell>
          <cell r="J1032" t="str">
            <v>Fornecedores</v>
          </cell>
          <cell r="K1032">
            <v>600017</v>
          </cell>
          <cell r="L1032">
            <v>-1</v>
          </cell>
        </row>
        <row r="1033">
          <cell r="B1033" t="str">
            <v>2.1.1.04.0824</v>
          </cell>
          <cell r="C1033">
            <v>27039914000112</v>
          </cell>
          <cell r="D1033" t="str">
            <v>AL NETTO COMERCIAL E SERVIÇOS EIRELI ME</v>
          </cell>
          <cell r="E1033" t="str">
            <v>A</v>
          </cell>
          <cell r="H1033" t="str">
            <v>N/A</v>
          </cell>
          <cell r="I1033">
            <v>500001</v>
          </cell>
          <cell r="J1033" t="str">
            <v>Fornecedores</v>
          </cell>
          <cell r="K1033">
            <v>600017</v>
          </cell>
          <cell r="L1033">
            <v>-1</v>
          </cell>
        </row>
        <row r="1034">
          <cell r="B1034" t="str">
            <v>2.1.1.04.0825</v>
          </cell>
          <cell r="C1034">
            <v>8706548000163</v>
          </cell>
          <cell r="D1034" t="str">
            <v>O2 SOLUÇÕES EM TECNOLOGIA DIGITAL LTDA</v>
          </cell>
          <cell r="E1034" t="str">
            <v>A</v>
          </cell>
          <cell r="H1034" t="str">
            <v>N/A</v>
          </cell>
          <cell r="I1034">
            <v>500001</v>
          </cell>
          <cell r="J1034" t="str">
            <v>Fornecedores</v>
          </cell>
          <cell r="K1034">
            <v>600017</v>
          </cell>
          <cell r="L1034">
            <v>-1</v>
          </cell>
        </row>
        <row r="1035">
          <cell r="B1035" t="str">
            <v>2.1.1.04.0826</v>
          </cell>
          <cell r="C1035">
            <v>30040559000106</v>
          </cell>
          <cell r="D1035" t="str">
            <v>AGBT TRADUCOES LTDA</v>
          </cell>
          <cell r="E1035" t="str">
            <v>A</v>
          </cell>
          <cell r="H1035" t="str">
            <v>N/A</v>
          </cell>
          <cell r="I1035">
            <v>500001</v>
          </cell>
          <cell r="J1035" t="str">
            <v>Fornecedores</v>
          </cell>
          <cell r="K1035">
            <v>600017</v>
          </cell>
          <cell r="L1035">
            <v>-1</v>
          </cell>
        </row>
        <row r="1036">
          <cell r="B1036" t="str">
            <v>2.1.1.04.0827</v>
          </cell>
          <cell r="C1036">
            <v>30780665000126</v>
          </cell>
          <cell r="D1036" t="str">
            <v>LVD SOLUÇÕES EM INFORMÁTICA EIRELI</v>
          </cell>
          <cell r="E1036" t="str">
            <v>A</v>
          </cell>
          <cell r="H1036" t="str">
            <v>N/A</v>
          </cell>
          <cell r="I1036">
            <v>500001</v>
          </cell>
          <cell r="J1036" t="str">
            <v>Fornecedores</v>
          </cell>
          <cell r="K1036">
            <v>600017</v>
          </cell>
          <cell r="L1036">
            <v>-1</v>
          </cell>
        </row>
        <row r="1037">
          <cell r="B1037" t="str">
            <v>2.1.1.04.0828</v>
          </cell>
          <cell r="C1037">
            <v>15267097000170</v>
          </cell>
          <cell r="D1037" t="str">
            <v>TIKINET EDICAO LTDA</v>
          </cell>
          <cell r="E1037" t="str">
            <v>A</v>
          </cell>
          <cell r="H1037" t="str">
            <v>N/A</v>
          </cell>
          <cell r="I1037">
            <v>500001</v>
          </cell>
          <cell r="J1037" t="str">
            <v>Fornecedores</v>
          </cell>
          <cell r="K1037">
            <v>600017</v>
          </cell>
          <cell r="L1037">
            <v>-1</v>
          </cell>
        </row>
        <row r="1038">
          <cell r="B1038" t="str">
            <v>2.1.1.04.0829</v>
          </cell>
          <cell r="C1038">
            <v>8747227000107</v>
          </cell>
          <cell r="D1038" t="str">
            <v>ARQUITETURA PROCESSUAL INTELIGENTE</v>
          </cell>
          <cell r="E1038" t="str">
            <v>A</v>
          </cell>
          <cell r="H1038" t="str">
            <v>N/A</v>
          </cell>
          <cell r="I1038">
            <v>500001</v>
          </cell>
          <cell r="J1038" t="str">
            <v>Fornecedores</v>
          </cell>
          <cell r="K1038">
            <v>600017</v>
          </cell>
          <cell r="L1038">
            <v>-1</v>
          </cell>
        </row>
        <row r="1039">
          <cell r="B1039" t="str">
            <v>2.1.1.04.0830</v>
          </cell>
          <cell r="C1039">
            <v>2939151000135</v>
          </cell>
          <cell r="D1039" t="str">
            <v>AC ARQUITETURA E CONSULTORIA</v>
          </cell>
          <cell r="E1039" t="str">
            <v>A</v>
          </cell>
          <cell r="H1039" t="str">
            <v>N/A</v>
          </cell>
          <cell r="I1039">
            <v>500001</v>
          </cell>
          <cell r="J1039" t="str">
            <v>Fornecedores</v>
          </cell>
          <cell r="K1039">
            <v>600017</v>
          </cell>
          <cell r="L1039">
            <v>-1</v>
          </cell>
        </row>
        <row r="1040">
          <cell r="B1040" t="str">
            <v>2.1.1.04.0831</v>
          </cell>
          <cell r="C1040">
            <v>9274824000124</v>
          </cell>
          <cell r="D1040" t="str">
            <v>SUPER ACESSO INFORMAÇÃO LTDA ME</v>
          </cell>
          <cell r="E1040" t="str">
            <v>A</v>
          </cell>
          <cell r="H1040" t="str">
            <v>N/A</v>
          </cell>
          <cell r="I1040">
            <v>500001</v>
          </cell>
          <cell r="J1040" t="str">
            <v>Fornecedores</v>
          </cell>
          <cell r="K1040">
            <v>600017</v>
          </cell>
          <cell r="L1040">
            <v>-1</v>
          </cell>
        </row>
        <row r="1041">
          <cell r="B1041" t="str">
            <v>2.1.1.04.0832</v>
          </cell>
          <cell r="C1041">
            <v>20306489000131</v>
          </cell>
          <cell r="D1041" t="str">
            <v>EFICAZ GESTÃO EM SAUDE LTDA</v>
          </cell>
          <cell r="E1041" t="str">
            <v>A</v>
          </cell>
          <cell r="H1041" t="str">
            <v>N/A</v>
          </cell>
          <cell r="I1041">
            <v>500001</v>
          </cell>
          <cell r="J1041" t="str">
            <v>Fornecedores</v>
          </cell>
          <cell r="K1041">
            <v>600017</v>
          </cell>
          <cell r="L1041">
            <v>-1</v>
          </cell>
        </row>
        <row r="1042">
          <cell r="B1042" t="str">
            <v>2.1.1.04.0833</v>
          </cell>
          <cell r="C1042">
            <v>7341418000101</v>
          </cell>
          <cell r="D1042" t="str">
            <v>IHS MARKIT AGRIBUSINESS BRAZIL</v>
          </cell>
          <cell r="E1042" t="str">
            <v>A</v>
          </cell>
          <cell r="H1042" t="str">
            <v>N/A</v>
          </cell>
          <cell r="I1042">
            <v>500001</v>
          </cell>
          <cell r="J1042" t="str">
            <v>Fornecedores</v>
          </cell>
          <cell r="K1042">
            <v>600017</v>
          </cell>
          <cell r="L1042">
            <v>-1</v>
          </cell>
        </row>
        <row r="1043">
          <cell r="B1043" t="str">
            <v>2.1.1.04.0834</v>
          </cell>
          <cell r="C1043">
            <v>14031054000129</v>
          </cell>
          <cell r="D1043" t="str">
            <v>COND. ED. MARQUES DOS REIS</v>
          </cell>
          <cell r="E1043" t="str">
            <v>A</v>
          </cell>
          <cell r="H1043" t="str">
            <v>N/A</v>
          </cell>
          <cell r="I1043">
            <v>500001</v>
          </cell>
          <cell r="J1043" t="str">
            <v>Fornecedores</v>
          </cell>
          <cell r="K1043">
            <v>600017</v>
          </cell>
          <cell r="L1043">
            <v>-1</v>
          </cell>
        </row>
        <row r="1044">
          <cell r="B1044" t="str">
            <v>2.1.1.04.0835</v>
          </cell>
          <cell r="C1044">
            <v>20129563000191</v>
          </cell>
          <cell r="D1044" t="str">
            <v>NP TREINAMENTOS E CURSOS LTDA</v>
          </cell>
          <cell r="E1044" t="str">
            <v>A</v>
          </cell>
          <cell r="H1044" t="str">
            <v>N/A</v>
          </cell>
          <cell r="I1044">
            <v>500001</v>
          </cell>
          <cell r="J1044" t="str">
            <v>Fornecedores</v>
          </cell>
          <cell r="K1044">
            <v>600017</v>
          </cell>
          <cell r="L1044">
            <v>-1</v>
          </cell>
        </row>
        <row r="1045">
          <cell r="B1045" t="str">
            <v>2.1.1.04.0836</v>
          </cell>
          <cell r="C1045">
            <v>58932567000186</v>
          </cell>
          <cell r="D1045" t="str">
            <v>AUTODATA EDITORA E EVENTOS LTDA</v>
          </cell>
          <cell r="E1045" t="str">
            <v>A</v>
          </cell>
          <cell r="H1045" t="str">
            <v>N/A</v>
          </cell>
          <cell r="I1045">
            <v>500001</v>
          </cell>
          <cell r="J1045" t="str">
            <v>Fornecedores</v>
          </cell>
          <cell r="K1045">
            <v>600017</v>
          </cell>
          <cell r="L1045">
            <v>-1</v>
          </cell>
        </row>
        <row r="1046">
          <cell r="B1046" t="str">
            <v>2.1.1.04.0837</v>
          </cell>
          <cell r="C1046">
            <v>35816168000154</v>
          </cell>
          <cell r="D1046" t="str">
            <v>HOLLANDA LOPES IMUNIZAÇÃO E VACINAÇÃO</v>
          </cell>
          <cell r="E1046" t="str">
            <v>A</v>
          </cell>
          <cell r="H1046" t="str">
            <v>N/A</v>
          </cell>
          <cell r="I1046">
            <v>500001</v>
          </cell>
          <cell r="J1046" t="str">
            <v>Fornecedores</v>
          </cell>
          <cell r="K1046">
            <v>600017</v>
          </cell>
          <cell r="L1046">
            <v>-1</v>
          </cell>
        </row>
        <row r="1047">
          <cell r="B1047" t="str">
            <v>2.1.1.04.0838</v>
          </cell>
          <cell r="C1047">
            <v>62070115000100</v>
          </cell>
          <cell r="D1047" t="str">
            <v>INSTITUTO DOS AUDITORES INTERNOS BRASIL</v>
          </cell>
          <cell r="E1047" t="str">
            <v>A</v>
          </cell>
          <cell r="H1047" t="str">
            <v>N/A</v>
          </cell>
          <cell r="I1047">
            <v>500001</v>
          </cell>
          <cell r="J1047" t="str">
            <v>Fornecedores</v>
          </cell>
          <cell r="K1047">
            <v>600017</v>
          </cell>
          <cell r="L1047">
            <v>-1</v>
          </cell>
        </row>
        <row r="1048">
          <cell r="B1048" t="str">
            <v>2.1.1.04.0839</v>
          </cell>
          <cell r="C1048">
            <v>5486290000149</v>
          </cell>
          <cell r="D1048" t="str">
            <v>INSTITUTO NACIONAL DE CAPACITAÇÃO EPP</v>
          </cell>
          <cell r="E1048" t="str">
            <v>A</v>
          </cell>
          <cell r="H1048" t="str">
            <v>N/A</v>
          </cell>
          <cell r="I1048">
            <v>500001</v>
          </cell>
          <cell r="J1048" t="str">
            <v>Fornecedores</v>
          </cell>
          <cell r="K1048">
            <v>600017</v>
          </cell>
          <cell r="L1048">
            <v>-1</v>
          </cell>
        </row>
        <row r="1049">
          <cell r="B1049" t="str">
            <v>2.1.1.04.0840</v>
          </cell>
          <cell r="C1049">
            <v>1082331000180</v>
          </cell>
          <cell r="D1049" t="str">
            <v>IBGC - INST BRAS DE GOVERNANÇA CORP</v>
          </cell>
          <cell r="E1049" t="str">
            <v>A</v>
          </cell>
          <cell r="H1049" t="str">
            <v>N/A</v>
          </cell>
          <cell r="I1049">
            <v>500001</v>
          </cell>
          <cell r="J1049" t="str">
            <v>Fornecedores</v>
          </cell>
          <cell r="K1049">
            <v>600017</v>
          </cell>
          <cell r="L1049">
            <v>-1</v>
          </cell>
        </row>
        <row r="1050">
          <cell r="B1050" t="str">
            <v>2.1.1.04.0841</v>
          </cell>
          <cell r="C1050">
            <v>4236619000150</v>
          </cell>
          <cell r="D1050" t="str">
            <v>REAL PROTECT INFORMÁTICA LTDA ME</v>
          </cell>
          <cell r="E1050" t="str">
            <v>A</v>
          </cell>
          <cell r="H1050" t="str">
            <v>N/A</v>
          </cell>
          <cell r="I1050">
            <v>500001</v>
          </cell>
          <cell r="J1050" t="str">
            <v>Fornecedores</v>
          </cell>
          <cell r="K1050">
            <v>600017</v>
          </cell>
          <cell r="L1050">
            <v>-1</v>
          </cell>
        </row>
        <row r="1051">
          <cell r="B1051" t="str">
            <v>2.1.1.04.0842</v>
          </cell>
          <cell r="C1051">
            <v>21449300000122</v>
          </cell>
          <cell r="D1051" t="str">
            <v>BERKAN AUDITORES INDEPENDENTES S.S</v>
          </cell>
          <cell r="E1051" t="str">
            <v>A</v>
          </cell>
          <cell r="H1051" t="str">
            <v>N/A</v>
          </cell>
          <cell r="I1051">
            <v>500001</v>
          </cell>
          <cell r="J1051" t="str">
            <v>Fornecedores</v>
          </cell>
          <cell r="K1051">
            <v>600017</v>
          </cell>
          <cell r="L1051">
            <v>-1</v>
          </cell>
        </row>
        <row r="1052">
          <cell r="B1052" t="str">
            <v>2.1.1.04.0843</v>
          </cell>
          <cell r="C1052">
            <v>11825802000157</v>
          </cell>
          <cell r="D1052" t="str">
            <v>INSTITUTO FENACON</v>
          </cell>
          <cell r="E1052" t="str">
            <v>A</v>
          </cell>
          <cell r="H1052" t="str">
            <v>N/A</v>
          </cell>
          <cell r="I1052">
            <v>500001</v>
          </cell>
          <cell r="J1052" t="str">
            <v>Fornecedores</v>
          </cell>
          <cell r="K1052">
            <v>600017</v>
          </cell>
          <cell r="L1052">
            <v>-1</v>
          </cell>
        </row>
        <row r="1053">
          <cell r="B1053" t="str">
            <v>2.1.1.04.0844</v>
          </cell>
          <cell r="C1053">
            <v>14087594000124</v>
          </cell>
          <cell r="D1053" t="str">
            <v>MMP CURSOS CAP. E TREINAMENTO LTDA</v>
          </cell>
          <cell r="E1053" t="str">
            <v>A</v>
          </cell>
          <cell r="H1053" t="str">
            <v>N/A</v>
          </cell>
          <cell r="I1053">
            <v>500001</v>
          </cell>
          <cell r="J1053" t="str">
            <v>Fornecedores</v>
          </cell>
          <cell r="K1053">
            <v>600017</v>
          </cell>
          <cell r="L1053">
            <v>-1</v>
          </cell>
        </row>
        <row r="1054">
          <cell r="B1054" t="str">
            <v>2.1.1.04.0845</v>
          </cell>
          <cell r="C1054">
            <v>23316006000178</v>
          </cell>
          <cell r="D1054" t="str">
            <v>M2P ENGENHARIA LTDA</v>
          </cell>
          <cell r="E1054" t="str">
            <v>A</v>
          </cell>
          <cell r="H1054" t="str">
            <v>N/A</v>
          </cell>
          <cell r="I1054">
            <v>500001</v>
          </cell>
          <cell r="J1054" t="str">
            <v>Fornecedores</v>
          </cell>
          <cell r="K1054">
            <v>600017</v>
          </cell>
          <cell r="L1054">
            <v>-1</v>
          </cell>
        </row>
        <row r="1055">
          <cell r="B1055" t="str">
            <v>2.1.1.04.0846</v>
          </cell>
          <cell r="C1055">
            <v>74336595000197</v>
          </cell>
          <cell r="D1055" t="str">
            <v>ELETROMAGNETICS TEC. E INF. LTDA</v>
          </cell>
          <cell r="E1055" t="str">
            <v>A</v>
          </cell>
          <cell r="H1055" t="str">
            <v>N/A</v>
          </cell>
          <cell r="I1055">
            <v>500001</v>
          </cell>
          <cell r="J1055" t="str">
            <v>Fornecedores</v>
          </cell>
          <cell r="K1055">
            <v>600017</v>
          </cell>
          <cell r="L1055">
            <v>-1</v>
          </cell>
        </row>
        <row r="1056">
          <cell r="B1056" t="str">
            <v>2.1.1.04.0847</v>
          </cell>
          <cell r="C1056">
            <v>67634022000184</v>
          </cell>
          <cell r="D1056" t="str">
            <v>QSP - CENTRO DE Q. SEG. E PROD. P/BR E A</v>
          </cell>
          <cell r="E1056" t="str">
            <v>A</v>
          </cell>
          <cell r="H1056" t="str">
            <v>N/A</v>
          </cell>
          <cell r="I1056">
            <v>500001</v>
          </cell>
          <cell r="J1056" t="str">
            <v>Fornecedores</v>
          </cell>
          <cell r="K1056">
            <v>600017</v>
          </cell>
          <cell r="L1056">
            <v>-1</v>
          </cell>
        </row>
        <row r="1057">
          <cell r="B1057" t="str">
            <v>2.1.1.04.0848</v>
          </cell>
          <cell r="C1057">
            <v>26410329000114</v>
          </cell>
          <cell r="D1057" t="str">
            <v>TRAINSEC SEGURANCA EIRELI</v>
          </cell>
          <cell r="E1057" t="str">
            <v>A</v>
          </cell>
          <cell r="H1057" t="str">
            <v>N/A</v>
          </cell>
          <cell r="I1057">
            <v>500001</v>
          </cell>
          <cell r="J1057" t="str">
            <v>Fornecedores</v>
          </cell>
          <cell r="K1057">
            <v>600017</v>
          </cell>
          <cell r="L1057">
            <v>-1</v>
          </cell>
        </row>
        <row r="1058">
          <cell r="B1058" t="str">
            <v>2.1.1.04.0849</v>
          </cell>
          <cell r="C1058">
            <v>10618228000101</v>
          </cell>
          <cell r="D1058" t="str">
            <v>MAGNOPLAN GERENCIAMENTO DE PROJETOS LTDA</v>
          </cell>
          <cell r="E1058" t="str">
            <v>A</v>
          </cell>
          <cell r="H1058" t="str">
            <v>N/A</v>
          </cell>
          <cell r="I1058">
            <v>500001</v>
          </cell>
          <cell r="J1058" t="str">
            <v>Fornecedores</v>
          </cell>
          <cell r="K1058">
            <v>600017</v>
          </cell>
          <cell r="L1058">
            <v>-1</v>
          </cell>
        </row>
        <row r="1059">
          <cell r="B1059" t="str">
            <v>2.1.1.04.0850</v>
          </cell>
          <cell r="C1059">
            <v>3784680000170</v>
          </cell>
          <cell r="D1059" t="str">
            <v>SENAI RN</v>
          </cell>
          <cell r="E1059" t="str">
            <v>A</v>
          </cell>
          <cell r="H1059" t="str">
            <v>N/A</v>
          </cell>
          <cell r="I1059">
            <v>500001</v>
          </cell>
          <cell r="J1059" t="str">
            <v>Fornecedores</v>
          </cell>
          <cell r="K1059">
            <v>600017</v>
          </cell>
          <cell r="L1059">
            <v>-1</v>
          </cell>
        </row>
        <row r="1060">
          <cell r="B1060" t="str">
            <v>2.1.1.04.0851</v>
          </cell>
          <cell r="C1060">
            <v>29493477000138</v>
          </cell>
          <cell r="D1060" t="str">
            <v>ROBERTO FERREIRA DOS SANTOS</v>
          </cell>
          <cell r="E1060" t="str">
            <v>A</v>
          </cell>
          <cell r="H1060" t="str">
            <v>N/A</v>
          </cell>
          <cell r="I1060">
            <v>500001</v>
          </cell>
          <cell r="J1060" t="str">
            <v>Fornecedores</v>
          </cell>
          <cell r="K1060">
            <v>600017</v>
          </cell>
          <cell r="L1060">
            <v>-1</v>
          </cell>
        </row>
        <row r="1061">
          <cell r="B1061" t="str">
            <v>2.1.1.04.0852</v>
          </cell>
          <cell r="C1061">
            <v>35851538000194</v>
          </cell>
          <cell r="D1061" t="str">
            <v>ECOAMB CONSULTORIA ECONOMICA</v>
          </cell>
          <cell r="E1061" t="str">
            <v>A</v>
          </cell>
          <cell r="H1061" t="str">
            <v>N/A</v>
          </cell>
          <cell r="I1061">
            <v>500001</v>
          </cell>
          <cell r="J1061" t="str">
            <v>Fornecedores</v>
          </cell>
          <cell r="K1061">
            <v>600017</v>
          </cell>
          <cell r="L1061">
            <v>-1</v>
          </cell>
        </row>
        <row r="1062">
          <cell r="B1062" t="str">
            <v>2.1.1.04.0853</v>
          </cell>
          <cell r="C1062">
            <v>8817857000100</v>
          </cell>
          <cell r="D1062" t="str">
            <v>ASSOCIAÇÃO BRASILEIRA DE ENERGIA SOLAR</v>
          </cell>
          <cell r="E1062" t="str">
            <v>A</v>
          </cell>
          <cell r="H1062" t="str">
            <v>N/A</v>
          </cell>
          <cell r="I1062">
            <v>500001</v>
          </cell>
          <cell r="J1062" t="str">
            <v>Fornecedores</v>
          </cell>
          <cell r="K1062">
            <v>600017</v>
          </cell>
          <cell r="L1062">
            <v>-1</v>
          </cell>
        </row>
        <row r="1063">
          <cell r="B1063" t="str">
            <v>2.1.1.04.0854</v>
          </cell>
          <cell r="C1063">
            <v>37748843000180</v>
          </cell>
          <cell r="D1063" t="str">
            <v>AP12 FILMES E PRODUÇÕES LTDA</v>
          </cell>
          <cell r="E1063" t="str">
            <v>A</v>
          </cell>
          <cell r="H1063" t="str">
            <v>N/A</v>
          </cell>
          <cell r="I1063">
            <v>500001</v>
          </cell>
          <cell r="J1063" t="str">
            <v>Fornecedores</v>
          </cell>
          <cell r="K1063">
            <v>600017</v>
          </cell>
          <cell r="L1063">
            <v>-1</v>
          </cell>
        </row>
        <row r="1064">
          <cell r="B1064" t="str">
            <v>2.1.1.04.0855</v>
          </cell>
          <cell r="C1064">
            <v>5569970000126</v>
          </cell>
          <cell r="D1064" t="str">
            <v>UNIEDUCAR INTELIGÊNCIA EDUCACIONAL LTDA</v>
          </cell>
          <cell r="E1064" t="str">
            <v>A</v>
          </cell>
          <cell r="H1064" t="str">
            <v>N/A</v>
          </cell>
          <cell r="I1064">
            <v>500001</v>
          </cell>
          <cell r="J1064" t="str">
            <v>Fornecedores</v>
          </cell>
          <cell r="K1064">
            <v>600017</v>
          </cell>
          <cell r="L1064">
            <v>-1</v>
          </cell>
        </row>
        <row r="1065">
          <cell r="B1065" t="str">
            <v>2.1.1.04.0856</v>
          </cell>
          <cell r="C1065">
            <v>8865615000192</v>
          </cell>
          <cell r="D1065" t="str">
            <v>WORKING ASSOCIAÇÃO DE INTEGRAÇÃO PROFIS</v>
          </cell>
          <cell r="E1065" t="str">
            <v>A</v>
          </cell>
          <cell r="H1065" t="str">
            <v>N/A</v>
          </cell>
          <cell r="I1065">
            <v>500001</v>
          </cell>
          <cell r="J1065" t="str">
            <v>Fornecedores</v>
          </cell>
          <cell r="K1065">
            <v>600017</v>
          </cell>
          <cell r="L1065">
            <v>-1</v>
          </cell>
        </row>
        <row r="1066">
          <cell r="B1066" t="str">
            <v>2.1.1.04.0857</v>
          </cell>
          <cell r="C1066">
            <v>7192480000189</v>
          </cell>
          <cell r="D1066" t="str">
            <v>AMM TECNOLOGIA E SERV. INF. LTDA</v>
          </cell>
          <cell r="E1066" t="str">
            <v>A</v>
          </cell>
          <cell r="H1066" t="str">
            <v>N/A</v>
          </cell>
          <cell r="I1066">
            <v>500001</v>
          </cell>
          <cell r="J1066" t="str">
            <v>Fornecedores</v>
          </cell>
          <cell r="K1066">
            <v>600017</v>
          </cell>
          <cell r="L1066">
            <v>-1</v>
          </cell>
        </row>
        <row r="1067">
          <cell r="B1067" t="str">
            <v>2.1.1.04.0858</v>
          </cell>
          <cell r="C1067">
            <v>49607336000106</v>
          </cell>
          <cell r="D1067" t="str">
            <v>FUNCAMP - FUND. DE DES. DA UNICAMP</v>
          </cell>
          <cell r="E1067" t="str">
            <v>A</v>
          </cell>
          <cell r="H1067" t="str">
            <v>N/A</v>
          </cell>
          <cell r="I1067">
            <v>500001</v>
          </cell>
          <cell r="J1067" t="str">
            <v>Fornecedores</v>
          </cell>
          <cell r="K1067">
            <v>600017</v>
          </cell>
          <cell r="L1067">
            <v>-1</v>
          </cell>
        </row>
        <row r="1068">
          <cell r="B1068" t="str">
            <v>2.1.1.04.0859</v>
          </cell>
          <cell r="C1068">
            <v>13529513000136</v>
          </cell>
          <cell r="D1068" t="str">
            <v>ALPHA &amp; OMEGA TRANSCRIÇÕES</v>
          </cell>
          <cell r="E1068" t="str">
            <v>A</v>
          </cell>
          <cell r="H1068" t="str">
            <v>N/A</v>
          </cell>
          <cell r="I1068">
            <v>500001</v>
          </cell>
          <cell r="J1068" t="str">
            <v>Fornecedores</v>
          </cell>
          <cell r="K1068">
            <v>600017</v>
          </cell>
          <cell r="L1068">
            <v>-1</v>
          </cell>
        </row>
        <row r="1069">
          <cell r="B1069" t="str">
            <v>2.1.1.04.0860</v>
          </cell>
          <cell r="C1069">
            <v>10237136000173</v>
          </cell>
          <cell r="D1069" t="str">
            <v>AF FIGUEIREDO - PALESTRAS, CURSOS E CONGR.</v>
          </cell>
          <cell r="E1069" t="str">
            <v>A</v>
          </cell>
          <cell r="H1069" t="str">
            <v>N/A</v>
          </cell>
          <cell r="I1069">
            <v>500001</v>
          </cell>
          <cell r="J1069" t="str">
            <v>Fornecedores</v>
          </cell>
          <cell r="K1069">
            <v>600017</v>
          </cell>
          <cell r="L1069">
            <v>-1</v>
          </cell>
        </row>
        <row r="1070">
          <cell r="B1070" t="str">
            <v>2.1.1.04.0861</v>
          </cell>
          <cell r="C1070">
            <v>13517609000184</v>
          </cell>
          <cell r="D1070" t="str">
            <v>IQUALI - INST. DE QUALIFICAÇÃO PROFISSIONAL</v>
          </cell>
          <cell r="E1070" t="str">
            <v>A</v>
          </cell>
          <cell r="H1070" t="str">
            <v>N/A</v>
          </cell>
          <cell r="I1070">
            <v>500001</v>
          </cell>
          <cell r="J1070" t="str">
            <v>Fornecedores</v>
          </cell>
          <cell r="K1070">
            <v>600017</v>
          </cell>
          <cell r="L1070">
            <v>-1</v>
          </cell>
        </row>
        <row r="1071">
          <cell r="B1071" t="str">
            <v>2.1.1.04.0862</v>
          </cell>
          <cell r="C1071">
            <v>33175178000122</v>
          </cell>
          <cell r="D1071" t="str">
            <v>JAIRO ADELINO DOS SANTOS</v>
          </cell>
          <cell r="E1071" t="str">
            <v>A</v>
          </cell>
          <cell r="H1071" t="str">
            <v>N/A</v>
          </cell>
          <cell r="I1071">
            <v>500001</v>
          </cell>
          <cell r="J1071" t="str">
            <v>Fornecedores</v>
          </cell>
          <cell r="K1071">
            <v>600017</v>
          </cell>
          <cell r="L1071">
            <v>-1</v>
          </cell>
        </row>
        <row r="1072">
          <cell r="B1072" t="str">
            <v>2.1.1.04.0863</v>
          </cell>
          <cell r="C1072">
            <v>24736096000119</v>
          </cell>
          <cell r="D1072" t="str">
            <v>TREINAR CAPACITAÇÃO E DESENVOLVIMENTO</v>
          </cell>
          <cell r="E1072" t="str">
            <v>A</v>
          </cell>
          <cell r="H1072" t="str">
            <v>N/A</v>
          </cell>
          <cell r="I1072">
            <v>500001</v>
          </cell>
          <cell r="J1072" t="str">
            <v>Fornecedores</v>
          </cell>
          <cell r="K1072">
            <v>600017</v>
          </cell>
          <cell r="L1072">
            <v>-1</v>
          </cell>
        </row>
        <row r="1073">
          <cell r="B1073" t="str">
            <v>2.1.1.04.0864</v>
          </cell>
          <cell r="C1073">
            <v>28066342000123</v>
          </cell>
          <cell r="D1073" t="str">
            <v>LEANDRO NOBREGA GULLO</v>
          </cell>
          <cell r="E1073" t="str">
            <v>A</v>
          </cell>
          <cell r="H1073" t="str">
            <v>N/A</v>
          </cell>
          <cell r="I1073">
            <v>500001</v>
          </cell>
          <cell r="J1073" t="str">
            <v>Fornecedores</v>
          </cell>
          <cell r="K1073">
            <v>600017</v>
          </cell>
          <cell r="L1073">
            <v>-1</v>
          </cell>
        </row>
        <row r="1074">
          <cell r="B1074" t="str">
            <v>2.1.1.04.0865</v>
          </cell>
          <cell r="C1074">
            <v>7929380000192</v>
          </cell>
          <cell r="D1074" t="str">
            <v>NELISE CARDOSO DOS SANTOS WALDER ME</v>
          </cell>
          <cell r="E1074" t="str">
            <v>A</v>
          </cell>
          <cell r="H1074" t="str">
            <v>N/A</v>
          </cell>
          <cell r="I1074">
            <v>500001</v>
          </cell>
          <cell r="J1074" t="str">
            <v>Fornecedores</v>
          </cell>
          <cell r="K1074">
            <v>600017</v>
          </cell>
          <cell r="L1074">
            <v>-1</v>
          </cell>
        </row>
        <row r="1075">
          <cell r="B1075" t="str">
            <v>2.1.1.04.0866</v>
          </cell>
          <cell r="C1075">
            <v>36984127000130</v>
          </cell>
          <cell r="D1075" t="str">
            <v>BRAZIL IT SOLUÇÕES EM INFORMÁTICA</v>
          </cell>
          <cell r="E1075" t="str">
            <v>A</v>
          </cell>
          <cell r="H1075" t="str">
            <v>N/A</v>
          </cell>
          <cell r="I1075">
            <v>500001</v>
          </cell>
          <cell r="J1075" t="str">
            <v>Fornecedores</v>
          </cell>
          <cell r="K1075">
            <v>600017</v>
          </cell>
          <cell r="L1075">
            <v>-1</v>
          </cell>
        </row>
        <row r="1076">
          <cell r="B1076" t="str">
            <v>2.1.1.04.0867</v>
          </cell>
          <cell r="C1076">
            <v>32319650000190</v>
          </cell>
          <cell r="D1076" t="str">
            <v>CLINICARE MEDICINA E SEGURANÇA</v>
          </cell>
          <cell r="E1076" t="str">
            <v>A</v>
          </cell>
          <cell r="H1076" t="str">
            <v>N/A</v>
          </cell>
          <cell r="I1076">
            <v>500001</v>
          </cell>
          <cell r="J1076" t="str">
            <v>Fornecedores</v>
          </cell>
          <cell r="K1076">
            <v>600017</v>
          </cell>
          <cell r="L1076">
            <v>-1</v>
          </cell>
        </row>
        <row r="1077">
          <cell r="B1077" t="str">
            <v>2.1.1.04.0868</v>
          </cell>
          <cell r="C1077">
            <v>38010482000133</v>
          </cell>
          <cell r="D1077" t="str">
            <v>PROPULSÃO SERVIÇOS DE TRANSPORTE</v>
          </cell>
          <cell r="E1077" t="str">
            <v>A</v>
          </cell>
          <cell r="H1077" t="str">
            <v>N/A</v>
          </cell>
          <cell r="I1077">
            <v>500001</v>
          </cell>
          <cell r="J1077" t="str">
            <v>Fornecedores</v>
          </cell>
          <cell r="K1077">
            <v>600017</v>
          </cell>
          <cell r="L1077">
            <v>-1</v>
          </cell>
        </row>
        <row r="1078">
          <cell r="B1078" t="str">
            <v>2.1.1.04.0869</v>
          </cell>
          <cell r="C1078">
            <v>11521976000126</v>
          </cell>
          <cell r="D1078" t="str">
            <v>AUSTRAL SEGURADORA S.A.</v>
          </cell>
          <cell r="E1078" t="str">
            <v>A</v>
          </cell>
          <cell r="H1078" t="str">
            <v>N/A</v>
          </cell>
          <cell r="I1078">
            <v>500001</v>
          </cell>
          <cell r="J1078" t="str">
            <v>Fornecedores</v>
          </cell>
          <cell r="K1078">
            <v>600017</v>
          </cell>
          <cell r="L1078">
            <v>-1</v>
          </cell>
        </row>
        <row r="1079">
          <cell r="B1079" t="str">
            <v>2.1.1.04.0870</v>
          </cell>
          <cell r="C1079">
            <v>64909716000199</v>
          </cell>
          <cell r="D1079" t="str">
            <v>FIGENER ENGENHEIROS ASSOCIADOS LTDA</v>
          </cell>
          <cell r="E1079" t="str">
            <v>A</v>
          </cell>
          <cell r="H1079" t="str">
            <v>N/A</v>
          </cell>
          <cell r="I1079">
            <v>500001</v>
          </cell>
          <cell r="J1079" t="str">
            <v>Fornecedores</v>
          </cell>
          <cell r="K1079">
            <v>600017</v>
          </cell>
          <cell r="L1079">
            <v>-1</v>
          </cell>
        </row>
        <row r="1080">
          <cell r="B1080" t="str">
            <v>2.1.1.04.0871</v>
          </cell>
          <cell r="C1080">
            <v>35791391000194</v>
          </cell>
          <cell r="D1080" t="str">
            <v>QUALITY SOFTWARE S/A</v>
          </cell>
          <cell r="E1080" t="str">
            <v>A</v>
          </cell>
          <cell r="H1080" t="str">
            <v>N/A</v>
          </cell>
          <cell r="I1080">
            <v>500001</v>
          </cell>
          <cell r="J1080" t="str">
            <v>Fornecedores</v>
          </cell>
          <cell r="K1080">
            <v>600017</v>
          </cell>
          <cell r="L1080">
            <v>-1</v>
          </cell>
        </row>
        <row r="1081">
          <cell r="B1081" t="str">
            <v>2.1.1.04.0872</v>
          </cell>
          <cell r="C1081">
            <v>15610540000164</v>
          </cell>
          <cell r="D1081" t="str">
            <v>JUMP SERVICOS GRAFICOS LTDA</v>
          </cell>
          <cell r="E1081" t="str">
            <v>A</v>
          </cell>
          <cell r="H1081" t="str">
            <v>N/A</v>
          </cell>
          <cell r="I1081">
            <v>500001</v>
          </cell>
          <cell r="J1081" t="str">
            <v>Fornecedores</v>
          </cell>
          <cell r="K1081">
            <v>600017</v>
          </cell>
          <cell r="L1081">
            <v>-1</v>
          </cell>
        </row>
        <row r="1082">
          <cell r="B1082" t="str">
            <v>2.1.1.04.0873</v>
          </cell>
          <cell r="C1082">
            <v>11204356000163</v>
          </cell>
          <cell r="D1082" t="str">
            <v>TECHDOC SERVICOS TECNOLOGICOS LTDA</v>
          </cell>
          <cell r="E1082" t="str">
            <v>A</v>
          </cell>
          <cell r="H1082" t="str">
            <v>N/A</v>
          </cell>
          <cell r="I1082">
            <v>500001</v>
          </cell>
          <cell r="J1082" t="str">
            <v>Fornecedores</v>
          </cell>
          <cell r="K1082">
            <v>600017</v>
          </cell>
          <cell r="L1082">
            <v>-1</v>
          </cell>
        </row>
        <row r="1083">
          <cell r="B1083" t="str">
            <v>2.1.1.04.0874</v>
          </cell>
          <cell r="C1083">
            <v>29775845000130</v>
          </cell>
          <cell r="D1083" t="str">
            <v>SOLUTIAL SOLUCOES E ANALISE DE DADOS LTDA</v>
          </cell>
          <cell r="E1083" t="str">
            <v>A</v>
          </cell>
          <cell r="H1083" t="str">
            <v>N/A</v>
          </cell>
          <cell r="I1083">
            <v>500001</v>
          </cell>
          <cell r="J1083" t="str">
            <v>Fornecedores</v>
          </cell>
          <cell r="K1083">
            <v>600017</v>
          </cell>
          <cell r="L1083">
            <v>-1</v>
          </cell>
        </row>
        <row r="1084">
          <cell r="B1084" t="str">
            <v>2.1.1.04.0875</v>
          </cell>
          <cell r="C1084">
            <v>15011202000106</v>
          </cell>
          <cell r="D1084" t="str">
            <v>ESTATER TECNOLOGIA E SERVICOS LTDA</v>
          </cell>
          <cell r="E1084" t="str">
            <v>A</v>
          </cell>
          <cell r="H1084" t="str">
            <v>N/A</v>
          </cell>
          <cell r="I1084">
            <v>500001</v>
          </cell>
          <cell r="J1084" t="str">
            <v>Fornecedores</v>
          </cell>
          <cell r="K1084">
            <v>600017</v>
          </cell>
          <cell r="L1084">
            <v>-1</v>
          </cell>
        </row>
        <row r="1085">
          <cell r="B1085" t="str">
            <v>2.1.1.04.0876</v>
          </cell>
          <cell r="C1085">
            <v>13157625000103</v>
          </cell>
          <cell r="D1085" t="str">
            <v>LEONARDO AGUIAR MARTIN</v>
          </cell>
          <cell r="E1085" t="str">
            <v>A</v>
          </cell>
          <cell r="H1085" t="str">
            <v>N/A</v>
          </cell>
          <cell r="I1085">
            <v>500001</v>
          </cell>
          <cell r="J1085" t="str">
            <v>Fornecedores</v>
          </cell>
          <cell r="K1085">
            <v>600017</v>
          </cell>
          <cell r="L1085">
            <v>-1</v>
          </cell>
        </row>
        <row r="1086">
          <cell r="B1086" t="str">
            <v>2.1.1.04.0877</v>
          </cell>
          <cell r="C1086">
            <v>2081864000100</v>
          </cell>
          <cell r="D1086" t="str">
            <v>GFARIAS EDUCAÇÃO LTDA</v>
          </cell>
          <cell r="E1086" t="str">
            <v>A</v>
          </cell>
          <cell r="H1086" t="str">
            <v>N/A</v>
          </cell>
          <cell r="I1086">
            <v>500001</v>
          </cell>
          <cell r="J1086" t="str">
            <v>Fornecedores</v>
          </cell>
          <cell r="K1086">
            <v>600017</v>
          </cell>
          <cell r="L1086">
            <v>-1</v>
          </cell>
        </row>
        <row r="1087">
          <cell r="B1087" t="str">
            <v>2.1.1.04.0878</v>
          </cell>
          <cell r="C1087">
            <v>36826463000154</v>
          </cell>
          <cell r="D1087" t="str">
            <v>MARIA DAS NEVES FERREIRA PINTO VIEIRA</v>
          </cell>
          <cell r="E1087" t="str">
            <v>A</v>
          </cell>
          <cell r="H1087" t="str">
            <v>N/A</v>
          </cell>
          <cell r="I1087">
            <v>500001</v>
          </cell>
          <cell r="J1087" t="str">
            <v>Fornecedores</v>
          </cell>
          <cell r="K1087">
            <v>600017</v>
          </cell>
          <cell r="L1087">
            <v>-1</v>
          </cell>
        </row>
        <row r="1088">
          <cell r="B1088" t="str">
            <v>2.1.1.04.0879</v>
          </cell>
          <cell r="C1088">
            <v>5246000000190</v>
          </cell>
          <cell r="D1088" t="str">
            <v>PROSA DO MUNDO SERV. EDITORIAS</v>
          </cell>
          <cell r="E1088" t="str">
            <v>A</v>
          </cell>
          <cell r="H1088" t="str">
            <v>N/A</v>
          </cell>
          <cell r="I1088">
            <v>500001</v>
          </cell>
          <cell r="J1088" t="str">
            <v>Fornecedores</v>
          </cell>
          <cell r="K1088">
            <v>600017</v>
          </cell>
          <cell r="L1088">
            <v>-1</v>
          </cell>
        </row>
        <row r="1089">
          <cell r="B1089" t="str">
            <v>2.1.1.04.0881</v>
          </cell>
          <cell r="C1089">
            <v>3364275000100</v>
          </cell>
          <cell r="D1089" t="str">
            <v>AUTODATA SEMINARIOS E EDITORA LTDA</v>
          </cell>
          <cell r="E1089" t="str">
            <v>A</v>
          </cell>
          <cell r="H1089" t="str">
            <v>N/A</v>
          </cell>
          <cell r="I1089">
            <v>500001</v>
          </cell>
          <cell r="J1089" t="str">
            <v>Fornecedores</v>
          </cell>
          <cell r="K1089">
            <v>600017</v>
          </cell>
          <cell r="L1089">
            <v>-1</v>
          </cell>
        </row>
        <row r="1090">
          <cell r="B1090" t="str">
            <v>2.1.1.04.0882</v>
          </cell>
          <cell r="C1090">
            <v>188111000173</v>
          </cell>
          <cell r="D1090" t="str">
            <v>R PEOTTA ENGENHARIA E CONSULTORIA</v>
          </cell>
          <cell r="E1090" t="str">
            <v>A</v>
          </cell>
          <cell r="H1090" t="str">
            <v>N/A</v>
          </cell>
          <cell r="I1090">
            <v>500001</v>
          </cell>
          <cell r="J1090" t="str">
            <v>Fornecedores</v>
          </cell>
          <cell r="K1090">
            <v>600017</v>
          </cell>
          <cell r="L1090">
            <v>-1</v>
          </cell>
        </row>
        <row r="1091">
          <cell r="B1091" t="str">
            <v>2.1.1.04.0883</v>
          </cell>
          <cell r="C1091">
            <v>21728334000156</v>
          </cell>
          <cell r="D1091" t="str">
            <v>JSM SOLUÇÕES LOGÍSTICAS E TRANSPORTE</v>
          </cell>
          <cell r="E1091" t="str">
            <v>A</v>
          </cell>
          <cell r="H1091" t="str">
            <v>N/A</v>
          </cell>
          <cell r="I1091">
            <v>500001</v>
          </cell>
          <cell r="J1091" t="str">
            <v>Fornecedores</v>
          </cell>
          <cell r="K1091">
            <v>600017</v>
          </cell>
          <cell r="L1091">
            <v>-1</v>
          </cell>
        </row>
        <row r="1092">
          <cell r="B1092" t="str">
            <v>2.1.1.04.0884</v>
          </cell>
          <cell r="C1092">
            <v>82429556000162</v>
          </cell>
          <cell r="D1092" t="str">
            <v>CENOFISCO EDIT. DE PUBLICAÇÕES TRIBUTÁRIAS</v>
          </cell>
          <cell r="E1092" t="str">
            <v>A</v>
          </cell>
          <cell r="H1092" t="str">
            <v>N/A</v>
          </cell>
          <cell r="I1092">
            <v>500001</v>
          </cell>
          <cell r="J1092" t="str">
            <v>Fornecedores</v>
          </cell>
          <cell r="K1092">
            <v>600017</v>
          </cell>
          <cell r="L1092">
            <v>-1</v>
          </cell>
        </row>
        <row r="1093">
          <cell r="B1093" t="str">
            <v>2.1.1.04.0885</v>
          </cell>
          <cell r="C1093">
            <v>3861429000161</v>
          </cell>
          <cell r="D1093" t="str">
            <v>CHÁ COM NOZES PROPAGANDA LTDA</v>
          </cell>
          <cell r="E1093" t="str">
            <v>A</v>
          </cell>
          <cell r="H1093" t="str">
            <v>N/A</v>
          </cell>
          <cell r="I1093">
            <v>500001</v>
          </cell>
          <cell r="J1093" t="str">
            <v>Fornecedores</v>
          </cell>
          <cell r="K1093">
            <v>600017</v>
          </cell>
          <cell r="L1093">
            <v>-1</v>
          </cell>
        </row>
        <row r="1094">
          <cell r="B1094" t="str">
            <v>2.1.1.04.0886</v>
          </cell>
          <cell r="C1094">
            <v>7718944000148</v>
          </cell>
          <cell r="D1094" t="str">
            <v>ZILMA WAVGENCZAK ME.</v>
          </cell>
          <cell r="E1094" t="str">
            <v>A</v>
          </cell>
          <cell r="H1094" t="str">
            <v>N/A</v>
          </cell>
          <cell r="I1094">
            <v>500001</v>
          </cell>
          <cell r="J1094" t="str">
            <v>Fornecedores</v>
          </cell>
          <cell r="K1094">
            <v>600017</v>
          </cell>
          <cell r="L1094">
            <v>-1</v>
          </cell>
        </row>
        <row r="1095">
          <cell r="B1095" t="str">
            <v>2.1.1.04.0887</v>
          </cell>
          <cell r="C1095">
            <v>9474731000143</v>
          </cell>
          <cell r="D1095" t="str">
            <v>SINAPSIS INOVACAO EM ENERGIA S/S LTDA</v>
          </cell>
          <cell r="E1095" t="str">
            <v>A</v>
          </cell>
          <cell r="H1095" t="str">
            <v>N/A</v>
          </cell>
          <cell r="I1095">
            <v>500001</v>
          </cell>
          <cell r="J1095" t="str">
            <v>Fornecedores</v>
          </cell>
          <cell r="K1095">
            <v>600017</v>
          </cell>
          <cell r="L1095">
            <v>-1</v>
          </cell>
        </row>
        <row r="1096">
          <cell r="B1096" t="str">
            <v>2.1.1.04.0888</v>
          </cell>
          <cell r="C1096">
            <v>6923780000128</v>
          </cell>
          <cell r="D1096" t="str">
            <v>MIRIAN ISABEL SAY - MEI</v>
          </cell>
          <cell r="E1096" t="str">
            <v>A</v>
          </cell>
          <cell r="H1096" t="str">
            <v>N/A</v>
          </cell>
          <cell r="I1096">
            <v>500001</v>
          </cell>
          <cell r="J1096" t="str">
            <v>Fornecedores</v>
          </cell>
          <cell r="K1096">
            <v>600017</v>
          </cell>
          <cell r="L1096">
            <v>-1</v>
          </cell>
        </row>
        <row r="1097">
          <cell r="B1097" t="str">
            <v>2.1.1.04.0889</v>
          </cell>
          <cell r="C1097">
            <v>20666918000181</v>
          </cell>
          <cell r="D1097" t="str">
            <v>M&amp;D CURSOS E TREINAMENTOS</v>
          </cell>
          <cell r="E1097" t="str">
            <v>A</v>
          </cell>
          <cell r="H1097" t="str">
            <v>N/A</v>
          </cell>
          <cell r="I1097">
            <v>500001</v>
          </cell>
          <cell r="J1097" t="str">
            <v>Fornecedores</v>
          </cell>
          <cell r="K1097">
            <v>600017</v>
          </cell>
          <cell r="L1097">
            <v>-1</v>
          </cell>
        </row>
        <row r="1098">
          <cell r="B1098" t="str">
            <v>2.1.1.04.0890</v>
          </cell>
          <cell r="C1098">
            <v>42521088000137</v>
          </cell>
          <cell r="D1098" t="str">
            <v>INSTITUTO NACIONAL DA PROPRIEDADE INDUSTRIAL</v>
          </cell>
          <cell r="E1098" t="str">
            <v>A</v>
          </cell>
          <cell r="H1098" t="str">
            <v>N/A</v>
          </cell>
          <cell r="I1098">
            <v>500001</v>
          </cell>
          <cell r="J1098" t="str">
            <v>Fornecedores</v>
          </cell>
          <cell r="K1098">
            <v>600017</v>
          </cell>
          <cell r="L1098">
            <v>-1</v>
          </cell>
        </row>
        <row r="1099">
          <cell r="B1099" t="str">
            <v>2.1.1.04.0891</v>
          </cell>
          <cell r="C1099">
            <v>18133018000127</v>
          </cell>
          <cell r="D1099" t="str">
            <v>CAPACITY TREINAMENTO E APERFEIÇOAMENTO</v>
          </cell>
          <cell r="E1099" t="str">
            <v>A</v>
          </cell>
          <cell r="H1099" t="str">
            <v>N/A</v>
          </cell>
          <cell r="I1099">
            <v>500001</v>
          </cell>
          <cell r="J1099" t="str">
            <v>Fornecedores</v>
          </cell>
          <cell r="K1099">
            <v>600017</v>
          </cell>
          <cell r="L1099">
            <v>-1</v>
          </cell>
        </row>
        <row r="1100">
          <cell r="B1100" t="str">
            <v>2.1.1.04.0892</v>
          </cell>
          <cell r="C1100">
            <v>9079572000182</v>
          </cell>
          <cell r="D1100" t="str">
            <v>TOTAL LIFE ASSISTENCIA A VIDA LTDA</v>
          </cell>
          <cell r="E1100" t="str">
            <v>A</v>
          </cell>
          <cell r="H1100" t="str">
            <v>N/A</v>
          </cell>
          <cell r="I1100">
            <v>500001</v>
          </cell>
          <cell r="J1100" t="str">
            <v>Fornecedores</v>
          </cell>
          <cell r="K1100">
            <v>600017</v>
          </cell>
          <cell r="L1100">
            <v>-1</v>
          </cell>
        </row>
        <row r="1101">
          <cell r="B1101" t="str">
            <v>2.1.1.04.0893</v>
          </cell>
          <cell r="C1101">
            <v>23880630000101</v>
          </cell>
          <cell r="D1101" t="str">
            <v>WETALK TECNOLOGIA DA INFORMAÇÃO</v>
          </cell>
          <cell r="E1101" t="str">
            <v>A</v>
          </cell>
          <cell r="H1101" t="str">
            <v>N/A</v>
          </cell>
          <cell r="I1101">
            <v>500001</v>
          </cell>
          <cell r="J1101" t="str">
            <v>Fornecedores</v>
          </cell>
          <cell r="K1101">
            <v>600017</v>
          </cell>
          <cell r="L1101">
            <v>-1</v>
          </cell>
        </row>
        <row r="1102">
          <cell r="B1102" t="str">
            <v>2.1.1.04.0894</v>
          </cell>
          <cell r="C1102">
            <v>15394685000175</v>
          </cell>
          <cell r="D1102" t="str">
            <v>GET CLEAN HIGIENIZACAO EIRELI</v>
          </cell>
          <cell r="E1102" t="str">
            <v>A</v>
          </cell>
          <cell r="H1102" t="str">
            <v>N/A</v>
          </cell>
          <cell r="I1102">
            <v>500001</v>
          </cell>
          <cell r="J1102" t="str">
            <v>Fornecedores</v>
          </cell>
          <cell r="K1102">
            <v>600017</v>
          </cell>
          <cell r="L1102">
            <v>-1</v>
          </cell>
        </row>
        <row r="1103">
          <cell r="B1103" t="str">
            <v>2.1.1.04.0895</v>
          </cell>
          <cell r="C1103">
            <v>6070152000147</v>
          </cell>
          <cell r="D1103" t="str">
            <v>INSPER INST. DE ENSINO E PESQUISA</v>
          </cell>
          <cell r="E1103" t="str">
            <v>A</v>
          </cell>
          <cell r="H1103" t="str">
            <v>N/A</v>
          </cell>
          <cell r="I1103">
            <v>500001</v>
          </cell>
          <cell r="J1103" t="str">
            <v>Fornecedores</v>
          </cell>
          <cell r="K1103">
            <v>600017</v>
          </cell>
          <cell r="L1103">
            <v>-1</v>
          </cell>
        </row>
        <row r="1104">
          <cell r="B1104" t="str">
            <v>2.1.1.04.0896</v>
          </cell>
          <cell r="C1104">
            <v>6097867000193</v>
          </cell>
          <cell r="D1104" t="str">
            <v>UNIVET SERVIÇOS ESPECIALIZADOS DE DESINSETIZAÇAO LTDA</v>
          </cell>
          <cell r="E1104" t="str">
            <v>A</v>
          </cell>
          <cell r="H1104" t="str">
            <v>N/A</v>
          </cell>
          <cell r="I1104">
            <v>500001</v>
          </cell>
          <cell r="J1104" t="str">
            <v>Fornecedores</v>
          </cell>
          <cell r="K1104">
            <v>600017</v>
          </cell>
          <cell r="L1104">
            <v>-1</v>
          </cell>
        </row>
        <row r="1105">
          <cell r="B1105" t="str">
            <v>2.1.1.04.0897</v>
          </cell>
          <cell r="C1105">
            <v>54207659000142</v>
          </cell>
          <cell r="D1105" t="str">
            <v>AEA ASSOCIAÇÃO BRAS. DE ENGENHARIA AUTOMOTIVA</v>
          </cell>
          <cell r="E1105" t="str">
            <v>A</v>
          </cell>
          <cell r="H1105" t="str">
            <v>N/A</v>
          </cell>
          <cell r="I1105">
            <v>500001</v>
          </cell>
          <cell r="J1105" t="str">
            <v>Fornecedores</v>
          </cell>
          <cell r="K1105">
            <v>600017</v>
          </cell>
          <cell r="L1105">
            <v>-1</v>
          </cell>
        </row>
        <row r="1106">
          <cell r="B1106" t="str">
            <v>2.1.1.04.0898</v>
          </cell>
          <cell r="C1106">
            <v>8537926000122</v>
          </cell>
          <cell r="D1106" t="str">
            <v>SISTAB TEC-COMERCIO E SERVIÇOS</v>
          </cell>
          <cell r="E1106" t="str">
            <v>A</v>
          </cell>
          <cell r="H1106" t="str">
            <v>N/A</v>
          </cell>
          <cell r="I1106">
            <v>500001</v>
          </cell>
          <cell r="J1106" t="str">
            <v>Fornecedores</v>
          </cell>
          <cell r="K1106">
            <v>600017</v>
          </cell>
          <cell r="L1106">
            <v>-1</v>
          </cell>
        </row>
        <row r="1107">
          <cell r="B1107" t="str">
            <v>2.1.1.04.0899</v>
          </cell>
          <cell r="C1107">
            <v>38405087000150</v>
          </cell>
          <cell r="D1107" t="str">
            <v>VACIVITTA IMUNIZAÇÃO HUMANA</v>
          </cell>
          <cell r="E1107" t="str">
            <v>A</v>
          </cell>
          <cell r="H1107" t="str">
            <v>N/A</v>
          </cell>
          <cell r="I1107">
            <v>500001</v>
          </cell>
          <cell r="J1107" t="str">
            <v>Fornecedores</v>
          </cell>
          <cell r="K1107">
            <v>600017</v>
          </cell>
          <cell r="L1107">
            <v>-1</v>
          </cell>
        </row>
        <row r="1108">
          <cell r="B1108" t="str">
            <v>2.1.1.04.0900</v>
          </cell>
          <cell r="C1108">
            <v>39545634000165</v>
          </cell>
          <cell r="D1108" t="str">
            <v>CVE EVENTOS LTDA</v>
          </cell>
          <cell r="E1108" t="str">
            <v>A</v>
          </cell>
          <cell r="H1108" t="str">
            <v>N/A</v>
          </cell>
          <cell r="I1108">
            <v>500001</v>
          </cell>
          <cell r="J1108" t="str">
            <v>Fornecedores</v>
          </cell>
          <cell r="K1108">
            <v>600017</v>
          </cell>
          <cell r="L1108">
            <v>-1</v>
          </cell>
        </row>
        <row r="1109">
          <cell r="B1109" t="str">
            <v>2.1.1.04.0901</v>
          </cell>
          <cell r="C1109">
            <v>19088605000104</v>
          </cell>
          <cell r="D1109" t="str">
            <v>MGS CLEAN SOLUÇÕES E SERVIÇOS</v>
          </cell>
          <cell r="E1109" t="str">
            <v>A</v>
          </cell>
          <cell r="H1109" t="str">
            <v>N/A</v>
          </cell>
          <cell r="I1109">
            <v>500001</v>
          </cell>
          <cell r="J1109" t="str">
            <v>Fornecedores</v>
          </cell>
          <cell r="K1109">
            <v>600017</v>
          </cell>
          <cell r="L1109">
            <v>-1</v>
          </cell>
        </row>
        <row r="1110">
          <cell r="B1110" t="str">
            <v>2.1.1.04.0902</v>
          </cell>
          <cell r="C1110">
            <v>23392021000103</v>
          </cell>
          <cell r="D1110" t="str">
            <v>JARDEL BECK PALESTRAS MAGICAS EIRELI</v>
          </cell>
          <cell r="E1110" t="str">
            <v>A</v>
          </cell>
          <cell r="H1110" t="str">
            <v>N/A</v>
          </cell>
          <cell r="I1110">
            <v>500001</v>
          </cell>
          <cell r="J1110" t="str">
            <v>Fornecedores</v>
          </cell>
          <cell r="K1110">
            <v>600017</v>
          </cell>
          <cell r="L1110">
            <v>-1</v>
          </cell>
        </row>
        <row r="1111">
          <cell r="B1111" t="str">
            <v>2.1.1.04.0903</v>
          </cell>
          <cell r="C1111">
            <v>31455659000166</v>
          </cell>
          <cell r="D1111" t="str">
            <v>OFFICELESS EMPREENDEDORISMO E CONSULTORIA</v>
          </cell>
          <cell r="E1111" t="str">
            <v>A</v>
          </cell>
          <cell r="H1111" t="str">
            <v>N/A</v>
          </cell>
          <cell r="I1111">
            <v>500001</v>
          </cell>
          <cell r="J1111" t="str">
            <v>Fornecedores</v>
          </cell>
          <cell r="K1111">
            <v>600017</v>
          </cell>
          <cell r="L1111">
            <v>-1</v>
          </cell>
        </row>
        <row r="1112">
          <cell r="B1112" t="str">
            <v>2.1.1.04.0904</v>
          </cell>
          <cell r="C1112">
            <v>398099000121</v>
          </cell>
          <cell r="D1112" t="str">
            <v>ASSOCIAÇÃO BRASILEIRA DE ORÇAMENTO PÚBLICO</v>
          </cell>
          <cell r="E1112" t="str">
            <v>A</v>
          </cell>
          <cell r="H1112" t="str">
            <v>N/A</v>
          </cell>
          <cell r="I1112">
            <v>500001</v>
          </cell>
          <cell r="J1112" t="str">
            <v>Fornecedores</v>
          </cell>
          <cell r="K1112">
            <v>600017</v>
          </cell>
          <cell r="L1112">
            <v>-1</v>
          </cell>
        </row>
        <row r="1113">
          <cell r="B1113" t="str">
            <v>2.1.1.04.0905</v>
          </cell>
          <cell r="C1113">
            <v>10242721000161</v>
          </cell>
          <cell r="D1113" t="str">
            <v>BUYSOFT DO BRASIL LTDA</v>
          </cell>
          <cell r="E1113" t="str">
            <v>A</v>
          </cell>
          <cell r="H1113" t="str">
            <v>N/A</v>
          </cell>
          <cell r="I1113">
            <v>500001</v>
          </cell>
          <cell r="J1113" t="str">
            <v>Fornecedores</v>
          </cell>
          <cell r="K1113">
            <v>600017</v>
          </cell>
          <cell r="L1113">
            <v>-1</v>
          </cell>
        </row>
        <row r="1114">
          <cell r="B1114" t="str">
            <v>2.1.1.04.0906</v>
          </cell>
          <cell r="C1114">
            <v>34036212000140</v>
          </cell>
          <cell r="D1114" t="str">
            <v>TIME MULTISSERVIÇOS LTDA</v>
          </cell>
          <cell r="E1114" t="str">
            <v>A</v>
          </cell>
          <cell r="H1114" t="str">
            <v>N/A</v>
          </cell>
          <cell r="I1114">
            <v>500001</v>
          </cell>
          <cell r="J1114" t="str">
            <v>Fornecedores</v>
          </cell>
          <cell r="K1114">
            <v>600017</v>
          </cell>
          <cell r="L1114">
            <v>-1</v>
          </cell>
        </row>
        <row r="1115">
          <cell r="B1115" t="str">
            <v>2.1.1.04.0907</v>
          </cell>
          <cell r="C1115">
            <v>36813552000166</v>
          </cell>
          <cell r="D1115" t="str">
            <v>GESTAO QUANTUM CENTRO DE PROCESSAMENTO CONTABIL</v>
          </cell>
          <cell r="E1115" t="str">
            <v>A</v>
          </cell>
          <cell r="H1115" t="str">
            <v>N/A</v>
          </cell>
          <cell r="I1115">
            <v>500001</v>
          </cell>
          <cell r="J1115" t="str">
            <v>Fornecedores</v>
          </cell>
          <cell r="K1115">
            <v>600017</v>
          </cell>
          <cell r="L1115">
            <v>-1</v>
          </cell>
        </row>
        <row r="1116">
          <cell r="B1116" t="str">
            <v>2.1.1.04.0908</v>
          </cell>
          <cell r="C1116">
            <v>29500349000174</v>
          </cell>
          <cell r="D1116" t="str">
            <v>LSF COM. E SERV. DE IMPRESSAO EIRELLI-EPP</v>
          </cell>
          <cell r="E1116" t="str">
            <v>A</v>
          </cell>
          <cell r="H1116" t="str">
            <v>N/A</v>
          </cell>
          <cell r="I1116">
            <v>500001</v>
          </cell>
          <cell r="J1116" t="str">
            <v>Fornecedores</v>
          </cell>
          <cell r="K1116">
            <v>600017</v>
          </cell>
          <cell r="L1116">
            <v>-1</v>
          </cell>
        </row>
        <row r="1117">
          <cell r="B1117" t="str">
            <v>2.1.1.04.0909</v>
          </cell>
          <cell r="C1117">
            <v>8984705000100</v>
          </cell>
          <cell r="D1117" t="str">
            <v>CONPROVE TECNOLOGIA E PESQUISAS LTDA - EPP</v>
          </cell>
          <cell r="E1117" t="str">
            <v>A</v>
          </cell>
          <cell r="H1117" t="str">
            <v>N/A</v>
          </cell>
          <cell r="I1117">
            <v>500001</v>
          </cell>
          <cell r="J1117" t="str">
            <v>Fornecedores</v>
          </cell>
          <cell r="K1117">
            <v>600017</v>
          </cell>
          <cell r="L1117">
            <v>-1</v>
          </cell>
        </row>
        <row r="1118">
          <cell r="B1118" t="str">
            <v>2.1.1.04.0910</v>
          </cell>
          <cell r="C1118">
            <v>34746240000151</v>
          </cell>
          <cell r="D1118" t="str">
            <v>POTENCIA DIVERSA CONSULTORIA</v>
          </cell>
          <cell r="E1118" t="str">
            <v>A</v>
          </cell>
          <cell r="H1118" t="str">
            <v>N/A</v>
          </cell>
          <cell r="I1118">
            <v>500001</v>
          </cell>
          <cell r="J1118" t="str">
            <v>Fornecedores</v>
          </cell>
          <cell r="K1118">
            <v>600017</v>
          </cell>
          <cell r="L1118">
            <v>-1</v>
          </cell>
        </row>
        <row r="1119">
          <cell r="B1119" t="str">
            <v>2.1.1.04.0911</v>
          </cell>
          <cell r="C1119">
            <v>191476500108</v>
          </cell>
          <cell r="D1119" t="str">
            <v>INFORMA MARKETS LTDA</v>
          </cell>
          <cell r="E1119" t="str">
            <v>A</v>
          </cell>
          <cell r="H1119" t="str">
            <v>N/A</v>
          </cell>
          <cell r="I1119">
            <v>500001</v>
          </cell>
          <cell r="J1119" t="str">
            <v>Fornecedores</v>
          </cell>
          <cell r="K1119">
            <v>600017</v>
          </cell>
          <cell r="L1119">
            <v>-1</v>
          </cell>
        </row>
        <row r="1120">
          <cell r="B1120" t="str">
            <v>2.1.1.04.0913</v>
          </cell>
          <cell r="C1120">
            <v>127155400196</v>
          </cell>
          <cell r="D1120" t="str">
            <v>SOCIEDADE BRASILEIRA DE ECONOMIA ECOLOGICA</v>
          </cell>
          <cell r="E1120" t="str">
            <v>A</v>
          </cell>
          <cell r="H1120" t="str">
            <v>N/A</v>
          </cell>
          <cell r="I1120">
            <v>500001</v>
          </cell>
          <cell r="J1120" t="str">
            <v>Fornecedores</v>
          </cell>
          <cell r="K1120">
            <v>600017</v>
          </cell>
          <cell r="L1120">
            <v>-1</v>
          </cell>
        </row>
        <row r="1121">
          <cell r="B1121" t="str">
            <v>2.1.1.04.0914</v>
          </cell>
          <cell r="C1121">
            <v>8294685000138</v>
          </cell>
          <cell r="D1121" t="str">
            <v>WAYCARBON SOLUCOES AMBIENTAIS E PROJETOS DE CARBONO LT</v>
          </cell>
          <cell r="E1121" t="str">
            <v>A</v>
          </cell>
          <cell r="H1121" t="str">
            <v>N/A</v>
          </cell>
          <cell r="I1121">
            <v>500001</v>
          </cell>
          <cell r="J1121" t="str">
            <v>Fornecedores</v>
          </cell>
          <cell r="K1121">
            <v>600017</v>
          </cell>
          <cell r="L1121">
            <v>-1</v>
          </cell>
        </row>
        <row r="1122">
          <cell r="B1122" t="str">
            <v>2.1.1.04.0915</v>
          </cell>
          <cell r="C1122">
            <v>2971571000107</v>
          </cell>
          <cell r="D1122" t="str">
            <v>BSD CONSULTORIA LTDA</v>
          </cell>
          <cell r="E1122" t="str">
            <v>A</v>
          </cell>
          <cell r="H1122" t="str">
            <v>N/A</v>
          </cell>
          <cell r="I1122">
            <v>500001</v>
          </cell>
          <cell r="J1122" t="str">
            <v>Fornecedores</v>
          </cell>
          <cell r="K1122">
            <v>600017</v>
          </cell>
          <cell r="L1122">
            <v>-1</v>
          </cell>
        </row>
        <row r="1123">
          <cell r="B1123" t="str">
            <v>2.1.1.04.0916</v>
          </cell>
          <cell r="C1123">
            <v>5045195000100</v>
          </cell>
          <cell r="D1123" t="str">
            <v>ASSOCIAÇÃO BRASILEIRA DE GERADORAS TERMELETRICAS ABRAG</v>
          </cell>
          <cell r="E1123" t="str">
            <v>A</v>
          </cell>
          <cell r="H1123" t="str">
            <v>N/A</v>
          </cell>
          <cell r="I1123">
            <v>500001</v>
          </cell>
          <cell r="J1123" t="str">
            <v>Fornecedores</v>
          </cell>
          <cell r="K1123">
            <v>600017</v>
          </cell>
          <cell r="L1123">
            <v>-1</v>
          </cell>
        </row>
        <row r="1124">
          <cell r="B1124" t="str">
            <v>2.1.1.04.0917</v>
          </cell>
          <cell r="C1124">
            <v>9187216795</v>
          </cell>
          <cell r="D1124" t="str">
            <v>NAYANA AGNI LOURENÇO MARINS</v>
          </cell>
          <cell r="E1124" t="str">
            <v>A</v>
          </cell>
          <cell r="H1124" t="str">
            <v>N/A</v>
          </cell>
          <cell r="I1124">
            <v>500001</v>
          </cell>
          <cell r="J1124" t="str">
            <v>Fornecedores</v>
          </cell>
          <cell r="K1124">
            <v>600017</v>
          </cell>
          <cell r="L1124">
            <v>-1</v>
          </cell>
        </row>
        <row r="1125">
          <cell r="B1125" t="str">
            <v>2.1.1.04.0918</v>
          </cell>
          <cell r="C1125">
            <v>16586641000100</v>
          </cell>
          <cell r="D1125" t="str">
            <v>DIEGO MARCELO F. TRAVEZ</v>
          </cell>
          <cell r="E1125" t="str">
            <v>A</v>
          </cell>
          <cell r="H1125" t="str">
            <v>N/A</v>
          </cell>
          <cell r="I1125">
            <v>500001</v>
          </cell>
          <cell r="J1125" t="str">
            <v>Fornecedores</v>
          </cell>
          <cell r="K1125">
            <v>600017</v>
          </cell>
          <cell r="L1125">
            <v>-1</v>
          </cell>
        </row>
        <row r="1126">
          <cell r="B1126" t="str">
            <v>2.1.1.04.0919</v>
          </cell>
          <cell r="C1126">
            <v>5506560000136</v>
          </cell>
          <cell r="D1126" t="str">
            <v>NÚCLEO DE INFORMAÇÃO E COORDENAÇÃO DO PONTO BR - NIC.BR</v>
          </cell>
          <cell r="E1126" t="str">
            <v>A</v>
          </cell>
          <cell r="H1126" t="str">
            <v>N/A</v>
          </cell>
          <cell r="I1126">
            <v>500001</v>
          </cell>
          <cell r="J1126" t="str">
            <v>Fornecedores</v>
          </cell>
          <cell r="K1126">
            <v>600017</v>
          </cell>
          <cell r="L1126">
            <v>-1</v>
          </cell>
        </row>
        <row r="1127">
          <cell r="B1127" t="str">
            <v>2.1.1.04.0920</v>
          </cell>
          <cell r="C1127">
            <v>11772392000123</v>
          </cell>
          <cell r="D1127" t="str">
            <v>RAPHAEL DIAS XAVIER</v>
          </cell>
          <cell r="E1127" t="str">
            <v>A</v>
          </cell>
          <cell r="H1127" t="str">
            <v>N/A</v>
          </cell>
          <cell r="I1127">
            <v>500001</v>
          </cell>
          <cell r="J1127" t="str">
            <v>Fornecedores</v>
          </cell>
          <cell r="K1127">
            <v>600017</v>
          </cell>
          <cell r="L1127">
            <v>-1</v>
          </cell>
        </row>
        <row r="1128">
          <cell r="B1128" t="str">
            <v>2.1.1.04.0921</v>
          </cell>
          <cell r="C1128">
            <v>3657354000100</v>
          </cell>
          <cell r="D1128" t="str">
            <v>ASSOCIAÇÃO BRASILEIRA DE AGENCIAS DE REGULAÇÃO - ABAR</v>
          </cell>
          <cell r="E1128" t="str">
            <v>A</v>
          </cell>
          <cell r="H1128" t="str">
            <v>N/A</v>
          </cell>
          <cell r="I1128">
            <v>500001</v>
          </cell>
          <cell r="J1128" t="str">
            <v>Fornecedores</v>
          </cell>
          <cell r="K1128">
            <v>600017</v>
          </cell>
          <cell r="L1128">
            <v>-1</v>
          </cell>
        </row>
        <row r="1129">
          <cell r="B1129" t="str">
            <v>2.1.1.04.0922</v>
          </cell>
          <cell r="C1129" t="str">
            <v>000000004906-95</v>
          </cell>
          <cell r="D1129" t="str">
            <v>BANCO DO BRASIL S/A</v>
          </cell>
          <cell r="E1129" t="str">
            <v>A</v>
          </cell>
          <cell r="H1129" t="str">
            <v>N/A</v>
          </cell>
          <cell r="I1129">
            <v>500001</v>
          </cell>
          <cell r="J1129" t="str">
            <v>Fornecedores</v>
          </cell>
          <cell r="K1129">
            <v>600017</v>
          </cell>
          <cell r="L1129">
            <v>-1</v>
          </cell>
        </row>
        <row r="1130">
          <cell r="B1130" t="str">
            <v>2.1.1.04.0923</v>
          </cell>
          <cell r="C1130">
            <v>39271413000146</v>
          </cell>
          <cell r="D1130" t="str">
            <v>X VOTE SISTEMAS DE VOTACAO ELETRONICA LTDA</v>
          </cell>
          <cell r="E1130" t="str">
            <v>A</v>
          </cell>
          <cell r="H1130" t="str">
            <v>N/A</v>
          </cell>
          <cell r="I1130">
            <v>500001</v>
          </cell>
          <cell r="J1130" t="str">
            <v>Fornecedores</v>
          </cell>
          <cell r="K1130">
            <v>600017</v>
          </cell>
          <cell r="L1130">
            <v>-1</v>
          </cell>
        </row>
        <row r="1131">
          <cell r="B1131" t="str">
            <v>2.1.1.04.0924</v>
          </cell>
          <cell r="C1131">
            <v>36692255000100</v>
          </cell>
          <cell r="D1131" t="str">
            <v>SINERGYA TREINAMENTOS LTDA</v>
          </cell>
          <cell r="E1131" t="str">
            <v>A</v>
          </cell>
          <cell r="H1131" t="str">
            <v>N/A</v>
          </cell>
          <cell r="I1131">
            <v>500001</v>
          </cell>
          <cell r="J1131" t="str">
            <v>Fornecedores</v>
          </cell>
          <cell r="K1131">
            <v>600017</v>
          </cell>
          <cell r="L1131">
            <v>-1</v>
          </cell>
        </row>
        <row r="1132">
          <cell r="B1132" t="str">
            <v>2.1.1.04.0925</v>
          </cell>
          <cell r="C1132">
            <v>33736290000195</v>
          </cell>
          <cell r="D1132" t="str">
            <v>DM CRIACAO E DISTRIBUICAO DE CONTEUDO EIRELI</v>
          </cell>
          <cell r="E1132" t="str">
            <v>A</v>
          </cell>
          <cell r="H1132" t="str">
            <v>N/A</v>
          </cell>
          <cell r="I1132">
            <v>500001</v>
          </cell>
          <cell r="J1132" t="str">
            <v>Fornecedores</v>
          </cell>
          <cell r="K1132">
            <v>600017</v>
          </cell>
          <cell r="L1132">
            <v>-1</v>
          </cell>
        </row>
        <row r="1133">
          <cell r="B1133" t="str">
            <v>2.1.1.04.0926</v>
          </cell>
          <cell r="C1133">
            <v>34977883000106</v>
          </cell>
          <cell r="D1133" t="str">
            <v>RMA ENGENHARIA LTDA</v>
          </cell>
          <cell r="E1133" t="str">
            <v>A</v>
          </cell>
          <cell r="H1133" t="str">
            <v>N/A</v>
          </cell>
          <cell r="I1133">
            <v>500001</v>
          </cell>
          <cell r="J1133" t="str">
            <v>Fornecedores</v>
          </cell>
          <cell r="K1133">
            <v>600017</v>
          </cell>
          <cell r="L1133">
            <v>-1</v>
          </cell>
        </row>
        <row r="1134">
          <cell r="B1134" t="str">
            <v>2.1.1.04.0927</v>
          </cell>
          <cell r="C1134">
            <v>40949164000184</v>
          </cell>
          <cell r="D1134" t="str">
            <v>DIANA BONAR SACILOTTI CURRIE DESENVOLVIMENTO</v>
          </cell>
          <cell r="E1134" t="str">
            <v>A</v>
          </cell>
          <cell r="H1134" t="str">
            <v>N/A</v>
          </cell>
          <cell r="I1134">
            <v>500001</v>
          </cell>
          <cell r="J1134" t="str">
            <v>Fornecedores</v>
          </cell>
          <cell r="K1134">
            <v>600017</v>
          </cell>
          <cell r="L1134">
            <v>-1</v>
          </cell>
        </row>
        <row r="1135">
          <cell r="B1135" t="str">
            <v>2.1.1.04.0928</v>
          </cell>
          <cell r="C1135">
            <v>2279906000196</v>
          </cell>
          <cell r="D1135" t="str">
            <v>DAIMON ENGENHARIA E SISTEMAS S/S LTDA</v>
          </cell>
          <cell r="E1135" t="str">
            <v>A</v>
          </cell>
          <cell r="H1135" t="str">
            <v>N/A</v>
          </cell>
          <cell r="I1135">
            <v>500001</v>
          </cell>
          <cell r="J1135" t="str">
            <v>Fornecedores</v>
          </cell>
          <cell r="K1135">
            <v>600017</v>
          </cell>
          <cell r="L1135">
            <v>-1</v>
          </cell>
        </row>
        <row r="1136">
          <cell r="B1136" t="str">
            <v>2.1.1.04.0929</v>
          </cell>
          <cell r="C1136">
            <v>8789655000100</v>
          </cell>
          <cell r="D1136" t="str">
            <v>FREE JOBS DESENVOLVIMENTO DE SOFTWARE LTDA</v>
          </cell>
          <cell r="E1136" t="str">
            <v>A</v>
          </cell>
          <cell r="H1136" t="str">
            <v>N/A</v>
          </cell>
          <cell r="I1136">
            <v>500001</v>
          </cell>
          <cell r="J1136" t="str">
            <v>Fornecedores</v>
          </cell>
          <cell r="K1136">
            <v>600017</v>
          </cell>
          <cell r="L1136">
            <v>-1</v>
          </cell>
        </row>
        <row r="1137">
          <cell r="B1137" t="str">
            <v>2.1.1.04.0930</v>
          </cell>
          <cell r="C1137">
            <v>25131892000190</v>
          </cell>
          <cell r="D1137" t="str">
            <v>MOBIX ORGANIZACAO E PRODUCAO DE EVENTOS LTDA</v>
          </cell>
          <cell r="E1137" t="str">
            <v>A</v>
          </cell>
          <cell r="H1137" t="str">
            <v>N/A</v>
          </cell>
          <cell r="I1137">
            <v>500001</v>
          </cell>
          <cell r="J1137" t="str">
            <v>Fornecedores</v>
          </cell>
          <cell r="K1137">
            <v>600017</v>
          </cell>
          <cell r="L1137">
            <v>-1</v>
          </cell>
        </row>
        <row r="1138">
          <cell r="B1138" t="str">
            <v>2.1.1.04.0931</v>
          </cell>
          <cell r="C1138">
            <v>33267080000103</v>
          </cell>
          <cell r="D1138" t="str">
            <v>KANELS VAREJO ESPECIALIZADO EM EQUIPAMENTOS DE AUDIO E VIDEO EIRELI</v>
          </cell>
          <cell r="E1138" t="str">
            <v>A</v>
          </cell>
          <cell r="H1138" t="str">
            <v>N/A</v>
          </cell>
          <cell r="I1138">
            <v>500001</v>
          </cell>
          <cell r="J1138" t="str">
            <v>Fornecedores</v>
          </cell>
          <cell r="K1138">
            <v>600017</v>
          </cell>
          <cell r="L1138">
            <v>-1</v>
          </cell>
        </row>
        <row r="1139">
          <cell r="B1139" t="str">
            <v>2.1.1.04.0932</v>
          </cell>
          <cell r="C1139">
            <v>33198342000117</v>
          </cell>
          <cell r="D1139" t="str">
            <v>REFRIGERACAO IV CENTENARIO EIRELI</v>
          </cell>
          <cell r="E1139" t="str">
            <v>A</v>
          </cell>
          <cell r="H1139" t="str">
            <v>N/A</v>
          </cell>
          <cell r="I1139">
            <v>500001</v>
          </cell>
          <cell r="J1139" t="str">
            <v>Fornecedores</v>
          </cell>
          <cell r="K1139">
            <v>600017</v>
          </cell>
          <cell r="L1139">
            <v>-1</v>
          </cell>
        </row>
        <row r="1140">
          <cell r="B1140" t="str">
            <v>2.1.1.04.0933</v>
          </cell>
          <cell r="C1140">
            <v>26543872000190</v>
          </cell>
          <cell r="D1140" t="str">
            <v>GRAPHIX COPIAS E IMPRESSOES EIRELI ME</v>
          </cell>
          <cell r="E1140" t="str">
            <v>A</v>
          </cell>
          <cell r="H1140" t="str">
            <v>N/A</v>
          </cell>
          <cell r="I1140">
            <v>500001</v>
          </cell>
          <cell r="J1140" t="str">
            <v>Fornecedores</v>
          </cell>
          <cell r="K1140">
            <v>600017</v>
          </cell>
          <cell r="L1140">
            <v>-1</v>
          </cell>
        </row>
        <row r="1141">
          <cell r="B1141" t="str">
            <v>2.1.1.04.0934</v>
          </cell>
          <cell r="C1141">
            <v>41986054000155</v>
          </cell>
          <cell r="D1141" t="str">
            <v>PSYDEMY ENGENHARIA LTDA</v>
          </cell>
          <cell r="E1141" t="str">
            <v>A</v>
          </cell>
          <cell r="H1141" t="str">
            <v>N/A</v>
          </cell>
          <cell r="I1141">
            <v>500001</v>
          </cell>
          <cell r="J1141" t="str">
            <v>Fornecedores</v>
          </cell>
          <cell r="K1141">
            <v>600017</v>
          </cell>
          <cell r="L1141">
            <v>-1</v>
          </cell>
        </row>
        <row r="1142">
          <cell r="B1142" t="str">
            <v>2.1.1.04.0935</v>
          </cell>
          <cell r="C1142">
            <v>10740910000164</v>
          </cell>
          <cell r="D1142" t="str">
            <v>A &amp; A TRADUCOES E INTERPRETACOES LTDA</v>
          </cell>
          <cell r="E1142" t="str">
            <v>A</v>
          </cell>
          <cell r="H1142" t="str">
            <v>N/A</v>
          </cell>
          <cell r="I1142">
            <v>500001</v>
          </cell>
          <cell r="J1142" t="str">
            <v>Fornecedores</v>
          </cell>
          <cell r="K1142">
            <v>600017</v>
          </cell>
          <cell r="L1142">
            <v>-1</v>
          </cell>
        </row>
        <row r="1143">
          <cell r="B1143" t="str">
            <v>2.1.1.04.0936</v>
          </cell>
          <cell r="C1143">
            <v>26058324000174</v>
          </cell>
          <cell r="D1143" t="str">
            <v>CONQUER HOLDING EDUCACIONAL S.A.</v>
          </cell>
          <cell r="E1143" t="str">
            <v>A</v>
          </cell>
          <cell r="H1143" t="str">
            <v>N/A</v>
          </cell>
          <cell r="I1143">
            <v>500001</v>
          </cell>
          <cell r="J1143" t="str">
            <v>Fornecedores</v>
          </cell>
          <cell r="K1143">
            <v>600017</v>
          </cell>
          <cell r="L1143">
            <v>-1</v>
          </cell>
        </row>
        <row r="1144">
          <cell r="B1144" t="str">
            <v>2.1.1.04.0937</v>
          </cell>
          <cell r="C1144">
            <v>28712123000174</v>
          </cell>
          <cell r="D1144" t="str">
            <v>MODULO SECURITY SOLUTIONS EM RECUPERACAO JUDICIAL</v>
          </cell>
          <cell r="E1144" t="str">
            <v>A</v>
          </cell>
          <cell r="H1144" t="str">
            <v>N/A</v>
          </cell>
          <cell r="I1144">
            <v>500001</v>
          </cell>
          <cell r="J1144" t="str">
            <v>Fornecedores</v>
          </cell>
          <cell r="K1144">
            <v>600017</v>
          </cell>
          <cell r="L1144">
            <v>-1</v>
          </cell>
        </row>
        <row r="1145">
          <cell r="B1145" t="str">
            <v>2.1.1.04.0938</v>
          </cell>
          <cell r="C1145">
            <v>30363417000180</v>
          </cell>
          <cell r="D1145" t="str">
            <v>KEILA AMORIM DE MELO</v>
          </cell>
          <cell r="E1145" t="str">
            <v>A</v>
          </cell>
          <cell r="H1145" t="str">
            <v>N/A</v>
          </cell>
          <cell r="I1145">
            <v>500001</v>
          </cell>
          <cell r="J1145" t="str">
            <v>Fornecedores</v>
          </cell>
          <cell r="K1145">
            <v>600017</v>
          </cell>
          <cell r="L1145">
            <v>-1</v>
          </cell>
        </row>
        <row r="1146">
          <cell r="B1146" t="str">
            <v>2.1.1.04.0939</v>
          </cell>
          <cell r="C1146">
            <v>2189924000103</v>
          </cell>
          <cell r="D1146" t="str">
            <v>DELOITTE TOUCHE TOHMATSU CONSULTORES LTDA</v>
          </cell>
          <cell r="E1146" t="str">
            <v>A</v>
          </cell>
          <cell r="H1146" t="str">
            <v>N/A</v>
          </cell>
          <cell r="I1146">
            <v>500001</v>
          </cell>
          <cell r="J1146" t="str">
            <v>Fornecedores</v>
          </cell>
          <cell r="K1146">
            <v>600017</v>
          </cell>
          <cell r="L1146">
            <v>-1</v>
          </cell>
        </row>
        <row r="1147">
          <cell r="B1147" t="str">
            <v>2.1.1.04.0940</v>
          </cell>
          <cell r="C1147">
            <v>10906993000119</v>
          </cell>
          <cell r="D1147" t="str">
            <v>APPROACH COMUNICAÇÃO INTEGRADA LTDA</v>
          </cell>
          <cell r="E1147" t="str">
            <v>A</v>
          </cell>
          <cell r="H1147" t="str">
            <v>N/A</v>
          </cell>
          <cell r="I1147">
            <v>500001</v>
          </cell>
          <cell r="J1147" t="str">
            <v>Fornecedores</v>
          </cell>
          <cell r="K1147">
            <v>600017</v>
          </cell>
          <cell r="L1147">
            <v>-1</v>
          </cell>
        </row>
        <row r="1148">
          <cell r="B1148" t="str">
            <v>2.1.1.04.0941</v>
          </cell>
          <cell r="C1148">
            <v>37165052000128</v>
          </cell>
          <cell r="D1148" t="str">
            <v>GD TREINAMENTOS LTDA</v>
          </cell>
          <cell r="E1148" t="str">
            <v>A</v>
          </cell>
          <cell r="H1148" t="str">
            <v>N/A</v>
          </cell>
          <cell r="I1148">
            <v>500001</v>
          </cell>
          <cell r="J1148" t="str">
            <v>Fornecedores</v>
          </cell>
          <cell r="K1148">
            <v>600017</v>
          </cell>
          <cell r="L1148">
            <v>-1</v>
          </cell>
        </row>
        <row r="1149">
          <cell r="B1149" t="str">
            <v>2.1.1.04.0942</v>
          </cell>
          <cell r="C1149">
            <v>1406617000174</v>
          </cell>
          <cell r="D1149" t="str">
            <v>AGENCIA DE INTEGRAÇÃO ESCOLA LTDA</v>
          </cell>
          <cell r="E1149" t="str">
            <v>A</v>
          </cell>
          <cell r="H1149" t="str">
            <v>N/A</v>
          </cell>
          <cell r="I1149">
            <v>500001</v>
          </cell>
          <cell r="J1149" t="str">
            <v>Fornecedores</v>
          </cell>
          <cell r="K1149">
            <v>600017</v>
          </cell>
          <cell r="L1149">
            <v>-1</v>
          </cell>
        </row>
        <row r="1150">
          <cell r="B1150" t="str">
            <v>2.1.1.04.0943</v>
          </cell>
          <cell r="C1150">
            <v>12499520000170</v>
          </cell>
          <cell r="D1150" t="str">
            <v>CLICKSIGN GESTAO DE DOCUMENTOS S/A</v>
          </cell>
          <cell r="E1150" t="str">
            <v>A</v>
          </cell>
          <cell r="H1150" t="str">
            <v>N/A</v>
          </cell>
          <cell r="I1150">
            <v>500001</v>
          </cell>
          <cell r="J1150" t="str">
            <v>Fornecedores</v>
          </cell>
          <cell r="K1150">
            <v>600017</v>
          </cell>
          <cell r="L1150">
            <v>-1</v>
          </cell>
        </row>
        <row r="1151">
          <cell r="B1151" t="str">
            <v>2.1.1.04.0944</v>
          </cell>
          <cell r="C1151">
            <v>38538412000152</v>
          </cell>
          <cell r="D1151" t="str">
            <v>THIAGO PINTO MARTINS</v>
          </cell>
          <cell r="E1151" t="str">
            <v>A</v>
          </cell>
          <cell r="H1151" t="str">
            <v>N/A</v>
          </cell>
          <cell r="I1151">
            <v>500001</v>
          </cell>
          <cell r="J1151" t="str">
            <v>Fornecedores</v>
          </cell>
          <cell r="K1151">
            <v>600017</v>
          </cell>
          <cell r="L1151">
            <v>-1</v>
          </cell>
        </row>
        <row r="1152">
          <cell r="B1152" t="str">
            <v>2.1.1.04.0945</v>
          </cell>
          <cell r="C1152">
            <v>29973823000185</v>
          </cell>
          <cell r="D1152" t="str">
            <v>CALESMON ENGENHARIA LTDA</v>
          </cell>
          <cell r="E1152" t="str">
            <v>A</v>
          </cell>
          <cell r="H1152" t="str">
            <v>N/A</v>
          </cell>
          <cell r="I1152">
            <v>500001</v>
          </cell>
          <cell r="J1152" t="str">
            <v>Fornecedores</v>
          </cell>
          <cell r="K1152">
            <v>600017</v>
          </cell>
          <cell r="L1152">
            <v>-1</v>
          </cell>
        </row>
        <row r="1153">
          <cell r="B1153" t="str">
            <v>2.1.1.04.0946</v>
          </cell>
          <cell r="C1153">
            <v>17079154000113</v>
          </cell>
          <cell r="D1153" t="str">
            <v>THYMOS ENERGIA ENGENHARIA E CONSULTORIA LTDA</v>
          </cell>
          <cell r="E1153" t="str">
            <v>A</v>
          </cell>
          <cell r="H1153" t="str">
            <v>N/A</v>
          </cell>
          <cell r="I1153">
            <v>500001</v>
          </cell>
          <cell r="J1153" t="str">
            <v>Fornecedores</v>
          </cell>
          <cell r="K1153">
            <v>600017</v>
          </cell>
          <cell r="L1153">
            <v>-1</v>
          </cell>
        </row>
        <row r="1154">
          <cell r="B1154" t="str">
            <v>2.1.1.04.0947</v>
          </cell>
          <cell r="C1154">
            <v>789920000130</v>
          </cell>
          <cell r="D1154" t="str">
            <v>DRIKA INDUSTRIA E COMERCIO DE PRODUTOS PROMOCIONAIS EIRELI</v>
          </cell>
          <cell r="E1154" t="str">
            <v>A</v>
          </cell>
          <cell r="H1154" t="str">
            <v>N/A</v>
          </cell>
          <cell r="I1154">
            <v>500001</v>
          </cell>
          <cell r="J1154" t="str">
            <v>Fornecedores</v>
          </cell>
          <cell r="K1154">
            <v>600017</v>
          </cell>
          <cell r="L1154">
            <v>-1</v>
          </cell>
        </row>
        <row r="1155">
          <cell r="B1155" t="str">
            <v>2.1.1.04.0948</v>
          </cell>
          <cell r="C1155">
            <v>7843950000127</v>
          </cell>
          <cell r="D1155" t="str">
            <v>CHESTNUT GLOBAL PARTNERS DO BRASIL LTDA</v>
          </cell>
          <cell r="E1155" t="str">
            <v>A</v>
          </cell>
          <cell r="H1155" t="str">
            <v>N/A</v>
          </cell>
          <cell r="I1155">
            <v>500001</v>
          </cell>
          <cell r="J1155" t="str">
            <v>Fornecedores</v>
          </cell>
          <cell r="K1155">
            <v>600017</v>
          </cell>
          <cell r="L1155">
            <v>-1</v>
          </cell>
        </row>
        <row r="1156">
          <cell r="B1156" t="str">
            <v>2.1.1.04.0949</v>
          </cell>
          <cell r="C1156">
            <v>6977747000261</v>
          </cell>
          <cell r="D1156" t="str">
            <v>FUNCIONAL MOVEIS DE AÇO LTDA</v>
          </cell>
          <cell r="E1156" t="str">
            <v>A</v>
          </cell>
          <cell r="H1156" t="str">
            <v>N/A</v>
          </cell>
          <cell r="I1156">
            <v>500001</v>
          </cell>
          <cell r="J1156" t="str">
            <v>Fornecedores</v>
          </cell>
          <cell r="K1156">
            <v>600017</v>
          </cell>
          <cell r="L1156">
            <v>-1</v>
          </cell>
        </row>
        <row r="1157">
          <cell r="B1157" t="str">
            <v>2.1.1.04.0950</v>
          </cell>
          <cell r="C1157">
            <v>72060999000175</v>
          </cell>
          <cell r="D1157" t="str">
            <v>FUNDACAO COORDENACAO DE PROJETOS PESQUISAS E ESTUDOS</v>
          </cell>
          <cell r="E1157" t="str">
            <v>A</v>
          </cell>
          <cell r="H1157" t="str">
            <v>N/A</v>
          </cell>
          <cell r="I1157">
            <v>500001</v>
          </cell>
          <cell r="J1157" t="str">
            <v>Fornecedores</v>
          </cell>
          <cell r="K1157">
            <v>600017</v>
          </cell>
          <cell r="L1157">
            <v>-1</v>
          </cell>
        </row>
        <row r="1158">
          <cell r="B1158" t="str">
            <v>2.1.1.04.0951</v>
          </cell>
          <cell r="C1158">
            <v>24091611000150</v>
          </cell>
          <cell r="D1158" t="str">
            <v>INOVE TREINAMENTOS LTDA-ME</v>
          </cell>
          <cell r="E1158" t="str">
            <v>A</v>
          </cell>
          <cell r="H1158" t="str">
            <v>N/A</v>
          </cell>
          <cell r="I1158">
            <v>500001</v>
          </cell>
          <cell r="J1158" t="str">
            <v>Fornecedores</v>
          </cell>
          <cell r="K1158">
            <v>600017</v>
          </cell>
          <cell r="L1158">
            <v>-1</v>
          </cell>
        </row>
        <row r="1159">
          <cell r="B1159" t="str">
            <v>2.1.1.04.0952</v>
          </cell>
          <cell r="C1159">
            <v>35419369000118</v>
          </cell>
          <cell r="D1159" t="str">
            <v>HIGH SERVICOS DE COMPLIANCE LTDA</v>
          </cell>
          <cell r="E1159" t="str">
            <v>A</v>
          </cell>
          <cell r="H1159" t="str">
            <v>N/A</v>
          </cell>
          <cell r="I1159">
            <v>500001</v>
          </cell>
          <cell r="J1159" t="str">
            <v>Fornecedores</v>
          </cell>
          <cell r="K1159">
            <v>600017</v>
          </cell>
          <cell r="L1159">
            <v>-1</v>
          </cell>
        </row>
        <row r="1160">
          <cell r="B1160" t="str">
            <v>2.1.1.04.0953</v>
          </cell>
          <cell r="C1160">
            <v>81188542000131</v>
          </cell>
          <cell r="D1160" t="str">
            <v>STCP - ENGENHARIA DE PROJETOS LTDA</v>
          </cell>
          <cell r="E1160" t="str">
            <v>A</v>
          </cell>
          <cell r="H1160" t="str">
            <v>N/A</v>
          </cell>
          <cell r="I1160">
            <v>500001</v>
          </cell>
          <cell r="J1160" t="str">
            <v>Fornecedores</v>
          </cell>
          <cell r="K1160">
            <v>600017</v>
          </cell>
          <cell r="L1160">
            <v>-1</v>
          </cell>
        </row>
        <row r="1161">
          <cell r="B1161" t="str">
            <v>2.1.1.04.0954</v>
          </cell>
          <cell r="C1161">
            <v>12978986000158</v>
          </cell>
          <cell r="D1161" t="str">
            <v>T &amp; S LOCACAO DE MAO DE OBRA EM GERAL EIRELI</v>
          </cell>
          <cell r="E1161" t="str">
            <v>A</v>
          </cell>
          <cell r="H1161" t="str">
            <v>N/A</v>
          </cell>
          <cell r="I1161">
            <v>500001</v>
          </cell>
          <cell r="J1161" t="str">
            <v>Fornecedores</v>
          </cell>
          <cell r="K1161">
            <v>600017</v>
          </cell>
          <cell r="L1161">
            <v>-1</v>
          </cell>
        </row>
        <row r="1162">
          <cell r="B1162" t="str">
            <v>2.1.1.04.0956</v>
          </cell>
          <cell r="C1162">
            <v>23689444000181</v>
          </cell>
          <cell r="D1162" t="str">
            <v>SPUTNIK CURSOS LTDA</v>
          </cell>
          <cell r="E1162" t="str">
            <v>A</v>
          </cell>
          <cell r="H1162" t="str">
            <v>N/A</v>
          </cell>
          <cell r="I1162">
            <v>500001</v>
          </cell>
          <cell r="J1162" t="str">
            <v>Fornecedores</v>
          </cell>
          <cell r="K1162">
            <v>600017</v>
          </cell>
          <cell r="L1162">
            <v>-1</v>
          </cell>
        </row>
        <row r="1163">
          <cell r="B1163" t="str">
            <v>2.1.1.04.0957</v>
          </cell>
          <cell r="C1163">
            <v>38056404000170</v>
          </cell>
          <cell r="D1163" t="str">
            <v>IOS INFORMATICA, ORGANIZACAO E SISTEMAS LTDA</v>
          </cell>
          <cell r="E1163" t="str">
            <v>A</v>
          </cell>
          <cell r="H1163" t="str">
            <v>N/A</v>
          </cell>
          <cell r="I1163">
            <v>500001</v>
          </cell>
          <cell r="J1163" t="str">
            <v>Fornecedores</v>
          </cell>
          <cell r="K1163">
            <v>600017</v>
          </cell>
          <cell r="L1163">
            <v>-1</v>
          </cell>
        </row>
        <row r="1164">
          <cell r="B1164" t="str">
            <v>2.1.1.04.0958</v>
          </cell>
          <cell r="C1164">
            <v>15809115000107</v>
          </cell>
          <cell r="D1164" t="str">
            <v>SHIELD SEGURANÇA DA INFORMAÇÃO E CONSULTORIA LTDA</v>
          </cell>
          <cell r="E1164" t="str">
            <v>A</v>
          </cell>
          <cell r="H1164" t="str">
            <v>N/A</v>
          </cell>
          <cell r="I1164">
            <v>500001</v>
          </cell>
          <cell r="J1164" t="str">
            <v>Fornecedores</v>
          </cell>
          <cell r="K1164">
            <v>600017</v>
          </cell>
          <cell r="L1164">
            <v>-1</v>
          </cell>
        </row>
        <row r="1165">
          <cell r="B1165" t="str">
            <v>2.1.1.04.0959</v>
          </cell>
          <cell r="C1165">
            <v>30135801000125</v>
          </cell>
          <cell r="D1165" t="str">
            <v>GLEICE DE SOUZA SILVA</v>
          </cell>
          <cell r="E1165" t="str">
            <v>A</v>
          </cell>
          <cell r="H1165" t="str">
            <v>N/A</v>
          </cell>
          <cell r="I1165">
            <v>500001</v>
          </cell>
          <cell r="J1165" t="str">
            <v>Fornecedores</v>
          </cell>
          <cell r="K1165">
            <v>600017</v>
          </cell>
          <cell r="L1165">
            <v>-1</v>
          </cell>
        </row>
        <row r="1166">
          <cell r="B1166" t="str">
            <v>2.1.1.04.0960</v>
          </cell>
          <cell r="C1166">
            <v>14112993000106</v>
          </cell>
          <cell r="D1166" t="str">
            <v>DIVERSA CONSULTORIA E PLANEJAMENTO EM SUSTENTABILIDADE</v>
          </cell>
          <cell r="E1166" t="str">
            <v>A</v>
          </cell>
          <cell r="H1166" t="str">
            <v>N/A</v>
          </cell>
          <cell r="I1166">
            <v>500001</v>
          </cell>
          <cell r="J1166" t="str">
            <v>Fornecedores</v>
          </cell>
          <cell r="K1166">
            <v>600017</v>
          </cell>
          <cell r="L1166">
            <v>-1</v>
          </cell>
        </row>
        <row r="1167">
          <cell r="B1167" t="str">
            <v>2.1.1.04.0961</v>
          </cell>
          <cell r="C1167">
            <v>43213776000100</v>
          </cell>
          <cell r="D1167" t="str">
            <v>EMERSON PROCESS MANAGEMENT LTDA</v>
          </cell>
          <cell r="E1167" t="str">
            <v>A</v>
          </cell>
          <cell r="H1167" t="str">
            <v>N/A</v>
          </cell>
          <cell r="I1167">
            <v>500001</v>
          </cell>
          <cell r="J1167" t="str">
            <v>Fornecedores</v>
          </cell>
          <cell r="K1167">
            <v>600017</v>
          </cell>
          <cell r="L1167">
            <v>-1</v>
          </cell>
        </row>
        <row r="1168">
          <cell r="B1168" t="str">
            <v>2.1.1.04.0962</v>
          </cell>
          <cell r="C1168">
            <v>45078161000136</v>
          </cell>
          <cell r="D1168" t="str">
            <v>CARLOS EDUARDO ALVES DE ABREU</v>
          </cell>
          <cell r="E1168" t="str">
            <v>A</v>
          </cell>
          <cell r="H1168" t="str">
            <v>N/A</v>
          </cell>
          <cell r="I1168">
            <v>500001</v>
          </cell>
          <cell r="J1168" t="str">
            <v>Fornecedores</v>
          </cell>
          <cell r="K1168">
            <v>600017</v>
          </cell>
          <cell r="L1168">
            <v>-1</v>
          </cell>
        </row>
        <row r="1169">
          <cell r="B1169" t="str">
            <v>2.1.1.04.0963</v>
          </cell>
          <cell r="C1169">
            <v>7857617000177</v>
          </cell>
          <cell r="D1169" t="str">
            <v>MENEZES NIEBUHR SOCIEDADE DE ADVOGADOS</v>
          </cell>
          <cell r="E1169" t="str">
            <v>A</v>
          </cell>
          <cell r="H1169" t="str">
            <v>N/A</v>
          </cell>
          <cell r="I1169">
            <v>500001</v>
          </cell>
          <cell r="J1169" t="str">
            <v>Fornecedores</v>
          </cell>
          <cell r="K1169">
            <v>600017</v>
          </cell>
          <cell r="L1169">
            <v>-1</v>
          </cell>
        </row>
        <row r="1170">
          <cell r="B1170" t="str">
            <v>2.1.1.04.0964</v>
          </cell>
          <cell r="C1170">
            <v>1708167000174</v>
          </cell>
          <cell r="D1170" t="str">
            <v>KPMG CONSULTORIA LTDA</v>
          </cell>
          <cell r="E1170" t="str">
            <v>A</v>
          </cell>
          <cell r="H1170" t="str">
            <v>N/A</v>
          </cell>
          <cell r="I1170">
            <v>500001</v>
          </cell>
          <cell r="J1170" t="str">
            <v>Fornecedores</v>
          </cell>
          <cell r="K1170">
            <v>600017</v>
          </cell>
          <cell r="L1170">
            <v>-1</v>
          </cell>
        </row>
        <row r="1171">
          <cell r="B1171" t="str">
            <v>2.1.1.04.0965</v>
          </cell>
          <cell r="C1171">
            <v>6220430000103</v>
          </cell>
          <cell r="D1171" t="str">
            <v>FUNDAÇÃO DE APOIO AO DESENVOLVIMENTO DA COMPUTAÇÃO</v>
          </cell>
          <cell r="E1171" t="str">
            <v>A</v>
          </cell>
          <cell r="H1171" t="str">
            <v>N/A</v>
          </cell>
          <cell r="I1171">
            <v>500001</v>
          </cell>
          <cell r="J1171" t="str">
            <v>Fornecedores</v>
          </cell>
          <cell r="K1171">
            <v>600017</v>
          </cell>
          <cell r="L1171">
            <v>-1</v>
          </cell>
        </row>
        <row r="1172">
          <cell r="B1172" t="str">
            <v>2.1.1.04.0966</v>
          </cell>
          <cell r="C1172">
            <v>18310767000182</v>
          </cell>
          <cell r="D1172" t="str">
            <v>OBRA RIO REFORMAS REPAROS E COMERCIO LTDA</v>
          </cell>
          <cell r="E1172" t="str">
            <v>A</v>
          </cell>
          <cell r="H1172" t="str">
            <v>N/A</v>
          </cell>
          <cell r="I1172">
            <v>500001</v>
          </cell>
          <cell r="J1172" t="str">
            <v>Fornecedores</v>
          </cell>
          <cell r="K1172">
            <v>600017</v>
          </cell>
          <cell r="L1172">
            <v>-1</v>
          </cell>
        </row>
        <row r="1173">
          <cell r="B1173" t="str">
            <v>2.1.1.04.0967</v>
          </cell>
          <cell r="C1173" t="str">
            <v>01707536/000104</v>
          </cell>
          <cell r="D1173" t="str">
            <v>ISH TECNOLOGIA S/A</v>
          </cell>
          <cell r="E1173" t="str">
            <v>A</v>
          </cell>
          <cell r="H1173" t="str">
            <v>N/A</v>
          </cell>
          <cell r="I1173">
            <v>500001</v>
          </cell>
          <cell r="J1173" t="str">
            <v>Fornecedores</v>
          </cell>
          <cell r="K1173">
            <v>600017</v>
          </cell>
          <cell r="L1173">
            <v>-1</v>
          </cell>
        </row>
        <row r="1174">
          <cell r="B1174" t="str">
            <v>2.1.1.04.0968</v>
          </cell>
          <cell r="C1174" t="str">
            <v>06.977.747/0002-61</v>
          </cell>
          <cell r="D1174" t="str">
            <v>AGEM TECNOLOGIA DISTRIBUIDORA LTDA</v>
          </cell>
          <cell r="E1174" t="str">
            <v>A</v>
          </cell>
          <cell r="H1174" t="str">
            <v>N/A</v>
          </cell>
          <cell r="I1174">
            <v>500001</v>
          </cell>
          <cell r="J1174" t="str">
            <v>Fornecedores</v>
          </cell>
          <cell r="K1174">
            <v>600017</v>
          </cell>
          <cell r="L1174">
            <v>-1</v>
          </cell>
        </row>
        <row r="1175">
          <cell r="B1175" t="str">
            <v>2.1.1.04.0969</v>
          </cell>
          <cell r="C1175">
            <v>9090867708</v>
          </cell>
          <cell r="D1175" t="str">
            <v>Bruno Soares Moreira Cesar Borba</v>
          </cell>
          <cell r="E1175" t="str">
            <v>A</v>
          </cell>
          <cell r="H1175" t="str">
            <v>N/A</v>
          </cell>
          <cell r="I1175">
            <v>500001</v>
          </cell>
          <cell r="J1175" t="str">
            <v>Fornecedores</v>
          </cell>
          <cell r="K1175">
            <v>600017</v>
          </cell>
          <cell r="L1175">
            <v>-1</v>
          </cell>
        </row>
        <row r="1176">
          <cell r="B1176" t="str">
            <v>2.1.1.04.0970</v>
          </cell>
          <cell r="C1176">
            <v>26915400000110</v>
          </cell>
          <cell r="D1176" t="str">
            <v>VACIVITTA SERVIÇOS DE IMUNIZAÇÃO HUMANA LTDA</v>
          </cell>
          <cell r="E1176" t="str">
            <v>A</v>
          </cell>
          <cell r="H1176" t="str">
            <v>N/A</v>
          </cell>
          <cell r="I1176">
            <v>500001</v>
          </cell>
          <cell r="J1176" t="str">
            <v>Fornecedores</v>
          </cell>
          <cell r="K1176">
            <v>600017</v>
          </cell>
          <cell r="L1176">
            <v>-1</v>
          </cell>
        </row>
        <row r="1177">
          <cell r="B1177" t="str">
            <v>2.1.1.04.0971</v>
          </cell>
          <cell r="C1177">
            <v>12942180000100</v>
          </cell>
          <cell r="D1177" t="str">
            <v>CENTRO LATINO-AMERICANO DE ESTUDOS JURIDICOS LTDA</v>
          </cell>
          <cell r="E1177" t="str">
            <v>A</v>
          </cell>
          <cell r="H1177" t="str">
            <v>N/A</v>
          </cell>
          <cell r="I1177">
            <v>500001</v>
          </cell>
          <cell r="J1177" t="str">
            <v>Fornecedores</v>
          </cell>
          <cell r="K1177">
            <v>600017</v>
          </cell>
          <cell r="L1177">
            <v>-1</v>
          </cell>
        </row>
        <row r="1178">
          <cell r="B1178" t="str">
            <v>2.1.1.04.0972</v>
          </cell>
          <cell r="C1178">
            <v>34260596000180</v>
          </cell>
          <cell r="D1178" t="str">
            <v>CONSELHO REGIONAL DE ENGENHARIA E AGRONOMIA DO RIO DE JANEIRO</v>
          </cell>
          <cell r="E1178" t="str">
            <v>A</v>
          </cell>
          <cell r="H1178" t="str">
            <v>N/A</v>
          </cell>
          <cell r="I1178">
            <v>500001</v>
          </cell>
          <cell r="J1178" t="str">
            <v>Fornecedores</v>
          </cell>
          <cell r="K1178">
            <v>600017</v>
          </cell>
          <cell r="L1178">
            <v>-1</v>
          </cell>
        </row>
        <row r="1179">
          <cell r="B1179" t="str">
            <v>2.1.1.04.0973</v>
          </cell>
          <cell r="C1179">
            <v>29483806000160</v>
          </cell>
          <cell r="D1179" t="str">
            <v>FS TECNOLOGIA TREINAMENTO EM DESENVOLVIMENTO</v>
          </cell>
          <cell r="E1179" t="str">
            <v>A</v>
          </cell>
          <cell r="H1179" t="str">
            <v>N/A</v>
          </cell>
          <cell r="I1179">
            <v>500001</v>
          </cell>
          <cell r="J1179" t="str">
            <v>Fornecedores</v>
          </cell>
          <cell r="K1179">
            <v>600017</v>
          </cell>
          <cell r="L1179">
            <v>-1</v>
          </cell>
        </row>
        <row r="1180">
          <cell r="B1180" t="str">
            <v>2.1.1.04.0974</v>
          </cell>
          <cell r="C1180">
            <v>32969392000198</v>
          </cell>
          <cell r="D1180" t="str">
            <v>LD 209 MAGALHÃES</v>
          </cell>
          <cell r="E1180" t="str">
            <v>A</v>
          </cell>
          <cell r="H1180" t="str">
            <v>N/A</v>
          </cell>
          <cell r="I1180">
            <v>500001</v>
          </cell>
          <cell r="J1180" t="str">
            <v>Fornecedores</v>
          </cell>
          <cell r="K1180">
            <v>600017</v>
          </cell>
          <cell r="L1180">
            <v>-1</v>
          </cell>
        </row>
        <row r="1181">
          <cell r="B1181" t="str">
            <v>2.1.1.04.0975</v>
          </cell>
          <cell r="C1181">
            <v>25532710000193</v>
          </cell>
          <cell r="D1181" t="str">
            <v>IDESP - INSTITUTO DARYUS DE ENSINO SUPERIOR PAULISTA</v>
          </cell>
          <cell r="E1181" t="str">
            <v>A</v>
          </cell>
          <cell r="H1181" t="str">
            <v>N/A</v>
          </cell>
          <cell r="I1181">
            <v>500001</v>
          </cell>
          <cell r="J1181" t="str">
            <v>Fornecedores</v>
          </cell>
          <cell r="K1181">
            <v>600017</v>
          </cell>
          <cell r="L1181">
            <v>-1</v>
          </cell>
        </row>
        <row r="1182">
          <cell r="B1182" t="str">
            <v>2.1.1.04.0976</v>
          </cell>
          <cell r="C1182">
            <v>27045921000127</v>
          </cell>
          <cell r="D1182" t="str">
            <v>ENGEDUTO ENGENHARIA E INDUSTRIA LTDA</v>
          </cell>
          <cell r="E1182" t="str">
            <v>A</v>
          </cell>
          <cell r="H1182" t="str">
            <v>N/A</v>
          </cell>
          <cell r="I1182">
            <v>500001</v>
          </cell>
          <cell r="J1182" t="str">
            <v>Fornecedores</v>
          </cell>
          <cell r="K1182">
            <v>600017</v>
          </cell>
          <cell r="L1182">
            <v>-1</v>
          </cell>
        </row>
        <row r="1183">
          <cell r="B1183" t="str">
            <v>2.1.1.04.0977</v>
          </cell>
          <cell r="C1183">
            <v>36440064000150</v>
          </cell>
          <cell r="D1183" t="str">
            <v>IMAGINE RISKS CONSULTORIA E SOFTWARE LTDA</v>
          </cell>
          <cell r="E1183" t="str">
            <v>A</v>
          </cell>
          <cell r="H1183" t="str">
            <v>N/A</v>
          </cell>
          <cell r="I1183">
            <v>500001</v>
          </cell>
          <cell r="J1183" t="str">
            <v>Fornecedores</v>
          </cell>
          <cell r="K1183">
            <v>600017</v>
          </cell>
          <cell r="L1183">
            <v>-1</v>
          </cell>
        </row>
        <row r="1184">
          <cell r="B1184" t="str">
            <v>2.1.1.04.0978</v>
          </cell>
          <cell r="C1184">
            <v>61615977000108</v>
          </cell>
          <cell r="D1184" t="str">
            <v>ASSOCIAÇÃO BRASILEIRA DE CERÂMICA</v>
          </cell>
          <cell r="E1184" t="str">
            <v>A</v>
          </cell>
          <cell r="H1184" t="str">
            <v>N/A</v>
          </cell>
          <cell r="I1184">
            <v>500001</v>
          </cell>
          <cell r="J1184" t="str">
            <v>Fornecedores</v>
          </cell>
          <cell r="K1184">
            <v>600017</v>
          </cell>
          <cell r="L1184">
            <v>-1</v>
          </cell>
        </row>
        <row r="1185">
          <cell r="B1185" t="str">
            <v>2.1.1.04.0979</v>
          </cell>
          <cell r="C1185">
            <v>37563497000166</v>
          </cell>
          <cell r="D1185" t="str">
            <v>JULIANA DE OLIVEIRA CAROLINO MANHAES COMERCIO</v>
          </cell>
          <cell r="E1185" t="str">
            <v>A</v>
          </cell>
          <cell r="H1185" t="str">
            <v>N/A</v>
          </cell>
          <cell r="I1185">
            <v>500001</v>
          </cell>
          <cell r="J1185" t="str">
            <v>Fornecedores</v>
          </cell>
          <cell r="K1185">
            <v>600017</v>
          </cell>
          <cell r="L1185">
            <v>-1</v>
          </cell>
        </row>
        <row r="1186">
          <cell r="B1186" t="str">
            <v>2.1.1.04.0980</v>
          </cell>
          <cell r="C1186">
            <v>336183936000194</v>
          </cell>
          <cell r="D1186" t="str">
            <v>FABRICIO RACHADEL COSTA</v>
          </cell>
          <cell r="E1186" t="str">
            <v>A</v>
          </cell>
          <cell r="H1186" t="str">
            <v>N/A</v>
          </cell>
          <cell r="I1186">
            <v>500001</v>
          </cell>
          <cell r="J1186" t="str">
            <v>Fornecedores</v>
          </cell>
          <cell r="K1186">
            <v>600017</v>
          </cell>
          <cell r="L1186">
            <v>-1</v>
          </cell>
        </row>
        <row r="1187">
          <cell r="B1187" t="str">
            <v>2.1.1.04.0981</v>
          </cell>
          <cell r="C1187">
            <v>30920288000264</v>
          </cell>
          <cell r="D1187" t="str">
            <v>SANEMIX MUNDO DOS SERVICOS EIRELI</v>
          </cell>
          <cell r="E1187" t="str">
            <v>A</v>
          </cell>
          <cell r="H1187" t="str">
            <v>N/A</v>
          </cell>
          <cell r="I1187">
            <v>500001</v>
          </cell>
          <cell r="J1187" t="str">
            <v>Fornecedores</v>
          </cell>
          <cell r="K1187">
            <v>600017</v>
          </cell>
          <cell r="L1187">
            <v>-1</v>
          </cell>
        </row>
        <row r="1188">
          <cell r="B1188" t="str">
            <v>2.1.1.04.0982</v>
          </cell>
          <cell r="C1188">
            <v>33618396000194</v>
          </cell>
          <cell r="D1188" t="str">
            <v>FABRICIO RACHADEL COSTA</v>
          </cell>
          <cell r="E1188" t="str">
            <v>A</v>
          </cell>
          <cell r="H1188" t="str">
            <v>N/A</v>
          </cell>
          <cell r="I1188">
            <v>500001</v>
          </cell>
          <cell r="J1188" t="str">
            <v>Fornecedores</v>
          </cell>
          <cell r="K1188">
            <v>600017</v>
          </cell>
          <cell r="L1188">
            <v>-1</v>
          </cell>
        </row>
        <row r="1189">
          <cell r="B1189" t="str">
            <v>2.1.1.04.0983</v>
          </cell>
          <cell r="C1189">
            <v>32681701000120</v>
          </cell>
          <cell r="D1189" t="str">
            <v>PLM - AUDITORIA E CONSULTORIA LTDA</v>
          </cell>
          <cell r="E1189" t="str">
            <v>A</v>
          </cell>
          <cell r="H1189" t="str">
            <v>N/A</v>
          </cell>
          <cell r="I1189">
            <v>500001</v>
          </cell>
          <cell r="J1189" t="str">
            <v>Fornecedores</v>
          </cell>
          <cell r="K1189">
            <v>600017</v>
          </cell>
          <cell r="L1189">
            <v>-1</v>
          </cell>
        </row>
        <row r="1190">
          <cell r="B1190" t="str">
            <v>2.1.1.04.0984</v>
          </cell>
          <cell r="C1190">
            <v>33582105000155</v>
          </cell>
          <cell r="D1190" t="str">
            <v>SANDRA TERESA PETRUNGARO JORDAO</v>
          </cell>
          <cell r="E1190" t="str">
            <v>A</v>
          </cell>
          <cell r="H1190" t="str">
            <v>N/A</v>
          </cell>
          <cell r="I1190">
            <v>500001</v>
          </cell>
          <cell r="J1190" t="str">
            <v>Fornecedores</v>
          </cell>
          <cell r="K1190">
            <v>600017</v>
          </cell>
          <cell r="L1190">
            <v>-1</v>
          </cell>
        </row>
        <row r="1191">
          <cell r="B1191" t="str">
            <v>2.1.1.04.0985</v>
          </cell>
          <cell r="C1191">
            <v>22395972000165</v>
          </cell>
          <cell r="D1191" t="str">
            <v>ALFA COMERCIO E DISTRIBUIDORA DE PLASTICOS LTDA</v>
          </cell>
          <cell r="E1191" t="str">
            <v>A</v>
          </cell>
          <cell r="H1191" t="str">
            <v>N/A</v>
          </cell>
          <cell r="I1191">
            <v>500001</v>
          </cell>
          <cell r="J1191" t="str">
            <v>Fornecedores</v>
          </cell>
          <cell r="K1191">
            <v>600017</v>
          </cell>
          <cell r="L1191">
            <v>-1</v>
          </cell>
        </row>
        <row r="1192">
          <cell r="B1192" t="str">
            <v>2.1.1.04.0986</v>
          </cell>
          <cell r="C1192">
            <v>8401147000103</v>
          </cell>
          <cell r="D1192" t="str">
            <v>EXACTTUS CONSULTORIA ATUARIAL LTDA</v>
          </cell>
          <cell r="E1192" t="str">
            <v>A</v>
          </cell>
          <cell r="H1192" t="str">
            <v>N/A</v>
          </cell>
          <cell r="I1192">
            <v>500001</v>
          </cell>
          <cell r="J1192" t="str">
            <v>Fornecedores</v>
          </cell>
          <cell r="K1192">
            <v>600017</v>
          </cell>
          <cell r="L1192">
            <v>-1</v>
          </cell>
        </row>
        <row r="1193">
          <cell r="B1193" t="str">
            <v>2.1.1.04.0987</v>
          </cell>
          <cell r="C1193">
            <v>27553286000199</v>
          </cell>
          <cell r="D1193" t="str">
            <v>INFRA JORNALISMO LTDA</v>
          </cell>
          <cell r="E1193" t="str">
            <v>A</v>
          </cell>
          <cell r="H1193" t="str">
            <v>N/A</v>
          </cell>
          <cell r="I1193">
            <v>500001</v>
          </cell>
          <cell r="J1193" t="str">
            <v>Fornecedores</v>
          </cell>
          <cell r="K1193">
            <v>600017</v>
          </cell>
          <cell r="L1193">
            <v>-1</v>
          </cell>
        </row>
        <row r="1194">
          <cell r="B1194" t="str">
            <v>2.1.1.04.0988</v>
          </cell>
          <cell r="C1194">
            <v>45871527000120</v>
          </cell>
          <cell r="D1194" t="str">
            <v>ASSOCIACAO CCS BRASIL</v>
          </cell>
          <cell r="E1194" t="str">
            <v>A</v>
          </cell>
          <cell r="H1194" t="str">
            <v>N/A</v>
          </cell>
          <cell r="I1194">
            <v>500001</v>
          </cell>
          <cell r="J1194" t="str">
            <v>Fornecedores</v>
          </cell>
          <cell r="K1194">
            <v>600017</v>
          </cell>
          <cell r="L1194">
            <v>-1</v>
          </cell>
        </row>
        <row r="1195">
          <cell r="B1195" t="str">
            <v>2.1.1.04.0989</v>
          </cell>
          <cell r="C1195">
            <v>5933907000127</v>
          </cell>
          <cell r="D1195" t="str">
            <v>DIGITALNET BRASIL SISTEMAS DE COLABORACAO LTDA</v>
          </cell>
          <cell r="E1195" t="str">
            <v>A</v>
          </cell>
          <cell r="H1195" t="str">
            <v>N/A</v>
          </cell>
          <cell r="I1195">
            <v>500001</v>
          </cell>
          <cell r="J1195" t="str">
            <v>Fornecedores</v>
          </cell>
          <cell r="K1195">
            <v>600017</v>
          </cell>
          <cell r="L1195">
            <v>-1</v>
          </cell>
        </row>
        <row r="1196">
          <cell r="B1196" t="str">
            <v>2.1.1.04.0990</v>
          </cell>
          <cell r="C1196">
            <v>27589698000189</v>
          </cell>
          <cell r="D1196" t="str">
            <v>WOOD CENTER COMERCIO - EIRELI</v>
          </cell>
          <cell r="E1196" t="str">
            <v>A</v>
          </cell>
          <cell r="H1196" t="str">
            <v>N/A</v>
          </cell>
          <cell r="I1196">
            <v>500001</v>
          </cell>
          <cell r="J1196" t="str">
            <v>Fornecedores</v>
          </cell>
          <cell r="K1196">
            <v>600017</v>
          </cell>
          <cell r="L1196">
            <v>-1</v>
          </cell>
        </row>
        <row r="1197">
          <cell r="B1197" t="str">
            <v>2.1.1.04.0991</v>
          </cell>
          <cell r="C1197">
            <v>16724683000160</v>
          </cell>
          <cell r="D1197" t="str">
            <v>M &amp; J OFICINA DE CADEIRAS EIRELI ME</v>
          </cell>
          <cell r="E1197" t="str">
            <v>A</v>
          </cell>
          <cell r="H1197" t="str">
            <v>N/A</v>
          </cell>
          <cell r="I1197">
            <v>500001</v>
          </cell>
          <cell r="J1197" t="str">
            <v>Fornecedores</v>
          </cell>
          <cell r="K1197">
            <v>600017</v>
          </cell>
          <cell r="L1197">
            <v>-1</v>
          </cell>
        </row>
        <row r="1198">
          <cell r="B1198" t="str">
            <v>2.1.1.04.0992</v>
          </cell>
          <cell r="C1198">
            <v>45660322000103</v>
          </cell>
          <cell r="D1198" t="str">
            <v>SOLAR SOLUTIONS SOLUÇÕES SOLARES LTDA</v>
          </cell>
          <cell r="E1198" t="str">
            <v>A</v>
          </cell>
          <cell r="H1198" t="str">
            <v>N/A</v>
          </cell>
          <cell r="I1198">
            <v>500001</v>
          </cell>
          <cell r="J1198" t="str">
            <v>Fornecedores</v>
          </cell>
          <cell r="K1198">
            <v>600017</v>
          </cell>
          <cell r="L1198">
            <v>-1</v>
          </cell>
        </row>
        <row r="1199">
          <cell r="B1199" t="str">
            <v>2.1.1.04.0993</v>
          </cell>
          <cell r="C1199">
            <v>1337718000130</v>
          </cell>
          <cell r="D1199" t="str">
            <v>MARILIA REBELLO &amp; ASSOCIADOS LTDA</v>
          </cell>
          <cell r="E1199" t="str">
            <v>A</v>
          </cell>
          <cell r="H1199" t="str">
            <v>N/A</v>
          </cell>
          <cell r="I1199">
            <v>500001</v>
          </cell>
          <cell r="J1199" t="str">
            <v>Fornecedores</v>
          </cell>
          <cell r="K1199">
            <v>600017</v>
          </cell>
          <cell r="L1199">
            <v>-1</v>
          </cell>
        </row>
        <row r="1200">
          <cell r="B1200" t="str">
            <v>2.1.1.04.0994</v>
          </cell>
          <cell r="C1200">
            <v>13016939000196</v>
          </cell>
          <cell r="D1200" t="str">
            <v>AVALOR ENGENHARIA DE AVALIACOES LTDA</v>
          </cell>
          <cell r="E1200" t="str">
            <v>A</v>
          </cell>
          <cell r="H1200" t="str">
            <v>N/A</v>
          </cell>
          <cell r="I1200">
            <v>500001</v>
          </cell>
          <cell r="J1200" t="str">
            <v>Fornecedores</v>
          </cell>
          <cell r="K1200">
            <v>600017</v>
          </cell>
          <cell r="L1200">
            <v>-1</v>
          </cell>
        </row>
        <row r="1201">
          <cell r="B1201" t="str">
            <v>2.1.1.04.0995</v>
          </cell>
          <cell r="C1201">
            <v>23312567000107</v>
          </cell>
          <cell r="D1201" t="str">
            <v>CURSOS VAI QUE DA LTDA - ME</v>
          </cell>
          <cell r="E1201" t="str">
            <v>A</v>
          </cell>
          <cell r="H1201" t="str">
            <v>N/A</v>
          </cell>
          <cell r="I1201">
            <v>500001</v>
          </cell>
          <cell r="J1201" t="str">
            <v>Fornecedores</v>
          </cell>
          <cell r="K1201">
            <v>600017</v>
          </cell>
          <cell r="L1201">
            <v>-1</v>
          </cell>
        </row>
        <row r="1202">
          <cell r="B1202" t="str">
            <v>2.1.1.04.0996</v>
          </cell>
          <cell r="C1202">
            <v>5630085000105</v>
          </cell>
          <cell r="D1202" t="str">
            <v>VICMA COMERCIO DE EQUIPAMENTOS PARA ESCRITORIO LTDA</v>
          </cell>
          <cell r="E1202" t="str">
            <v>A</v>
          </cell>
          <cell r="H1202" t="str">
            <v>N/A</v>
          </cell>
          <cell r="I1202">
            <v>500001</v>
          </cell>
          <cell r="J1202" t="str">
            <v>Fornecedores</v>
          </cell>
          <cell r="K1202">
            <v>600017</v>
          </cell>
          <cell r="L1202">
            <v>-1</v>
          </cell>
        </row>
        <row r="1203">
          <cell r="B1203" t="str">
            <v>2.1.1.04.0997</v>
          </cell>
          <cell r="C1203">
            <v>12654453000110</v>
          </cell>
          <cell r="D1203" t="str">
            <v>BARCINO TREINAMENTO E GESTAO LTDA-ME</v>
          </cell>
          <cell r="E1203" t="str">
            <v>A</v>
          </cell>
          <cell r="H1203" t="str">
            <v>N/A</v>
          </cell>
          <cell r="I1203">
            <v>500001</v>
          </cell>
          <cell r="J1203" t="str">
            <v>Fornecedores</v>
          </cell>
          <cell r="K1203">
            <v>600017</v>
          </cell>
          <cell r="L1203">
            <v>-1</v>
          </cell>
        </row>
        <row r="1204">
          <cell r="B1204" t="str">
            <v>2.1.1.04.0998</v>
          </cell>
          <cell r="C1204">
            <v>2114998</v>
          </cell>
          <cell r="D1204" t="str">
            <v>Fornecedores a Classificar</v>
          </cell>
          <cell r="E1204" t="str">
            <v>A</v>
          </cell>
          <cell r="H1204" t="str">
            <v>N/A</v>
          </cell>
          <cell r="I1204">
            <v>500001</v>
          </cell>
          <cell r="J1204" t="str">
            <v>Fornecedores</v>
          </cell>
          <cell r="K1204">
            <v>600017</v>
          </cell>
          <cell r="L1204">
            <v>-1</v>
          </cell>
        </row>
        <row r="1205">
          <cell r="B1205" t="str">
            <v>2.1.1.04.0999</v>
          </cell>
          <cell r="C1205">
            <v>2114999</v>
          </cell>
          <cell r="D1205" t="str">
            <v>Provisão de Fornecedores</v>
          </cell>
          <cell r="E1205" t="str">
            <v>A</v>
          </cell>
          <cell r="H1205" t="str">
            <v>N/A</v>
          </cell>
          <cell r="I1205">
            <v>500001</v>
          </cell>
          <cell r="J1205" t="str">
            <v>Fornecedores</v>
          </cell>
          <cell r="K1205">
            <v>600017</v>
          </cell>
          <cell r="L1205">
            <v>-1</v>
          </cell>
        </row>
        <row r="1206">
          <cell r="B1206" t="str">
            <v>2.1.1.04.1000</v>
          </cell>
          <cell r="C1206">
            <v>9199793000194</v>
          </cell>
          <cell r="D1206" t="str">
            <v>PREMIER CURSOS LTDA</v>
          </cell>
          <cell r="E1206" t="str">
            <v>A</v>
          </cell>
          <cell r="H1206" t="str">
            <v>N/A</v>
          </cell>
          <cell r="I1206">
            <v>500001</v>
          </cell>
          <cell r="J1206" t="str">
            <v>Fornecedores</v>
          </cell>
          <cell r="K1206">
            <v>600017</v>
          </cell>
          <cell r="L1206">
            <v>-1</v>
          </cell>
        </row>
        <row r="1207">
          <cell r="B1207" t="str">
            <v>2.1.1.04.1001</v>
          </cell>
          <cell r="C1207">
            <v>38458393000154</v>
          </cell>
          <cell r="D1207" t="str">
            <v>EXXPRESS BRINDES LTDA</v>
          </cell>
          <cell r="E1207" t="str">
            <v>A</v>
          </cell>
          <cell r="H1207" t="str">
            <v>N/A</v>
          </cell>
          <cell r="I1207">
            <v>500001</v>
          </cell>
          <cell r="J1207" t="str">
            <v>Fornecedores</v>
          </cell>
          <cell r="K1207">
            <v>600017</v>
          </cell>
          <cell r="L1207">
            <v>-1</v>
          </cell>
        </row>
        <row r="1208">
          <cell r="B1208" t="str">
            <v>2.1.1.04.1002</v>
          </cell>
          <cell r="C1208">
            <v>8210265000126</v>
          </cell>
          <cell r="D1208" t="str">
            <v>DATA CORPORE SERVIÇOS DE TELECOMUNICAÇÕES E INFORMATICA LTDA</v>
          </cell>
          <cell r="E1208" t="str">
            <v>A</v>
          </cell>
          <cell r="H1208" t="str">
            <v>N/A</v>
          </cell>
          <cell r="I1208">
            <v>500001</v>
          </cell>
          <cell r="J1208" t="str">
            <v>Fornecedores</v>
          </cell>
          <cell r="K1208">
            <v>600017</v>
          </cell>
          <cell r="L1208">
            <v>-1</v>
          </cell>
        </row>
        <row r="1209">
          <cell r="B1209" t="str">
            <v>2.1.1.04.1003</v>
          </cell>
          <cell r="C1209">
            <v>26145027000166</v>
          </cell>
          <cell r="D1209" t="str">
            <v>MTSI COMERCIO E SERVICOS DE IMPRESSAO EIRELI</v>
          </cell>
          <cell r="E1209" t="str">
            <v>A</v>
          </cell>
          <cell r="H1209" t="str">
            <v>N/A</v>
          </cell>
          <cell r="I1209">
            <v>500001</v>
          </cell>
          <cell r="J1209" t="str">
            <v>Fornecedores</v>
          </cell>
          <cell r="K1209">
            <v>600017</v>
          </cell>
          <cell r="L1209">
            <v>-1</v>
          </cell>
        </row>
        <row r="1210">
          <cell r="B1210" t="str">
            <v>2.1.1.04.1004</v>
          </cell>
          <cell r="C1210">
            <v>2445475000117</v>
          </cell>
          <cell r="D1210" t="str">
            <v>JORDAO CONSULTORIA E PROJETOS LTDA</v>
          </cell>
          <cell r="E1210" t="str">
            <v>A</v>
          </cell>
          <cell r="H1210" t="str">
            <v>N/A</v>
          </cell>
          <cell r="I1210">
            <v>500001</v>
          </cell>
          <cell r="J1210" t="str">
            <v>Fornecedores</v>
          </cell>
          <cell r="K1210">
            <v>600017</v>
          </cell>
          <cell r="L1210">
            <v>-1</v>
          </cell>
        </row>
        <row r="1211">
          <cell r="B1211" t="str">
            <v>2.1.1.04.1005</v>
          </cell>
          <cell r="C1211">
            <v>14208420000172</v>
          </cell>
          <cell r="D1211" t="str">
            <v>FBM ESCOLA DE NEGOCIOS LTDA</v>
          </cell>
          <cell r="E1211" t="str">
            <v>A</v>
          </cell>
          <cell r="H1211" t="str">
            <v>N/A</v>
          </cell>
          <cell r="I1211">
            <v>500001</v>
          </cell>
          <cell r="J1211" t="str">
            <v>Fornecedores</v>
          </cell>
          <cell r="K1211">
            <v>600017</v>
          </cell>
          <cell r="L1211">
            <v>-1</v>
          </cell>
        </row>
        <row r="1212">
          <cell r="B1212" t="str">
            <v>2.1.1.04.1006</v>
          </cell>
          <cell r="C1212">
            <v>19720194000128</v>
          </cell>
          <cell r="D1212" t="str">
            <v>ABIOGAS - ASSOCIACAO BRASILEIRA DO BIOGAS E DO BIOMETAN</v>
          </cell>
          <cell r="E1212" t="str">
            <v>A</v>
          </cell>
          <cell r="H1212" t="str">
            <v>N/A</v>
          </cell>
          <cell r="I1212">
            <v>500001</v>
          </cell>
          <cell r="J1212" t="str">
            <v>Fornecedores</v>
          </cell>
          <cell r="K1212">
            <v>600017</v>
          </cell>
          <cell r="L1212">
            <v>-1</v>
          </cell>
        </row>
        <row r="1213">
          <cell r="B1213" t="str">
            <v>2.1.1.04.1007</v>
          </cell>
          <cell r="C1213">
            <v>20813461000190</v>
          </cell>
          <cell r="D1213" t="str">
            <v>IDEALPRINT PRODUÇÕES GRAFICAS LTDA</v>
          </cell>
          <cell r="E1213" t="str">
            <v>A</v>
          </cell>
          <cell r="H1213" t="str">
            <v>N/A</v>
          </cell>
          <cell r="I1213">
            <v>500001</v>
          </cell>
          <cell r="J1213" t="str">
            <v>Fornecedores</v>
          </cell>
          <cell r="K1213">
            <v>600017</v>
          </cell>
          <cell r="L1213">
            <v>-1</v>
          </cell>
        </row>
        <row r="1214">
          <cell r="B1214" t="str">
            <v>2.1.1.04.1008</v>
          </cell>
          <cell r="C1214">
            <v>3263975000109</v>
          </cell>
          <cell r="D1214" t="str">
            <v>SYSTECH SISTEMAS E TECNOLOGIA EM INFORMÁTICA</v>
          </cell>
          <cell r="E1214" t="str">
            <v>A</v>
          </cell>
          <cell r="H1214" t="str">
            <v>N/A</v>
          </cell>
          <cell r="I1214">
            <v>500001</v>
          </cell>
          <cell r="J1214" t="str">
            <v>Fornecedores</v>
          </cell>
          <cell r="K1214">
            <v>600017</v>
          </cell>
          <cell r="L1214">
            <v>-1</v>
          </cell>
        </row>
        <row r="1215">
          <cell r="B1215" t="str">
            <v>2.1.1.04.1009</v>
          </cell>
          <cell r="C1215">
            <v>33746475000180</v>
          </cell>
          <cell r="D1215" t="str">
            <v>ANUBIS INFORMATICA LTDA</v>
          </cell>
          <cell r="E1215" t="str">
            <v>A</v>
          </cell>
          <cell r="H1215" t="str">
            <v>N/A</v>
          </cell>
          <cell r="I1215">
            <v>500001</v>
          </cell>
          <cell r="J1215" t="str">
            <v>Fornecedores</v>
          </cell>
          <cell r="K1215">
            <v>600017</v>
          </cell>
          <cell r="L1215">
            <v>-1</v>
          </cell>
        </row>
        <row r="1216">
          <cell r="B1216" t="str">
            <v>2.1.1.04.1010</v>
          </cell>
          <cell r="C1216">
            <v>19485885000194</v>
          </cell>
          <cell r="D1216" t="str">
            <v>THAP BRINDES LTDA</v>
          </cell>
          <cell r="E1216" t="str">
            <v>A</v>
          </cell>
          <cell r="H1216" t="str">
            <v>N/A</v>
          </cell>
          <cell r="I1216">
            <v>500001</v>
          </cell>
          <cell r="J1216" t="str">
            <v>Fornecedores</v>
          </cell>
          <cell r="K1216">
            <v>600017</v>
          </cell>
          <cell r="L1216">
            <v>-1</v>
          </cell>
        </row>
        <row r="1217">
          <cell r="B1217" t="str">
            <v>2.1.1.04.1011</v>
          </cell>
          <cell r="C1217">
            <v>3812745000224</v>
          </cell>
          <cell r="D1217" t="str">
            <v>PRIMETECH INFORMATICA EIRELI</v>
          </cell>
          <cell r="E1217" t="str">
            <v>A</v>
          </cell>
          <cell r="H1217" t="str">
            <v>N/A</v>
          </cell>
          <cell r="I1217">
            <v>500001</v>
          </cell>
          <cell r="J1217" t="str">
            <v>Fornecedores</v>
          </cell>
          <cell r="K1217">
            <v>600017</v>
          </cell>
          <cell r="L1217">
            <v>-1</v>
          </cell>
        </row>
        <row r="1218">
          <cell r="B1218" t="str">
            <v>2.1.1.04.1012</v>
          </cell>
          <cell r="C1218">
            <v>1976526000174</v>
          </cell>
          <cell r="D1218" t="str">
            <v>SAAS - SOLUÇÕES E SISTEMAS DE GESTÃO S/S LTDA</v>
          </cell>
          <cell r="E1218" t="str">
            <v>A</v>
          </cell>
          <cell r="H1218" t="str">
            <v>N/A</v>
          </cell>
          <cell r="I1218">
            <v>500001</v>
          </cell>
          <cell r="J1218" t="str">
            <v>Fornecedores</v>
          </cell>
          <cell r="K1218">
            <v>600017</v>
          </cell>
          <cell r="L1218">
            <v>-1</v>
          </cell>
        </row>
        <row r="1219">
          <cell r="B1219" t="str">
            <v>2.1.1.04.1013</v>
          </cell>
          <cell r="C1219">
            <v>44459904000155</v>
          </cell>
          <cell r="D1219" t="str">
            <v>WA 2 SERVIÇOS DE SEGURANÇA DA INFORMAÇÃO E CONTINUIDADE</v>
          </cell>
          <cell r="E1219" t="str">
            <v>A</v>
          </cell>
          <cell r="H1219" t="str">
            <v>N/A</v>
          </cell>
          <cell r="I1219">
            <v>500001</v>
          </cell>
          <cell r="J1219" t="str">
            <v>Fornecedores</v>
          </cell>
          <cell r="K1219">
            <v>600017</v>
          </cell>
          <cell r="L1219">
            <v>-1</v>
          </cell>
        </row>
        <row r="1220">
          <cell r="B1220" t="str">
            <v>2.1.1.04.1014</v>
          </cell>
          <cell r="C1220">
            <v>13369407000132</v>
          </cell>
          <cell r="D1220" t="str">
            <v>SATELITE COMERCIO DE MATERIAIS DE ESCRITORIO DE LIMPEZA</v>
          </cell>
          <cell r="E1220" t="str">
            <v>A</v>
          </cell>
          <cell r="H1220" t="str">
            <v>N/A</v>
          </cell>
          <cell r="I1220">
            <v>500001</v>
          </cell>
          <cell r="J1220" t="str">
            <v>Fornecedores</v>
          </cell>
          <cell r="K1220">
            <v>600017</v>
          </cell>
          <cell r="L1220">
            <v>-1</v>
          </cell>
        </row>
        <row r="1221">
          <cell r="B1221" t="str">
            <v>2.1.1.04.1015</v>
          </cell>
          <cell r="C1221">
            <v>37381902000125</v>
          </cell>
          <cell r="D1221" t="str">
            <v>REDE NACIONAL DE APRENDIZAGEM, PROMOÇÃO SOCIAL E INTEGRAÇÃO RENAPSI</v>
          </cell>
          <cell r="E1221" t="str">
            <v>A</v>
          </cell>
          <cell r="H1221" t="str">
            <v>N/A</v>
          </cell>
          <cell r="I1221">
            <v>500001</v>
          </cell>
          <cell r="J1221" t="str">
            <v>Fornecedores</v>
          </cell>
          <cell r="K1221">
            <v>600017</v>
          </cell>
          <cell r="L1221">
            <v>-1</v>
          </cell>
        </row>
        <row r="1222">
          <cell r="B1222" t="str">
            <v>2.1.1.04.1016</v>
          </cell>
          <cell r="C1222">
            <v>7273916000164</v>
          </cell>
          <cell r="D1222" t="str">
            <v>5F SOLUÇÕES, SERVIÇOS E COMERCIO DE PRODUTOS DE INFORMATICA</v>
          </cell>
          <cell r="E1222" t="str">
            <v>A</v>
          </cell>
          <cell r="H1222" t="str">
            <v>N/A</v>
          </cell>
          <cell r="I1222">
            <v>500001</v>
          </cell>
          <cell r="J1222" t="str">
            <v>Fornecedores</v>
          </cell>
          <cell r="K1222">
            <v>600017</v>
          </cell>
          <cell r="L1222">
            <v>-1</v>
          </cell>
        </row>
        <row r="1223">
          <cell r="B1223" t="str">
            <v>2.1.1.04.1017</v>
          </cell>
          <cell r="C1223">
            <v>42429480000150</v>
          </cell>
          <cell r="D1223" t="str">
            <v>FUNDACAO UNIVERSITARIA JOSE BONIFACIO</v>
          </cell>
          <cell r="E1223" t="str">
            <v>A</v>
          </cell>
          <cell r="H1223" t="str">
            <v>N/A</v>
          </cell>
          <cell r="I1223">
            <v>500001</v>
          </cell>
          <cell r="J1223" t="str">
            <v>Fornecedores</v>
          </cell>
          <cell r="K1223">
            <v>600017</v>
          </cell>
          <cell r="L1223">
            <v>-1</v>
          </cell>
        </row>
        <row r="1224">
          <cell r="B1224" t="str">
            <v>2.1.1.04.1018</v>
          </cell>
          <cell r="C1224">
            <v>33683111000875</v>
          </cell>
          <cell r="D1224" t="str">
            <v>SERVICO FEDERAL DE PROCESSAMENTO DE DADOS SERPRO</v>
          </cell>
          <cell r="E1224" t="str">
            <v>A</v>
          </cell>
          <cell r="H1224" t="str">
            <v>N/A</v>
          </cell>
          <cell r="I1224">
            <v>500001</v>
          </cell>
          <cell r="J1224" t="str">
            <v>Fornecedores</v>
          </cell>
          <cell r="K1224">
            <v>600017</v>
          </cell>
          <cell r="L1224">
            <v>-1</v>
          </cell>
        </row>
        <row r="1225">
          <cell r="B1225" t="str">
            <v>2.1.1.04.1019</v>
          </cell>
          <cell r="C1225">
            <v>45499342000136</v>
          </cell>
          <cell r="D1225" t="str">
            <v>GEOWORKS CONSULTING SERVICES LTDA</v>
          </cell>
          <cell r="E1225" t="str">
            <v>A</v>
          </cell>
          <cell r="H1225" t="str">
            <v>N/A</v>
          </cell>
          <cell r="I1225">
            <v>500001</v>
          </cell>
          <cell r="J1225" t="str">
            <v>Fornecedores</v>
          </cell>
          <cell r="K1225">
            <v>600017</v>
          </cell>
          <cell r="L1225">
            <v>-1</v>
          </cell>
        </row>
        <row r="1226">
          <cell r="B1226" t="str">
            <v>2.1.1.04.1020</v>
          </cell>
          <cell r="C1226">
            <v>28912970000182</v>
          </cell>
          <cell r="D1226" t="str">
            <v>ADEMIR DE OLIVEIRA TEIXEIRA</v>
          </cell>
          <cell r="E1226" t="str">
            <v>A</v>
          </cell>
          <cell r="H1226" t="str">
            <v>N/A</v>
          </cell>
          <cell r="I1226">
            <v>500001</v>
          </cell>
          <cell r="J1226" t="str">
            <v>Fornecedores</v>
          </cell>
          <cell r="K1226">
            <v>600017</v>
          </cell>
          <cell r="L1226">
            <v>-1</v>
          </cell>
        </row>
        <row r="1227">
          <cell r="B1227" t="str">
            <v>2.1.1.04.1021</v>
          </cell>
          <cell r="C1227">
            <v>12782050000157</v>
          </cell>
          <cell r="D1227" t="str">
            <v>GM SAUDE LTDA</v>
          </cell>
          <cell r="E1227" t="str">
            <v>A</v>
          </cell>
          <cell r="H1227" t="str">
            <v>N/A</v>
          </cell>
          <cell r="I1227">
            <v>500001</v>
          </cell>
          <cell r="J1227" t="str">
            <v>Fornecedores</v>
          </cell>
          <cell r="K1227">
            <v>600017</v>
          </cell>
          <cell r="L1227">
            <v>-1</v>
          </cell>
        </row>
        <row r="1228">
          <cell r="B1228" t="str">
            <v>2.1.1.04.1022</v>
          </cell>
          <cell r="C1228">
            <v>7658544000194</v>
          </cell>
          <cell r="D1228" t="str">
            <v>GREEN DOMUS DESENVOLVIMENTO SUSTENTAVEL LTDA</v>
          </cell>
          <cell r="E1228" t="str">
            <v>A</v>
          </cell>
          <cell r="H1228" t="str">
            <v>N/A</v>
          </cell>
          <cell r="I1228">
            <v>500001</v>
          </cell>
          <cell r="J1228" t="str">
            <v>Fornecedores</v>
          </cell>
          <cell r="K1228">
            <v>600017</v>
          </cell>
          <cell r="L1228">
            <v>-1</v>
          </cell>
        </row>
        <row r="1229">
          <cell r="B1229" t="str">
            <v>2.1.1.04.1023</v>
          </cell>
          <cell r="C1229">
            <v>46792829000175</v>
          </cell>
          <cell r="D1229" t="str">
            <v>ANKLESA INCORPORAÇÃO DE EMPREENDIMENTOS LTDA</v>
          </cell>
          <cell r="E1229" t="str">
            <v>A</v>
          </cell>
          <cell r="H1229" t="str">
            <v>N/A</v>
          </cell>
          <cell r="I1229">
            <v>500001</v>
          </cell>
          <cell r="J1229" t="str">
            <v>Fornecedores</v>
          </cell>
          <cell r="K1229">
            <v>600017</v>
          </cell>
          <cell r="L1229">
            <v>-1</v>
          </cell>
        </row>
        <row r="1230">
          <cell r="B1230" t="str">
            <v>2.1.1.04.1024</v>
          </cell>
          <cell r="C1230">
            <v>31030056000112</v>
          </cell>
          <cell r="D1230" t="str">
            <v>SOLUCOES INTERATIVAS PERSONALIZADAS LTDA</v>
          </cell>
          <cell r="E1230" t="str">
            <v>A</v>
          </cell>
          <cell r="H1230" t="str">
            <v>N/A</v>
          </cell>
          <cell r="I1230">
            <v>500001</v>
          </cell>
          <cell r="J1230" t="str">
            <v>Fornecedores</v>
          </cell>
          <cell r="K1230">
            <v>600017</v>
          </cell>
          <cell r="L1230">
            <v>-1</v>
          </cell>
        </row>
        <row r="1231">
          <cell r="B1231" t="str">
            <v>2.1.1.04.1025</v>
          </cell>
          <cell r="C1231">
            <v>22243823000180</v>
          </cell>
          <cell r="D1231" t="str">
            <v>NALI FRETAMENTO TURISMO E LOCADORA LTDA ME</v>
          </cell>
          <cell r="E1231" t="str">
            <v>A</v>
          </cell>
          <cell r="H1231" t="str">
            <v>N/A</v>
          </cell>
          <cell r="I1231">
            <v>500001</v>
          </cell>
          <cell r="J1231" t="str">
            <v>Fornecedores</v>
          </cell>
          <cell r="K1231">
            <v>600017</v>
          </cell>
          <cell r="L1231">
            <v>-1</v>
          </cell>
        </row>
        <row r="1232">
          <cell r="B1232" t="str">
            <v>2.1.1.04.1026</v>
          </cell>
          <cell r="C1232">
            <v>42112742000159</v>
          </cell>
          <cell r="D1232" t="str">
            <v>GAR-6 CONSULTORIA EM RELAÇÕES TRABALHISTAS LTDA ME</v>
          </cell>
          <cell r="E1232" t="str">
            <v>A</v>
          </cell>
          <cell r="H1232" t="str">
            <v>N/A</v>
          </cell>
          <cell r="I1232">
            <v>500001</v>
          </cell>
          <cell r="J1232" t="str">
            <v>Fornecedores</v>
          </cell>
          <cell r="K1232">
            <v>600017</v>
          </cell>
          <cell r="L1232">
            <v>-1</v>
          </cell>
        </row>
        <row r="1233">
          <cell r="B1233" t="str">
            <v>2.1.1.04.1027</v>
          </cell>
          <cell r="C1233">
            <v>23605872000189</v>
          </cell>
          <cell r="D1233" t="str">
            <v>ESCAPE RIO RECREAÇÃO E TREINAMENTO LTDA</v>
          </cell>
          <cell r="E1233" t="str">
            <v>A</v>
          </cell>
          <cell r="H1233" t="str">
            <v>N/A</v>
          </cell>
          <cell r="I1233">
            <v>500001</v>
          </cell>
          <cell r="J1233" t="str">
            <v>Fornecedores</v>
          </cell>
          <cell r="K1233">
            <v>600017</v>
          </cell>
          <cell r="L1233">
            <v>-1</v>
          </cell>
        </row>
        <row r="1234">
          <cell r="B1234" t="str">
            <v>2.1.1.04.1028</v>
          </cell>
          <cell r="C1234">
            <v>18241195000127</v>
          </cell>
          <cell r="D1234" t="str">
            <v>ASSOCIAÇÃO BRASILEIRA DE PEQUENAS CENTRAIS HIDRELETRICAS</v>
          </cell>
          <cell r="E1234" t="str">
            <v>A</v>
          </cell>
          <cell r="H1234" t="str">
            <v>N/A</v>
          </cell>
          <cell r="I1234">
            <v>500001</v>
          </cell>
          <cell r="J1234" t="str">
            <v>Fornecedores</v>
          </cell>
          <cell r="K1234">
            <v>600017</v>
          </cell>
          <cell r="L1234">
            <v>-1</v>
          </cell>
        </row>
        <row r="1235">
          <cell r="B1235" t="str">
            <v>2.1.1.04.1029</v>
          </cell>
          <cell r="C1235">
            <v>772864000121</v>
          </cell>
          <cell r="D1235" t="str">
            <v>ENGEPOWER ENGENHARIA E COMÉRCIO LTDA</v>
          </cell>
          <cell r="E1235" t="str">
            <v>A</v>
          </cell>
          <cell r="H1235" t="str">
            <v>N/A</v>
          </cell>
          <cell r="I1235">
            <v>500001</v>
          </cell>
          <cell r="J1235" t="str">
            <v>Fornecedores</v>
          </cell>
          <cell r="K1235">
            <v>600017</v>
          </cell>
          <cell r="L1235">
            <v>-1</v>
          </cell>
        </row>
        <row r="1236">
          <cell r="B1236" t="str">
            <v>2.1.1.04.1030</v>
          </cell>
          <cell r="C1236">
            <v>10302191000108</v>
          </cell>
          <cell r="D1236" t="str">
            <v>NARCISIA SANTOS CONSULTORIA, PROJETOS E CURSOS LTDA</v>
          </cell>
          <cell r="E1236" t="str">
            <v>A</v>
          </cell>
          <cell r="H1236" t="str">
            <v>N/A</v>
          </cell>
          <cell r="I1236">
            <v>500001</v>
          </cell>
          <cell r="J1236" t="str">
            <v>Fornecedores</v>
          </cell>
          <cell r="K1236">
            <v>600017</v>
          </cell>
          <cell r="L1236">
            <v>-1</v>
          </cell>
        </row>
        <row r="1237">
          <cell r="B1237" t="str">
            <v>2.1.1.04.1031</v>
          </cell>
          <cell r="C1237">
            <v>24185201000179</v>
          </cell>
          <cell r="D1237" t="str">
            <v>AGENCIA EPBR DE NOTICIAS LTDA</v>
          </cell>
          <cell r="E1237" t="str">
            <v>A</v>
          </cell>
          <cell r="H1237" t="str">
            <v>N/A</v>
          </cell>
          <cell r="I1237">
            <v>500001</v>
          </cell>
          <cell r="J1237" t="str">
            <v>Fornecedores</v>
          </cell>
          <cell r="K1237">
            <v>600017</v>
          </cell>
          <cell r="L1237">
            <v>-1</v>
          </cell>
        </row>
        <row r="1238">
          <cell r="B1238" t="str">
            <v>2.1.1.04.1032</v>
          </cell>
          <cell r="C1238">
            <v>29300259000130</v>
          </cell>
          <cell r="D1238" t="str">
            <v>DLS TREINAMENTOS LTDA</v>
          </cell>
          <cell r="E1238" t="str">
            <v>A</v>
          </cell>
          <cell r="H1238" t="str">
            <v>N/A</v>
          </cell>
          <cell r="I1238">
            <v>500001</v>
          </cell>
          <cell r="J1238" t="str">
            <v>Fornecedores</v>
          </cell>
          <cell r="K1238">
            <v>600017</v>
          </cell>
          <cell r="L1238">
            <v>-1</v>
          </cell>
        </row>
        <row r="1239">
          <cell r="B1239" t="str">
            <v>2.1.1.04.1033</v>
          </cell>
          <cell r="C1239">
            <v>9183496000150</v>
          </cell>
          <cell r="D1239" t="str">
            <v>GREENER CONSULTORIA LTDA</v>
          </cell>
          <cell r="E1239" t="str">
            <v>A</v>
          </cell>
          <cell r="H1239" t="str">
            <v>N/A</v>
          </cell>
          <cell r="I1239">
            <v>500001</v>
          </cell>
          <cell r="J1239" t="str">
            <v>Fornecedores</v>
          </cell>
          <cell r="K1239">
            <v>600017</v>
          </cell>
          <cell r="L1239">
            <v>-1</v>
          </cell>
        </row>
        <row r="1240">
          <cell r="B1240" t="str">
            <v>2.1.1.04.1034</v>
          </cell>
          <cell r="C1240">
            <v>19908082000103</v>
          </cell>
          <cell r="D1240" t="str">
            <v>VALOR CRUCIAL TREINAMENTOS EPP LTDA</v>
          </cell>
          <cell r="E1240" t="str">
            <v>A</v>
          </cell>
          <cell r="H1240" t="str">
            <v>N/A</v>
          </cell>
          <cell r="I1240">
            <v>500001</v>
          </cell>
          <cell r="J1240" t="str">
            <v>Fornecedores</v>
          </cell>
          <cell r="K1240">
            <v>600017</v>
          </cell>
          <cell r="L1240">
            <v>-1</v>
          </cell>
        </row>
        <row r="1241">
          <cell r="B1241" t="str">
            <v>2.1.1.04.1035</v>
          </cell>
          <cell r="C1241">
            <v>10298998000106</v>
          </cell>
          <cell r="D1241" t="str">
            <v>SBERA - SOCIEDADE BRASILEIRA DOS ESPECIALISTAS EM RESIDUOS</v>
          </cell>
          <cell r="E1241" t="str">
            <v>A</v>
          </cell>
          <cell r="H1241" t="str">
            <v>N/A</v>
          </cell>
          <cell r="I1241">
            <v>500001</v>
          </cell>
          <cell r="J1241" t="str">
            <v>Fornecedores</v>
          </cell>
          <cell r="K1241">
            <v>600017</v>
          </cell>
          <cell r="L1241">
            <v>-1</v>
          </cell>
        </row>
        <row r="1242">
          <cell r="B1242" t="str">
            <v>2.1.1.04.1036</v>
          </cell>
          <cell r="C1242">
            <v>5507500000138</v>
          </cell>
          <cell r="D1242" t="str">
            <v>AGENCIA BRASILEIRA DE PROMOCAO DE EXPORTACOES E INVESTIMENTOS</v>
          </cell>
          <cell r="E1242" t="str">
            <v>A</v>
          </cell>
          <cell r="H1242" t="str">
            <v>N/A</v>
          </cell>
          <cell r="I1242">
            <v>500001</v>
          </cell>
          <cell r="J1242" t="str">
            <v>Fornecedores</v>
          </cell>
          <cell r="K1242">
            <v>600017</v>
          </cell>
          <cell r="L1242">
            <v>-1</v>
          </cell>
        </row>
        <row r="1243">
          <cell r="B1243" t="str">
            <v>2.1.1.04.1037</v>
          </cell>
          <cell r="C1243">
            <v>47463326000119</v>
          </cell>
          <cell r="D1243" t="str">
            <v>MARTINS BRITTO DESENVOLVIMENTO PESSOAL E TECNOLOGICO LTDA</v>
          </cell>
          <cell r="E1243" t="str">
            <v>A</v>
          </cell>
          <cell r="H1243" t="str">
            <v>N/A</v>
          </cell>
          <cell r="I1243">
            <v>500001</v>
          </cell>
          <cell r="J1243" t="str">
            <v>Fornecedores</v>
          </cell>
          <cell r="K1243">
            <v>600017</v>
          </cell>
          <cell r="L1243">
            <v>-1</v>
          </cell>
        </row>
        <row r="1244">
          <cell r="B1244" t="str">
            <v>2.1.1.04.1038</v>
          </cell>
          <cell r="C1244">
            <v>65714784000165</v>
          </cell>
          <cell r="D1244" t="str">
            <v>INSTITUTO BRAS DE AVALIACOES PERICIAS DE ENGENHARIA SP</v>
          </cell>
          <cell r="E1244" t="str">
            <v>A</v>
          </cell>
          <cell r="H1244" t="str">
            <v>N/A</v>
          </cell>
          <cell r="I1244">
            <v>500001</v>
          </cell>
          <cell r="J1244" t="str">
            <v>Fornecedores</v>
          </cell>
          <cell r="K1244">
            <v>600017</v>
          </cell>
          <cell r="L1244">
            <v>-1</v>
          </cell>
        </row>
        <row r="1245">
          <cell r="B1245" t="str">
            <v>2.1.1.04.1039</v>
          </cell>
          <cell r="C1245">
            <v>48659502000155</v>
          </cell>
          <cell r="D1245" t="str">
            <v>FUNDACAO DE ESTUDOS AGRARIOS LUIZ DE QUEIROZ</v>
          </cell>
          <cell r="E1245" t="str">
            <v>A</v>
          </cell>
          <cell r="H1245" t="str">
            <v>N/A</v>
          </cell>
          <cell r="I1245">
            <v>500001</v>
          </cell>
          <cell r="J1245" t="str">
            <v>Fornecedores</v>
          </cell>
          <cell r="K1245">
            <v>600017</v>
          </cell>
          <cell r="L1245">
            <v>-1</v>
          </cell>
        </row>
        <row r="1246">
          <cell r="B1246" t="str">
            <v>2.1.1.04.1040</v>
          </cell>
          <cell r="C1246">
            <v>4053315000158</v>
          </cell>
          <cell r="D1246" t="str">
            <v>NSI TRAINING TECNOLOGIA S/C LTDA</v>
          </cell>
          <cell r="E1246" t="str">
            <v>A</v>
          </cell>
          <cell r="H1246" t="str">
            <v>N/A</v>
          </cell>
          <cell r="I1246">
            <v>500001</v>
          </cell>
          <cell r="J1246" t="str">
            <v>Fornecedores</v>
          </cell>
          <cell r="K1246">
            <v>600017</v>
          </cell>
          <cell r="L1246">
            <v>-1</v>
          </cell>
        </row>
        <row r="1247">
          <cell r="B1247" t="str">
            <v>2.1.1.04.1041</v>
          </cell>
          <cell r="C1247">
            <v>27116140000186</v>
          </cell>
          <cell r="D1247" t="str">
            <v>CAIO ALEXANDRE A DE SOUZA EVENTOS</v>
          </cell>
          <cell r="E1247" t="str">
            <v>A</v>
          </cell>
          <cell r="H1247" t="str">
            <v>N/A</v>
          </cell>
          <cell r="I1247">
            <v>500001</v>
          </cell>
          <cell r="J1247" t="str">
            <v>Fornecedores</v>
          </cell>
          <cell r="K1247">
            <v>600017</v>
          </cell>
          <cell r="L1247">
            <v>-1</v>
          </cell>
        </row>
        <row r="1248">
          <cell r="B1248" t="str">
            <v>2.1.1.04.1042</v>
          </cell>
          <cell r="C1248">
            <v>9012638000117</v>
          </cell>
          <cell r="D1248" t="str">
            <v>J L CLEAN LIMPEZA E DESINFECÇÃO LTDA</v>
          </cell>
          <cell r="E1248" t="str">
            <v>A</v>
          </cell>
          <cell r="H1248" t="str">
            <v>N/A</v>
          </cell>
          <cell r="I1248">
            <v>500001</v>
          </cell>
          <cell r="J1248" t="str">
            <v>Fornecedores</v>
          </cell>
          <cell r="K1248">
            <v>600017</v>
          </cell>
          <cell r="L1248">
            <v>-1</v>
          </cell>
        </row>
        <row r="1249">
          <cell r="B1249" t="str">
            <v>2.1.1.04.1043</v>
          </cell>
          <cell r="C1249">
            <v>47982472000150</v>
          </cell>
          <cell r="D1249" t="str">
            <v>INTERLINK EXHIBITIONS LTDA</v>
          </cell>
          <cell r="E1249" t="str">
            <v>A</v>
          </cell>
          <cell r="H1249" t="str">
            <v>N/A</v>
          </cell>
          <cell r="I1249">
            <v>500001</v>
          </cell>
          <cell r="J1249" t="str">
            <v>Fornecedores</v>
          </cell>
          <cell r="K1249">
            <v>600017</v>
          </cell>
          <cell r="L1249">
            <v>-1</v>
          </cell>
        </row>
        <row r="1250">
          <cell r="B1250" t="str">
            <v>2.1.1.04.1044</v>
          </cell>
          <cell r="C1250">
            <v>52618139003031</v>
          </cell>
          <cell r="D1250" t="str">
            <v>LEGRAND BRASIL LTDA</v>
          </cell>
          <cell r="E1250" t="str">
            <v>A</v>
          </cell>
          <cell r="H1250" t="str">
            <v>N/A</v>
          </cell>
          <cell r="I1250">
            <v>500001</v>
          </cell>
          <cell r="J1250" t="str">
            <v>Fornecedores</v>
          </cell>
          <cell r="K1250">
            <v>600017</v>
          </cell>
          <cell r="L1250">
            <v>-1</v>
          </cell>
        </row>
        <row r="1251">
          <cell r="B1251" t="str">
            <v>2.1.1.04.1045</v>
          </cell>
          <cell r="C1251">
            <v>40175986000317</v>
          </cell>
          <cell r="D1251" t="str">
            <v>CONTACTA SEGURANCA EM CONECTIVIDADE LTDA</v>
          </cell>
          <cell r="E1251" t="str">
            <v>A</v>
          </cell>
          <cell r="H1251" t="str">
            <v>N/A</v>
          </cell>
          <cell r="I1251">
            <v>500001</v>
          </cell>
          <cell r="J1251" t="str">
            <v>Fornecedores</v>
          </cell>
          <cell r="K1251">
            <v>600017</v>
          </cell>
          <cell r="L1251">
            <v>-1</v>
          </cell>
        </row>
        <row r="1252">
          <cell r="B1252" t="str">
            <v>2.1.1.04.1046</v>
          </cell>
          <cell r="C1252">
            <v>6201994000190</v>
          </cell>
          <cell r="D1252" t="str">
            <v>ACEPLUS BRASIL LTDA</v>
          </cell>
          <cell r="E1252" t="str">
            <v>A</v>
          </cell>
          <cell r="H1252" t="str">
            <v>N/A</v>
          </cell>
          <cell r="I1252">
            <v>500001</v>
          </cell>
          <cell r="J1252" t="str">
            <v>Fornecedores</v>
          </cell>
          <cell r="K1252">
            <v>600017</v>
          </cell>
          <cell r="L1252">
            <v>-1</v>
          </cell>
        </row>
        <row r="1253">
          <cell r="B1253" t="str">
            <v>2.1.1.04.1047</v>
          </cell>
          <cell r="C1253">
            <v>48753004000177</v>
          </cell>
          <cell r="D1253" t="str">
            <v>AGATHA SOUZA BRITO PESSOA</v>
          </cell>
          <cell r="E1253" t="str">
            <v>A</v>
          </cell>
          <cell r="H1253" t="str">
            <v>N/A</v>
          </cell>
          <cell r="I1253">
            <v>500001</v>
          </cell>
          <cell r="J1253" t="str">
            <v>Fornecedores</v>
          </cell>
          <cell r="K1253">
            <v>600017</v>
          </cell>
          <cell r="L1253">
            <v>-1</v>
          </cell>
        </row>
        <row r="1254">
          <cell r="B1254" t="str">
            <v>2.1.1.04.1048</v>
          </cell>
          <cell r="C1254">
            <v>5824184000128</v>
          </cell>
          <cell r="D1254" t="str">
            <v>INSTITUTO BRASILEIRO DE ESTUDOS DO DIREITO DA ENERGIA</v>
          </cell>
          <cell r="E1254" t="str">
            <v>A</v>
          </cell>
          <cell r="H1254" t="str">
            <v>N/A</v>
          </cell>
          <cell r="I1254">
            <v>500001</v>
          </cell>
          <cell r="J1254" t="str">
            <v>Fornecedores</v>
          </cell>
          <cell r="K1254">
            <v>600017</v>
          </cell>
          <cell r="L1254">
            <v>-1</v>
          </cell>
        </row>
        <row r="1255">
          <cell r="B1255" t="str">
            <v>2.1.1.04.1049</v>
          </cell>
          <cell r="C1255">
            <v>50396702000104</v>
          </cell>
          <cell r="D1255" t="str">
            <v>BASE 183 EVENTOS LTDA</v>
          </cell>
          <cell r="E1255" t="str">
            <v>A</v>
          </cell>
          <cell r="H1255" t="str">
            <v>N/A</v>
          </cell>
          <cell r="I1255">
            <v>500001</v>
          </cell>
          <cell r="J1255" t="str">
            <v>Fornecedores</v>
          </cell>
          <cell r="K1255">
            <v>600017</v>
          </cell>
          <cell r="L1255">
            <v>-1</v>
          </cell>
        </row>
        <row r="1256">
          <cell r="B1256" t="str">
            <v>2.1.1.04.1050</v>
          </cell>
          <cell r="C1256">
            <v>29864278000199</v>
          </cell>
          <cell r="D1256" t="str">
            <v>GH MARKETING LTDA</v>
          </cell>
          <cell r="E1256" t="str">
            <v>A</v>
          </cell>
          <cell r="H1256" t="str">
            <v>N/A</v>
          </cell>
          <cell r="I1256">
            <v>500001</v>
          </cell>
          <cell r="J1256" t="str">
            <v>Fornecedores</v>
          </cell>
          <cell r="K1256">
            <v>600017</v>
          </cell>
          <cell r="L1256">
            <v>-1</v>
          </cell>
        </row>
        <row r="1257">
          <cell r="B1257" t="str">
            <v>2.1.1.04.1051</v>
          </cell>
          <cell r="C1257">
            <v>10535809000171</v>
          </cell>
          <cell r="D1257" t="str">
            <v>NNAL COMERCIO DE MATERIAIS MEDICOS E SERVICOS EMPRESARIAIS LTDA</v>
          </cell>
          <cell r="E1257" t="str">
            <v>A</v>
          </cell>
          <cell r="H1257" t="str">
            <v>N/A</v>
          </cell>
          <cell r="I1257">
            <v>500001</v>
          </cell>
          <cell r="J1257" t="str">
            <v>Fornecedores</v>
          </cell>
          <cell r="K1257">
            <v>600017</v>
          </cell>
          <cell r="L1257">
            <v>-1</v>
          </cell>
        </row>
        <row r="1258">
          <cell r="B1258" t="str">
            <v>2.1.1.04.1052</v>
          </cell>
          <cell r="C1258">
            <v>69112514000135</v>
          </cell>
          <cell r="D1258" t="str">
            <v>PRIMASOFT INFORMATICA LTDA</v>
          </cell>
          <cell r="E1258" t="str">
            <v>A</v>
          </cell>
          <cell r="H1258" t="str">
            <v>N/A</v>
          </cell>
          <cell r="I1258">
            <v>500001</v>
          </cell>
          <cell r="J1258" t="str">
            <v>Fornecedores</v>
          </cell>
          <cell r="K1258">
            <v>600017</v>
          </cell>
          <cell r="L1258">
            <v>-1</v>
          </cell>
        </row>
        <row r="1259">
          <cell r="B1259" t="str">
            <v>2.1.1.04.1053</v>
          </cell>
          <cell r="C1259">
            <v>67129858000121</v>
          </cell>
          <cell r="D1259" t="str">
            <v>AMANA LIDERANÇA E DESENVOLVIMENTO LTDA</v>
          </cell>
          <cell r="E1259" t="str">
            <v>A</v>
          </cell>
          <cell r="H1259" t="str">
            <v>N/A</v>
          </cell>
          <cell r="I1259">
            <v>500001</v>
          </cell>
          <cell r="J1259" t="str">
            <v>Fornecedores</v>
          </cell>
          <cell r="K1259">
            <v>600017</v>
          </cell>
          <cell r="L1259">
            <v>-1</v>
          </cell>
        </row>
        <row r="1260">
          <cell r="B1260" t="str">
            <v>2.1.1.04.1054</v>
          </cell>
          <cell r="C1260">
            <v>33327016000162</v>
          </cell>
          <cell r="D1260" t="str">
            <v>CAFE NOVO INDIGENA LTDA</v>
          </cell>
          <cell r="E1260" t="str">
            <v>A</v>
          </cell>
          <cell r="H1260" t="str">
            <v>N/A</v>
          </cell>
          <cell r="I1260">
            <v>500001</v>
          </cell>
          <cell r="J1260" t="str">
            <v>Fornecedores</v>
          </cell>
          <cell r="K1260">
            <v>600017</v>
          </cell>
          <cell r="L1260">
            <v>-1</v>
          </cell>
        </row>
        <row r="1261">
          <cell r="B1261" t="str">
            <v>2.1.1.04.1055</v>
          </cell>
          <cell r="C1261">
            <v>50919483000109</v>
          </cell>
          <cell r="D1261" t="str">
            <v>ADRIELY MAIARA FRANCA DO NASCIMENTO</v>
          </cell>
          <cell r="E1261" t="str">
            <v>A</v>
          </cell>
          <cell r="H1261" t="str">
            <v>N/A</v>
          </cell>
          <cell r="I1261">
            <v>500001</v>
          </cell>
          <cell r="J1261" t="str">
            <v>Fornecedores</v>
          </cell>
          <cell r="K1261">
            <v>600017</v>
          </cell>
          <cell r="L1261">
            <v>-1</v>
          </cell>
        </row>
        <row r="1262">
          <cell r="B1262" t="str">
            <v>2.1.1.04.1056</v>
          </cell>
          <cell r="C1262">
            <v>29532264000178</v>
          </cell>
          <cell r="D1262" t="str">
            <v>SOCIEDADE BRASILEIRA DE COMPUTACAO</v>
          </cell>
          <cell r="E1262" t="str">
            <v>A</v>
          </cell>
          <cell r="H1262" t="str">
            <v>N/A</v>
          </cell>
          <cell r="I1262">
            <v>500001</v>
          </cell>
          <cell r="J1262" t="str">
            <v>Fornecedores</v>
          </cell>
          <cell r="K1262">
            <v>600017</v>
          </cell>
          <cell r="L1262">
            <v>-1</v>
          </cell>
        </row>
        <row r="1263">
          <cell r="B1263" t="str">
            <v>2.1.1.04.1057</v>
          </cell>
          <cell r="C1263">
            <v>3571941000173</v>
          </cell>
          <cell r="D1263" t="str">
            <v>INFORTRAIN TREINAMENTO LTDA</v>
          </cell>
          <cell r="E1263" t="str">
            <v>A</v>
          </cell>
          <cell r="H1263" t="str">
            <v>N/A</v>
          </cell>
          <cell r="I1263">
            <v>500001</v>
          </cell>
          <cell r="J1263" t="str">
            <v>Fornecedores</v>
          </cell>
          <cell r="K1263">
            <v>600017</v>
          </cell>
          <cell r="L1263">
            <v>-1</v>
          </cell>
        </row>
        <row r="1264">
          <cell r="B1264" t="str">
            <v>2.1.1.04.1058</v>
          </cell>
          <cell r="C1264">
            <v>43456425000112</v>
          </cell>
          <cell r="D1264" t="str">
            <v>ASSOCIACAO BRASILEIRA DE RECURSOS HUMANOS</v>
          </cell>
          <cell r="E1264" t="str">
            <v>A</v>
          </cell>
          <cell r="H1264" t="str">
            <v>N/A</v>
          </cell>
          <cell r="I1264">
            <v>500001</v>
          </cell>
          <cell r="J1264" t="str">
            <v>Fornecedores</v>
          </cell>
          <cell r="K1264">
            <v>600017</v>
          </cell>
          <cell r="L1264">
            <v>-1</v>
          </cell>
        </row>
        <row r="1265">
          <cell r="B1265" t="str">
            <v>2.1.1.04.1059</v>
          </cell>
          <cell r="C1265">
            <v>21775752000102</v>
          </cell>
          <cell r="D1265" t="str">
            <v>UNIABRAPP - UNIVERSIDADE CORPORATIVA DA PREVIDENCIA COM</v>
          </cell>
          <cell r="E1265" t="str">
            <v>A</v>
          </cell>
          <cell r="H1265" t="str">
            <v>N/A</v>
          </cell>
          <cell r="I1265">
            <v>500001</v>
          </cell>
          <cell r="J1265" t="str">
            <v>Fornecedores</v>
          </cell>
          <cell r="K1265">
            <v>600017</v>
          </cell>
          <cell r="L1265">
            <v>-1</v>
          </cell>
        </row>
        <row r="1266">
          <cell r="B1266" t="str">
            <v>2.1.1.04.1060</v>
          </cell>
          <cell r="C1266">
            <v>3859239000100</v>
          </cell>
          <cell r="D1266" t="str">
            <v>KONVERGENTE TELECOMUNICACOES LTDA</v>
          </cell>
          <cell r="E1266" t="str">
            <v>A</v>
          </cell>
          <cell r="H1266" t="str">
            <v>N/A</v>
          </cell>
          <cell r="I1266">
            <v>500001</v>
          </cell>
          <cell r="J1266" t="str">
            <v>Fornecedores</v>
          </cell>
          <cell r="K1266">
            <v>600017</v>
          </cell>
          <cell r="L1266">
            <v>-1</v>
          </cell>
        </row>
        <row r="1267">
          <cell r="B1267" t="str">
            <v>2.1.1.04.1061</v>
          </cell>
          <cell r="C1267">
            <v>2543012000198</v>
          </cell>
          <cell r="D1267" t="str">
            <v>BARRA LIVRE EVENTOS E PROMOCOES EIRELI</v>
          </cell>
          <cell r="E1267" t="str">
            <v>A</v>
          </cell>
          <cell r="H1267" t="str">
            <v>N/A</v>
          </cell>
          <cell r="I1267">
            <v>500001</v>
          </cell>
          <cell r="J1267" t="str">
            <v>Fornecedores</v>
          </cell>
          <cell r="K1267">
            <v>600017</v>
          </cell>
          <cell r="L1267">
            <v>-1</v>
          </cell>
        </row>
        <row r="1268">
          <cell r="B1268" t="str">
            <v>2.1.1.04.1062</v>
          </cell>
          <cell r="C1268">
            <v>43738430000118</v>
          </cell>
          <cell r="D1268" t="str">
            <v>HSR SOLUCOES E SERVICOS LTDA</v>
          </cell>
          <cell r="E1268" t="str">
            <v>A</v>
          </cell>
          <cell r="H1268" t="str">
            <v>N/A</v>
          </cell>
          <cell r="I1268">
            <v>500001</v>
          </cell>
          <cell r="J1268" t="str">
            <v>Fornecedores</v>
          </cell>
          <cell r="K1268">
            <v>600017</v>
          </cell>
          <cell r="L1268">
            <v>-1</v>
          </cell>
        </row>
        <row r="1269">
          <cell r="B1269" t="str">
            <v>2.1.1.04.1063</v>
          </cell>
          <cell r="C1269">
            <v>16647700000102</v>
          </cell>
          <cell r="D1269" t="str">
            <v>SYMBIOS-ID CONTROLE DE ACESSO E IDENTIFICAO EIRELI</v>
          </cell>
          <cell r="E1269" t="str">
            <v>A</v>
          </cell>
          <cell r="H1269" t="str">
            <v>N/A</v>
          </cell>
          <cell r="I1269">
            <v>500001</v>
          </cell>
          <cell r="J1269" t="str">
            <v>Fornecedores</v>
          </cell>
          <cell r="K1269">
            <v>600017</v>
          </cell>
          <cell r="L1269">
            <v>-1</v>
          </cell>
        </row>
        <row r="1270">
          <cell r="B1270" t="str">
            <v>2.1.1.04.1064</v>
          </cell>
          <cell r="C1270">
            <v>36624014000123</v>
          </cell>
          <cell r="D1270" t="str">
            <v>HIRIA A NUERNBERGMESSE BRASIL BUSINESS E EVENTOS LTDA</v>
          </cell>
          <cell r="E1270" t="str">
            <v>A</v>
          </cell>
          <cell r="H1270" t="str">
            <v>N/A</v>
          </cell>
          <cell r="I1270">
            <v>500001</v>
          </cell>
          <cell r="J1270" t="str">
            <v>Fornecedores</v>
          </cell>
          <cell r="K1270">
            <v>600017</v>
          </cell>
          <cell r="L1270">
            <v>-1</v>
          </cell>
        </row>
        <row r="1271">
          <cell r="B1271" t="str">
            <v>2.1.1.04.1065</v>
          </cell>
          <cell r="C1271">
            <v>33359257000193</v>
          </cell>
          <cell r="D1271" t="str">
            <v>R&amp;F SOLUCOES EM TECNOLOGIA DA INFORMACAO LTDA</v>
          </cell>
          <cell r="E1271" t="str">
            <v>A</v>
          </cell>
          <cell r="H1271" t="str">
            <v>N/A</v>
          </cell>
          <cell r="I1271">
            <v>500001</v>
          </cell>
          <cell r="J1271" t="str">
            <v>Fornecedores</v>
          </cell>
          <cell r="K1271">
            <v>600017</v>
          </cell>
          <cell r="L1271">
            <v>-1</v>
          </cell>
        </row>
        <row r="1272">
          <cell r="B1272" t="str">
            <v>2.1.1.04.1066</v>
          </cell>
          <cell r="C1272">
            <v>16802303000320</v>
          </cell>
          <cell r="D1272" t="str">
            <v>MUNDO DO LED COMERCIO DE MATERIAL ELETRICO LTDA</v>
          </cell>
          <cell r="E1272" t="str">
            <v>A</v>
          </cell>
          <cell r="H1272" t="str">
            <v>N/A</v>
          </cell>
          <cell r="I1272">
            <v>500001</v>
          </cell>
          <cell r="J1272" t="str">
            <v>Fornecedores</v>
          </cell>
          <cell r="K1272">
            <v>600017</v>
          </cell>
          <cell r="L1272">
            <v>-1</v>
          </cell>
        </row>
        <row r="1273">
          <cell r="B1273" t="str">
            <v>2.1.1.04.1067</v>
          </cell>
          <cell r="C1273">
            <v>29978236000189</v>
          </cell>
          <cell r="D1273" t="str">
            <v>ASSOCIACAO NAC DE POS GRADUACAO E PESQ CIENCIAS SOCIAIS</v>
          </cell>
          <cell r="E1273" t="str">
            <v>A</v>
          </cell>
          <cell r="H1273" t="str">
            <v>N/A</v>
          </cell>
          <cell r="I1273">
            <v>500001</v>
          </cell>
          <cell r="J1273" t="str">
            <v>Fornecedores</v>
          </cell>
          <cell r="K1273">
            <v>600017</v>
          </cell>
          <cell r="L1273">
            <v>-1</v>
          </cell>
        </row>
        <row r="1274">
          <cell r="B1274" t="str">
            <v>2.1.1.04.1068</v>
          </cell>
          <cell r="C1274">
            <v>24554068000180</v>
          </cell>
          <cell r="D1274" t="str">
            <v>FOXTEC COMERCIO E SERVICOS DIGITAIS EIRELI</v>
          </cell>
          <cell r="E1274" t="str">
            <v>A</v>
          </cell>
          <cell r="H1274" t="str">
            <v>N/A</v>
          </cell>
          <cell r="I1274">
            <v>500001</v>
          </cell>
          <cell r="J1274" t="str">
            <v>Fornecedores</v>
          </cell>
          <cell r="K1274">
            <v>600017</v>
          </cell>
          <cell r="L1274">
            <v>-1</v>
          </cell>
        </row>
        <row r="1275">
          <cell r="B1275" t="str">
            <v>2.1.1.04.1069</v>
          </cell>
          <cell r="C1275">
            <v>42405127000130</v>
          </cell>
          <cell r="D1275" t="str">
            <v>CK TREINAMENTO PROFISSIONAL LTDA</v>
          </cell>
          <cell r="E1275" t="str">
            <v>A</v>
          </cell>
          <cell r="H1275" t="str">
            <v>N/A</v>
          </cell>
          <cell r="I1275">
            <v>500001</v>
          </cell>
          <cell r="J1275" t="str">
            <v>Fornecedores</v>
          </cell>
          <cell r="K1275">
            <v>600017</v>
          </cell>
          <cell r="L1275">
            <v>-1</v>
          </cell>
        </row>
        <row r="1276">
          <cell r="B1276" t="str">
            <v>2.1.1.04.1070</v>
          </cell>
          <cell r="C1276">
            <v>20320503000151</v>
          </cell>
          <cell r="D1276" t="str">
            <v>FUNDAÇÃO ARTHUR BERNARDES</v>
          </cell>
          <cell r="E1276" t="str">
            <v>A</v>
          </cell>
          <cell r="H1276" t="str">
            <v>N/A</v>
          </cell>
          <cell r="I1276">
            <v>500001</v>
          </cell>
          <cell r="J1276" t="str">
            <v>Fornecedores</v>
          </cell>
          <cell r="K1276">
            <v>600017</v>
          </cell>
          <cell r="L1276">
            <v>-1</v>
          </cell>
        </row>
        <row r="1277">
          <cell r="B1277" t="str">
            <v>2.1.1.04.1071</v>
          </cell>
          <cell r="C1277">
            <v>5342580000119</v>
          </cell>
          <cell r="D1277" t="str">
            <v>UNIVERSIDADE PATATIVA DO ASSARE</v>
          </cell>
          <cell r="E1277" t="str">
            <v>A</v>
          </cell>
          <cell r="H1277" t="str">
            <v>N/A</v>
          </cell>
          <cell r="I1277">
            <v>500001</v>
          </cell>
          <cell r="J1277" t="str">
            <v>Fornecedores</v>
          </cell>
          <cell r="K1277">
            <v>600017</v>
          </cell>
          <cell r="L1277">
            <v>-1</v>
          </cell>
        </row>
        <row r="1278">
          <cell r="B1278" t="str">
            <v>2.1.1.04.1072</v>
          </cell>
          <cell r="C1278">
            <v>4067191000160</v>
          </cell>
          <cell r="D1278" t="str">
            <v>EDITORA GLOBO S/A</v>
          </cell>
          <cell r="E1278" t="str">
            <v>A</v>
          </cell>
          <cell r="H1278" t="str">
            <v>N/A</v>
          </cell>
          <cell r="I1278">
            <v>500001</v>
          </cell>
          <cell r="J1278" t="str">
            <v>Fornecedores</v>
          </cell>
          <cell r="K1278">
            <v>600017</v>
          </cell>
          <cell r="L1278">
            <v>-1</v>
          </cell>
        </row>
        <row r="1279">
          <cell r="B1279" t="str">
            <v>2.1.1.04.1073</v>
          </cell>
          <cell r="C1279">
            <v>31096789000150</v>
          </cell>
          <cell r="D1279" t="str">
            <v>PITMEN ASSESSORIA CONTABIL E EMPRESARIAL LTDA.</v>
          </cell>
          <cell r="E1279" t="str">
            <v>A</v>
          </cell>
          <cell r="H1279" t="str">
            <v>N/A</v>
          </cell>
          <cell r="I1279">
            <v>500001</v>
          </cell>
          <cell r="J1279" t="str">
            <v>Fornecedores</v>
          </cell>
          <cell r="K1279">
            <v>600017</v>
          </cell>
          <cell r="L1279">
            <v>-1</v>
          </cell>
        </row>
        <row r="1280">
          <cell r="B1280" t="str">
            <v>2.1.1.04.1074</v>
          </cell>
          <cell r="C1280">
            <v>60316817000103</v>
          </cell>
          <cell r="D1280" t="str">
            <v>MICROSOFT INFORMATICA LTDA</v>
          </cell>
          <cell r="E1280" t="str">
            <v>A</v>
          </cell>
          <cell r="H1280" t="str">
            <v>N/A</v>
          </cell>
          <cell r="I1280">
            <v>500001</v>
          </cell>
          <cell r="J1280" t="str">
            <v>Fornecedores</v>
          </cell>
          <cell r="K1280">
            <v>600017</v>
          </cell>
          <cell r="L1280">
            <v>-1</v>
          </cell>
        </row>
        <row r="1281">
          <cell r="B1281" t="str">
            <v>2.1.1.04.1076</v>
          </cell>
          <cell r="C1281">
            <v>4842765000120</v>
          </cell>
          <cell r="D1281" t="str">
            <v>NETWAY TELECOM LTDA</v>
          </cell>
          <cell r="E1281" t="str">
            <v>A</v>
          </cell>
          <cell r="H1281" t="str">
            <v>N/A</v>
          </cell>
          <cell r="I1281">
            <v>500001</v>
          </cell>
          <cell r="J1281" t="str">
            <v>Fornecedores</v>
          </cell>
          <cell r="K1281">
            <v>600017</v>
          </cell>
          <cell r="L1281">
            <v>-1</v>
          </cell>
        </row>
        <row r="1282">
          <cell r="B1282" t="str">
            <v>2.1.1.04.1077</v>
          </cell>
          <cell r="C1282">
            <v>33575585000127</v>
          </cell>
          <cell r="D1282" t="str">
            <v>JM YOUNGEST COMERCIO E SERVICOS DE INTERMEDIACAO LTDA</v>
          </cell>
          <cell r="E1282" t="str">
            <v>A</v>
          </cell>
          <cell r="H1282" t="str">
            <v>N/A</v>
          </cell>
          <cell r="I1282">
            <v>500001</v>
          </cell>
          <cell r="J1282" t="str">
            <v>Fornecedores</v>
          </cell>
          <cell r="K1282">
            <v>600017</v>
          </cell>
          <cell r="L1282">
            <v>-1</v>
          </cell>
        </row>
        <row r="1283">
          <cell r="B1283" t="str">
            <v>2.1.1.04.1078</v>
          </cell>
          <cell r="C1283">
            <v>40005610000100</v>
          </cell>
          <cell r="D1283" t="str">
            <v>QUANTAGEO TECNOLOGIA LTDA</v>
          </cell>
          <cell r="E1283" t="str">
            <v>A</v>
          </cell>
          <cell r="H1283" t="str">
            <v>N/A</v>
          </cell>
          <cell r="I1283">
            <v>500001</v>
          </cell>
          <cell r="J1283" t="str">
            <v>Fornecedores</v>
          </cell>
          <cell r="K1283">
            <v>600017</v>
          </cell>
          <cell r="L1283">
            <v>-1</v>
          </cell>
        </row>
        <row r="1284">
          <cell r="B1284" t="str">
            <v>2.1.1.04.1079</v>
          </cell>
          <cell r="C1284">
            <v>18035752000153</v>
          </cell>
          <cell r="D1284" t="str">
            <v>VIVIAN CRISTINA RIO STELLA</v>
          </cell>
          <cell r="E1284" t="str">
            <v>A</v>
          </cell>
          <cell r="H1284" t="str">
            <v>N/A</v>
          </cell>
          <cell r="I1284">
            <v>500001</v>
          </cell>
          <cell r="J1284" t="str">
            <v>Fornecedores</v>
          </cell>
          <cell r="K1284">
            <v>600017</v>
          </cell>
          <cell r="L1284">
            <v>-1</v>
          </cell>
        </row>
        <row r="1285">
          <cell r="B1285" t="str">
            <v>2.1.1.04.1080</v>
          </cell>
          <cell r="C1285">
            <v>21462543000109</v>
          </cell>
          <cell r="D1285" t="str">
            <v>FOKO GEOTECNOLOGIAS LTDA</v>
          </cell>
          <cell r="E1285" t="str">
            <v>A</v>
          </cell>
          <cell r="H1285" t="str">
            <v>N/A</v>
          </cell>
          <cell r="I1285">
            <v>500001</v>
          </cell>
          <cell r="J1285" t="str">
            <v>Fornecedores</v>
          </cell>
          <cell r="K1285">
            <v>600017</v>
          </cell>
          <cell r="L1285">
            <v>-1</v>
          </cell>
        </row>
        <row r="1286">
          <cell r="B1286" t="str">
            <v>2.1.1.04.1081</v>
          </cell>
          <cell r="C1286">
            <v>44315919000140</v>
          </cell>
          <cell r="D1286" t="str">
            <v>FUNDACAO INSTITUTO DE ADMINISTRACAO</v>
          </cell>
          <cell r="E1286" t="str">
            <v>A</v>
          </cell>
          <cell r="H1286" t="str">
            <v>N/A</v>
          </cell>
          <cell r="I1286">
            <v>500001</v>
          </cell>
          <cell r="J1286" t="str">
            <v>Fornecedores</v>
          </cell>
          <cell r="K1286">
            <v>600017</v>
          </cell>
          <cell r="L1286">
            <v>-1</v>
          </cell>
        </row>
        <row r="1287">
          <cell r="B1287" t="str">
            <v>2.1.1.04.1082</v>
          </cell>
          <cell r="C1287">
            <v>22643935000129</v>
          </cell>
          <cell r="D1287" t="str">
            <v>E-SETH TECNOLOGIA LTDA</v>
          </cell>
          <cell r="E1287" t="str">
            <v>A</v>
          </cell>
          <cell r="H1287" t="str">
            <v>N/A</v>
          </cell>
          <cell r="I1287">
            <v>500001</v>
          </cell>
          <cell r="J1287" t="str">
            <v>Fornecedores</v>
          </cell>
          <cell r="K1287">
            <v>600017</v>
          </cell>
          <cell r="L1287">
            <v>-1</v>
          </cell>
        </row>
        <row r="1288">
          <cell r="B1288" t="str">
            <v>2.1.1.04.1083</v>
          </cell>
          <cell r="C1288">
            <v>11321229000144</v>
          </cell>
          <cell r="D1288" t="str">
            <v>MCI BRASIL S/A</v>
          </cell>
          <cell r="E1288" t="str">
            <v>A</v>
          </cell>
          <cell r="H1288" t="str">
            <v>N/A</v>
          </cell>
          <cell r="I1288">
            <v>500001</v>
          </cell>
          <cell r="J1288" t="str">
            <v>Fornecedores</v>
          </cell>
          <cell r="K1288">
            <v>600017</v>
          </cell>
          <cell r="L1288">
            <v>-1</v>
          </cell>
        </row>
        <row r="1289">
          <cell r="B1289" t="str">
            <v>2.1.1.04.1084</v>
          </cell>
          <cell r="C1289">
            <v>32493635000164</v>
          </cell>
          <cell r="D1289" t="str">
            <v>R&amp;F TREINAMENTOS TECNICOS E GERENCIAIS LTDA</v>
          </cell>
          <cell r="E1289" t="str">
            <v>A</v>
          </cell>
          <cell r="H1289" t="str">
            <v>N/A</v>
          </cell>
          <cell r="I1289">
            <v>500001</v>
          </cell>
          <cell r="J1289" t="str">
            <v>Fornecedores</v>
          </cell>
          <cell r="K1289">
            <v>600017</v>
          </cell>
          <cell r="L1289">
            <v>-1</v>
          </cell>
        </row>
        <row r="1290">
          <cell r="B1290" t="str">
            <v>2.1.1.04.1085</v>
          </cell>
          <cell r="C1290">
            <v>580118000136</v>
          </cell>
          <cell r="D1290" t="str">
            <v>SOCIEDADE BRASILEIRA DE ECONOMETRIA</v>
          </cell>
          <cell r="E1290" t="str">
            <v>A</v>
          </cell>
          <cell r="H1290" t="str">
            <v>N/A</v>
          </cell>
          <cell r="I1290">
            <v>500001</v>
          </cell>
          <cell r="J1290" t="str">
            <v>Fornecedores</v>
          </cell>
          <cell r="K1290">
            <v>600017</v>
          </cell>
          <cell r="L1290">
            <v>-1</v>
          </cell>
        </row>
        <row r="1291">
          <cell r="B1291" t="str">
            <v>2.1.1.04.1086</v>
          </cell>
          <cell r="C1291">
            <v>3784680001141</v>
          </cell>
          <cell r="D1291" t="str">
            <v>SERVIÇO NACIONAL DE APRENDIZAGEM INDUSTRIAL</v>
          </cell>
          <cell r="E1291" t="str">
            <v>A</v>
          </cell>
          <cell r="H1291" t="str">
            <v>N/A</v>
          </cell>
          <cell r="I1291">
            <v>500001</v>
          </cell>
          <cell r="J1291" t="str">
            <v>Fornecedores</v>
          </cell>
          <cell r="K1291">
            <v>600017</v>
          </cell>
          <cell r="L1291">
            <v>-1</v>
          </cell>
        </row>
        <row r="1292">
          <cell r="B1292" t="str">
            <v>2.1.1.04.1087</v>
          </cell>
          <cell r="C1292">
            <v>8808153000171</v>
          </cell>
          <cell r="D1292" t="str">
            <v>FUTURA AGENCIA DE VIAGENS E TURISMO LTDA</v>
          </cell>
          <cell r="E1292" t="str">
            <v>A</v>
          </cell>
          <cell r="H1292" t="str">
            <v>N/A</v>
          </cell>
          <cell r="I1292">
            <v>500001</v>
          </cell>
          <cell r="J1292" t="str">
            <v>Fornecedores</v>
          </cell>
          <cell r="K1292">
            <v>600017</v>
          </cell>
          <cell r="L1292">
            <v>-1</v>
          </cell>
        </row>
        <row r="1293">
          <cell r="B1293" t="str">
            <v>2.1.1.04.1088</v>
          </cell>
          <cell r="C1293">
            <v>23733481000140</v>
          </cell>
          <cell r="D1293" t="str">
            <v>EUROFORM MOVEIS PARA ESCRITORIO LTDA</v>
          </cell>
          <cell r="E1293" t="str">
            <v>A</v>
          </cell>
          <cell r="H1293" t="str">
            <v>N/A</v>
          </cell>
          <cell r="I1293">
            <v>500001</v>
          </cell>
          <cell r="J1293" t="str">
            <v>Fornecedores</v>
          </cell>
          <cell r="K1293">
            <v>600017</v>
          </cell>
          <cell r="L1293">
            <v>-1</v>
          </cell>
        </row>
        <row r="1294">
          <cell r="B1294" t="str">
            <v>2.1.1.04.1089</v>
          </cell>
          <cell r="C1294">
            <v>26391301000187</v>
          </cell>
          <cell r="D1294" t="str">
            <v>GALVAO &amp; BERNARDES SOCIEDADE DE ADVOGADOS</v>
          </cell>
          <cell r="E1294" t="str">
            <v>A</v>
          </cell>
          <cell r="H1294" t="str">
            <v>N/A</v>
          </cell>
          <cell r="I1294">
            <v>500001</v>
          </cell>
          <cell r="J1294" t="str">
            <v>Fornecedores</v>
          </cell>
          <cell r="K1294">
            <v>600017</v>
          </cell>
          <cell r="L1294">
            <v>-1</v>
          </cell>
        </row>
        <row r="1295">
          <cell r="B1295" t="str">
            <v>2.1.1.04.1090</v>
          </cell>
          <cell r="C1295">
            <v>15304440000100</v>
          </cell>
          <cell r="D1295" t="str">
            <v>E-SAFER CYBERSECURITY SOLUCOES E SERVICOS EM SEGURANCA DA INFORMACAO LTDA</v>
          </cell>
          <cell r="E1295" t="str">
            <v>A</v>
          </cell>
          <cell r="H1295" t="str">
            <v>N/A</v>
          </cell>
          <cell r="I1295">
            <v>500001</v>
          </cell>
          <cell r="J1295" t="str">
            <v>Fornecedores</v>
          </cell>
          <cell r="K1295">
            <v>600017</v>
          </cell>
          <cell r="L1295">
            <v>-1</v>
          </cell>
        </row>
        <row r="1296">
          <cell r="B1296" t="str">
            <v>2.1.1.04.1091</v>
          </cell>
          <cell r="C1296">
            <v>32908188000167</v>
          </cell>
          <cell r="D1296" t="str">
            <v>QUANTICA EMPRESA DE CONSULTORIA E SERVICOS LTDA</v>
          </cell>
          <cell r="E1296" t="str">
            <v>a</v>
          </cell>
          <cell r="H1296" t="str">
            <v>n/a</v>
          </cell>
          <cell r="I1296">
            <v>500001</v>
          </cell>
          <cell r="J1296" t="str">
            <v>Fornecedores</v>
          </cell>
          <cell r="K1296">
            <v>600017</v>
          </cell>
          <cell r="L1296">
            <v>-1</v>
          </cell>
        </row>
        <row r="1297">
          <cell r="B1297" t="str">
            <v>2.1.1.04.1092</v>
          </cell>
          <cell r="C1297">
            <v>38042345000180</v>
          </cell>
          <cell r="D1297" t="str">
            <v>RIO DATA CONSULTORIA EMPRESARIAL E SISTEMAS LTDA</v>
          </cell>
          <cell r="E1297" t="str">
            <v>a</v>
          </cell>
          <cell r="H1297" t="str">
            <v>n/a</v>
          </cell>
          <cell r="I1297">
            <v>500001</v>
          </cell>
          <cell r="J1297" t="str">
            <v>Fornecedores</v>
          </cell>
          <cell r="K1297">
            <v>600017</v>
          </cell>
          <cell r="L1297">
            <v>-1</v>
          </cell>
        </row>
        <row r="1298">
          <cell r="B1298" t="str">
            <v>2.1.1.04.1093</v>
          </cell>
          <cell r="C1298">
            <v>49434470000152</v>
          </cell>
          <cell r="D1298" t="str">
            <v>MW ENERGIA - MARKETING E SERVIÇOS LTDA</v>
          </cell>
          <cell r="E1298" t="str">
            <v>a</v>
          </cell>
          <cell r="H1298" t="str">
            <v>n/a</v>
          </cell>
          <cell r="I1298">
            <v>500001</v>
          </cell>
          <cell r="J1298" t="str">
            <v>Fornecedores</v>
          </cell>
          <cell r="K1298">
            <v>600017</v>
          </cell>
          <cell r="L1298">
            <v>-1</v>
          </cell>
        </row>
        <row r="1299">
          <cell r="B1299" t="str">
            <v xml:space="preserve">2.1.1.04.1094 </v>
          </cell>
          <cell r="C1299">
            <v>1041196800</v>
          </cell>
          <cell r="D1299" t="str">
            <v xml:space="preserve">VERISK DO BRASIL INFORMACOES ANALITICAS LTDA </v>
          </cell>
          <cell r="E1299" t="str">
            <v>A</v>
          </cell>
          <cell r="H1299" t="str">
            <v>n/a</v>
          </cell>
          <cell r="I1299">
            <v>500001</v>
          </cell>
          <cell r="J1299" t="str">
            <v>Fornecedores</v>
          </cell>
          <cell r="K1299">
            <v>600017</v>
          </cell>
          <cell r="L1299">
            <v>-1</v>
          </cell>
        </row>
        <row r="1300">
          <cell r="B1300" t="str">
            <v>2.1.1.04.1095</v>
          </cell>
          <cell r="C1300">
            <v>2800</v>
          </cell>
          <cell r="D1300" t="str">
            <v>TARGET ENGENHARIA E CONSULTORIA LTDA</v>
          </cell>
          <cell r="E1300" t="str">
            <v>A</v>
          </cell>
          <cell r="H1300" t="str">
            <v>n/a</v>
          </cell>
          <cell r="I1300">
            <v>500001</v>
          </cell>
          <cell r="J1300" t="str">
            <v>Fornecedores</v>
          </cell>
          <cell r="K1300">
            <v>600017</v>
          </cell>
          <cell r="L1300">
            <v>-1</v>
          </cell>
        </row>
        <row r="1301">
          <cell r="B1301" t="str">
            <v>2.1.1.04.1096</v>
          </cell>
          <cell r="C1301">
            <v>269540000175</v>
          </cell>
          <cell r="D1301" t="str">
            <v>ACR 117 RECORTES DE DIARIOS OFICIAIS LTDA</v>
          </cell>
          <cell r="E1301" t="str">
            <v>a</v>
          </cell>
          <cell r="H1301" t="str">
            <v>n/a</v>
          </cell>
          <cell r="I1301">
            <v>500001</v>
          </cell>
          <cell r="J1301" t="str">
            <v>Fornecedores</v>
          </cell>
          <cell r="K1301">
            <v>600017</v>
          </cell>
          <cell r="L1301">
            <v>-1</v>
          </cell>
        </row>
        <row r="1302">
          <cell r="B1302" t="str">
            <v>2.1.1.04.1097</v>
          </cell>
          <cell r="C1302">
            <v>10629755000103</v>
          </cell>
          <cell r="D1302" t="str">
            <v>C R MOREIRA SANTOS LTDA</v>
          </cell>
          <cell r="E1302" t="str">
            <v>a</v>
          </cell>
          <cell r="H1302" t="str">
            <v>n/a</v>
          </cell>
          <cell r="I1302">
            <v>500001</v>
          </cell>
          <cell r="J1302" t="str">
            <v>Fornecedores</v>
          </cell>
          <cell r="K1302">
            <v>600017</v>
          </cell>
          <cell r="L1302">
            <v>-1</v>
          </cell>
        </row>
        <row r="1303">
          <cell r="B1303" t="str">
            <v>2.1.1.04.1098</v>
          </cell>
          <cell r="C1303">
            <v>3953122700</v>
          </cell>
          <cell r="D1303" t="str">
            <v>N MARCHON OLIVEIRA COMERCIO ONLINE</v>
          </cell>
          <cell r="E1303" t="str">
            <v>a</v>
          </cell>
          <cell r="H1303" t="str">
            <v>n/a</v>
          </cell>
          <cell r="I1303">
            <v>500002</v>
          </cell>
          <cell r="J1303" t="str">
            <v>Fornecedores</v>
          </cell>
          <cell r="K1303">
            <v>600017</v>
          </cell>
          <cell r="L1303">
            <v>-1</v>
          </cell>
        </row>
        <row r="1304">
          <cell r="B1304" t="str">
            <v>2.1.1.04.1099</v>
          </cell>
          <cell r="C1304">
            <v>456726500</v>
          </cell>
          <cell r="D1304" t="str">
            <v>SCORPION INFORMATICA LTDA</v>
          </cell>
          <cell r="E1304" t="str">
            <v>a</v>
          </cell>
          <cell r="H1304" t="str">
            <v>n/a</v>
          </cell>
          <cell r="I1304">
            <v>500003</v>
          </cell>
          <cell r="J1304" t="str">
            <v>Fornecedores</v>
          </cell>
          <cell r="K1304">
            <v>600017</v>
          </cell>
          <cell r="L1304">
            <v>-1</v>
          </cell>
        </row>
        <row r="1305">
          <cell r="B1305" t="str">
            <v>2.1.1.05</v>
          </cell>
          <cell r="C1305">
            <v>2115</v>
          </cell>
          <cell r="D1305" t="str">
            <v>Fornecedores Estrangeiros</v>
          </cell>
          <cell r="E1305" t="str">
            <v>S</v>
          </cell>
        </row>
        <row r="1306">
          <cell r="B1306" t="str">
            <v>2.1.1.05.0999</v>
          </cell>
          <cell r="C1306">
            <v>2115999</v>
          </cell>
          <cell r="D1306" t="str">
            <v>Fornecedores de Materiais e Serviços</v>
          </cell>
          <cell r="E1306" t="str">
            <v>A</v>
          </cell>
          <cell r="H1306" t="str">
            <v>N/A</v>
          </cell>
          <cell r="I1306">
            <v>500001</v>
          </cell>
          <cell r="J1306" t="str">
            <v>Fornecedores</v>
          </cell>
          <cell r="K1306">
            <v>600017</v>
          </cell>
          <cell r="L1306">
            <v>-1</v>
          </cell>
        </row>
        <row r="1307">
          <cell r="B1307" t="str">
            <v>2.1.1.06</v>
          </cell>
          <cell r="C1307">
            <v>2116</v>
          </cell>
          <cell r="D1307" t="str">
            <v>Obrigações Fiscais</v>
          </cell>
          <cell r="E1307" t="str">
            <v>S</v>
          </cell>
        </row>
        <row r="1308">
          <cell r="B1308" t="str">
            <v>2.1.1.06.0001</v>
          </cell>
          <cell r="C1308">
            <v>21161</v>
          </cell>
          <cell r="D1308" t="str">
            <v>IRPJ a Recolher</v>
          </cell>
          <cell r="E1308" t="str">
            <v>A</v>
          </cell>
          <cell r="H1308" t="str">
            <v>N/A</v>
          </cell>
          <cell r="I1308">
            <v>500001</v>
          </cell>
          <cell r="J1308" t="str">
            <v>Obrigações tributárias</v>
          </cell>
          <cell r="K1308">
            <v>600018</v>
          </cell>
          <cell r="L1308">
            <v>-1</v>
          </cell>
        </row>
        <row r="1309">
          <cell r="B1309" t="str">
            <v>2.1.1.06.0002</v>
          </cell>
          <cell r="C1309">
            <v>21162</v>
          </cell>
          <cell r="D1309" t="str">
            <v>PASEP a Recolher</v>
          </cell>
          <cell r="E1309" t="str">
            <v>A</v>
          </cell>
          <cell r="H1309" t="str">
            <v>N/A</v>
          </cell>
          <cell r="I1309">
            <v>500001</v>
          </cell>
          <cell r="J1309" t="str">
            <v>Obrigações tributárias</v>
          </cell>
          <cell r="K1309">
            <v>600018</v>
          </cell>
          <cell r="L1309">
            <v>-1</v>
          </cell>
        </row>
        <row r="1310">
          <cell r="B1310" t="str">
            <v>2.1.1.06.0003</v>
          </cell>
          <cell r="C1310">
            <v>21163</v>
          </cell>
          <cell r="D1310" t="str">
            <v>COFINS a Recolher</v>
          </cell>
          <cell r="E1310" t="str">
            <v>A</v>
          </cell>
          <cell r="H1310" t="str">
            <v>N/A</v>
          </cell>
          <cell r="I1310">
            <v>500001</v>
          </cell>
          <cell r="J1310" t="str">
            <v>Obrigações tributárias</v>
          </cell>
          <cell r="K1310">
            <v>600018</v>
          </cell>
          <cell r="L1310">
            <v>-1</v>
          </cell>
        </row>
        <row r="1311">
          <cell r="B1311" t="str">
            <v>2.1.1.06.0004</v>
          </cell>
          <cell r="C1311">
            <v>21164</v>
          </cell>
          <cell r="D1311" t="str">
            <v>ICMS a Recolher</v>
          </cell>
          <cell r="E1311" t="str">
            <v>A</v>
          </cell>
          <cell r="H1311" t="str">
            <v>N/A</v>
          </cell>
          <cell r="I1311">
            <v>500001</v>
          </cell>
          <cell r="J1311" t="str">
            <v>Obrigações tributárias</v>
          </cell>
          <cell r="K1311">
            <v>600018</v>
          </cell>
          <cell r="L1311">
            <v>-1</v>
          </cell>
        </row>
        <row r="1312">
          <cell r="B1312" t="str">
            <v>2.1.1.06.0005</v>
          </cell>
          <cell r="C1312">
            <v>21165</v>
          </cell>
          <cell r="D1312" t="str">
            <v>ISS a Recolher</v>
          </cell>
          <cell r="E1312" t="str">
            <v>A</v>
          </cell>
          <cell r="H1312" t="str">
            <v>N/A</v>
          </cell>
          <cell r="I1312">
            <v>500001</v>
          </cell>
          <cell r="J1312" t="str">
            <v>Obrigações tributárias</v>
          </cell>
          <cell r="K1312">
            <v>600018</v>
          </cell>
          <cell r="L1312">
            <v>-1</v>
          </cell>
        </row>
        <row r="1313">
          <cell r="B1313" t="str">
            <v>2.1.1.06.0006</v>
          </cell>
          <cell r="C1313">
            <v>21166</v>
          </cell>
          <cell r="D1313" t="str">
            <v>IPTU a Recolher</v>
          </cell>
          <cell r="E1313" t="str">
            <v>A</v>
          </cell>
          <cell r="H1313" t="str">
            <v>N/A</v>
          </cell>
          <cell r="I1313">
            <v>500001</v>
          </cell>
          <cell r="J1313" t="str">
            <v>Obrigações tributárias</v>
          </cell>
          <cell r="K1313">
            <v>600018</v>
          </cell>
          <cell r="L1313">
            <v>-1</v>
          </cell>
        </row>
        <row r="1314">
          <cell r="B1314" t="str">
            <v>2.1.1.06.0007</v>
          </cell>
          <cell r="C1314">
            <v>21167</v>
          </cell>
          <cell r="D1314" t="str">
            <v>CSLL a Recolher</v>
          </cell>
          <cell r="E1314" t="str">
            <v>A</v>
          </cell>
          <cell r="H1314" t="str">
            <v>N/A</v>
          </cell>
          <cell r="I1314">
            <v>500001</v>
          </cell>
          <cell r="J1314" t="str">
            <v>Obrigações tributárias</v>
          </cell>
          <cell r="K1314">
            <v>600018</v>
          </cell>
          <cell r="L1314">
            <v>-1</v>
          </cell>
        </row>
        <row r="1315">
          <cell r="B1315" t="str">
            <v>2.1.1.06.0008</v>
          </cell>
          <cell r="C1315">
            <v>21168</v>
          </cell>
          <cell r="D1315" t="str">
            <v>CIDE s/Remessas p/ o exterior a Recolher</v>
          </cell>
          <cell r="E1315" t="str">
            <v>A</v>
          </cell>
          <cell r="H1315" t="str">
            <v>N/A</v>
          </cell>
          <cell r="I1315">
            <v>500001</v>
          </cell>
          <cell r="J1315" t="str">
            <v>Obrigações tributárias</v>
          </cell>
          <cell r="K1315">
            <v>600018</v>
          </cell>
          <cell r="L1315">
            <v>-1</v>
          </cell>
        </row>
        <row r="1316">
          <cell r="B1316" t="str">
            <v>2.1.1.06.0009</v>
          </cell>
          <cell r="C1316">
            <v>21169</v>
          </cell>
          <cell r="D1316" t="str">
            <v>Tributos a Recolher - Exerc Ant</v>
          </cell>
          <cell r="E1316" t="str">
            <v>A</v>
          </cell>
          <cell r="H1316" t="str">
            <v>N/A</v>
          </cell>
          <cell r="I1316">
            <v>500001</v>
          </cell>
          <cell r="J1316" t="str">
            <v>Obrigações tributárias</v>
          </cell>
          <cell r="K1316">
            <v>600018</v>
          </cell>
          <cell r="L1316">
            <v>-1</v>
          </cell>
        </row>
        <row r="1317">
          <cell r="B1317" t="str">
            <v>2.1.1.07</v>
          </cell>
          <cell r="C1317">
            <v>2117</v>
          </cell>
          <cell r="D1317" t="str">
            <v>Retenções Tributárias</v>
          </cell>
          <cell r="E1317" t="str">
            <v>S</v>
          </cell>
        </row>
        <row r="1318">
          <cell r="B1318" t="str">
            <v>2.1.1.07.0001</v>
          </cell>
          <cell r="C1318">
            <v>561</v>
          </cell>
          <cell r="D1318" t="str">
            <v>IRRF a Recolher de Empregados</v>
          </cell>
          <cell r="E1318" t="str">
            <v>A</v>
          </cell>
          <cell r="H1318" t="str">
            <v>N/A</v>
          </cell>
          <cell r="I1318">
            <v>500001</v>
          </cell>
          <cell r="J1318" t="str">
            <v>Obrigações tributárias</v>
          </cell>
          <cell r="K1318">
            <v>600018</v>
          </cell>
          <cell r="L1318">
            <v>-1</v>
          </cell>
        </row>
        <row r="1319">
          <cell r="B1319" t="str">
            <v>2.1.1.07.0002</v>
          </cell>
          <cell r="C1319">
            <v>21172</v>
          </cell>
          <cell r="D1319" t="str">
            <v>IRRF a Recolher de Terceiros</v>
          </cell>
          <cell r="E1319" t="str">
            <v>A</v>
          </cell>
          <cell r="H1319" t="str">
            <v>N/A</v>
          </cell>
          <cell r="I1319">
            <v>500001</v>
          </cell>
          <cell r="J1319" t="str">
            <v>Obrigações tributárias</v>
          </cell>
          <cell r="K1319">
            <v>600018</v>
          </cell>
          <cell r="L1319">
            <v>-1</v>
          </cell>
        </row>
        <row r="1320">
          <cell r="B1320" t="str">
            <v>2.1.1.07.0003</v>
          </cell>
          <cell r="C1320" t="str">
            <v>INSS</v>
          </cell>
          <cell r="D1320" t="str">
            <v>INSS DE TERCEIROS</v>
          </cell>
          <cell r="E1320" t="str">
            <v>A</v>
          </cell>
          <cell r="H1320" t="str">
            <v>N/A</v>
          </cell>
          <cell r="I1320">
            <v>500001</v>
          </cell>
          <cell r="J1320" t="str">
            <v>Obrigações tributárias</v>
          </cell>
          <cell r="K1320">
            <v>600018</v>
          </cell>
          <cell r="L1320">
            <v>-1</v>
          </cell>
        </row>
        <row r="1321">
          <cell r="B1321" t="str">
            <v>2.1.1.07.0004</v>
          </cell>
          <cell r="C1321" t="str">
            <v>PIS</v>
          </cell>
          <cell r="D1321" t="str">
            <v>PIS/PASEP de Terceiros</v>
          </cell>
          <cell r="E1321" t="str">
            <v>A</v>
          </cell>
          <cell r="H1321" t="str">
            <v>N/A</v>
          </cell>
          <cell r="I1321">
            <v>500001</v>
          </cell>
          <cell r="J1321" t="str">
            <v>Obrigações tributárias</v>
          </cell>
          <cell r="K1321">
            <v>600018</v>
          </cell>
          <cell r="L1321">
            <v>-1</v>
          </cell>
        </row>
        <row r="1322">
          <cell r="B1322" t="str">
            <v>2.1.1.07.0005</v>
          </cell>
          <cell r="C1322" t="str">
            <v>COFINS</v>
          </cell>
          <cell r="D1322" t="str">
            <v>COFINS de Terceiros</v>
          </cell>
          <cell r="E1322" t="str">
            <v>A</v>
          </cell>
          <cell r="H1322" t="str">
            <v>N/A</v>
          </cell>
          <cell r="I1322">
            <v>500001</v>
          </cell>
          <cell r="J1322" t="str">
            <v>Obrigações tributárias</v>
          </cell>
          <cell r="K1322">
            <v>600018</v>
          </cell>
          <cell r="L1322">
            <v>-1</v>
          </cell>
        </row>
        <row r="1323">
          <cell r="B1323" t="str">
            <v>2.1.1.07.0006</v>
          </cell>
          <cell r="C1323">
            <v>21176</v>
          </cell>
          <cell r="D1323" t="str">
            <v>CSLL de Terceiros</v>
          </cell>
          <cell r="E1323" t="str">
            <v>A</v>
          </cell>
          <cell r="H1323" t="str">
            <v>N/A</v>
          </cell>
          <cell r="I1323">
            <v>500001</v>
          </cell>
          <cell r="J1323" t="str">
            <v>Obrigações tributárias</v>
          </cell>
          <cell r="K1323">
            <v>600018</v>
          </cell>
          <cell r="L1323">
            <v>-1</v>
          </cell>
        </row>
        <row r="1324">
          <cell r="B1324" t="str">
            <v>2.1.1.07.0007</v>
          </cell>
          <cell r="C1324">
            <v>21177</v>
          </cell>
          <cell r="D1324" t="str">
            <v>IRPJ de Terceiros</v>
          </cell>
          <cell r="E1324" t="str">
            <v>A</v>
          </cell>
          <cell r="H1324" t="str">
            <v>N/A</v>
          </cell>
          <cell r="I1324">
            <v>500001</v>
          </cell>
          <cell r="J1324" t="str">
            <v>Obrigações tributárias</v>
          </cell>
          <cell r="K1324">
            <v>600018</v>
          </cell>
          <cell r="L1324">
            <v>-1</v>
          </cell>
        </row>
        <row r="1325">
          <cell r="B1325" t="str">
            <v>2.1.1.07.0008</v>
          </cell>
          <cell r="C1325">
            <v>6147</v>
          </cell>
          <cell r="D1325" t="str">
            <v>Ret IN 539/05 - IR/CS/PIS/COFINS - 5,85%</v>
          </cell>
          <cell r="E1325" t="str">
            <v>A</v>
          </cell>
          <cell r="H1325" t="str">
            <v>N/A</v>
          </cell>
          <cell r="I1325">
            <v>500001</v>
          </cell>
          <cell r="J1325" t="str">
            <v>Obrigações tributárias</v>
          </cell>
          <cell r="K1325">
            <v>600018</v>
          </cell>
          <cell r="L1325">
            <v>-1</v>
          </cell>
        </row>
        <row r="1326">
          <cell r="B1326" t="str">
            <v>2.1.1.07.0009</v>
          </cell>
          <cell r="C1326">
            <v>6190</v>
          </cell>
          <cell r="D1326" t="str">
            <v>Ret IN 539/05 - IR/CS/PIS/COFINS - 9,45%</v>
          </cell>
          <cell r="E1326" t="str">
            <v>A</v>
          </cell>
          <cell r="H1326" t="str">
            <v>N/A</v>
          </cell>
          <cell r="I1326">
            <v>500001</v>
          </cell>
          <cell r="J1326" t="str">
            <v>Obrigações tributárias</v>
          </cell>
          <cell r="K1326">
            <v>600018</v>
          </cell>
          <cell r="L1326">
            <v>-1</v>
          </cell>
        </row>
        <row r="1327">
          <cell r="B1327" t="str">
            <v>2.1.1.07.0010</v>
          </cell>
          <cell r="C1327">
            <v>6175</v>
          </cell>
          <cell r="D1327" t="str">
            <v>Ret IN 539/05 - IR/CS/PIS/COFINS - 7,05%</v>
          </cell>
          <cell r="E1327" t="str">
            <v>A</v>
          </cell>
          <cell r="H1327" t="str">
            <v>N/A</v>
          </cell>
          <cell r="I1327">
            <v>500001</v>
          </cell>
          <cell r="J1327" t="str">
            <v>Obrigações tributárias</v>
          </cell>
          <cell r="K1327">
            <v>600018</v>
          </cell>
          <cell r="L1327">
            <v>-1</v>
          </cell>
        </row>
        <row r="1328">
          <cell r="B1328" t="str">
            <v>2.1.1.07.0011</v>
          </cell>
          <cell r="C1328">
            <v>211711</v>
          </cell>
          <cell r="D1328" t="str">
            <v>Ret IN 539/05 - IR/CS/PIS/COFINS - 2,20%</v>
          </cell>
          <cell r="E1328" t="str">
            <v>A</v>
          </cell>
          <cell r="H1328" t="str">
            <v>N/A</v>
          </cell>
          <cell r="I1328">
            <v>500001</v>
          </cell>
          <cell r="J1328" t="str">
            <v>Obrigações tributárias</v>
          </cell>
          <cell r="K1328">
            <v>600018</v>
          </cell>
          <cell r="L1328">
            <v>-1</v>
          </cell>
        </row>
        <row r="1329">
          <cell r="B1329" t="str">
            <v>2.1.1.07.0012</v>
          </cell>
          <cell r="C1329">
            <v>211712</v>
          </cell>
          <cell r="D1329" t="str">
            <v>Ret IN 539/05 - IR/CS/PIS/COFINS - 4,89%</v>
          </cell>
          <cell r="E1329" t="str">
            <v>A</v>
          </cell>
          <cell r="H1329" t="str">
            <v>N/A</v>
          </cell>
          <cell r="I1329">
            <v>500001</v>
          </cell>
          <cell r="J1329" t="str">
            <v>Obrigações tributárias</v>
          </cell>
          <cell r="K1329">
            <v>600018</v>
          </cell>
          <cell r="L1329">
            <v>-1</v>
          </cell>
        </row>
        <row r="1330">
          <cell r="B1330" t="str">
            <v>2.1.1.07.0013</v>
          </cell>
          <cell r="C1330">
            <v>211713</v>
          </cell>
          <cell r="D1330" t="str">
            <v>Ret IN 539/05 - IR/CS/PIS/COFINS - 3,40%</v>
          </cell>
          <cell r="E1330" t="str">
            <v>A</v>
          </cell>
          <cell r="H1330" t="str">
            <v>N/A</v>
          </cell>
          <cell r="I1330">
            <v>500001</v>
          </cell>
          <cell r="J1330" t="str">
            <v>Obrigações tributárias</v>
          </cell>
          <cell r="K1330">
            <v>600018</v>
          </cell>
          <cell r="L1330">
            <v>-1</v>
          </cell>
        </row>
        <row r="1331">
          <cell r="B1331" t="str">
            <v>2.1.1.07.0014</v>
          </cell>
          <cell r="C1331">
            <v>211714</v>
          </cell>
          <cell r="D1331" t="str">
            <v>IRRF Pessoa Física</v>
          </cell>
          <cell r="E1331" t="str">
            <v>A</v>
          </cell>
          <cell r="H1331" t="str">
            <v>N/A</v>
          </cell>
          <cell r="I1331">
            <v>500001</v>
          </cell>
          <cell r="J1331" t="str">
            <v>Obrigações tributárias</v>
          </cell>
          <cell r="K1331">
            <v>600018</v>
          </cell>
          <cell r="L1331">
            <v>-1</v>
          </cell>
        </row>
        <row r="1332">
          <cell r="B1332" t="str">
            <v>2.1.1.07.0015</v>
          </cell>
          <cell r="C1332" t="str">
            <v>ISS</v>
          </cell>
          <cell r="D1332" t="str">
            <v>ISS de Terceiros</v>
          </cell>
          <cell r="E1332" t="str">
            <v>A</v>
          </cell>
          <cell r="H1332" t="str">
            <v>N/A</v>
          </cell>
          <cell r="I1332">
            <v>500001</v>
          </cell>
          <cell r="J1332" t="str">
            <v>Obrigações tributárias</v>
          </cell>
          <cell r="K1332">
            <v>600018</v>
          </cell>
          <cell r="L1332">
            <v>-1</v>
          </cell>
        </row>
        <row r="1333">
          <cell r="B1333" t="str">
            <v>2.1.1.07.0016</v>
          </cell>
          <cell r="C1333">
            <v>211716</v>
          </cell>
          <cell r="D1333" t="str">
            <v>Ret  IR e Contrib. 6147 Conv. 035</v>
          </cell>
          <cell r="E1333" t="str">
            <v>A</v>
          </cell>
          <cell r="H1333" t="str">
            <v>N/A</v>
          </cell>
          <cell r="I1333">
            <v>500001</v>
          </cell>
          <cell r="J1333" t="str">
            <v>Obrigações tributárias</v>
          </cell>
          <cell r="K1333">
            <v>600018</v>
          </cell>
          <cell r="L1333">
            <v>-1</v>
          </cell>
        </row>
        <row r="1334">
          <cell r="B1334" t="str">
            <v>2.1.1.07.0017</v>
          </cell>
          <cell r="C1334">
            <v>211717</v>
          </cell>
          <cell r="D1334" t="str">
            <v>Ret IR e Contrib. 6147 Conv. 039</v>
          </cell>
          <cell r="E1334" t="str">
            <v>A</v>
          </cell>
          <cell r="H1334" t="str">
            <v>N/A</v>
          </cell>
          <cell r="I1334">
            <v>500001</v>
          </cell>
          <cell r="J1334" t="str">
            <v>Obrigações tributárias</v>
          </cell>
          <cell r="K1334">
            <v>600018</v>
          </cell>
          <cell r="L1334">
            <v>-1</v>
          </cell>
        </row>
        <row r="1335">
          <cell r="B1335" t="str">
            <v>2.1.1.07.0018</v>
          </cell>
          <cell r="C1335">
            <v>211718</v>
          </cell>
          <cell r="D1335" t="str">
            <v>Ret IR e Contrib. 6190 Conv. 032</v>
          </cell>
          <cell r="E1335" t="str">
            <v>A</v>
          </cell>
          <cell r="H1335" t="str">
            <v>N/A</v>
          </cell>
          <cell r="I1335">
            <v>500001</v>
          </cell>
          <cell r="J1335" t="str">
            <v>Obrigações tributárias</v>
          </cell>
          <cell r="K1335">
            <v>600018</v>
          </cell>
          <cell r="L1335">
            <v>-1</v>
          </cell>
        </row>
        <row r="1336">
          <cell r="B1336" t="str">
            <v>2.1.1.07.0019</v>
          </cell>
          <cell r="C1336">
            <v>211719</v>
          </cell>
          <cell r="D1336" t="str">
            <v>Ret IR e Contrib. 6190 Conv. 034</v>
          </cell>
          <cell r="E1336" t="str">
            <v>A</v>
          </cell>
          <cell r="H1336" t="str">
            <v>N/A</v>
          </cell>
          <cell r="I1336">
            <v>500001</v>
          </cell>
          <cell r="J1336" t="str">
            <v>Obrigações tributárias</v>
          </cell>
          <cell r="K1336">
            <v>600018</v>
          </cell>
          <cell r="L1336">
            <v>-1</v>
          </cell>
        </row>
        <row r="1337">
          <cell r="B1337" t="str">
            <v>2.1.1.07.0020</v>
          </cell>
          <cell r="C1337">
            <v>211720</v>
          </cell>
          <cell r="D1337" t="str">
            <v>Ret. ISS de Terceiros Conv. 013</v>
          </cell>
          <cell r="E1337" t="str">
            <v>A</v>
          </cell>
          <cell r="H1337" t="str">
            <v>N/A</v>
          </cell>
          <cell r="I1337">
            <v>500001</v>
          </cell>
          <cell r="J1337" t="str">
            <v>Obrigações tributárias</v>
          </cell>
          <cell r="K1337">
            <v>600018</v>
          </cell>
          <cell r="L1337">
            <v>-1</v>
          </cell>
        </row>
        <row r="1338">
          <cell r="B1338" t="str">
            <v>2.1.1.07.0021</v>
          </cell>
          <cell r="C1338">
            <v>211721</v>
          </cell>
          <cell r="D1338" t="str">
            <v>Ret. ISS de Terceiros Conv. 039</v>
          </cell>
          <cell r="E1338" t="str">
            <v>A</v>
          </cell>
          <cell r="H1338" t="str">
            <v>N/A</v>
          </cell>
          <cell r="I1338">
            <v>500001</v>
          </cell>
          <cell r="J1338" t="str">
            <v>Obrigações tributárias</v>
          </cell>
          <cell r="K1338">
            <v>600018</v>
          </cell>
          <cell r="L1338">
            <v>-1</v>
          </cell>
        </row>
        <row r="1339">
          <cell r="B1339" t="str">
            <v>2.1.1.07.0022</v>
          </cell>
          <cell r="C1339">
            <v>211722</v>
          </cell>
          <cell r="D1339" t="str">
            <v>Ret. INSS de Terceiros Conv. 013</v>
          </cell>
          <cell r="E1339" t="str">
            <v>A</v>
          </cell>
          <cell r="H1339" t="str">
            <v>N/A</v>
          </cell>
          <cell r="I1339">
            <v>500001</v>
          </cell>
          <cell r="J1339" t="str">
            <v>Obrigações tributárias</v>
          </cell>
          <cell r="K1339">
            <v>600018</v>
          </cell>
          <cell r="L1339">
            <v>-1</v>
          </cell>
        </row>
        <row r="1340">
          <cell r="B1340" t="str">
            <v>2.1.1.07.0023</v>
          </cell>
          <cell r="C1340">
            <v>211723</v>
          </cell>
          <cell r="D1340" t="str">
            <v>Ret. INSS de Terceiros Conv. 039</v>
          </cell>
          <cell r="E1340" t="str">
            <v>A</v>
          </cell>
          <cell r="H1340" t="str">
            <v>N/A</v>
          </cell>
          <cell r="I1340">
            <v>500001</v>
          </cell>
          <cell r="J1340" t="str">
            <v>Obrigações tributárias</v>
          </cell>
          <cell r="K1340">
            <v>600018</v>
          </cell>
          <cell r="L1340">
            <v>-1</v>
          </cell>
        </row>
        <row r="1341">
          <cell r="B1341" t="str">
            <v>2.1.1.07.0024</v>
          </cell>
          <cell r="C1341">
            <v>211724</v>
          </cell>
          <cell r="D1341" t="str">
            <v>Ret  IR e Contrib. 6147 Conv. 022</v>
          </cell>
          <cell r="E1341" t="str">
            <v>A</v>
          </cell>
          <cell r="H1341" t="str">
            <v>N/A</v>
          </cell>
          <cell r="I1341">
            <v>500001</v>
          </cell>
          <cell r="J1341" t="str">
            <v>Obrigações tributárias</v>
          </cell>
          <cell r="K1341">
            <v>600018</v>
          </cell>
          <cell r="L1341">
            <v>-1</v>
          </cell>
        </row>
        <row r="1342">
          <cell r="B1342" t="str">
            <v>2.1.1.07.0025</v>
          </cell>
          <cell r="C1342">
            <v>211725</v>
          </cell>
          <cell r="D1342" t="str">
            <v>Ret  IR e Contrib. 6190 Conv. 022</v>
          </cell>
          <cell r="E1342" t="str">
            <v>A</v>
          </cell>
          <cell r="H1342" t="str">
            <v>N/A</v>
          </cell>
          <cell r="I1342">
            <v>500001</v>
          </cell>
          <cell r="J1342" t="str">
            <v>Obrigações tributárias</v>
          </cell>
          <cell r="K1342">
            <v>600018</v>
          </cell>
          <cell r="L1342">
            <v>-1</v>
          </cell>
        </row>
        <row r="1343">
          <cell r="B1343" t="str">
            <v>2.1.1.07.0026</v>
          </cell>
          <cell r="C1343">
            <v>211726</v>
          </cell>
          <cell r="D1343" t="str">
            <v>Ret  IR e Contrib. 6190 Conv. 013</v>
          </cell>
          <cell r="E1343" t="str">
            <v>A</v>
          </cell>
          <cell r="H1343" t="str">
            <v>N/A</v>
          </cell>
          <cell r="I1343">
            <v>500001</v>
          </cell>
          <cell r="J1343" t="str">
            <v>Obrigações tributárias</v>
          </cell>
          <cell r="K1343">
            <v>600018</v>
          </cell>
          <cell r="L1343">
            <v>-1</v>
          </cell>
        </row>
        <row r="1344">
          <cell r="B1344" t="str">
            <v>2.1.1.07.0027</v>
          </cell>
          <cell r="C1344">
            <v>211727</v>
          </cell>
          <cell r="D1344" t="str">
            <v>Ret  IR e Contrib. 6147 Conv. 029</v>
          </cell>
          <cell r="E1344" t="str">
            <v>A</v>
          </cell>
          <cell r="H1344" t="str">
            <v>N/A</v>
          </cell>
          <cell r="I1344">
            <v>500001</v>
          </cell>
          <cell r="J1344" t="str">
            <v>Obrigações tributárias</v>
          </cell>
          <cell r="K1344">
            <v>600018</v>
          </cell>
          <cell r="L1344">
            <v>-1</v>
          </cell>
        </row>
        <row r="1345">
          <cell r="B1345" t="str">
            <v>2.1.1.07.0028</v>
          </cell>
          <cell r="C1345">
            <v>211728</v>
          </cell>
          <cell r="D1345" t="str">
            <v>Ret  IR e Contrib. 6190 Conv. 029</v>
          </cell>
          <cell r="E1345" t="str">
            <v>A</v>
          </cell>
          <cell r="H1345" t="str">
            <v>N/A</v>
          </cell>
          <cell r="I1345">
            <v>500001</v>
          </cell>
          <cell r="J1345" t="str">
            <v>Obrigações tributárias</v>
          </cell>
          <cell r="K1345">
            <v>600018</v>
          </cell>
          <cell r="L1345">
            <v>-1</v>
          </cell>
        </row>
        <row r="1346">
          <cell r="B1346" t="str">
            <v>2.1.1.07.0029</v>
          </cell>
          <cell r="C1346">
            <v>211729</v>
          </cell>
          <cell r="D1346" t="str">
            <v>Ret  IR e Contrib. 6147 Conv. 013</v>
          </cell>
          <cell r="E1346" t="str">
            <v>A</v>
          </cell>
          <cell r="H1346" t="str">
            <v>N/A</v>
          </cell>
          <cell r="I1346">
            <v>500001</v>
          </cell>
          <cell r="J1346" t="str">
            <v>Obrigações tributárias</v>
          </cell>
          <cell r="K1346">
            <v>600018</v>
          </cell>
          <cell r="L1346">
            <v>-1</v>
          </cell>
        </row>
        <row r="1347">
          <cell r="B1347" t="str">
            <v>2.1.1.07.0030</v>
          </cell>
          <cell r="C1347">
            <v>211730</v>
          </cell>
          <cell r="D1347" t="str">
            <v>Ret  IR e Contrib. 6175 Conv. 034</v>
          </cell>
          <cell r="E1347" t="str">
            <v>A</v>
          </cell>
          <cell r="H1347" t="str">
            <v>N/A</v>
          </cell>
          <cell r="I1347">
            <v>500001</v>
          </cell>
          <cell r="J1347" t="str">
            <v>Obrigações tributárias</v>
          </cell>
          <cell r="K1347">
            <v>600018</v>
          </cell>
          <cell r="L1347">
            <v>-1</v>
          </cell>
        </row>
        <row r="1348">
          <cell r="B1348" t="str">
            <v>2.1.1.07.0031</v>
          </cell>
          <cell r="C1348">
            <v>211731</v>
          </cell>
          <cell r="D1348" t="str">
            <v>Ret  IR e Contrib. 6175 Conv. 035</v>
          </cell>
          <cell r="E1348" t="str">
            <v>A</v>
          </cell>
          <cell r="H1348" t="str">
            <v>N/A</v>
          </cell>
          <cell r="I1348">
            <v>500001</v>
          </cell>
          <cell r="J1348" t="str">
            <v>Obrigações tributárias</v>
          </cell>
          <cell r="K1348">
            <v>600018</v>
          </cell>
          <cell r="L1348">
            <v>-1</v>
          </cell>
        </row>
        <row r="1349">
          <cell r="B1349" t="str">
            <v>2.1.1.07.0032</v>
          </cell>
          <cell r="C1349">
            <v>211732</v>
          </cell>
          <cell r="D1349" t="str">
            <v>Ret  IR e Contrib. 6175 Conv. 013</v>
          </cell>
          <cell r="E1349" t="str">
            <v>A</v>
          </cell>
          <cell r="H1349" t="str">
            <v>N/A</v>
          </cell>
          <cell r="I1349">
            <v>500001</v>
          </cell>
          <cell r="J1349" t="str">
            <v>Obrigações tributárias</v>
          </cell>
          <cell r="K1349">
            <v>600018</v>
          </cell>
          <cell r="L1349">
            <v>-1</v>
          </cell>
        </row>
        <row r="1350">
          <cell r="B1350" t="str">
            <v>2.1.1.07.0033</v>
          </cell>
          <cell r="C1350">
            <v>211733</v>
          </cell>
          <cell r="D1350" t="str">
            <v>Ret  IR e Contrib. 6190 Conv. 039</v>
          </cell>
          <cell r="E1350" t="str">
            <v>A</v>
          </cell>
          <cell r="H1350" t="str">
            <v>N/A</v>
          </cell>
          <cell r="I1350">
            <v>500001</v>
          </cell>
          <cell r="J1350" t="str">
            <v>Obrigações tributárias</v>
          </cell>
          <cell r="K1350">
            <v>600018</v>
          </cell>
          <cell r="L1350">
            <v>-1</v>
          </cell>
        </row>
        <row r="1351">
          <cell r="B1351" t="str">
            <v>2.1.1.07.0034</v>
          </cell>
          <cell r="C1351">
            <v>211734</v>
          </cell>
          <cell r="D1351" t="str">
            <v>Ret  IR e Contrib. 6175 Conv. 039</v>
          </cell>
          <cell r="E1351" t="str">
            <v>A</v>
          </cell>
          <cell r="H1351" t="str">
            <v>N/A</v>
          </cell>
          <cell r="I1351">
            <v>500001</v>
          </cell>
          <cell r="J1351" t="str">
            <v>Obrigações tributárias</v>
          </cell>
          <cell r="K1351">
            <v>600018</v>
          </cell>
          <cell r="L1351">
            <v>-1</v>
          </cell>
        </row>
        <row r="1352">
          <cell r="B1352" t="str">
            <v>2.1.1.07.0035</v>
          </cell>
          <cell r="C1352">
            <v>211735</v>
          </cell>
          <cell r="D1352" t="str">
            <v>Ret  IR e Contrib. 6175 Conv. 029</v>
          </cell>
          <cell r="E1352" t="str">
            <v>A</v>
          </cell>
          <cell r="H1352" t="str">
            <v>N/A</v>
          </cell>
          <cell r="I1352">
            <v>500001</v>
          </cell>
          <cell r="J1352" t="str">
            <v>Obrigações tributárias</v>
          </cell>
          <cell r="K1352">
            <v>600018</v>
          </cell>
          <cell r="L1352">
            <v>-1</v>
          </cell>
        </row>
        <row r="1353">
          <cell r="B1353" t="str">
            <v>2.1.1.07.0036</v>
          </cell>
          <cell r="C1353">
            <v>211736</v>
          </cell>
          <cell r="D1353" t="str">
            <v>Ret  IR e Contrib. 6190 Conv. 031</v>
          </cell>
          <cell r="E1353" t="str">
            <v>A</v>
          </cell>
          <cell r="H1353" t="str">
            <v>N/A</v>
          </cell>
          <cell r="I1353">
            <v>500001</v>
          </cell>
          <cell r="J1353" t="str">
            <v>Obrigações tributárias</v>
          </cell>
          <cell r="K1353">
            <v>600018</v>
          </cell>
          <cell r="L1353">
            <v>-1</v>
          </cell>
        </row>
        <row r="1354">
          <cell r="B1354" t="str">
            <v>2.1.1.07.0037</v>
          </cell>
          <cell r="C1354">
            <v>211737</v>
          </cell>
          <cell r="D1354" t="str">
            <v>Ret  IR e Contrib. 6190 Conv. 030</v>
          </cell>
          <cell r="E1354" t="str">
            <v>A</v>
          </cell>
          <cell r="H1354" t="str">
            <v>N/A</v>
          </cell>
          <cell r="I1354">
            <v>500001</v>
          </cell>
          <cell r="J1354" t="str">
            <v>Obrigações tributárias</v>
          </cell>
          <cell r="K1354">
            <v>600018</v>
          </cell>
          <cell r="L1354">
            <v>-1</v>
          </cell>
        </row>
        <row r="1355">
          <cell r="B1355" t="str">
            <v>2.1.1.07.0038</v>
          </cell>
          <cell r="C1355">
            <v>211738</v>
          </cell>
          <cell r="D1355" t="str">
            <v>Ret  IR e Contrib. 6190 Conv. 033</v>
          </cell>
          <cell r="E1355" t="str">
            <v>A</v>
          </cell>
          <cell r="H1355" t="str">
            <v>N/A</v>
          </cell>
          <cell r="I1355">
            <v>500001</v>
          </cell>
          <cell r="J1355" t="str">
            <v>Obrigações tributárias</v>
          </cell>
          <cell r="K1355">
            <v>600018</v>
          </cell>
          <cell r="L1355">
            <v>-1</v>
          </cell>
        </row>
        <row r="1356">
          <cell r="B1356" t="str">
            <v>2.1.1.07.0039</v>
          </cell>
          <cell r="C1356">
            <v>211739</v>
          </cell>
          <cell r="D1356" t="str">
            <v>Ret  IR e Contrib. 6175 Conv. 033</v>
          </cell>
          <cell r="E1356" t="str">
            <v>A</v>
          </cell>
          <cell r="H1356" t="str">
            <v>N/A</v>
          </cell>
          <cell r="I1356">
            <v>500001</v>
          </cell>
          <cell r="J1356" t="str">
            <v>Obrigações tributárias</v>
          </cell>
          <cell r="K1356">
            <v>600018</v>
          </cell>
          <cell r="L1356">
            <v>-1</v>
          </cell>
        </row>
        <row r="1357">
          <cell r="B1357" t="str">
            <v>2.1.1.07.0040</v>
          </cell>
          <cell r="C1357">
            <v>211740</v>
          </cell>
          <cell r="D1357" t="str">
            <v>Ret. INSS de Terceiros Conv. 022</v>
          </cell>
          <cell r="E1357" t="str">
            <v>A</v>
          </cell>
          <cell r="H1357" t="str">
            <v>N/A</v>
          </cell>
          <cell r="I1357">
            <v>500001</v>
          </cell>
          <cell r="J1357" t="str">
            <v>Obrigações tributárias</v>
          </cell>
          <cell r="K1357">
            <v>600018</v>
          </cell>
          <cell r="L1357">
            <v>-1</v>
          </cell>
        </row>
        <row r="1358">
          <cell r="B1358" t="str">
            <v>2.1.1.07.0041</v>
          </cell>
          <cell r="C1358">
            <v>211741</v>
          </cell>
          <cell r="D1358" t="str">
            <v>Ret  IR e Contrib. 6190 Conv. 025</v>
          </cell>
          <cell r="E1358" t="str">
            <v>A</v>
          </cell>
          <cell r="H1358" t="str">
            <v>N/A</v>
          </cell>
          <cell r="I1358">
            <v>500001</v>
          </cell>
          <cell r="J1358" t="str">
            <v>Obrigações tributárias</v>
          </cell>
          <cell r="K1358">
            <v>600018</v>
          </cell>
          <cell r="L1358">
            <v>-1</v>
          </cell>
        </row>
        <row r="1359">
          <cell r="B1359" t="str">
            <v>2.1.1.07.0042</v>
          </cell>
          <cell r="C1359">
            <v>211742</v>
          </cell>
          <cell r="D1359" t="str">
            <v>Ret  IR e Contrib. 6190 Conv. 035</v>
          </cell>
          <cell r="E1359" t="str">
            <v>A</v>
          </cell>
          <cell r="H1359" t="str">
            <v>N/A</v>
          </cell>
          <cell r="I1359">
            <v>500001</v>
          </cell>
          <cell r="J1359" t="str">
            <v>Obrigações tributárias</v>
          </cell>
          <cell r="K1359">
            <v>600018</v>
          </cell>
          <cell r="L1359">
            <v>-1</v>
          </cell>
        </row>
        <row r="1360">
          <cell r="B1360" t="str">
            <v>2.1.1.07.0043</v>
          </cell>
          <cell r="C1360">
            <v>211743</v>
          </cell>
          <cell r="D1360" t="str">
            <v>Ret  IR e Contrib. 6190 Conv. 023</v>
          </cell>
          <cell r="E1360" t="str">
            <v>A</v>
          </cell>
          <cell r="H1360" t="str">
            <v>N/A</v>
          </cell>
          <cell r="I1360">
            <v>500001</v>
          </cell>
          <cell r="J1360" t="str">
            <v>Obrigações tributárias</v>
          </cell>
          <cell r="K1360">
            <v>600018</v>
          </cell>
          <cell r="L1360">
            <v>-1</v>
          </cell>
        </row>
        <row r="1361">
          <cell r="B1361" t="str">
            <v>2.1.1.07.0044</v>
          </cell>
          <cell r="C1361">
            <v>211744</v>
          </cell>
          <cell r="D1361" t="str">
            <v>Ret  IR e Contrib. 6175 Conv. 032</v>
          </cell>
          <cell r="E1361" t="str">
            <v>A</v>
          </cell>
          <cell r="H1361" t="str">
            <v>N/A</v>
          </cell>
          <cell r="I1361">
            <v>500001</v>
          </cell>
          <cell r="J1361" t="str">
            <v>Obrigações tributárias</v>
          </cell>
          <cell r="K1361">
            <v>600018</v>
          </cell>
          <cell r="L1361">
            <v>-1</v>
          </cell>
        </row>
        <row r="1362">
          <cell r="B1362" t="str">
            <v>2.1.1.07.0045</v>
          </cell>
          <cell r="C1362">
            <v>211745</v>
          </cell>
          <cell r="D1362" t="str">
            <v>Ret  IR e Contrib. 6190 Conv. 026</v>
          </cell>
          <cell r="E1362" t="str">
            <v>A</v>
          </cell>
          <cell r="H1362" t="str">
            <v>N/A</v>
          </cell>
          <cell r="I1362">
            <v>500001</v>
          </cell>
          <cell r="J1362" t="str">
            <v>Obrigações tributárias</v>
          </cell>
          <cell r="K1362">
            <v>600018</v>
          </cell>
          <cell r="L1362">
            <v>-1</v>
          </cell>
        </row>
        <row r="1363">
          <cell r="B1363" t="str">
            <v>2.1.1.07.0046</v>
          </cell>
          <cell r="C1363">
            <v>211746</v>
          </cell>
          <cell r="D1363" t="str">
            <v>IRRF a Recolher de Terceiros Conv. 026</v>
          </cell>
          <cell r="E1363" t="str">
            <v>A</v>
          </cell>
          <cell r="H1363" t="str">
            <v>N/A</v>
          </cell>
          <cell r="I1363">
            <v>500001</v>
          </cell>
          <cell r="J1363" t="str">
            <v>Obrigações tributárias</v>
          </cell>
          <cell r="K1363">
            <v>600018</v>
          </cell>
          <cell r="L1363">
            <v>-1</v>
          </cell>
        </row>
        <row r="1364">
          <cell r="B1364" t="str">
            <v>2.1.1.07.0047</v>
          </cell>
          <cell r="C1364">
            <v>211747</v>
          </cell>
          <cell r="D1364" t="str">
            <v>PIS/PASEP de Terceiros Conv. 026</v>
          </cell>
          <cell r="E1364" t="str">
            <v>A</v>
          </cell>
          <cell r="H1364" t="str">
            <v>N/A</v>
          </cell>
          <cell r="I1364">
            <v>500001</v>
          </cell>
          <cell r="J1364" t="str">
            <v>Obrigações tributárias</v>
          </cell>
          <cell r="K1364">
            <v>600018</v>
          </cell>
          <cell r="L1364">
            <v>-1</v>
          </cell>
        </row>
        <row r="1365">
          <cell r="B1365" t="str">
            <v>2.1.1.07.0048</v>
          </cell>
          <cell r="C1365">
            <v>211748</v>
          </cell>
          <cell r="D1365" t="str">
            <v>CSLL de Terceiros Conv. 026</v>
          </cell>
          <cell r="E1365" t="str">
            <v>A</v>
          </cell>
          <cell r="H1365" t="str">
            <v>N/A</v>
          </cell>
          <cell r="I1365">
            <v>500001</v>
          </cell>
          <cell r="J1365" t="str">
            <v>Obrigações tributárias</v>
          </cell>
          <cell r="K1365">
            <v>600018</v>
          </cell>
          <cell r="L1365">
            <v>-1</v>
          </cell>
        </row>
        <row r="1366">
          <cell r="B1366" t="str">
            <v>2.1.1.07.0049</v>
          </cell>
          <cell r="C1366">
            <v>211749</v>
          </cell>
          <cell r="D1366" t="str">
            <v>Ret  IR e Contrib. 6175 Conv. 025</v>
          </cell>
          <cell r="E1366" t="str">
            <v>A</v>
          </cell>
          <cell r="H1366" t="str">
            <v>N/A</v>
          </cell>
          <cell r="I1366">
            <v>500001</v>
          </cell>
          <cell r="J1366" t="str">
            <v>Obrigações tributárias</v>
          </cell>
          <cell r="K1366">
            <v>600018</v>
          </cell>
          <cell r="L1366">
            <v>-1</v>
          </cell>
        </row>
        <row r="1367">
          <cell r="B1367" t="str">
            <v>2.1.1.07.0050</v>
          </cell>
          <cell r="C1367">
            <v>211750</v>
          </cell>
          <cell r="D1367" t="str">
            <v>Ret  IR e Contrib. 6175 Conv. 028</v>
          </cell>
          <cell r="E1367" t="str">
            <v>A</v>
          </cell>
          <cell r="H1367" t="str">
            <v>N/A</v>
          </cell>
          <cell r="I1367">
            <v>500001</v>
          </cell>
          <cell r="J1367" t="str">
            <v>Obrigações tributárias</v>
          </cell>
          <cell r="K1367">
            <v>600018</v>
          </cell>
          <cell r="L1367">
            <v>-1</v>
          </cell>
        </row>
        <row r="1368">
          <cell r="B1368" t="str">
            <v>2.1.1.07.0051</v>
          </cell>
          <cell r="C1368">
            <v>211751</v>
          </cell>
          <cell r="D1368" t="str">
            <v>Ret. ISS de Terceiros Conv. 032</v>
          </cell>
          <cell r="E1368" t="str">
            <v>A</v>
          </cell>
          <cell r="H1368" t="str">
            <v>N/A</v>
          </cell>
          <cell r="I1368">
            <v>500001</v>
          </cell>
          <cell r="J1368" t="str">
            <v>Obrigações tributárias</v>
          </cell>
          <cell r="K1368">
            <v>600018</v>
          </cell>
          <cell r="L1368">
            <v>-1</v>
          </cell>
        </row>
        <row r="1369">
          <cell r="B1369" t="str">
            <v>2.1.1.07.0052</v>
          </cell>
          <cell r="C1369">
            <v>211752</v>
          </cell>
          <cell r="D1369" t="str">
            <v>Ret. ISS de Terceiros Conv. 033</v>
          </cell>
          <cell r="E1369" t="str">
            <v>A</v>
          </cell>
          <cell r="H1369" t="str">
            <v>N/A</v>
          </cell>
          <cell r="I1369">
            <v>500001</v>
          </cell>
          <cell r="J1369" t="str">
            <v>Obrigações tributárias</v>
          </cell>
          <cell r="K1369">
            <v>600018</v>
          </cell>
          <cell r="L1369">
            <v>-1</v>
          </cell>
        </row>
        <row r="1370">
          <cell r="B1370" t="str">
            <v>2.1.1.07.0053</v>
          </cell>
          <cell r="C1370">
            <v>211753</v>
          </cell>
          <cell r="D1370" t="str">
            <v>Ret. ISS de Terceiros Conv. 034</v>
          </cell>
          <cell r="E1370" t="str">
            <v>A</v>
          </cell>
          <cell r="H1370" t="str">
            <v>N/A</v>
          </cell>
          <cell r="I1370">
            <v>500001</v>
          </cell>
          <cell r="J1370" t="str">
            <v>Obrigações tributárias</v>
          </cell>
          <cell r="K1370">
            <v>600018</v>
          </cell>
          <cell r="L1370">
            <v>-1</v>
          </cell>
        </row>
        <row r="1371">
          <cell r="B1371" t="str">
            <v>2.1.1.07.0054</v>
          </cell>
          <cell r="C1371">
            <v>211754</v>
          </cell>
          <cell r="D1371" t="str">
            <v>Ret. ISS de Terceiros Conv. 029</v>
          </cell>
          <cell r="E1371" t="str">
            <v>A</v>
          </cell>
          <cell r="H1371" t="str">
            <v>N/A</v>
          </cell>
          <cell r="I1371">
            <v>500001</v>
          </cell>
          <cell r="J1371" t="str">
            <v>Obrigações tributárias</v>
          </cell>
          <cell r="K1371">
            <v>600018</v>
          </cell>
          <cell r="L1371">
            <v>-1</v>
          </cell>
        </row>
        <row r="1372">
          <cell r="B1372" t="str">
            <v>2.1.1.07.0055</v>
          </cell>
          <cell r="C1372">
            <v>211755</v>
          </cell>
          <cell r="D1372" t="str">
            <v>Ret  IR e Contrib. 6175 Conv. 023</v>
          </cell>
          <cell r="E1372" t="str">
            <v>A</v>
          </cell>
          <cell r="H1372" t="str">
            <v>N/A</v>
          </cell>
          <cell r="I1372">
            <v>500001</v>
          </cell>
          <cell r="J1372" t="str">
            <v>Obrigações tributárias</v>
          </cell>
          <cell r="K1372">
            <v>600018</v>
          </cell>
          <cell r="L1372">
            <v>-1</v>
          </cell>
        </row>
        <row r="1373">
          <cell r="B1373" t="str">
            <v>2.1.1.07.0056</v>
          </cell>
          <cell r="C1373">
            <v>211756</v>
          </cell>
          <cell r="D1373" t="str">
            <v>Ret  IR e Contrib. 6175 Conv. 030</v>
          </cell>
          <cell r="E1373" t="str">
            <v>A</v>
          </cell>
          <cell r="H1373" t="str">
            <v>N/A</v>
          </cell>
          <cell r="I1373">
            <v>500001</v>
          </cell>
          <cell r="J1373" t="str">
            <v>Obrigações tributárias</v>
          </cell>
          <cell r="K1373">
            <v>600018</v>
          </cell>
          <cell r="L1373">
            <v>-1</v>
          </cell>
        </row>
        <row r="1374">
          <cell r="B1374" t="str">
            <v>2.1.1.07.0057</v>
          </cell>
          <cell r="C1374">
            <v>211757</v>
          </cell>
          <cell r="D1374" t="str">
            <v>Ret  IR e Contrib. 6175 Conv. 031</v>
          </cell>
          <cell r="E1374" t="str">
            <v>A</v>
          </cell>
          <cell r="H1374" t="str">
            <v>N/A</v>
          </cell>
          <cell r="I1374">
            <v>500001</v>
          </cell>
          <cell r="J1374" t="str">
            <v>Obrigações tributárias</v>
          </cell>
          <cell r="K1374">
            <v>600018</v>
          </cell>
          <cell r="L1374">
            <v>-1</v>
          </cell>
        </row>
        <row r="1375">
          <cell r="B1375" t="str">
            <v>2.1.1.07.0058</v>
          </cell>
          <cell r="C1375">
            <v>211758</v>
          </cell>
          <cell r="D1375" t="str">
            <v>Ret. ISS de Terceiros Conv. 035</v>
          </cell>
          <cell r="E1375" t="str">
            <v>A</v>
          </cell>
          <cell r="H1375" t="str">
            <v>N/A</v>
          </cell>
          <cell r="I1375">
            <v>500001</v>
          </cell>
          <cell r="J1375" t="str">
            <v>Obrigações tributárias</v>
          </cell>
          <cell r="K1375">
            <v>600018</v>
          </cell>
          <cell r="L1375">
            <v>-1</v>
          </cell>
        </row>
        <row r="1376">
          <cell r="B1376" t="str">
            <v>2.1.1.07.0059</v>
          </cell>
          <cell r="C1376">
            <v>211759</v>
          </cell>
          <cell r="D1376" t="str">
            <v>Ret. INSS de Terceiros Conv. 030</v>
          </cell>
          <cell r="E1376" t="str">
            <v>A</v>
          </cell>
          <cell r="H1376" t="str">
            <v>N/A</v>
          </cell>
          <cell r="I1376">
            <v>500001</v>
          </cell>
          <cell r="J1376" t="str">
            <v>Obrigações tributárias</v>
          </cell>
          <cell r="K1376">
            <v>600018</v>
          </cell>
          <cell r="L1376">
            <v>-1</v>
          </cell>
        </row>
        <row r="1377">
          <cell r="B1377" t="str">
            <v>2.1.1.07.0060</v>
          </cell>
          <cell r="C1377">
            <v>211760</v>
          </cell>
          <cell r="D1377" t="str">
            <v>Ret. ISS de Terceiros Conv. 025</v>
          </cell>
          <cell r="E1377" t="str">
            <v>A</v>
          </cell>
          <cell r="H1377" t="str">
            <v>N/A</v>
          </cell>
          <cell r="I1377">
            <v>500001</v>
          </cell>
          <cell r="J1377" t="str">
            <v>Obrigações tributárias</v>
          </cell>
          <cell r="K1377">
            <v>600018</v>
          </cell>
          <cell r="L1377">
            <v>-1</v>
          </cell>
        </row>
        <row r="1378">
          <cell r="B1378" t="str">
            <v>2.1.1.07.0061</v>
          </cell>
          <cell r="C1378">
            <v>211761</v>
          </cell>
          <cell r="D1378" t="str">
            <v>Ret. ISS de Terceiros Conv. 022</v>
          </cell>
          <cell r="E1378" t="str">
            <v>A</v>
          </cell>
          <cell r="H1378" t="str">
            <v>N/A</v>
          </cell>
          <cell r="I1378">
            <v>500001</v>
          </cell>
          <cell r="J1378" t="str">
            <v>Obrigações tributárias</v>
          </cell>
          <cell r="K1378">
            <v>600018</v>
          </cell>
          <cell r="L1378">
            <v>-1</v>
          </cell>
        </row>
        <row r="1379">
          <cell r="B1379" t="str">
            <v>2.1.1.07.0062</v>
          </cell>
          <cell r="C1379">
            <v>211762</v>
          </cell>
          <cell r="D1379" t="str">
            <v>Ret. ISS de Terceiros Conv. 030</v>
          </cell>
          <cell r="E1379" t="str">
            <v>A</v>
          </cell>
          <cell r="H1379" t="str">
            <v>N/A</v>
          </cell>
          <cell r="I1379">
            <v>500001</v>
          </cell>
          <cell r="J1379" t="str">
            <v>Obrigações tributárias</v>
          </cell>
          <cell r="K1379">
            <v>600018</v>
          </cell>
          <cell r="L1379">
            <v>-1</v>
          </cell>
        </row>
        <row r="1380">
          <cell r="B1380" t="str">
            <v>2.1.1.07.0063</v>
          </cell>
          <cell r="C1380">
            <v>211763</v>
          </cell>
          <cell r="D1380" t="str">
            <v>Ret  IR e Contrib. 6175 Conv. 022</v>
          </cell>
          <cell r="E1380" t="str">
            <v>A</v>
          </cell>
          <cell r="H1380" t="str">
            <v>N/A</v>
          </cell>
          <cell r="I1380">
            <v>500001</v>
          </cell>
          <cell r="J1380" t="str">
            <v>Obrigações tributárias</v>
          </cell>
          <cell r="K1380">
            <v>600018</v>
          </cell>
          <cell r="L1380">
            <v>-1</v>
          </cell>
        </row>
        <row r="1381">
          <cell r="B1381" t="str">
            <v>2.1.1.07.0064</v>
          </cell>
          <cell r="C1381">
            <v>211764</v>
          </cell>
          <cell r="D1381" t="str">
            <v>Ret  IR e Contrib. 6175 Conv. 026</v>
          </cell>
          <cell r="E1381" t="str">
            <v>A</v>
          </cell>
          <cell r="H1381" t="str">
            <v>N/A</v>
          </cell>
          <cell r="I1381">
            <v>500001</v>
          </cell>
          <cell r="J1381" t="str">
            <v>Obrigações tributárias</v>
          </cell>
          <cell r="K1381">
            <v>600018</v>
          </cell>
          <cell r="L1381">
            <v>-1</v>
          </cell>
        </row>
        <row r="1382">
          <cell r="B1382" t="str">
            <v>2.1.1.07.0065</v>
          </cell>
          <cell r="C1382">
            <v>211765</v>
          </cell>
          <cell r="D1382" t="str">
            <v>Ret  IR e Contrib. 6175 Conv. 027</v>
          </cell>
          <cell r="E1382" t="str">
            <v>A</v>
          </cell>
          <cell r="H1382" t="str">
            <v>N/A</v>
          </cell>
          <cell r="I1382">
            <v>500001</v>
          </cell>
          <cell r="J1382" t="str">
            <v>Obrigações tributárias</v>
          </cell>
          <cell r="K1382">
            <v>600018</v>
          </cell>
          <cell r="L1382">
            <v>-1</v>
          </cell>
        </row>
        <row r="1383">
          <cell r="B1383" t="str">
            <v>2.1.1.07.0066</v>
          </cell>
          <cell r="C1383">
            <v>211766</v>
          </cell>
          <cell r="D1383" t="str">
            <v>Ret  IR e Contrib. 6190 Conv. 034</v>
          </cell>
          <cell r="E1383" t="str">
            <v>A</v>
          </cell>
          <cell r="H1383" t="str">
            <v>N/A</v>
          </cell>
          <cell r="I1383">
            <v>500001</v>
          </cell>
          <cell r="J1383" t="str">
            <v>Obrigações tributárias</v>
          </cell>
          <cell r="K1383">
            <v>600018</v>
          </cell>
          <cell r="L1383">
            <v>-1</v>
          </cell>
        </row>
        <row r="1384">
          <cell r="B1384" t="str">
            <v>2.1.1.07.0067</v>
          </cell>
          <cell r="C1384">
            <v>211767</v>
          </cell>
          <cell r="D1384" t="str">
            <v>Ret  IR e Contrib. 6147 Conv. 026</v>
          </cell>
          <cell r="E1384" t="str">
            <v>A</v>
          </cell>
          <cell r="H1384" t="str">
            <v>N/A</v>
          </cell>
          <cell r="I1384">
            <v>500001</v>
          </cell>
          <cell r="J1384" t="str">
            <v>Obrigações tributárias</v>
          </cell>
          <cell r="K1384">
            <v>600018</v>
          </cell>
          <cell r="L1384">
            <v>-1</v>
          </cell>
        </row>
        <row r="1385">
          <cell r="B1385" t="str">
            <v>2.1.1.07.0068</v>
          </cell>
          <cell r="C1385">
            <v>211768</v>
          </cell>
          <cell r="D1385" t="str">
            <v>Retenção IN 480/2004 - IRPJ</v>
          </cell>
          <cell r="E1385" t="str">
            <v>A</v>
          </cell>
          <cell r="H1385" t="str">
            <v>N/A</v>
          </cell>
          <cell r="I1385">
            <v>500001</v>
          </cell>
          <cell r="J1385" t="str">
            <v>Obrigações tributárias</v>
          </cell>
          <cell r="K1385">
            <v>600018</v>
          </cell>
          <cell r="L1385">
            <v>-1</v>
          </cell>
        </row>
        <row r="1386">
          <cell r="B1386" t="str">
            <v>2.1.1.07.0069</v>
          </cell>
          <cell r="C1386">
            <v>211769</v>
          </cell>
          <cell r="D1386" t="str">
            <v>Retenção IN 480/2004 - CSLL</v>
          </cell>
          <cell r="E1386" t="str">
            <v>A</v>
          </cell>
          <cell r="H1386" t="str">
            <v>N/A</v>
          </cell>
          <cell r="I1386">
            <v>500001</v>
          </cell>
          <cell r="J1386" t="str">
            <v>Obrigações tributárias</v>
          </cell>
          <cell r="K1386">
            <v>600018</v>
          </cell>
          <cell r="L1386">
            <v>-1</v>
          </cell>
        </row>
        <row r="1387">
          <cell r="B1387" t="str">
            <v>2.1.1.07.0070</v>
          </cell>
          <cell r="C1387">
            <v>211770</v>
          </cell>
          <cell r="D1387" t="str">
            <v>Retenção IN 480/2004 - COFINS</v>
          </cell>
          <cell r="E1387" t="str">
            <v>A</v>
          </cell>
          <cell r="H1387" t="str">
            <v>N/A</v>
          </cell>
          <cell r="I1387">
            <v>500001</v>
          </cell>
          <cell r="J1387" t="str">
            <v>Obrigações tributárias</v>
          </cell>
          <cell r="K1387">
            <v>600018</v>
          </cell>
          <cell r="L1387">
            <v>-1</v>
          </cell>
        </row>
        <row r="1388">
          <cell r="B1388" t="str">
            <v>2.1.1.07.0071</v>
          </cell>
          <cell r="C1388">
            <v>211771</v>
          </cell>
          <cell r="D1388" t="str">
            <v>Retenção IN 480/2004 - PIS</v>
          </cell>
          <cell r="E1388" t="str">
            <v>A</v>
          </cell>
          <cell r="H1388" t="str">
            <v>N/A</v>
          </cell>
          <cell r="I1388">
            <v>500001</v>
          </cell>
          <cell r="J1388" t="str">
            <v>Obrigações tributárias</v>
          </cell>
          <cell r="K1388">
            <v>600018</v>
          </cell>
          <cell r="L1388">
            <v>-1</v>
          </cell>
        </row>
        <row r="1389">
          <cell r="B1389" t="str">
            <v>2.1.1.07.0072</v>
          </cell>
          <cell r="C1389">
            <v>211772</v>
          </cell>
          <cell r="D1389" t="str">
            <v>IRRF - ALUGUEL PF</v>
          </cell>
          <cell r="E1389" t="str">
            <v>A</v>
          </cell>
          <cell r="H1389" t="str">
            <v>N/A</v>
          </cell>
          <cell r="I1389">
            <v>500001</v>
          </cell>
          <cell r="J1389" t="str">
            <v>Obrigações tributárias</v>
          </cell>
          <cell r="K1389">
            <v>600018</v>
          </cell>
          <cell r="L1389">
            <v>-1</v>
          </cell>
        </row>
        <row r="1390">
          <cell r="B1390" t="str">
            <v>2.1.1.07.0073</v>
          </cell>
          <cell r="C1390">
            <v>211773</v>
          </cell>
          <cell r="D1390" t="str">
            <v>Ret IN 539/05 - IRPJ - 2,4%</v>
          </cell>
          <cell r="E1390" t="str">
            <v>A</v>
          </cell>
          <cell r="H1390" t="str">
            <v>N/A</v>
          </cell>
          <cell r="I1390">
            <v>500001</v>
          </cell>
          <cell r="J1390" t="str">
            <v>Obrigações tributárias</v>
          </cell>
          <cell r="K1390">
            <v>600018</v>
          </cell>
          <cell r="L1390">
            <v>-1</v>
          </cell>
        </row>
        <row r="1391">
          <cell r="B1391" t="str">
            <v>2.1.1.07.0074</v>
          </cell>
          <cell r="C1391">
            <v>211774</v>
          </cell>
          <cell r="D1391" t="str">
            <v>Ret IN 539/05 - CSLL - 1%</v>
          </cell>
          <cell r="E1391" t="str">
            <v>A</v>
          </cell>
          <cell r="H1391" t="str">
            <v>N/A</v>
          </cell>
          <cell r="I1391">
            <v>500001</v>
          </cell>
          <cell r="J1391" t="str">
            <v>Obrigações tributárias</v>
          </cell>
          <cell r="K1391">
            <v>600018</v>
          </cell>
          <cell r="L1391">
            <v>-1</v>
          </cell>
        </row>
        <row r="1392">
          <cell r="B1392" t="str">
            <v>2.1.1.07.0075</v>
          </cell>
          <cell r="C1392">
            <v>211775</v>
          </cell>
          <cell r="D1392" t="str">
            <v>Ret IN 539/05 - PIS - 0,65%</v>
          </cell>
          <cell r="E1392" t="str">
            <v>A</v>
          </cell>
          <cell r="H1392" t="str">
            <v>N/A</v>
          </cell>
          <cell r="I1392">
            <v>500001</v>
          </cell>
          <cell r="J1392" t="str">
            <v>Obrigações tributárias</v>
          </cell>
          <cell r="K1392">
            <v>600018</v>
          </cell>
          <cell r="L1392">
            <v>-1</v>
          </cell>
        </row>
        <row r="1393">
          <cell r="B1393" t="str">
            <v>2.1.1.07.0076</v>
          </cell>
          <cell r="C1393">
            <v>211776</v>
          </cell>
          <cell r="D1393" t="str">
            <v xml:space="preserve">Ret IN 539/05 - COFINS - 3% </v>
          </cell>
          <cell r="E1393" t="str">
            <v>A</v>
          </cell>
          <cell r="H1393" t="str">
            <v>N/A</v>
          </cell>
          <cell r="I1393">
            <v>500001</v>
          </cell>
          <cell r="J1393" t="str">
            <v>Obrigações tributárias</v>
          </cell>
          <cell r="K1393">
            <v>600018</v>
          </cell>
          <cell r="L1393">
            <v>-1</v>
          </cell>
        </row>
        <row r="1394">
          <cell r="B1394" t="str">
            <v>2.1.1.07.0999</v>
          </cell>
          <cell r="C1394">
            <v>2117999</v>
          </cell>
          <cell r="D1394" t="str">
            <v>A Classificar</v>
          </cell>
          <cell r="E1394" t="str">
            <v>A</v>
          </cell>
          <cell r="H1394" t="str">
            <v>N/A</v>
          </cell>
          <cell r="I1394">
            <v>500001</v>
          </cell>
          <cell r="J1394" t="str">
            <v>Obrigações tributárias</v>
          </cell>
          <cell r="K1394">
            <v>600018</v>
          </cell>
          <cell r="L1394">
            <v>-1</v>
          </cell>
        </row>
        <row r="1395">
          <cell r="B1395" t="str">
            <v>2.1.1.08</v>
          </cell>
          <cell r="C1395">
            <v>2118</v>
          </cell>
          <cell r="D1395" t="str">
            <v>Obrigações Trabalhistas e Sociais</v>
          </cell>
          <cell r="E1395" t="str">
            <v>S</v>
          </cell>
        </row>
        <row r="1396">
          <cell r="B1396" t="str">
            <v>2.1.1.08.0001</v>
          </cell>
          <cell r="C1396">
            <v>21181</v>
          </cell>
          <cell r="D1396" t="str">
            <v>Salários a Pagar</v>
          </cell>
          <cell r="E1396" t="str">
            <v>A</v>
          </cell>
          <cell r="H1396" t="str">
            <v>N/A</v>
          </cell>
          <cell r="I1396">
            <v>500001</v>
          </cell>
          <cell r="J1396" t="str">
            <v>Obrigações trabalhistas e sociais</v>
          </cell>
          <cell r="K1396">
            <v>600019</v>
          </cell>
          <cell r="L1396">
            <v>-1</v>
          </cell>
        </row>
        <row r="1397">
          <cell r="B1397" t="str">
            <v>2.1.1.08.0002</v>
          </cell>
          <cell r="C1397">
            <v>21182</v>
          </cell>
          <cell r="D1397" t="str">
            <v>13º Salário a Pagar</v>
          </cell>
          <cell r="E1397" t="str">
            <v>A</v>
          </cell>
          <cell r="H1397" t="str">
            <v>N/A</v>
          </cell>
          <cell r="I1397">
            <v>500001</v>
          </cell>
          <cell r="J1397" t="str">
            <v>Obrigações trabalhistas e sociais</v>
          </cell>
          <cell r="K1397">
            <v>600019</v>
          </cell>
          <cell r="L1397">
            <v>-1</v>
          </cell>
        </row>
        <row r="1398">
          <cell r="B1398" t="str">
            <v>2.1.1.08.0003</v>
          </cell>
          <cell r="C1398">
            <v>21183</v>
          </cell>
          <cell r="D1398" t="str">
            <v>Férias a Pagar</v>
          </cell>
          <cell r="E1398" t="str">
            <v>A</v>
          </cell>
          <cell r="H1398" t="str">
            <v>N/A</v>
          </cell>
          <cell r="I1398">
            <v>500001</v>
          </cell>
          <cell r="J1398" t="str">
            <v>Obrigações trabalhistas e sociais</v>
          </cell>
          <cell r="K1398">
            <v>600019</v>
          </cell>
          <cell r="L1398">
            <v>-1</v>
          </cell>
        </row>
        <row r="1399">
          <cell r="B1399" t="str">
            <v>2.1.1.08.0004</v>
          </cell>
          <cell r="C1399">
            <v>21184</v>
          </cell>
          <cell r="D1399" t="str">
            <v>INSS a Recolher</v>
          </cell>
          <cell r="E1399" t="str">
            <v>A</v>
          </cell>
          <cell r="H1399" t="str">
            <v>N/A</v>
          </cell>
          <cell r="I1399">
            <v>500001</v>
          </cell>
          <cell r="J1399" t="str">
            <v>Obrigações trabalhistas e sociais</v>
          </cell>
          <cell r="K1399">
            <v>600019</v>
          </cell>
          <cell r="L1399">
            <v>-1</v>
          </cell>
        </row>
        <row r="1400">
          <cell r="B1400" t="str">
            <v>2.1.1.08.0005</v>
          </cell>
          <cell r="C1400">
            <v>21185</v>
          </cell>
          <cell r="D1400" t="str">
            <v>FGTS a Recolher</v>
          </cell>
          <cell r="E1400" t="str">
            <v>A</v>
          </cell>
          <cell r="H1400" t="str">
            <v>N/A</v>
          </cell>
          <cell r="I1400">
            <v>500001</v>
          </cell>
          <cell r="J1400" t="str">
            <v>Obrigações trabalhistas e sociais</v>
          </cell>
          <cell r="K1400">
            <v>600019</v>
          </cell>
          <cell r="L1400">
            <v>-1</v>
          </cell>
        </row>
        <row r="1401">
          <cell r="B1401" t="str">
            <v>2.1.1.08.0006</v>
          </cell>
          <cell r="C1401">
            <v>21186</v>
          </cell>
          <cell r="D1401" t="str">
            <v>Contribuição Sindical a Pagar</v>
          </cell>
          <cell r="E1401" t="str">
            <v>A</v>
          </cell>
          <cell r="H1401" t="str">
            <v>N/A</v>
          </cell>
          <cell r="I1401">
            <v>500001</v>
          </cell>
          <cell r="J1401" t="str">
            <v>Obrigações trabalhistas e sociais</v>
          </cell>
          <cell r="K1401">
            <v>600019</v>
          </cell>
          <cell r="L1401">
            <v>-1</v>
          </cell>
        </row>
        <row r="1402">
          <cell r="B1402" t="str">
            <v>2.1.1.08.0007</v>
          </cell>
          <cell r="C1402">
            <v>21187</v>
          </cell>
          <cell r="D1402" t="str">
            <v>Pensão Alimentícia</v>
          </cell>
          <cell r="E1402" t="str">
            <v>A</v>
          </cell>
          <cell r="H1402" t="str">
            <v>N/A</v>
          </cell>
          <cell r="I1402">
            <v>500001</v>
          </cell>
          <cell r="J1402" t="str">
            <v>Obrigações trabalhistas e sociais</v>
          </cell>
          <cell r="K1402">
            <v>600019</v>
          </cell>
          <cell r="L1402">
            <v>-1</v>
          </cell>
        </row>
        <row r="1403">
          <cell r="B1403" t="str">
            <v>2.1.1.08.0008</v>
          </cell>
          <cell r="C1403">
            <v>21188</v>
          </cell>
          <cell r="D1403" t="str">
            <v>Rescisões a Pagar</v>
          </cell>
          <cell r="E1403" t="str">
            <v>A</v>
          </cell>
          <cell r="H1403" t="str">
            <v>N/A</v>
          </cell>
          <cell r="I1403">
            <v>500001</v>
          </cell>
          <cell r="J1403" t="str">
            <v>Obrigações trabalhistas e sociais</v>
          </cell>
          <cell r="K1403">
            <v>600019</v>
          </cell>
          <cell r="L1403">
            <v>-1</v>
          </cell>
        </row>
        <row r="1404">
          <cell r="B1404" t="str">
            <v>2.1.1.08.0009</v>
          </cell>
          <cell r="C1404">
            <v>21189</v>
          </cell>
          <cell r="D1404" t="str">
            <v>Previdência Privada Complementar</v>
          </cell>
          <cell r="E1404" t="str">
            <v>A</v>
          </cell>
          <cell r="H1404" t="str">
            <v>N/A</v>
          </cell>
          <cell r="I1404">
            <v>500001</v>
          </cell>
          <cell r="J1404" t="str">
            <v xml:space="preserve">Previdência Privada Complementar </v>
          </cell>
          <cell r="K1404">
            <v>600032</v>
          </cell>
          <cell r="L1404">
            <v>-1</v>
          </cell>
        </row>
        <row r="1405">
          <cell r="B1405" t="str">
            <v>2.1.1.08.0010</v>
          </cell>
          <cell r="C1405">
            <v>211810</v>
          </cell>
          <cell r="D1405" t="str">
            <v>INSS s/ 13º Salario a Pagar</v>
          </cell>
          <cell r="E1405" t="str">
            <v>A</v>
          </cell>
          <cell r="H1405" t="str">
            <v>N/A</v>
          </cell>
          <cell r="I1405">
            <v>500001</v>
          </cell>
          <cell r="J1405" t="str">
            <v>Obrigações trabalhistas e sociais</v>
          </cell>
          <cell r="K1405">
            <v>600019</v>
          </cell>
          <cell r="L1405">
            <v>-1</v>
          </cell>
        </row>
        <row r="1406">
          <cell r="B1406" t="str">
            <v>2.1.1.08.0011</v>
          </cell>
          <cell r="C1406">
            <v>211811</v>
          </cell>
          <cell r="D1406" t="str">
            <v>FGTS s/ 13º Salario a Pagar</v>
          </cell>
          <cell r="E1406" t="str">
            <v>A</v>
          </cell>
          <cell r="H1406" t="str">
            <v>N/A</v>
          </cell>
          <cell r="I1406">
            <v>500001</v>
          </cell>
          <cell r="J1406" t="str">
            <v>Obrigações trabalhistas e sociais</v>
          </cell>
          <cell r="K1406">
            <v>600019</v>
          </cell>
          <cell r="L1406">
            <v>-1</v>
          </cell>
        </row>
        <row r="1407">
          <cell r="B1407" t="str">
            <v>2.1.1.08.0012</v>
          </cell>
          <cell r="C1407">
            <v>211812</v>
          </cell>
          <cell r="D1407" t="str">
            <v>INSS s/ Férias a Pagar</v>
          </cell>
          <cell r="E1407" t="str">
            <v>A</v>
          </cell>
          <cell r="H1407" t="str">
            <v>N/A</v>
          </cell>
          <cell r="I1407">
            <v>500001</v>
          </cell>
          <cell r="J1407" t="str">
            <v>Obrigações trabalhistas e sociais</v>
          </cell>
          <cell r="K1407">
            <v>600019</v>
          </cell>
          <cell r="L1407">
            <v>-1</v>
          </cell>
        </row>
        <row r="1408">
          <cell r="B1408" t="str">
            <v>2.1.1.08.0013</v>
          </cell>
          <cell r="C1408">
            <v>211813</v>
          </cell>
          <cell r="D1408" t="str">
            <v>FGTS s/ Férias a Pagar</v>
          </cell>
          <cell r="E1408" t="str">
            <v>A</v>
          </cell>
          <cell r="H1408" t="str">
            <v>N/A</v>
          </cell>
          <cell r="I1408">
            <v>500001</v>
          </cell>
          <cell r="J1408" t="str">
            <v>Obrigações trabalhistas e sociais</v>
          </cell>
          <cell r="K1408">
            <v>600019</v>
          </cell>
          <cell r="L1408">
            <v>-1</v>
          </cell>
        </row>
        <row r="1409">
          <cell r="B1409" t="str">
            <v>2.1.1.08.0014</v>
          </cell>
          <cell r="C1409">
            <v>211814</v>
          </cell>
          <cell r="D1409" t="str">
            <v>Empréstimo a funcionários</v>
          </cell>
          <cell r="E1409" t="str">
            <v>A</v>
          </cell>
          <cell r="H1409" t="str">
            <v>N/A</v>
          </cell>
          <cell r="I1409">
            <v>500001</v>
          </cell>
          <cell r="J1409" t="str">
            <v>Obrigações trabalhistas e sociais</v>
          </cell>
          <cell r="K1409">
            <v>600019</v>
          </cell>
          <cell r="L1409">
            <v>-1</v>
          </cell>
        </row>
        <row r="1410">
          <cell r="B1410" t="str">
            <v>2.1.1.08.0015</v>
          </cell>
          <cell r="C1410">
            <v>211815</v>
          </cell>
          <cell r="D1410" t="str">
            <v>Mensalidade AEPE</v>
          </cell>
          <cell r="E1410" t="str">
            <v>A</v>
          </cell>
          <cell r="H1410" t="str">
            <v>N/A</v>
          </cell>
          <cell r="I1410">
            <v>500001</v>
          </cell>
          <cell r="J1410" t="str">
            <v>Obrigações trabalhistas e sociais</v>
          </cell>
          <cell r="K1410">
            <v>600019</v>
          </cell>
          <cell r="L1410">
            <v>-1</v>
          </cell>
        </row>
        <row r="1411">
          <cell r="B1411" t="str">
            <v>2.1.1.08.0016</v>
          </cell>
          <cell r="C1411">
            <v>211816</v>
          </cell>
          <cell r="D1411" t="str">
            <v>Mensalidade Eletros - Saúde</v>
          </cell>
          <cell r="E1411" t="str">
            <v>A</v>
          </cell>
          <cell r="H1411" t="str">
            <v>N/A</v>
          </cell>
          <cell r="I1411">
            <v>500001</v>
          </cell>
          <cell r="J1411" t="str">
            <v>Obrigações trabalhistas e sociais</v>
          </cell>
          <cell r="K1411">
            <v>600019</v>
          </cell>
          <cell r="L1411">
            <v>-1</v>
          </cell>
        </row>
        <row r="1412">
          <cell r="B1412" t="str">
            <v>2.1.1.08.0017</v>
          </cell>
          <cell r="C1412">
            <v>211817</v>
          </cell>
          <cell r="D1412" t="str">
            <v>Coparticipação Eletros - Saúde</v>
          </cell>
          <cell r="E1412" t="str">
            <v>A</v>
          </cell>
          <cell r="H1412" t="str">
            <v>N/A</v>
          </cell>
          <cell r="I1412">
            <v>500001</v>
          </cell>
          <cell r="J1412" t="str">
            <v>Obrigações trabalhistas e sociais</v>
          </cell>
          <cell r="K1412">
            <v>600019</v>
          </cell>
          <cell r="L1412">
            <v>-1</v>
          </cell>
        </row>
        <row r="1413">
          <cell r="B1413" t="str">
            <v>2.1.1.09</v>
          </cell>
          <cell r="C1413">
            <v>2119</v>
          </cell>
          <cell r="D1413" t="str">
            <v>Obrigações c/ Acionistas e Diretores</v>
          </cell>
          <cell r="E1413" t="str">
            <v>S</v>
          </cell>
        </row>
        <row r="1414">
          <cell r="B1414" t="str">
            <v>2.1.1.09.0001</v>
          </cell>
          <cell r="C1414">
            <v>21191</v>
          </cell>
          <cell r="D1414" t="str">
            <v>Dividendos a Pagar</v>
          </cell>
          <cell r="E1414" t="str">
            <v>A</v>
          </cell>
          <cell r="H1414" t="str">
            <v>N/A</v>
          </cell>
          <cell r="I1414">
            <v>500001</v>
          </cell>
          <cell r="J1414" t="str">
            <v>Outras obrigações</v>
          </cell>
          <cell r="K1414">
            <v>600021</v>
          </cell>
          <cell r="L1414">
            <v>-1</v>
          </cell>
        </row>
        <row r="1415">
          <cell r="B1415" t="str">
            <v>2.1.1.09.0002</v>
          </cell>
          <cell r="C1415">
            <v>21192</v>
          </cell>
          <cell r="D1415" t="str">
            <v>Juros Sobre o Capital Próprio a Pagar</v>
          </cell>
          <cell r="E1415" t="str">
            <v>A</v>
          </cell>
          <cell r="H1415" t="str">
            <v>N/A</v>
          </cell>
          <cell r="I1415">
            <v>500001</v>
          </cell>
          <cell r="J1415" t="str">
            <v>Outras obrigações</v>
          </cell>
          <cell r="K1415">
            <v>600021</v>
          </cell>
          <cell r="L1415">
            <v>-1</v>
          </cell>
        </row>
        <row r="1416">
          <cell r="B1416" t="str">
            <v>2.1.1.09.0003</v>
          </cell>
          <cell r="C1416">
            <v>21193</v>
          </cell>
          <cell r="D1416" t="str">
            <v>Honorários da Diretoria</v>
          </cell>
          <cell r="E1416" t="str">
            <v>A</v>
          </cell>
          <cell r="H1416" t="str">
            <v>N/A</v>
          </cell>
          <cell r="I1416">
            <v>500001</v>
          </cell>
          <cell r="J1416" t="str">
            <v>Outras obrigações</v>
          </cell>
          <cell r="K1416">
            <v>600021</v>
          </cell>
          <cell r="L1416">
            <v>-1</v>
          </cell>
        </row>
        <row r="1417">
          <cell r="B1417" t="str">
            <v>2.1.1.09.0004</v>
          </cell>
          <cell r="C1417">
            <v>21194</v>
          </cell>
          <cell r="D1417" t="str">
            <v>Honorários dos Conselhos</v>
          </cell>
          <cell r="E1417" t="str">
            <v>A</v>
          </cell>
          <cell r="H1417" t="str">
            <v>N/A</v>
          </cell>
          <cell r="I1417">
            <v>500001</v>
          </cell>
          <cell r="J1417" t="str">
            <v>Outras obrigações</v>
          </cell>
          <cell r="K1417">
            <v>600021</v>
          </cell>
          <cell r="L1417">
            <v>-1</v>
          </cell>
        </row>
        <row r="1418">
          <cell r="B1418" t="str">
            <v>2.1.1.09.0005</v>
          </cell>
          <cell r="C1418">
            <v>21195</v>
          </cell>
          <cell r="D1418" t="str">
            <v>Dividendos Complementar a Pagar</v>
          </cell>
          <cell r="E1418" t="str">
            <v>A</v>
          </cell>
          <cell r="H1418" t="str">
            <v>N/A</v>
          </cell>
          <cell r="I1418">
            <v>500001</v>
          </cell>
          <cell r="J1418" t="str">
            <v>Outras obrigações</v>
          </cell>
          <cell r="K1418">
            <v>600021</v>
          </cell>
          <cell r="L1418">
            <v>-1</v>
          </cell>
        </row>
        <row r="1419">
          <cell r="B1419" t="str">
            <v>2.1.1.09.0006</v>
          </cell>
          <cell r="C1419">
            <v>21196</v>
          </cell>
          <cell r="D1419" t="str">
            <v>Juros s/ Dividendos a Pagar</v>
          </cell>
          <cell r="E1419" t="str">
            <v>A</v>
          </cell>
          <cell r="H1419" t="str">
            <v>N/A</v>
          </cell>
          <cell r="I1419">
            <v>500001</v>
          </cell>
          <cell r="J1419" t="str">
            <v>Outras obrigações</v>
          </cell>
          <cell r="K1419">
            <v>600021</v>
          </cell>
          <cell r="L1419">
            <v>-1</v>
          </cell>
        </row>
        <row r="1420">
          <cell r="B1420" t="str">
            <v>2.1.1.10</v>
          </cell>
          <cell r="C1420">
            <v>21110</v>
          </cell>
          <cell r="D1420" t="str">
            <v>Provisões Societárias</v>
          </cell>
          <cell r="E1420" t="str">
            <v>S</v>
          </cell>
        </row>
        <row r="1421">
          <cell r="B1421" t="str">
            <v>2.1.1.10.0001</v>
          </cell>
          <cell r="C1421">
            <v>211101</v>
          </cell>
          <cell r="D1421" t="str">
            <v>Dividendos Propostos</v>
          </cell>
          <cell r="E1421" t="str">
            <v>A</v>
          </cell>
          <cell r="H1421" t="str">
            <v>N/A</v>
          </cell>
          <cell r="I1421">
            <v>500001</v>
          </cell>
          <cell r="J1421" t="str">
            <v>Outras obrigações</v>
          </cell>
          <cell r="K1421">
            <v>600021</v>
          </cell>
          <cell r="L1421">
            <v>-1</v>
          </cell>
        </row>
        <row r="1422">
          <cell r="B1422" t="str">
            <v>2.1.1.10.0002</v>
          </cell>
          <cell r="C1422">
            <v>211102</v>
          </cell>
          <cell r="D1422" t="str">
            <v>Participações nos Lucros - Diretores</v>
          </cell>
          <cell r="E1422" t="str">
            <v>A</v>
          </cell>
          <cell r="H1422" t="str">
            <v>N/A</v>
          </cell>
          <cell r="I1422">
            <v>500001</v>
          </cell>
          <cell r="J1422" t="str">
            <v>Outras obrigações</v>
          </cell>
          <cell r="K1422">
            <v>600021</v>
          </cell>
          <cell r="L1422">
            <v>-1</v>
          </cell>
        </row>
        <row r="1423">
          <cell r="B1423" t="str">
            <v>2.1.1.10.0003</v>
          </cell>
          <cell r="C1423">
            <v>211103</v>
          </cell>
          <cell r="D1423" t="str">
            <v>Participações nos Lucros - Empregados</v>
          </cell>
          <cell r="E1423" t="str">
            <v>A</v>
          </cell>
          <cell r="H1423" t="str">
            <v>N/A</v>
          </cell>
          <cell r="I1423">
            <v>500001</v>
          </cell>
          <cell r="J1423" t="str">
            <v>Outras obrigações</v>
          </cell>
          <cell r="K1423">
            <v>600021</v>
          </cell>
          <cell r="L1423">
            <v>-1</v>
          </cell>
        </row>
        <row r="1424">
          <cell r="B1424" t="str">
            <v>2.1.1.11</v>
          </cell>
          <cell r="C1424">
            <v>211110</v>
          </cell>
          <cell r="D1424" t="str">
            <v>Provisões p/ Contingências</v>
          </cell>
          <cell r="E1424" t="str">
            <v>S</v>
          </cell>
        </row>
        <row r="1425">
          <cell r="B1425" t="str">
            <v>2.1.1.11.0001</v>
          </cell>
          <cell r="C1425">
            <v>211111</v>
          </cell>
          <cell r="D1425" t="str">
            <v>Provisão p/ Contingências Trabalhistas</v>
          </cell>
          <cell r="E1425" t="str">
            <v>A</v>
          </cell>
          <cell r="H1425" t="str">
            <v>N/A</v>
          </cell>
          <cell r="I1425">
            <v>500001</v>
          </cell>
          <cell r="J1425" t="str">
            <v>Adições/Atualizações/Reversões nas provisões para contingências</v>
          </cell>
          <cell r="K1425">
            <v>600008</v>
          </cell>
          <cell r="L1425">
            <v>-1</v>
          </cell>
        </row>
        <row r="1426">
          <cell r="B1426" t="str">
            <v>2.1.1.11.0002</v>
          </cell>
          <cell r="C1426">
            <v>211112</v>
          </cell>
          <cell r="D1426" t="str">
            <v>Provisão p/ Contingências Civeis</v>
          </cell>
          <cell r="E1426" t="str">
            <v>A</v>
          </cell>
          <cell r="H1426" t="str">
            <v>N/A</v>
          </cell>
          <cell r="I1426">
            <v>500001</v>
          </cell>
          <cell r="J1426" t="str">
            <v>Adições/Atualizações/Reversões nas provisões para contingências</v>
          </cell>
          <cell r="K1426">
            <v>600008</v>
          </cell>
          <cell r="L1426">
            <v>-1</v>
          </cell>
        </row>
        <row r="1427">
          <cell r="B1427" t="str">
            <v>2.1.1.11.0003</v>
          </cell>
          <cell r="C1427">
            <v>211113</v>
          </cell>
          <cell r="D1427" t="str">
            <v>Provisão p/ Contingências Fiscais</v>
          </cell>
          <cell r="E1427" t="str">
            <v>A</v>
          </cell>
          <cell r="H1427" t="str">
            <v>N/A</v>
          </cell>
          <cell r="I1427">
            <v>500001</v>
          </cell>
          <cell r="J1427" t="str">
            <v>Adições/Atualizações/Reversões nas provisões para contingências</v>
          </cell>
          <cell r="K1427">
            <v>600008</v>
          </cell>
          <cell r="L1427">
            <v>-1</v>
          </cell>
        </row>
        <row r="1428">
          <cell r="B1428" t="str">
            <v>2.1.1.12</v>
          </cell>
          <cell r="C1428">
            <v>211012</v>
          </cell>
          <cell r="D1428" t="str">
            <v>Convênios</v>
          </cell>
          <cell r="E1428" t="str">
            <v>S</v>
          </cell>
        </row>
        <row r="1429">
          <cell r="B1429" t="str">
            <v>2.1.1.12.0001</v>
          </cell>
          <cell r="C1429">
            <v>211121</v>
          </cell>
          <cell r="D1429" t="str">
            <v>Convênio 013 Bco. Brasil - 420.729-7</v>
          </cell>
          <cell r="E1429" t="str">
            <v>A</v>
          </cell>
          <cell r="H1429" t="str">
            <v>N/A</v>
          </cell>
          <cell r="I1429">
            <v>500001</v>
          </cell>
          <cell r="J1429" t="str">
            <v>Outras obrigações</v>
          </cell>
          <cell r="K1429">
            <v>600021</v>
          </cell>
          <cell r="L1429">
            <v>-1</v>
          </cell>
        </row>
        <row r="1430">
          <cell r="B1430" t="str">
            <v>2.1.1.12.0002</v>
          </cell>
          <cell r="C1430">
            <v>211122</v>
          </cell>
          <cell r="D1430" t="str">
            <v>Pagamentos por Conta de Convênios</v>
          </cell>
          <cell r="E1430" t="str">
            <v>A</v>
          </cell>
          <cell r="H1430" t="str">
            <v>N/A</v>
          </cell>
          <cell r="I1430">
            <v>500001</v>
          </cell>
          <cell r="J1430" t="str">
            <v>Outras obrigações</v>
          </cell>
          <cell r="K1430">
            <v>600021</v>
          </cell>
          <cell r="L1430">
            <v>-1</v>
          </cell>
        </row>
        <row r="1431">
          <cell r="B1431" t="str">
            <v>2.1.1.12.0003</v>
          </cell>
          <cell r="C1431">
            <v>211123</v>
          </cell>
          <cell r="D1431" t="str">
            <v>Convênio 022 Bco. Brasil - 420.712-2</v>
          </cell>
          <cell r="E1431" t="str">
            <v>A</v>
          </cell>
          <cell r="H1431" t="str">
            <v>N/A</v>
          </cell>
          <cell r="I1431">
            <v>500001</v>
          </cell>
          <cell r="J1431" t="str">
            <v>Outras obrigações</v>
          </cell>
          <cell r="K1431">
            <v>600021</v>
          </cell>
          <cell r="L1431">
            <v>-1</v>
          </cell>
        </row>
        <row r="1432">
          <cell r="B1432" t="str">
            <v>2.1.1.12.0004</v>
          </cell>
          <cell r="C1432">
            <v>211124</v>
          </cell>
          <cell r="D1432" t="str">
            <v>Convênio 023 Bco. Brasil - 420.713-0</v>
          </cell>
          <cell r="E1432" t="str">
            <v>A</v>
          </cell>
          <cell r="H1432" t="str">
            <v>N/A</v>
          </cell>
          <cell r="I1432">
            <v>500001</v>
          </cell>
          <cell r="J1432" t="str">
            <v>Outras obrigações</v>
          </cell>
          <cell r="K1432">
            <v>600021</v>
          </cell>
          <cell r="L1432">
            <v>-1</v>
          </cell>
        </row>
        <row r="1433">
          <cell r="B1433" t="str">
            <v>2.1.1.12.0005</v>
          </cell>
          <cell r="C1433">
            <v>211125</v>
          </cell>
          <cell r="D1433" t="str">
            <v>Convênio 024 Bco. Brasil - 420.714-9</v>
          </cell>
          <cell r="E1433" t="str">
            <v>A</v>
          </cell>
          <cell r="H1433" t="str">
            <v>N/A</v>
          </cell>
          <cell r="I1433">
            <v>500001</v>
          </cell>
          <cell r="J1433" t="str">
            <v>Outras obrigações</v>
          </cell>
          <cell r="K1433">
            <v>600021</v>
          </cell>
          <cell r="L1433">
            <v>-1</v>
          </cell>
        </row>
        <row r="1434">
          <cell r="B1434" t="str">
            <v>2.1.1.12.0006</v>
          </cell>
          <cell r="C1434">
            <v>211126</v>
          </cell>
          <cell r="D1434" t="str">
            <v>Convênio 025 Bco. Brasil - 420.715-7</v>
          </cell>
          <cell r="E1434" t="str">
            <v>A</v>
          </cell>
          <cell r="H1434" t="str">
            <v>N/A</v>
          </cell>
          <cell r="I1434">
            <v>500001</v>
          </cell>
          <cell r="J1434" t="str">
            <v>Outras obrigações</v>
          </cell>
          <cell r="K1434">
            <v>600021</v>
          </cell>
          <cell r="L1434">
            <v>-1</v>
          </cell>
        </row>
        <row r="1435">
          <cell r="B1435" t="str">
            <v>2.1.1.12.0007</v>
          </cell>
          <cell r="C1435">
            <v>211127</v>
          </cell>
          <cell r="D1435" t="str">
            <v>Convênio 026 Bco. Brasil - 420.716-5</v>
          </cell>
          <cell r="E1435" t="str">
            <v>A</v>
          </cell>
          <cell r="H1435" t="str">
            <v>N/A</v>
          </cell>
          <cell r="I1435">
            <v>500001</v>
          </cell>
          <cell r="J1435" t="str">
            <v>Outras obrigações</v>
          </cell>
          <cell r="K1435">
            <v>600021</v>
          </cell>
          <cell r="L1435">
            <v>-1</v>
          </cell>
        </row>
        <row r="1436">
          <cell r="B1436" t="str">
            <v>2.1.1.12.0008</v>
          </cell>
          <cell r="C1436">
            <v>211128</v>
          </cell>
          <cell r="D1436" t="str">
            <v>Convênio 027 Bco. Brasil - 420.718-1</v>
          </cell>
          <cell r="E1436" t="str">
            <v>A</v>
          </cell>
          <cell r="H1436" t="str">
            <v>N/A</v>
          </cell>
          <cell r="I1436">
            <v>500001</v>
          </cell>
          <cell r="J1436" t="str">
            <v>Outras obrigações</v>
          </cell>
          <cell r="K1436">
            <v>600021</v>
          </cell>
          <cell r="L1436">
            <v>-1</v>
          </cell>
        </row>
        <row r="1437">
          <cell r="B1437" t="str">
            <v>2.1.1.12.0009</v>
          </cell>
          <cell r="C1437">
            <v>211129</v>
          </cell>
          <cell r="D1437" t="str">
            <v>Convênio 028 Bco  Brasil - 420.717-3</v>
          </cell>
          <cell r="E1437" t="str">
            <v>A</v>
          </cell>
          <cell r="H1437" t="str">
            <v>N/A</v>
          </cell>
          <cell r="I1437">
            <v>500001</v>
          </cell>
          <cell r="J1437" t="str">
            <v>Outras obrigações</v>
          </cell>
          <cell r="K1437">
            <v>600021</v>
          </cell>
          <cell r="L1437">
            <v>-1</v>
          </cell>
        </row>
        <row r="1438">
          <cell r="B1438" t="str">
            <v>2.1.1.12.0010</v>
          </cell>
          <cell r="C1438">
            <v>2111210</v>
          </cell>
          <cell r="D1438" t="str">
            <v>Convênio 029 Bco. Brasil - 420.719-X</v>
          </cell>
          <cell r="E1438" t="str">
            <v>A</v>
          </cell>
          <cell r="H1438" t="str">
            <v>N/A</v>
          </cell>
          <cell r="I1438">
            <v>500001</v>
          </cell>
          <cell r="J1438" t="str">
            <v>Outras obrigações</v>
          </cell>
          <cell r="K1438">
            <v>600021</v>
          </cell>
          <cell r="L1438">
            <v>-1</v>
          </cell>
        </row>
        <row r="1439">
          <cell r="B1439" t="str">
            <v>2.1.1.12.0011</v>
          </cell>
          <cell r="C1439">
            <v>2111311</v>
          </cell>
          <cell r="D1439" t="str">
            <v>Convênio 030 Bco. Brasil - 420.720-3</v>
          </cell>
          <cell r="E1439" t="str">
            <v>A</v>
          </cell>
          <cell r="H1439" t="str">
            <v>N/A</v>
          </cell>
          <cell r="I1439">
            <v>500001</v>
          </cell>
          <cell r="J1439" t="str">
            <v>Outras obrigações</v>
          </cell>
          <cell r="K1439">
            <v>600021</v>
          </cell>
          <cell r="L1439">
            <v>-1</v>
          </cell>
        </row>
        <row r="1440">
          <cell r="B1440" t="str">
            <v>2.1.1.12.0012</v>
          </cell>
          <cell r="C1440">
            <v>2111212</v>
          </cell>
          <cell r="D1440" t="str">
            <v>Convênio 031 Bco. Brasil - 420.721-1</v>
          </cell>
          <cell r="E1440" t="str">
            <v>A</v>
          </cell>
          <cell r="H1440" t="str">
            <v>N/A</v>
          </cell>
          <cell r="I1440">
            <v>500001</v>
          </cell>
          <cell r="J1440" t="str">
            <v>Outras obrigações</v>
          </cell>
          <cell r="K1440">
            <v>600021</v>
          </cell>
          <cell r="L1440">
            <v>-1</v>
          </cell>
        </row>
        <row r="1441">
          <cell r="B1441" t="str">
            <v>2.1.1.12.0013</v>
          </cell>
          <cell r="C1441">
            <v>2111213</v>
          </cell>
          <cell r="D1441" t="str">
            <v>Convênio 032 Bco. Brasil - 420.722-X</v>
          </cell>
          <cell r="E1441" t="str">
            <v>A</v>
          </cell>
          <cell r="H1441" t="str">
            <v>N/A</v>
          </cell>
          <cell r="I1441">
            <v>500001</v>
          </cell>
          <cell r="J1441" t="str">
            <v>Outras obrigações</v>
          </cell>
          <cell r="K1441">
            <v>600021</v>
          </cell>
          <cell r="L1441">
            <v>-1</v>
          </cell>
        </row>
        <row r="1442">
          <cell r="B1442" t="str">
            <v>2.1.1.12.0014</v>
          </cell>
          <cell r="C1442">
            <v>2111214</v>
          </cell>
          <cell r="D1442" t="str">
            <v>Convênio 033 Bco. Brasil - 420.723-8</v>
          </cell>
          <cell r="E1442" t="str">
            <v>A</v>
          </cell>
          <cell r="H1442" t="str">
            <v>N/A</v>
          </cell>
          <cell r="I1442">
            <v>500001</v>
          </cell>
          <cell r="J1442" t="str">
            <v>Outras obrigações</v>
          </cell>
          <cell r="K1442">
            <v>600021</v>
          </cell>
          <cell r="L1442">
            <v>-1</v>
          </cell>
        </row>
        <row r="1443">
          <cell r="B1443" t="str">
            <v>2.1.1.12.0015</v>
          </cell>
          <cell r="C1443">
            <v>2111215</v>
          </cell>
          <cell r="D1443" t="str">
            <v>Convênio 034 Bco. Brasil - 420.724-6</v>
          </cell>
          <cell r="E1443" t="str">
            <v>A</v>
          </cell>
          <cell r="H1443" t="str">
            <v>N/A</v>
          </cell>
          <cell r="I1443">
            <v>500001</v>
          </cell>
          <cell r="J1443" t="str">
            <v>Outras obrigações</v>
          </cell>
          <cell r="K1443">
            <v>600021</v>
          </cell>
          <cell r="L1443">
            <v>-1</v>
          </cell>
        </row>
        <row r="1444">
          <cell r="B1444" t="str">
            <v>2.1.1.12.0016</v>
          </cell>
          <cell r="C1444">
            <v>2111216</v>
          </cell>
          <cell r="D1444" t="str">
            <v>Convênio 035 Bco. Brasil - 420.725-4</v>
          </cell>
          <cell r="E1444" t="str">
            <v>A</v>
          </cell>
          <cell r="H1444" t="str">
            <v>N/A</v>
          </cell>
          <cell r="I1444">
            <v>500001</v>
          </cell>
          <cell r="J1444" t="str">
            <v>Outras obrigações</v>
          </cell>
          <cell r="K1444">
            <v>600021</v>
          </cell>
          <cell r="L1444">
            <v>-1</v>
          </cell>
        </row>
        <row r="1445">
          <cell r="B1445" t="str">
            <v>2.1.1.12.0017</v>
          </cell>
          <cell r="C1445">
            <v>2111217</v>
          </cell>
          <cell r="D1445" t="str">
            <v>Convênio 036 Bco. Brasil - 420.726-2</v>
          </cell>
          <cell r="E1445" t="str">
            <v>A</v>
          </cell>
          <cell r="H1445" t="str">
            <v>N/A</v>
          </cell>
          <cell r="I1445">
            <v>500001</v>
          </cell>
          <cell r="J1445" t="str">
            <v>Outras obrigações</v>
          </cell>
          <cell r="K1445">
            <v>600021</v>
          </cell>
          <cell r="L1445">
            <v>-1</v>
          </cell>
        </row>
        <row r="1446">
          <cell r="B1446" t="str">
            <v>2.1.1.12.0018</v>
          </cell>
          <cell r="C1446">
            <v>2111218</v>
          </cell>
          <cell r="D1446" t="str">
            <v>Convênio 039 Bco. Brasil - 420.727-0</v>
          </cell>
          <cell r="E1446" t="str">
            <v>A</v>
          </cell>
          <cell r="H1446" t="str">
            <v>N/A</v>
          </cell>
          <cell r="I1446">
            <v>500001</v>
          </cell>
          <cell r="J1446" t="str">
            <v>Outras obrigações</v>
          </cell>
          <cell r="K1446">
            <v>600021</v>
          </cell>
          <cell r="L1446">
            <v>-1</v>
          </cell>
        </row>
        <row r="1447">
          <cell r="B1447" t="str">
            <v>2.1.1.13</v>
          </cell>
          <cell r="C1447">
            <v>21113</v>
          </cell>
          <cell r="D1447" t="str">
            <v>Contratos</v>
          </cell>
          <cell r="E1447" t="str">
            <v>S</v>
          </cell>
        </row>
        <row r="1448">
          <cell r="B1448" t="str">
            <v>2.1.1.13.0001</v>
          </cell>
          <cell r="C1448">
            <v>211131</v>
          </cell>
          <cell r="D1448" t="str">
            <v>Adiantamentos por Conta de Contratos</v>
          </cell>
          <cell r="E1448" t="str">
            <v>A</v>
          </cell>
          <cell r="H1448" t="str">
            <v>N/A</v>
          </cell>
          <cell r="I1448">
            <v>500001</v>
          </cell>
          <cell r="J1448" t="str">
            <v>Outras obrigações</v>
          </cell>
          <cell r="K1448">
            <v>600021</v>
          </cell>
          <cell r="L1448">
            <v>-1</v>
          </cell>
        </row>
        <row r="1449">
          <cell r="B1449" t="str">
            <v>2.1.1.13.0002</v>
          </cell>
          <cell r="C1449">
            <v>211132</v>
          </cell>
          <cell r="D1449" t="str">
            <v>RETENCÕES CONTRATUAIS</v>
          </cell>
          <cell r="E1449" t="str">
            <v>A</v>
          </cell>
          <cell r="H1449" t="str">
            <v>N/A</v>
          </cell>
          <cell r="I1449">
            <v>500001</v>
          </cell>
          <cell r="J1449" t="str">
            <v>Outras obrigações</v>
          </cell>
          <cell r="K1449">
            <v>600021</v>
          </cell>
          <cell r="L1449">
            <v>-1</v>
          </cell>
        </row>
        <row r="1450">
          <cell r="B1450" t="str">
            <v>2.1.1.14</v>
          </cell>
          <cell r="C1450">
            <v>21114</v>
          </cell>
          <cell r="D1450" t="str">
            <v>Obrigações com a Cessão de Pessoal</v>
          </cell>
          <cell r="E1450" t="str">
            <v>S</v>
          </cell>
        </row>
        <row r="1451">
          <cell r="B1451" t="str">
            <v>2.1.1.14.0001</v>
          </cell>
          <cell r="C1451">
            <v>211141</v>
          </cell>
          <cell r="D1451" t="str">
            <v>Órgãos Públicos e Empresas Estatais</v>
          </cell>
          <cell r="E1451" t="str">
            <v>A</v>
          </cell>
          <cell r="H1451" t="str">
            <v>N/A</v>
          </cell>
          <cell r="I1451">
            <v>500001</v>
          </cell>
          <cell r="J1451" t="str">
            <v>Outras obrigações</v>
          </cell>
          <cell r="K1451">
            <v>600021</v>
          </cell>
          <cell r="L1451">
            <v>-1</v>
          </cell>
        </row>
        <row r="1452">
          <cell r="B1452" t="str">
            <v>2.1.1.14.0002</v>
          </cell>
          <cell r="C1452">
            <v>211142</v>
          </cell>
          <cell r="D1452" t="str">
            <v>Obrigações com a Petrobras</v>
          </cell>
          <cell r="E1452" t="str">
            <v>A</v>
          </cell>
          <cell r="H1452" t="str">
            <v>N/A</v>
          </cell>
          <cell r="I1452">
            <v>500001</v>
          </cell>
          <cell r="J1452" t="str">
            <v>Outras obrigações</v>
          </cell>
          <cell r="K1452">
            <v>600021</v>
          </cell>
          <cell r="L1452">
            <v>-1</v>
          </cell>
        </row>
        <row r="1453">
          <cell r="B1453" t="str">
            <v>2.1.1.14.0003</v>
          </cell>
          <cell r="C1453">
            <v>211143</v>
          </cell>
          <cell r="D1453" t="str">
            <v>Obrigações com Furnas</v>
          </cell>
          <cell r="E1453" t="str">
            <v>A</v>
          </cell>
          <cell r="H1453" t="str">
            <v>N/A</v>
          </cell>
          <cell r="I1453">
            <v>500001</v>
          </cell>
          <cell r="J1453" t="str">
            <v>Outras obrigações</v>
          </cell>
          <cell r="K1453">
            <v>600021</v>
          </cell>
          <cell r="L1453">
            <v>-1</v>
          </cell>
        </row>
        <row r="1454">
          <cell r="B1454" t="str">
            <v>2.1.1.14.0004</v>
          </cell>
          <cell r="C1454">
            <v>211144</v>
          </cell>
          <cell r="D1454" t="str">
            <v>Obrigações com a Cepel</v>
          </cell>
          <cell r="E1454" t="str">
            <v>A</v>
          </cell>
          <cell r="H1454" t="str">
            <v>N/A</v>
          </cell>
          <cell r="I1454">
            <v>500001</v>
          </cell>
          <cell r="J1454" t="str">
            <v>Outras obrigações</v>
          </cell>
          <cell r="K1454">
            <v>600021</v>
          </cell>
          <cell r="L1454">
            <v>-1</v>
          </cell>
        </row>
        <row r="1455">
          <cell r="B1455" t="str">
            <v>2.1.1.14.0005</v>
          </cell>
          <cell r="C1455">
            <v>211145</v>
          </cell>
          <cell r="D1455" t="str">
            <v>Obrigações com o STJ</v>
          </cell>
          <cell r="E1455" t="str">
            <v>A</v>
          </cell>
          <cell r="H1455" t="str">
            <v>N/A</v>
          </cell>
          <cell r="I1455">
            <v>500001</v>
          </cell>
          <cell r="J1455" t="str">
            <v>Outras obrigações</v>
          </cell>
          <cell r="K1455">
            <v>600021</v>
          </cell>
          <cell r="L1455">
            <v>-1</v>
          </cell>
        </row>
        <row r="1456">
          <cell r="B1456" t="str">
            <v>2.1.1.14.0006</v>
          </cell>
          <cell r="C1456">
            <v>211146</v>
          </cell>
          <cell r="D1456" t="str">
            <v>Obrigações com a SEDES</v>
          </cell>
          <cell r="E1456" t="str">
            <v>A</v>
          </cell>
          <cell r="H1456" t="str">
            <v>N/A</v>
          </cell>
          <cell r="I1456">
            <v>500001</v>
          </cell>
          <cell r="J1456" t="str">
            <v>Outras obrigações</v>
          </cell>
          <cell r="K1456">
            <v>600021</v>
          </cell>
          <cell r="L1456">
            <v>-1</v>
          </cell>
        </row>
        <row r="1457">
          <cell r="B1457" t="str">
            <v>2.1.1.14.0007</v>
          </cell>
          <cell r="C1457">
            <v>211147</v>
          </cell>
          <cell r="D1457" t="str">
            <v>Obrigações com a USP</v>
          </cell>
          <cell r="E1457" t="str">
            <v>A</v>
          </cell>
          <cell r="H1457" t="str">
            <v>N/A</v>
          </cell>
          <cell r="I1457">
            <v>500001</v>
          </cell>
          <cell r="J1457" t="str">
            <v>Outras obrigações</v>
          </cell>
          <cell r="K1457">
            <v>600021</v>
          </cell>
          <cell r="L1457">
            <v>-1</v>
          </cell>
        </row>
        <row r="1458">
          <cell r="B1458" t="str">
            <v>2.1.1.15</v>
          </cell>
          <cell r="C1458">
            <v>21115</v>
          </cell>
          <cell r="D1458" t="str">
            <v>Previdência Privada Complementar</v>
          </cell>
          <cell r="E1458" t="str">
            <v>S</v>
          </cell>
        </row>
        <row r="1459">
          <cell r="B1459" t="str">
            <v>2.1.1.15.0001</v>
          </cell>
          <cell r="C1459">
            <v>211151</v>
          </cell>
          <cell r="D1459" t="str">
            <v>Fundação ELETROS</v>
          </cell>
          <cell r="E1459" t="str">
            <v>A</v>
          </cell>
          <cell r="H1459" t="str">
            <v>N/A</v>
          </cell>
          <cell r="I1459">
            <v>500001</v>
          </cell>
          <cell r="J1459" t="str">
            <v xml:space="preserve">Previdência Privada Complementar </v>
          </cell>
          <cell r="K1459">
            <v>600032</v>
          </cell>
          <cell r="L1459">
            <v>-1</v>
          </cell>
        </row>
        <row r="1460">
          <cell r="B1460" t="str">
            <v>2.1.1.16</v>
          </cell>
          <cell r="C1460">
            <v>21116</v>
          </cell>
          <cell r="D1460" t="str">
            <v>Arrendamento Mercantil</v>
          </cell>
          <cell r="E1460" t="str">
            <v>S</v>
          </cell>
        </row>
        <row r="1461">
          <cell r="B1461" t="str">
            <v>2.1.1.16.0001</v>
          </cell>
          <cell r="C1461">
            <v>211161</v>
          </cell>
          <cell r="D1461" t="str">
            <v>Arrendamento Imóvel - Ed. M. dos Reis - Praça Pio X</v>
          </cell>
          <cell r="E1461" t="str">
            <v>A</v>
          </cell>
          <cell r="H1461" t="str">
            <v>N/A</v>
          </cell>
          <cell r="I1461">
            <v>500001</v>
          </cell>
          <cell r="J1461" t="str">
            <v>Amortização arrendamento mercantil (CPC 06)</v>
          </cell>
          <cell r="K1461">
            <v>600026</v>
          </cell>
          <cell r="L1461">
            <v>-1</v>
          </cell>
        </row>
        <row r="1462">
          <cell r="B1462" t="str">
            <v>2.1.1.16.0002</v>
          </cell>
          <cell r="C1462">
            <v>211162</v>
          </cell>
          <cell r="D1462" t="str">
            <v>( - ) AVP - Juros a Apropriar Arrendamento Imóvel - Ed. M. dos Reis - Praça Pio X</v>
          </cell>
          <cell r="E1462" t="str">
            <v>A</v>
          </cell>
          <cell r="H1462" t="str">
            <v>N/A</v>
          </cell>
          <cell r="I1462">
            <v>500001</v>
          </cell>
          <cell r="J1462" t="str">
            <v>Ajuste a valor presente de arrendamento mercantil</v>
          </cell>
          <cell r="K1462">
            <v>600007</v>
          </cell>
          <cell r="L1462">
            <v>-1</v>
          </cell>
        </row>
        <row r="1463">
          <cell r="B1463" t="str">
            <v>2.1.1.98</v>
          </cell>
          <cell r="C1463">
            <v>21198</v>
          </cell>
          <cell r="D1463" t="str">
            <v>Parcelamentos a Pagar</v>
          </cell>
          <cell r="E1463" t="str">
            <v>S</v>
          </cell>
        </row>
        <row r="1464">
          <cell r="B1464" t="str">
            <v>2.1.1.99</v>
          </cell>
          <cell r="C1464">
            <v>21199</v>
          </cell>
          <cell r="D1464" t="str">
            <v>Outras Obrigações</v>
          </cell>
          <cell r="E1464" t="str">
            <v>S</v>
          </cell>
        </row>
        <row r="1465">
          <cell r="B1465" t="str">
            <v>2.1.1.99.0001</v>
          </cell>
          <cell r="C1465">
            <v>211991</v>
          </cell>
          <cell r="D1465" t="str">
            <v>Adiantamento de Clientes</v>
          </cell>
          <cell r="E1465" t="str">
            <v>A</v>
          </cell>
          <cell r="H1465" t="str">
            <v>N/A</v>
          </cell>
          <cell r="I1465">
            <v>500001</v>
          </cell>
          <cell r="J1465" t="str">
            <v>Outras obrigações</v>
          </cell>
          <cell r="K1465">
            <v>600021</v>
          </cell>
          <cell r="L1465">
            <v>-1</v>
          </cell>
        </row>
        <row r="1466">
          <cell r="B1466" t="str">
            <v>2.1.1.99.0002</v>
          </cell>
          <cell r="C1466">
            <v>211992</v>
          </cell>
          <cell r="D1466" t="str">
            <v>Retenções Contratuais</v>
          </cell>
          <cell r="E1466" t="str">
            <v>A</v>
          </cell>
          <cell r="H1466" t="str">
            <v>N/A</v>
          </cell>
          <cell r="I1466">
            <v>500001</v>
          </cell>
          <cell r="J1466" t="str">
            <v>Outras obrigações</v>
          </cell>
          <cell r="K1466">
            <v>600021</v>
          </cell>
          <cell r="L1466">
            <v>-1</v>
          </cell>
        </row>
        <row r="1467">
          <cell r="B1467" t="str">
            <v>2.1.1.99.0003</v>
          </cell>
          <cell r="C1467">
            <v>211993</v>
          </cell>
          <cell r="D1467" t="str">
            <v>Cauções em Garantia e Concorrências</v>
          </cell>
          <cell r="E1467" t="str">
            <v>A</v>
          </cell>
          <cell r="H1467" t="str">
            <v>N/A</v>
          </cell>
          <cell r="I1467">
            <v>500001</v>
          </cell>
          <cell r="J1467" t="str">
            <v>Outras obrigações</v>
          </cell>
          <cell r="K1467">
            <v>600021</v>
          </cell>
          <cell r="L1467">
            <v>-1</v>
          </cell>
        </row>
        <row r="1468">
          <cell r="B1468" t="str">
            <v>2.1.1.99.0004</v>
          </cell>
          <cell r="C1468">
            <v>211994</v>
          </cell>
          <cell r="D1468" t="str">
            <v>Adiantamento p/ Seminários - Patrocínios</v>
          </cell>
          <cell r="E1468" t="str">
            <v>A</v>
          </cell>
          <cell r="H1468" t="str">
            <v>N/A</v>
          </cell>
          <cell r="I1468">
            <v>500001</v>
          </cell>
          <cell r="J1468" t="str">
            <v>Outras obrigações</v>
          </cell>
          <cell r="K1468">
            <v>600021</v>
          </cell>
          <cell r="L1468">
            <v>-1</v>
          </cell>
        </row>
        <row r="1469">
          <cell r="B1469" t="str">
            <v>2.1.1.99.0005</v>
          </cell>
          <cell r="C1469">
            <v>211995</v>
          </cell>
          <cell r="D1469" t="str">
            <v>Fundação Escola Nacional de Administração Pública – ENAP</v>
          </cell>
          <cell r="E1469" t="str">
            <v>A</v>
          </cell>
          <cell r="H1469" t="str">
            <v>N/A</v>
          </cell>
          <cell r="I1469">
            <v>500001</v>
          </cell>
          <cell r="J1469" t="str">
            <v>Outras obrigações</v>
          </cell>
          <cell r="K1469">
            <v>600021</v>
          </cell>
          <cell r="L1469">
            <v>-1</v>
          </cell>
        </row>
        <row r="1470">
          <cell r="B1470" t="str">
            <v>2.1.1.99.0998</v>
          </cell>
          <cell r="C1470">
            <v>21199998</v>
          </cell>
          <cell r="D1470" t="str">
            <v>Serviços de Pessoa Física</v>
          </cell>
          <cell r="E1470" t="str">
            <v>A</v>
          </cell>
          <cell r="H1470" t="str">
            <v>N/A</v>
          </cell>
          <cell r="I1470">
            <v>500001</v>
          </cell>
          <cell r="J1470" t="str">
            <v>Outras obrigações</v>
          </cell>
          <cell r="K1470">
            <v>600021</v>
          </cell>
          <cell r="L1470">
            <v>-1</v>
          </cell>
        </row>
        <row r="1471">
          <cell r="B1471" t="str">
            <v>2.1.1.99.0999</v>
          </cell>
          <cell r="C1471">
            <v>21199999</v>
          </cell>
          <cell r="D1471" t="str">
            <v>Outras Contas a Pagar</v>
          </cell>
          <cell r="E1471" t="str">
            <v>A</v>
          </cell>
          <cell r="H1471" t="str">
            <v>N/A</v>
          </cell>
          <cell r="I1471">
            <v>500001</v>
          </cell>
          <cell r="J1471" t="str">
            <v>Outras obrigações</v>
          </cell>
          <cell r="K1471">
            <v>600021</v>
          </cell>
          <cell r="L1471">
            <v>-1</v>
          </cell>
        </row>
        <row r="1472">
          <cell r="B1472" t="str">
            <v>2.1.2</v>
          </cell>
          <cell r="C1472">
            <v>212</v>
          </cell>
          <cell r="D1472" t="str">
            <v>Passivo Assoc a Ativos Mantidos p/ Venda</v>
          </cell>
          <cell r="E1472" t="str">
            <v>S</v>
          </cell>
        </row>
        <row r="1473">
          <cell r="B1473" t="str">
            <v>2.2</v>
          </cell>
          <cell r="C1473">
            <v>22</v>
          </cell>
          <cell r="D1473" t="str">
            <v>Passivo Não Circulante</v>
          </cell>
          <cell r="E1473" t="str">
            <v>S</v>
          </cell>
        </row>
        <row r="1474">
          <cell r="B1474" t="str">
            <v>2.2.1</v>
          </cell>
          <cell r="C1474">
            <v>221</v>
          </cell>
          <cell r="D1474" t="str">
            <v>Obrigações de Longo Prazo</v>
          </cell>
          <cell r="E1474" t="str">
            <v>S</v>
          </cell>
        </row>
        <row r="1475">
          <cell r="B1475" t="str">
            <v>2.2.1.01</v>
          </cell>
          <cell r="C1475">
            <v>2211</v>
          </cell>
          <cell r="D1475" t="str">
            <v>Empréstimos e Financiamentos - Em Moeda</v>
          </cell>
          <cell r="E1475" t="str">
            <v>S</v>
          </cell>
        </row>
        <row r="1476">
          <cell r="B1476" t="str">
            <v>2.2.1.01.0001</v>
          </cell>
          <cell r="C1476">
            <v>22111</v>
          </cell>
          <cell r="D1476" t="str">
            <v>Banco do Brasil - Empréstimos</v>
          </cell>
          <cell r="E1476" t="str">
            <v>A</v>
          </cell>
          <cell r="H1476" t="str">
            <v>N/A</v>
          </cell>
          <cell r="I1476">
            <v>500001</v>
          </cell>
          <cell r="J1476" t="str">
            <v>Outras obrigações</v>
          </cell>
          <cell r="K1476">
            <v>600021</v>
          </cell>
          <cell r="L1476">
            <v>-1</v>
          </cell>
        </row>
        <row r="1477">
          <cell r="B1477" t="str">
            <v>2.2.1.01.0002</v>
          </cell>
          <cell r="C1477">
            <v>22112</v>
          </cell>
          <cell r="D1477" t="str">
            <v>Banco do Brasil - Financ.de Bens e Serv.</v>
          </cell>
          <cell r="E1477" t="str">
            <v>A</v>
          </cell>
          <cell r="H1477" t="str">
            <v>N/A</v>
          </cell>
          <cell r="I1477">
            <v>500001</v>
          </cell>
          <cell r="J1477" t="str">
            <v>Outras obrigações</v>
          </cell>
          <cell r="K1477">
            <v>600021</v>
          </cell>
          <cell r="L1477">
            <v>-1</v>
          </cell>
        </row>
        <row r="1478">
          <cell r="B1478" t="str">
            <v>2.2.1.02</v>
          </cell>
          <cell r="C1478">
            <v>2212</v>
          </cell>
          <cell r="D1478" t="str">
            <v>Empréstimos e Financiamentos - Em Moeda</v>
          </cell>
          <cell r="E1478" t="str">
            <v>S</v>
          </cell>
        </row>
        <row r="1479">
          <cell r="B1479" t="str">
            <v>2.2.1.02.0001</v>
          </cell>
          <cell r="C1479">
            <v>22121</v>
          </cell>
          <cell r="D1479" t="str">
            <v>Conversíveis em Ações</v>
          </cell>
          <cell r="E1479" t="str">
            <v>A</v>
          </cell>
          <cell r="H1479" t="str">
            <v>N/A</v>
          </cell>
          <cell r="I1479">
            <v>500001</v>
          </cell>
          <cell r="J1479" t="str">
            <v>Outras obrigações</v>
          </cell>
          <cell r="K1479">
            <v>600021</v>
          </cell>
          <cell r="L1479">
            <v>-1</v>
          </cell>
        </row>
        <row r="1480">
          <cell r="B1480" t="str">
            <v>2.2.1.02.0002</v>
          </cell>
          <cell r="C1480">
            <v>22122</v>
          </cell>
          <cell r="D1480" t="str">
            <v>Não Conversíveis em Ações</v>
          </cell>
          <cell r="E1480" t="str">
            <v>A</v>
          </cell>
          <cell r="H1480" t="str">
            <v>N/A</v>
          </cell>
          <cell r="I1480">
            <v>500001</v>
          </cell>
          <cell r="J1480" t="str">
            <v>Outras obrigações</v>
          </cell>
          <cell r="K1480">
            <v>600021</v>
          </cell>
          <cell r="L1480">
            <v>-1</v>
          </cell>
        </row>
        <row r="1481">
          <cell r="B1481" t="str">
            <v>2.2.1.03</v>
          </cell>
          <cell r="C1481">
            <v>2213</v>
          </cell>
          <cell r="D1481" t="str">
            <v>Debêntures</v>
          </cell>
          <cell r="E1481" t="str">
            <v>S</v>
          </cell>
        </row>
        <row r="1482">
          <cell r="B1482" t="str">
            <v>2.2.1.05</v>
          </cell>
          <cell r="C1482">
            <v>2215</v>
          </cell>
          <cell r="D1482" t="str">
            <v>Provisões p/ Contingências</v>
          </cell>
          <cell r="E1482" t="str">
            <v>S</v>
          </cell>
        </row>
        <row r="1483">
          <cell r="B1483" t="str">
            <v>2.2.1.05.0001</v>
          </cell>
          <cell r="C1483">
            <v>22151</v>
          </cell>
          <cell r="D1483" t="str">
            <v>Provisão p/ Contingências Trabalhistas</v>
          </cell>
          <cell r="E1483" t="str">
            <v>A</v>
          </cell>
          <cell r="H1483" t="str">
            <v>N/A</v>
          </cell>
          <cell r="I1483">
            <v>500001</v>
          </cell>
          <cell r="J1483" t="str">
            <v>Adições/Atualizações/Reversões nas provisões para contingências</v>
          </cell>
          <cell r="K1483">
            <v>600008</v>
          </cell>
          <cell r="L1483">
            <v>-1</v>
          </cell>
        </row>
        <row r="1484">
          <cell r="B1484" t="str">
            <v>2.2.1.05.0002</v>
          </cell>
          <cell r="C1484">
            <v>22152</v>
          </cell>
          <cell r="D1484" t="str">
            <v>Provisão p/ Contingências Civeis</v>
          </cell>
          <cell r="E1484" t="str">
            <v>A</v>
          </cell>
          <cell r="H1484" t="str">
            <v>N/A</v>
          </cell>
          <cell r="I1484">
            <v>500001</v>
          </cell>
          <cell r="J1484" t="str">
            <v>Adições/Atualizações/Reversões nas provisões para contingências</v>
          </cell>
          <cell r="K1484">
            <v>600008</v>
          </cell>
          <cell r="L1484">
            <v>-1</v>
          </cell>
        </row>
        <row r="1485">
          <cell r="B1485" t="str">
            <v>2.2.1.05.0003</v>
          </cell>
          <cell r="C1485">
            <v>22153</v>
          </cell>
          <cell r="D1485" t="str">
            <v>Provisão p/ Contingências Fiscais</v>
          </cell>
          <cell r="E1485" t="str">
            <v>A</v>
          </cell>
          <cell r="H1485" t="str">
            <v>N/A</v>
          </cell>
          <cell r="I1485">
            <v>500001</v>
          </cell>
          <cell r="J1485" t="str">
            <v>Adições/Atualizações/Reversões nas provisões para contingências</v>
          </cell>
          <cell r="K1485">
            <v>600008</v>
          </cell>
          <cell r="L1485">
            <v>-1</v>
          </cell>
        </row>
        <row r="1486">
          <cell r="B1486" t="str">
            <v>2.2.1.05.0004</v>
          </cell>
          <cell r="C1486">
            <v>22154</v>
          </cell>
          <cell r="D1486" t="str">
            <v>Provisões p/ Contingências Processo Administrativo</v>
          </cell>
          <cell r="E1486" t="str">
            <v>A</v>
          </cell>
          <cell r="H1486" t="str">
            <v>N/A</v>
          </cell>
          <cell r="I1486">
            <v>500001</v>
          </cell>
          <cell r="J1486" t="str">
            <v>Adições/Atualizações/Reversões nas provisões para contingências</v>
          </cell>
          <cell r="K1486">
            <v>600008</v>
          </cell>
          <cell r="L1486">
            <v>-1</v>
          </cell>
        </row>
        <row r="1487">
          <cell r="B1487" t="str">
            <v>2.2.1.06</v>
          </cell>
          <cell r="C1487">
            <v>2216</v>
          </cell>
          <cell r="D1487" t="str">
            <v>Previdência Privada Complementar</v>
          </cell>
          <cell r="E1487" t="str">
            <v>S</v>
          </cell>
        </row>
        <row r="1488">
          <cell r="B1488" t="str">
            <v>2.2.1.06.0001</v>
          </cell>
          <cell r="C1488">
            <v>22161</v>
          </cell>
          <cell r="D1488" t="str">
            <v>Fundação ELETROS</v>
          </cell>
          <cell r="E1488" t="str">
            <v>A</v>
          </cell>
          <cell r="H1488" t="str">
            <v>N/A</v>
          </cell>
          <cell r="I1488">
            <v>500001</v>
          </cell>
          <cell r="J1488" t="str">
            <v>Outras obrigações</v>
          </cell>
          <cell r="K1488">
            <v>600021</v>
          </cell>
          <cell r="L1488">
            <v>-1</v>
          </cell>
        </row>
        <row r="1489">
          <cell r="B1489" t="str">
            <v>2.2.1.07</v>
          </cell>
          <cell r="C1489">
            <v>2217</v>
          </cell>
          <cell r="D1489" t="str">
            <v>Adiantamento p/Futuro Aumento de Capital</v>
          </cell>
          <cell r="E1489" t="str">
            <v>S</v>
          </cell>
        </row>
        <row r="1490">
          <cell r="B1490" t="str">
            <v>2.2.1.07.0001</v>
          </cell>
          <cell r="C1490">
            <v>22171</v>
          </cell>
          <cell r="D1490" t="str">
            <v>Adiantamento p/Futuro Aumento de Capital</v>
          </cell>
          <cell r="E1490" t="str">
            <v>A</v>
          </cell>
          <cell r="H1490" t="str">
            <v>N/A</v>
          </cell>
          <cell r="I1490">
            <v>500001</v>
          </cell>
          <cell r="J1490" t="str">
            <v>Adiant. p/ Futuro Aumento de Capital</v>
          </cell>
          <cell r="K1490">
            <v>600028</v>
          </cell>
          <cell r="L1490">
            <v>-1</v>
          </cell>
        </row>
        <row r="1491">
          <cell r="B1491" t="str">
            <v>2.2.1.08</v>
          </cell>
          <cell r="C1491">
            <v>2218</v>
          </cell>
          <cell r="D1491" t="str">
            <v>Arrendamento Mercantil</v>
          </cell>
          <cell r="E1491" t="str">
            <v>S</v>
          </cell>
        </row>
        <row r="1492">
          <cell r="B1492" t="str">
            <v>2.2.1.08.0001</v>
          </cell>
          <cell r="C1492">
            <v>22181</v>
          </cell>
          <cell r="D1492" t="str">
            <v>Arrendamento Imóvel - Ed. M. dos Reis - Praça Pio X</v>
          </cell>
          <cell r="E1492" t="str">
            <v>A</v>
          </cell>
          <cell r="H1492" t="str">
            <v>N/A</v>
          </cell>
          <cell r="I1492">
            <v>500001</v>
          </cell>
          <cell r="J1492" t="str">
            <v>Amortização arrendamento mercantil (CPC 06)</v>
          </cell>
          <cell r="K1492">
            <v>600026</v>
          </cell>
          <cell r="L1492">
            <v>-1</v>
          </cell>
        </row>
        <row r="1493">
          <cell r="B1493" t="str">
            <v>2.2.1.08.0002</v>
          </cell>
          <cell r="C1493">
            <v>22182</v>
          </cell>
          <cell r="D1493" t="str">
            <v>( - ) AVP - Juros a Apropriar - Arrendamento Imóvel - Ed. M. dos Reis - Praça Pio X</v>
          </cell>
          <cell r="E1493" t="str">
            <v>A</v>
          </cell>
          <cell r="H1493" t="str">
            <v>N/A</v>
          </cell>
          <cell r="I1493">
            <v>500001</v>
          </cell>
          <cell r="J1493" t="str">
            <v>Ajuste a valor presente de arrendamento mercantil</v>
          </cell>
          <cell r="K1493">
            <v>600007</v>
          </cell>
          <cell r="L1493">
            <v>-1</v>
          </cell>
        </row>
        <row r="1494">
          <cell r="B1494" t="str">
            <v>2.2.1.98</v>
          </cell>
          <cell r="C1494">
            <v>22198</v>
          </cell>
          <cell r="D1494" t="str">
            <v>Parcelamentos a Pagar</v>
          </cell>
          <cell r="E1494" t="str">
            <v>S</v>
          </cell>
        </row>
        <row r="1495">
          <cell r="B1495" t="str">
            <v>2.2.1.99</v>
          </cell>
          <cell r="C1495">
            <v>22199</v>
          </cell>
          <cell r="D1495" t="str">
            <v>Outras Passivos Exigível a Longo Prazo</v>
          </cell>
          <cell r="E1495" t="str">
            <v>S</v>
          </cell>
        </row>
        <row r="1496">
          <cell r="B1496" t="str">
            <v>2.2.1.99.0001</v>
          </cell>
          <cell r="C1496">
            <v>221991</v>
          </cell>
          <cell r="D1496" t="str">
            <v>IRPJ Diferido</v>
          </cell>
          <cell r="E1496" t="str">
            <v>A</v>
          </cell>
          <cell r="H1496" t="str">
            <v>N/A</v>
          </cell>
          <cell r="I1496">
            <v>500001</v>
          </cell>
          <cell r="J1496" t="str">
            <v>Obrigações tributárias</v>
          </cell>
          <cell r="K1496">
            <v>600018</v>
          </cell>
          <cell r="L1496">
            <v>-1</v>
          </cell>
        </row>
        <row r="1497">
          <cell r="B1497" t="str">
            <v>2.2.1.99.0002</v>
          </cell>
          <cell r="C1497">
            <v>221992</v>
          </cell>
          <cell r="D1497" t="str">
            <v>CSLL Diferido</v>
          </cell>
          <cell r="E1497" t="str">
            <v>A</v>
          </cell>
          <cell r="H1497" t="str">
            <v>N/A</v>
          </cell>
          <cell r="I1497">
            <v>500001</v>
          </cell>
          <cell r="J1497" t="str">
            <v>Obrigações tributárias</v>
          </cell>
          <cell r="K1497">
            <v>600018</v>
          </cell>
          <cell r="L1497">
            <v>-1</v>
          </cell>
        </row>
        <row r="1498">
          <cell r="B1498" t="str">
            <v>2.3</v>
          </cell>
          <cell r="C1498">
            <v>23</v>
          </cell>
          <cell r="D1498" t="str">
            <v>Resultados de Exercícios Futuros</v>
          </cell>
          <cell r="E1498" t="str">
            <v>S</v>
          </cell>
        </row>
        <row r="1499">
          <cell r="B1499" t="str">
            <v>2.4</v>
          </cell>
          <cell r="C1499" t="str">
            <v>PL</v>
          </cell>
          <cell r="D1499" t="str">
            <v>Patrimônio Líquido</v>
          </cell>
          <cell r="E1499" t="str">
            <v>S</v>
          </cell>
        </row>
        <row r="1500">
          <cell r="B1500" t="str">
            <v>2.4.1</v>
          </cell>
          <cell r="C1500">
            <v>241</v>
          </cell>
          <cell r="D1500" t="str">
            <v>Capital Social</v>
          </cell>
          <cell r="E1500" t="str">
            <v>S</v>
          </cell>
        </row>
        <row r="1501">
          <cell r="B1501" t="str">
            <v>2.4.1.01</v>
          </cell>
          <cell r="C1501">
            <v>2411</v>
          </cell>
          <cell r="D1501" t="str">
            <v>Capital Subscrito</v>
          </cell>
          <cell r="E1501" t="str">
            <v>S</v>
          </cell>
        </row>
        <row r="1502">
          <cell r="B1502" t="str">
            <v>2.4.1.01.0001</v>
          </cell>
          <cell r="C1502">
            <v>24111</v>
          </cell>
          <cell r="D1502" t="str">
            <v>Capital Subscrito</v>
          </cell>
          <cell r="E1502" t="str">
            <v>A</v>
          </cell>
          <cell r="H1502" t="str">
            <v>N/A</v>
          </cell>
          <cell r="I1502">
            <v>500001</v>
          </cell>
          <cell r="J1502" t="str">
            <v>Adiant. p/ Futuro Aumento de Capital</v>
          </cell>
          <cell r="K1502">
            <v>600028</v>
          </cell>
          <cell r="L1502">
            <v>-1</v>
          </cell>
        </row>
        <row r="1503">
          <cell r="B1503" t="str">
            <v>2.4.1.02</v>
          </cell>
          <cell r="C1503">
            <v>2412</v>
          </cell>
          <cell r="D1503" t="str">
            <v>(-) Capital a Integralizar</v>
          </cell>
          <cell r="E1503" t="str">
            <v>S</v>
          </cell>
        </row>
        <row r="1504">
          <cell r="B1504" t="str">
            <v>2.4.1.02.0001</v>
          </cell>
          <cell r="C1504">
            <v>24121</v>
          </cell>
          <cell r="D1504" t="str">
            <v>(-) Capital a Integralizar</v>
          </cell>
          <cell r="E1504" t="str">
            <v>A</v>
          </cell>
          <cell r="H1504" t="str">
            <v>N/A</v>
          </cell>
          <cell r="I1504">
            <v>500001</v>
          </cell>
          <cell r="J1504" t="str">
            <v>Adiant. p/ Futuro Aumento de Capital</v>
          </cell>
          <cell r="K1504">
            <v>600028</v>
          </cell>
          <cell r="L1504">
            <v>-1</v>
          </cell>
        </row>
        <row r="1505">
          <cell r="B1505" t="str">
            <v>2.4.2</v>
          </cell>
          <cell r="C1505">
            <v>242</v>
          </cell>
          <cell r="D1505" t="str">
            <v>Reservas de Lucros</v>
          </cell>
          <cell r="E1505" t="str">
            <v>S</v>
          </cell>
        </row>
        <row r="1506">
          <cell r="B1506" t="str">
            <v>2.4.2.01</v>
          </cell>
          <cell r="C1506">
            <v>2421</v>
          </cell>
          <cell r="D1506" t="str">
            <v>Reserva Legal</v>
          </cell>
          <cell r="E1506" t="str">
            <v>S</v>
          </cell>
        </row>
        <row r="1507">
          <cell r="B1507" t="str">
            <v>2.4.2.01.0001</v>
          </cell>
          <cell r="C1507">
            <v>24211</v>
          </cell>
          <cell r="D1507" t="str">
            <v>Reserva Legal</v>
          </cell>
          <cell r="E1507" t="str">
            <v>A</v>
          </cell>
          <cell r="H1507" t="str">
            <v>N/A</v>
          </cell>
          <cell r="I1507">
            <v>500001</v>
          </cell>
          <cell r="J1507" t="str">
            <v>Outras obrigações</v>
          </cell>
          <cell r="K1507">
            <v>600021</v>
          </cell>
          <cell r="L1507">
            <v>-1</v>
          </cell>
        </row>
        <row r="1508">
          <cell r="B1508" t="str">
            <v>2.4.2.02</v>
          </cell>
          <cell r="C1508">
            <v>2422</v>
          </cell>
          <cell r="D1508" t="str">
            <v>Reservas Estatutárias</v>
          </cell>
          <cell r="E1508" t="str">
            <v>S</v>
          </cell>
        </row>
        <row r="1509">
          <cell r="B1509" t="str">
            <v>2.4.2.03</v>
          </cell>
          <cell r="C1509">
            <v>2423</v>
          </cell>
          <cell r="D1509" t="str">
            <v>Reservas p/ Contingências</v>
          </cell>
          <cell r="E1509" t="str">
            <v>S</v>
          </cell>
        </row>
        <row r="1510">
          <cell r="B1510" t="str">
            <v>2.4.2.04</v>
          </cell>
          <cell r="C1510">
            <v>2424</v>
          </cell>
          <cell r="D1510" t="str">
            <v>Reserva de Lucros para Investimento</v>
          </cell>
          <cell r="E1510" t="str">
            <v>S</v>
          </cell>
        </row>
        <row r="1511">
          <cell r="B1511" t="str">
            <v>2.4.2.04.0001</v>
          </cell>
          <cell r="C1511">
            <v>24241</v>
          </cell>
          <cell r="D1511" t="str">
            <v>Reserva de Lucros para Investimento</v>
          </cell>
          <cell r="E1511" t="str">
            <v>A</v>
          </cell>
          <cell r="H1511" t="str">
            <v>N/A</v>
          </cell>
          <cell r="I1511">
            <v>500001</v>
          </cell>
          <cell r="J1511" t="str">
            <v>Outras obrigações</v>
          </cell>
          <cell r="K1511">
            <v>600021</v>
          </cell>
          <cell r="L1511">
            <v>-1</v>
          </cell>
        </row>
        <row r="1512">
          <cell r="B1512" t="str">
            <v>2.4.2.05</v>
          </cell>
          <cell r="C1512">
            <v>2425</v>
          </cell>
          <cell r="D1512" t="str">
            <v>Dividendo Adicional Proposto</v>
          </cell>
          <cell r="E1512" t="str">
            <v>S</v>
          </cell>
        </row>
        <row r="1513">
          <cell r="B1513" t="str">
            <v>2.4.2.05.0001</v>
          </cell>
          <cell r="C1513">
            <v>24251</v>
          </cell>
          <cell r="D1513" t="str">
            <v>Dividendo Adicional Proposto</v>
          </cell>
          <cell r="E1513" t="str">
            <v>A</v>
          </cell>
          <cell r="H1513" t="str">
            <v>N/A</v>
          </cell>
          <cell r="I1513">
            <v>500001</v>
          </cell>
          <cell r="J1513" t="str">
            <v>Outras obrigações</v>
          </cell>
          <cell r="K1513">
            <v>600021</v>
          </cell>
          <cell r="L1513">
            <v>-1</v>
          </cell>
        </row>
        <row r="1514">
          <cell r="B1514" t="str">
            <v>2.4.2.07</v>
          </cell>
          <cell r="C1514">
            <v>2427</v>
          </cell>
          <cell r="D1514" t="str">
            <v>Reserva Especial p/ Dividendos</v>
          </cell>
          <cell r="E1514" t="str">
            <v>S</v>
          </cell>
        </row>
        <row r="1515">
          <cell r="B1515" t="str">
            <v>2.4.2.07.0001</v>
          </cell>
          <cell r="C1515">
            <v>24271</v>
          </cell>
          <cell r="D1515" t="str">
            <v>Reserva Especial p/ Dividendos</v>
          </cell>
          <cell r="E1515" t="str">
            <v>A</v>
          </cell>
          <cell r="H1515" t="str">
            <v>N/A</v>
          </cell>
          <cell r="I1515">
            <v>500001</v>
          </cell>
          <cell r="J1515" t="str">
            <v>Outras obrigações</v>
          </cell>
          <cell r="K1515">
            <v>600021</v>
          </cell>
          <cell r="L1515">
            <v>-1</v>
          </cell>
        </row>
        <row r="1516">
          <cell r="B1516" t="str">
            <v>2.4.3</v>
          </cell>
          <cell r="C1516">
            <v>243</v>
          </cell>
          <cell r="D1516" t="str">
            <v>Aj de av.patrimonial</v>
          </cell>
          <cell r="E1516" t="str">
            <v>S</v>
          </cell>
        </row>
        <row r="1517">
          <cell r="B1517" t="str">
            <v>2.4.3.01</v>
          </cell>
          <cell r="C1517">
            <v>2431</v>
          </cell>
          <cell r="D1517" t="str">
            <v>Aj. de av. patrimonial</v>
          </cell>
          <cell r="E1517" t="str">
            <v>S</v>
          </cell>
        </row>
        <row r="1518">
          <cell r="B1518" t="str">
            <v>2.4.3.01.0001</v>
          </cell>
          <cell r="C1518">
            <v>24311</v>
          </cell>
          <cell r="D1518" t="str">
            <v>Aj.de av. patrimonial</v>
          </cell>
          <cell r="E1518" t="str">
            <v>A</v>
          </cell>
          <cell r="H1518" t="str">
            <v>N/A</v>
          </cell>
          <cell r="I1518">
            <v>500001</v>
          </cell>
          <cell r="J1518" t="str">
            <v>Outras obrigações</v>
          </cell>
          <cell r="K1518">
            <v>600021</v>
          </cell>
          <cell r="L1518">
            <v>-1</v>
          </cell>
        </row>
        <row r="1519">
          <cell r="B1519" t="str">
            <v>2.4.4</v>
          </cell>
          <cell r="C1519">
            <v>244</v>
          </cell>
          <cell r="D1519" t="str">
            <v>Reservas de Capital</v>
          </cell>
          <cell r="E1519" t="str">
            <v>S</v>
          </cell>
        </row>
        <row r="1520">
          <cell r="B1520" t="str">
            <v>2.4.4.01</v>
          </cell>
          <cell r="C1520">
            <v>2441</v>
          </cell>
          <cell r="D1520" t="str">
            <v>Ágio</v>
          </cell>
          <cell r="E1520" t="str">
            <v>S</v>
          </cell>
        </row>
        <row r="1521">
          <cell r="B1521" t="str">
            <v>2.4.5</v>
          </cell>
          <cell r="C1521">
            <v>245</v>
          </cell>
          <cell r="D1521" t="str">
            <v>Ações em Tesouraria</v>
          </cell>
          <cell r="E1521" t="str">
            <v>S</v>
          </cell>
        </row>
        <row r="1522">
          <cell r="B1522" t="str">
            <v>2.4.6</v>
          </cell>
          <cell r="C1522">
            <v>246</v>
          </cell>
          <cell r="D1522" t="str">
            <v>Lucros ou Prejuízos Acumulados</v>
          </cell>
          <cell r="E1522" t="str">
            <v>S</v>
          </cell>
        </row>
        <row r="1523">
          <cell r="B1523" t="str">
            <v>2.4.6.01</v>
          </cell>
          <cell r="C1523">
            <v>24601</v>
          </cell>
          <cell r="D1523" t="str">
            <v>Lucros Acumulados</v>
          </cell>
          <cell r="E1523" t="str">
            <v>S</v>
          </cell>
        </row>
        <row r="1524">
          <cell r="B1524" t="str">
            <v>2.4.6.01.0001</v>
          </cell>
          <cell r="C1524">
            <v>24611</v>
          </cell>
          <cell r="D1524" t="str">
            <v>Lucros Acumulados</v>
          </cell>
          <cell r="E1524" t="str">
            <v>A</v>
          </cell>
          <cell r="H1524" t="str">
            <v>N/A</v>
          </cell>
          <cell r="I1524">
            <v>500001</v>
          </cell>
          <cell r="J1524" t="str">
            <v>Resultado do Exercício</v>
          </cell>
          <cell r="K1524">
            <v>600002</v>
          </cell>
          <cell r="L1524">
            <v>-1</v>
          </cell>
        </row>
        <row r="1525">
          <cell r="B1525" t="str">
            <v>2.4.6.01.0002</v>
          </cell>
          <cell r="C1525">
            <v>24612</v>
          </cell>
          <cell r="D1525" t="str">
            <v>Lucros Acumulados - Ajust Exerc Ant</v>
          </cell>
          <cell r="E1525" t="str">
            <v>A</v>
          </cell>
          <cell r="H1525" t="str">
            <v>N/A</v>
          </cell>
          <cell r="I1525">
            <v>500001</v>
          </cell>
          <cell r="J1525" t="str">
            <v>Resultado do Exercício</v>
          </cell>
          <cell r="K1525">
            <v>600002</v>
          </cell>
          <cell r="L1525">
            <v>-1</v>
          </cell>
        </row>
        <row r="1526">
          <cell r="B1526" t="str">
            <v>2.4.6.01.0003</v>
          </cell>
          <cell r="C1526">
            <v>24613</v>
          </cell>
          <cell r="D1526" t="str">
            <v>Lucros Acumulados - DMO</v>
          </cell>
          <cell r="E1526" t="str">
            <v>A</v>
          </cell>
          <cell r="H1526" t="str">
            <v>N/A</v>
          </cell>
          <cell r="I1526">
            <v>500001</v>
          </cell>
          <cell r="J1526" t="str">
            <v>Resultado do Exercício</v>
          </cell>
          <cell r="K1526">
            <v>600002</v>
          </cell>
          <cell r="L1526">
            <v>-1</v>
          </cell>
        </row>
        <row r="1527">
          <cell r="B1527" t="str">
            <v>2.4.6.02</v>
          </cell>
          <cell r="C1527">
            <v>2462</v>
          </cell>
          <cell r="D1527" t="str">
            <v>(-) Prejuízos Acumulados</v>
          </cell>
          <cell r="E1527" t="str">
            <v>S</v>
          </cell>
        </row>
        <row r="1528">
          <cell r="B1528" t="str">
            <v>2.4.6.02.0001</v>
          </cell>
          <cell r="C1528">
            <v>24621</v>
          </cell>
          <cell r="D1528" t="str">
            <v>(-) Prejuízo Acumulado de 2005</v>
          </cell>
          <cell r="E1528" t="str">
            <v>A</v>
          </cell>
          <cell r="H1528" t="str">
            <v>N/A</v>
          </cell>
          <cell r="I1528">
            <v>500001</v>
          </cell>
          <cell r="J1528" t="str">
            <v>Resultado do Exercício</v>
          </cell>
          <cell r="K1528">
            <v>600002</v>
          </cell>
          <cell r="L1528">
            <v>-1</v>
          </cell>
        </row>
        <row r="1529">
          <cell r="B1529" t="str">
            <v>2.4.6.02.0002</v>
          </cell>
          <cell r="C1529">
            <v>24622</v>
          </cell>
          <cell r="D1529" t="str">
            <v>(-) Prejuízo Acumulado</v>
          </cell>
          <cell r="E1529" t="str">
            <v>A</v>
          </cell>
          <cell r="H1529" t="str">
            <v>N/A</v>
          </cell>
          <cell r="I1529">
            <v>500001</v>
          </cell>
          <cell r="J1529" t="str">
            <v>Resultado do Exercício</v>
          </cell>
          <cell r="K1529">
            <v>600002</v>
          </cell>
          <cell r="L1529">
            <v>-1</v>
          </cell>
        </row>
        <row r="1530">
          <cell r="B1530" t="str">
            <v>2.4.6.02.0003</v>
          </cell>
          <cell r="C1530">
            <v>24623</v>
          </cell>
          <cell r="D1530" t="str">
            <v>(-) Prejuízo Acumulado de 2009</v>
          </cell>
          <cell r="E1530" t="str">
            <v>A</v>
          </cell>
          <cell r="H1530" t="str">
            <v>N/A</v>
          </cell>
          <cell r="I1530">
            <v>500001</v>
          </cell>
          <cell r="J1530" t="str">
            <v>Resultado do Exercício</v>
          </cell>
          <cell r="K1530">
            <v>600002</v>
          </cell>
          <cell r="L1530">
            <v>-1</v>
          </cell>
        </row>
        <row r="1531">
          <cell r="B1531" t="str">
            <v>2.4.6.02.0004</v>
          </cell>
          <cell r="C1531">
            <v>24624</v>
          </cell>
          <cell r="D1531" t="str">
            <v>(-) Prejuízo Acumulado - Ajust Exerc Ant</v>
          </cell>
          <cell r="E1531" t="str">
            <v>A</v>
          </cell>
          <cell r="H1531" t="str">
            <v>N/A</v>
          </cell>
          <cell r="I1531">
            <v>500001</v>
          </cell>
          <cell r="J1531" t="str">
            <v>Ajustes retrospectivos</v>
          </cell>
          <cell r="K1531">
            <v>600004</v>
          </cell>
          <cell r="L1531">
            <v>-1</v>
          </cell>
        </row>
        <row r="1532">
          <cell r="B1532" t="str">
            <v>2.4.6.03</v>
          </cell>
          <cell r="C1532">
            <v>2463</v>
          </cell>
          <cell r="D1532" t="str">
            <v>Ajustes de Exercícios Anteriores</v>
          </cell>
          <cell r="E1532" t="str">
            <v>S</v>
          </cell>
        </row>
        <row r="1533">
          <cell r="B1533" t="str">
            <v>2.4.6.03.0001</v>
          </cell>
          <cell r="C1533">
            <v>24631</v>
          </cell>
          <cell r="D1533" t="str">
            <v>Lucros Acumulados Ajustes Exerc. Ant.</v>
          </cell>
          <cell r="E1533" t="str">
            <v>A</v>
          </cell>
          <cell r="H1533" t="str">
            <v>N/A</v>
          </cell>
          <cell r="I1533">
            <v>500001</v>
          </cell>
          <cell r="J1533" t="str">
            <v>Ajustes retrospectivos</v>
          </cell>
          <cell r="K1533">
            <v>600004</v>
          </cell>
          <cell r="L1533">
            <v>-1</v>
          </cell>
        </row>
        <row r="1534">
          <cell r="B1534" t="str">
            <v>2.4.6.03.0002</v>
          </cell>
          <cell r="C1534">
            <v>24632</v>
          </cell>
          <cell r="D1534" t="str">
            <v>Prejuízos Acumulados Ajustes Exerc. Ant.</v>
          </cell>
          <cell r="E1534" t="str">
            <v>A</v>
          </cell>
          <cell r="H1534" t="str">
            <v>N/A</v>
          </cell>
          <cell r="I1534">
            <v>500001</v>
          </cell>
          <cell r="J1534" t="str">
            <v>Ajustes retrospectivos</v>
          </cell>
          <cell r="K1534">
            <v>600004</v>
          </cell>
          <cell r="L1534">
            <v>-1</v>
          </cell>
        </row>
        <row r="1535">
          <cell r="B1535" t="str">
            <v>2.4.6.99</v>
          </cell>
          <cell r="C1535">
            <v>24699</v>
          </cell>
          <cell r="D1535" t="str">
            <v>Resultado do Exercício</v>
          </cell>
          <cell r="E1535" t="str">
            <v>S</v>
          </cell>
        </row>
        <row r="1536">
          <cell r="B1536" t="str">
            <v>2.4.6.99.0001</v>
          </cell>
          <cell r="C1536">
            <v>246991</v>
          </cell>
          <cell r="D1536" t="str">
            <v>Resultado do Exercício</v>
          </cell>
          <cell r="E1536" t="str">
            <v>A</v>
          </cell>
          <cell r="H1536" t="str">
            <v>N/A</v>
          </cell>
          <cell r="I1536">
            <v>500001</v>
          </cell>
          <cell r="J1536" t="str">
            <v>Resultado do Exercício</v>
          </cell>
          <cell r="K1536">
            <v>600002</v>
          </cell>
          <cell r="L1536">
            <v>-1</v>
          </cell>
        </row>
        <row r="1537">
          <cell r="B1537" t="str">
            <v>2.4.7</v>
          </cell>
          <cell r="C1537">
            <v>247</v>
          </cell>
          <cell r="D1537" t="str">
            <v>Adiantamento p/Futuro Aumento de Capital</v>
          </cell>
          <cell r="E1537" t="str">
            <v>S</v>
          </cell>
        </row>
        <row r="1538">
          <cell r="B1538" t="str">
            <v>2.4.7.01</v>
          </cell>
          <cell r="C1538">
            <v>2471</v>
          </cell>
          <cell r="D1538" t="str">
            <v>Adiantamento p/Futuro Aumento de Capital</v>
          </cell>
          <cell r="E1538" t="str">
            <v>S</v>
          </cell>
        </row>
        <row r="1539">
          <cell r="B1539" t="str">
            <v>2.4.7.01.0001</v>
          </cell>
          <cell r="C1539">
            <v>24711</v>
          </cell>
          <cell r="D1539" t="str">
            <v>Adiantamento p/Futuro Aumento de Capital</v>
          </cell>
          <cell r="E1539" t="str">
            <v>A</v>
          </cell>
          <cell r="H1539" t="str">
            <v>N/A</v>
          </cell>
          <cell r="I1539">
            <v>500001</v>
          </cell>
          <cell r="J1539" t="str">
            <v>Adiant. p/ Futuro Aumento de Capital</v>
          </cell>
          <cell r="K1539">
            <v>600028</v>
          </cell>
          <cell r="L1539">
            <v>-1</v>
          </cell>
        </row>
        <row r="1540">
          <cell r="B1540" t="str">
            <v>2.4.8</v>
          </cell>
          <cell r="C1540">
            <v>248</v>
          </cell>
          <cell r="D1540" t="str">
            <v>Ajustes de Exercícios Anteriores</v>
          </cell>
          <cell r="E1540" t="str">
            <v>S</v>
          </cell>
        </row>
        <row r="1541">
          <cell r="B1541" t="str">
            <v>2.4.8.01</v>
          </cell>
          <cell r="C1541">
            <v>2481</v>
          </cell>
          <cell r="D1541" t="str">
            <v>Ajustes Exercícios Anteriores</v>
          </cell>
          <cell r="E1541" t="str">
            <v>S</v>
          </cell>
        </row>
        <row r="1542">
          <cell r="B1542" t="str">
            <v>2.4.9</v>
          </cell>
          <cell r="C1542">
            <v>249</v>
          </cell>
          <cell r="D1542" t="str">
            <v>Outros Resultados Abrangentes</v>
          </cell>
          <cell r="E1542" t="str">
            <v>S</v>
          </cell>
        </row>
        <row r="1543">
          <cell r="B1543" t="str">
            <v>2.4.9.01</v>
          </cell>
          <cell r="C1543">
            <v>2491</v>
          </cell>
          <cell r="D1543" t="str">
            <v>Outros Resultados Abrangentes</v>
          </cell>
          <cell r="E1543" t="str">
            <v>S</v>
          </cell>
        </row>
        <row r="1544">
          <cell r="B1544">
            <v>3</v>
          </cell>
          <cell r="C1544">
            <v>3</v>
          </cell>
          <cell r="D1544" t="str">
            <v>Receitas</v>
          </cell>
          <cell r="E1544" t="str">
            <v>S</v>
          </cell>
        </row>
        <row r="1545">
          <cell r="B1545" t="str">
            <v>3.1</v>
          </cell>
          <cell r="C1545">
            <v>31</v>
          </cell>
          <cell r="D1545" t="str">
            <v>Subsídios Públicos</v>
          </cell>
          <cell r="E1545" t="str">
            <v>S</v>
          </cell>
        </row>
        <row r="1546">
          <cell r="B1546" t="str">
            <v>3.1.1</v>
          </cell>
          <cell r="C1546">
            <v>311</v>
          </cell>
          <cell r="D1546" t="str">
            <v>Subsídios do Tesouro Nacional</v>
          </cell>
          <cell r="E1546" t="str">
            <v>S</v>
          </cell>
        </row>
        <row r="1547">
          <cell r="B1547" t="str">
            <v>3.1.1.01</v>
          </cell>
          <cell r="C1547">
            <v>3111</v>
          </cell>
          <cell r="D1547" t="str">
            <v>Subsídios do Tesouro Nacional</v>
          </cell>
          <cell r="E1547" t="str">
            <v>S</v>
          </cell>
        </row>
        <row r="1548">
          <cell r="B1548" t="str">
            <v>3.1.1.01.0001</v>
          </cell>
          <cell r="C1548">
            <v>31111</v>
          </cell>
          <cell r="D1548" t="str">
            <v>Recursos Recebidos do Tesouro Nacional</v>
          </cell>
          <cell r="E1548" t="str">
            <v>A</v>
          </cell>
          <cell r="H1548" t="str">
            <v>Subsídios Públicos</v>
          </cell>
          <cell r="I1548">
            <v>500002</v>
          </cell>
          <cell r="J1548" t="str">
            <v>Ajuste de Reclassificação - Recebimento de Subvenções</v>
          </cell>
          <cell r="K1548">
            <v>600003</v>
          </cell>
          <cell r="L1548">
            <v>1</v>
          </cell>
        </row>
        <row r="1549">
          <cell r="B1549" t="str">
            <v>3.2</v>
          </cell>
          <cell r="C1549">
            <v>32</v>
          </cell>
          <cell r="D1549" t="str">
            <v>Receitas Operacionais</v>
          </cell>
          <cell r="E1549" t="str">
            <v>S</v>
          </cell>
        </row>
        <row r="1550">
          <cell r="B1550" t="str">
            <v>3.2.1</v>
          </cell>
          <cell r="C1550">
            <v>321</v>
          </cell>
          <cell r="D1550" t="str">
            <v>Receitas de Prestações de Serviços</v>
          </cell>
          <cell r="E1550" t="str">
            <v>S</v>
          </cell>
        </row>
        <row r="1551">
          <cell r="B1551" t="str">
            <v>3.2.1.01</v>
          </cell>
          <cell r="C1551">
            <v>3211</v>
          </cell>
          <cell r="D1551" t="str">
            <v>Prestação de Serviços a Órgãos Públicos</v>
          </cell>
          <cell r="E1551" t="str">
            <v>S</v>
          </cell>
        </row>
        <row r="1552">
          <cell r="B1552" t="str">
            <v>3.2.1.01.0001</v>
          </cell>
          <cell r="C1552">
            <v>32111</v>
          </cell>
          <cell r="D1552" t="str">
            <v>Rec. Serv. Prest. a Órgãos Públicos</v>
          </cell>
          <cell r="E1552" t="str">
            <v>A</v>
          </cell>
          <cell r="H1552" t="str">
            <v>Outras Receitas</v>
          </cell>
          <cell r="I1552">
            <v>500003</v>
          </cell>
          <cell r="J1552" t="str">
            <v>N/A</v>
          </cell>
          <cell r="K1552">
            <v>600001</v>
          </cell>
          <cell r="L1552">
            <v>0</v>
          </cell>
        </row>
        <row r="1553">
          <cell r="B1553" t="str">
            <v>3.2.1.02</v>
          </cell>
          <cell r="C1553">
            <v>3212</v>
          </cell>
          <cell r="D1553" t="str">
            <v>Prestação Serviços a Empresas Estatais</v>
          </cell>
          <cell r="E1553" t="str">
            <v>S</v>
          </cell>
        </row>
        <row r="1554">
          <cell r="B1554" t="str">
            <v>3.2.1.02.0001</v>
          </cell>
          <cell r="C1554">
            <v>32121</v>
          </cell>
          <cell r="D1554" t="str">
            <v>Rec. Serv. Prest. a Empresas Estatais</v>
          </cell>
          <cell r="E1554" t="str">
            <v>A</v>
          </cell>
          <cell r="H1554" t="str">
            <v>Outras Receitas</v>
          </cell>
          <cell r="I1554">
            <v>500003</v>
          </cell>
          <cell r="J1554" t="str">
            <v>N/A</v>
          </cell>
          <cell r="K1554">
            <v>600001</v>
          </cell>
          <cell r="L1554">
            <v>0</v>
          </cell>
        </row>
        <row r="1555">
          <cell r="B1555" t="str">
            <v>3.2.1.03</v>
          </cell>
          <cell r="C1555">
            <v>3213</v>
          </cell>
          <cell r="D1555" t="str">
            <v>Prestação Serviços a Empresas Privadas</v>
          </cell>
          <cell r="E1555" t="str">
            <v>S</v>
          </cell>
        </row>
        <row r="1556">
          <cell r="B1556" t="str">
            <v>3.2.1.03.0001</v>
          </cell>
          <cell r="C1556">
            <v>32131</v>
          </cell>
          <cell r="D1556" t="str">
            <v>Rec. Serv. Prest. a Empresas Privadas</v>
          </cell>
          <cell r="E1556" t="str">
            <v>A</v>
          </cell>
          <cell r="H1556" t="str">
            <v>Outras Receitas</v>
          </cell>
          <cell r="I1556">
            <v>500003</v>
          </cell>
          <cell r="J1556" t="str">
            <v>N/A</v>
          </cell>
          <cell r="K1556">
            <v>600001</v>
          </cell>
          <cell r="L1556">
            <v>0</v>
          </cell>
        </row>
        <row r="1557">
          <cell r="B1557" t="str">
            <v>3.2.2</v>
          </cell>
          <cell r="C1557">
            <v>322</v>
          </cell>
          <cell r="D1557" t="str">
            <v>(-) Deduções da Receita Bruta</v>
          </cell>
          <cell r="E1557" t="str">
            <v>S</v>
          </cell>
        </row>
        <row r="1558">
          <cell r="B1558" t="str">
            <v>3.2.2.01</v>
          </cell>
          <cell r="C1558">
            <v>3221</v>
          </cell>
          <cell r="D1558" t="str">
            <v>(-) Tributos Incidentes s/ Vendas</v>
          </cell>
          <cell r="E1558" t="str">
            <v>S</v>
          </cell>
        </row>
        <row r="1559">
          <cell r="B1559" t="str">
            <v>3.2.2.01.0001</v>
          </cell>
          <cell r="C1559">
            <v>32211</v>
          </cell>
          <cell r="D1559" t="str">
            <v>ISS</v>
          </cell>
          <cell r="E1559" t="str">
            <v>A</v>
          </cell>
          <cell r="H1559" t="str">
            <v xml:space="preserve">Municipais </v>
          </cell>
          <cell r="I1559">
            <v>500014</v>
          </cell>
          <cell r="J1559" t="str">
            <v>N/A</v>
          </cell>
          <cell r="K1559">
            <v>600001</v>
          </cell>
          <cell r="L1559">
            <v>0</v>
          </cell>
        </row>
        <row r="1560">
          <cell r="B1560" t="str">
            <v>3.2.2.01.0002</v>
          </cell>
          <cell r="C1560">
            <v>32212</v>
          </cell>
          <cell r="D1560" t="str">
            <v>PASEP</v>
          </cell>
          <cell r="E1560" t="str">
            <v>A</v>
          </cell>
          <cell r="H1560" t="str">
            <v>Federais (inclui a contribuição previdenciária e sindical)</v>
          </cell>
          <cell r="I1560">
            <v>500012</v>
          </cell>
          <cell r="J1560" t="str">
            <v>N/A</v>
          </cell>
          <cell r="K1560">
            <v>600001</v>
          </cell>
          <cell r="L1560">
            <v>0</v>
          </cell>
        </row>
        <row r="1561">
          <cell r="B1561" t="str">
            <v>3.2.2.01.0003</v>
          </cell>
          <cell r="C1561">
            <v>32213</v>
          </cell>
          <cell r="D1561" t="str">
            <v>COFINS</v>
          </cell>
          <cell r="E1561" t="str">
            <v>A</v>
          </cell>
          <cell r="H1561" t="str">
            <v>Federais (inclui a contribuição previdenciária e sindical)</v>
          </cell>
          <cell r="I1561">
            <v>500012</v>
          </cell>
          <cell r="J1561" t="str">
            <v>N/A</v>
          </cell>
          <cell r="K1561">
            <v>600001</v>
          </cell>
          <cell r="L1561">
            <v>0</v>
          </cell>
        </row>
        <row r="1562">
          <cell r="B1562" t="str">
            <v>3.2.2.02</v>
          </cell>
          <cell r="C1562">
            <v>3222</v>
          </cell>
          <cell r="D1562" t="str">
            <v>(-) Abatimentos e Devoluções</v>
          </cell>
          <cell r="E1562" t="str">
            <v>S</v>
          </cell>
        </row>
        <row r="1563">
          <cell r="B1563" t="str">
            <v>3.2.3</v>
          </cell>
          <cell r="C1563">
            <v>323</v>
          </cell>
          <cell r="D1563" t="str">
            <v>Receitas de Vendas de Mercadorias</v>
          </cell>
          <cell r="E1563" t="str">
            <v>S</v>
          </cell>
        </row>
        <row r="1564">
          <cell r="B1564" t="str">
            <v>3.2.3.01</v>
          </cell>
          <cell r="C1564">
            <v>32301</v>
          </cell>
          <cell r="D1564" t="str">
            <v>Venda de Livros Técnicos</v>
          </cell>
          <cell r="E1564" t="str">
            <v>S</v>
          </cell>
        </row>
        <row r="1565">
          <cell r="B1565" t="str">
            <v>3.2.3.01.0001</v>
          </cell>
          <cell r="C1565">
            <v>32311</v>
          </cell>
          <cell r="D1565" t="str">
            <v>Venda a Órgãos Públicos e Empresas Estat</v>
          </cell>
          <cell r="E1565" t="str">
            <v>A</v>
          </cell>
          <cell r="H1565" t="str">
            <v>Outras Receitas</v>
          </cell>
          <cell r="I1565">
            <v>500003</v>
          </cell>
          <cell r="J1565" t="str">
            <v>N/A</v>
          </cell>
          <cell r="K1565">
            <v>600001</v>
          </cell>
          <cell r="L1565">
            <v>0</v>
          </cell>
        </row>
        <row r="1566">
          <cell r="B1566" t="str">
            <v>3.2.3.01.0002</v>
          </cell>
          <cell r="C1566">
            <v>32312</v>
          </cell>
          <cell r="D1566" t="str">
            <v>Venda a Empresas Privadas</v>
          </cell>
          <cell r="E1566" t="str">
            <v>A</v>
          </cell>
          <cell r="H1566" t="str">
            <v>Outras Receitas</v>
          </cell>
          <cell r="I1566">
            <v>500003</v>
          </cell>
          <cell r="J1566" t="str">
            <v>N/A</v>
          </cell>
          <cell r="K1566">
            <v>600001</v>
          </cell>
          <cell r="L1566">
            <v>0</v>
          </cell>
        </row>
        <row r="1567">
          <cell r="B1567" t="str">
            <v>3.2.3.01.0003</v>
          </cell>
          <cell r="C1567">
            <v>32313</v>
          </cell>
          <cell r="D1567" t="str">
            <v>Venda a Pessoas Físicas</v>
          </cell>
          <cell r="E1567" t="str">
            <v>A</v>
          </cell>
          <cell r="H1567" t="str">
            <v>Outras Receitas</v>
          </cell>
          <cell r="I1567">
            <v>500003</v>
          </cell>
          <cell r="J1567" t="str">
            <v>N/A</v>
          </cell>
          <cell r="K1567">
            <v>600001</v>
          </cell>
          <cell r="L1567">
            <v>0</v>
          </cell>
        </row>
        <row r="1568">
          <cell r="B1568" t="str">
            <v>3.3</v>
          </cell>
          <cell r="C1568">
            <v>33</v>
          </cell>
          <cell r="D1568" t="str">
            <v>Outras Receitas Operacionais</v>
          </cell>
          <cell r="E1568" t="str">
            <v>S</v>
          </cell>
        </row>
        <row r="1569">
          <cell r="B1569" t="str">
            <v>3.3.1</v>
          </cell>
          <cell r="C1569">
            <v>331</v>
          </cell>
          <cell r="D1569" t="str">
            <v>Receitas Financeiras</v>
          </cell>
          <cell r="E1569" t="str">
            <v>S</v>
          </cell>
        </row>
        <row r="1570">
          <cell r="B1570" t="str">
            <v>3.3.1.01</v>
          </cell>
          <cell r="C1570">
            <v>3311</v>
          </cell>
          <cell r="D1570" t="str">
            <v>Receitas Financ./ Prest. de Serviços</v>
          </cell>
          <cell r="E1570" t="str">
            <v>S</v>
          </cell>
        </row>
        <row r="1571">
          <cell r="B1571" t="str">
            <v>3.3.1.01.0001</v>
          </cell>
          <cell r="C1571">
            <v>33111</v>
          </cell>
          <cell r="D1571" t="str">
            <v>Rendas de Juros Moratórios</v>
          </cell>
          <cell r="E1571" t="str">
            <v>A</v>
          </cell>
          <cell r="H1571" t="str">
            <v>Receitas Financeiras</v>
          </cell>
          <cell r="I1571">
            <v>500006</v>
          </cell>
          <cell r="J1571" t="str">
            <v>N/A</v>
          </cell>
          <cell r="K1571">
            <v>600001</v>
          </cell>
          <cell r="L1571">
            <v>0</v>
          </cell>
        </row>
        <row r="1572">
          <cell r="B1572" t="str">
            <v>3.3.1.01.0002</v>
          </cell>
          <cell r="C1572">
            <v>33112</v>
          </cell>
          <cell r="D1572" t="str">
            <v>Rendas de Multas Aplicadas</v>
          </cell>
          <cell r="E1572" t="str">
            <v>A</v>
          </cell>
          <cell r="H1572" t="str">
            <v>Receitas Financeiras</v>
          </cell>
          <cell r="I1572">
            <v>500006</v>
          </cell>
          <cell r="J1572" t="str">
            <v>N/A</v>
          </cell>
          <cell r="K1572">
            <v>600001</v>
          </cell>
          <cell r="L1572">
            <v>0</v>
          </cell>
        </row>
        <row r="1573">
          <cell r="B1573" t="str">
            <v>3.3.1.01.0003</v>
          </cell>
          <cell r="C1573">
            <v>33113</v>
          </cell>
          <cell r="D1573" t="str">
            <v>Rendas de Variações Monetárias</v>
          </cell>
          <cell r="E1573" t="str">
            <v>A</v>
          </cell>
          <cell r="H1573" t="str">
            <v>Receitas Financeiras</v>
          </cell>
          <cell r="I1573">
            <v>500006</v>
          </cell>
          <cell r="J1573" t="str">
            <v>N/A</v>
          </cell>
          <cell r="K1573">
            <v>600001</v>
          </cell>
          <cell r="L1573">
            <v>0</v>
          </cell>
        </row>
        <row r="1574">
          <cell r="B1574" t="str">
            <v>3.3.1.01.0004</v>
          </cell>
          <cell r="C1574">
            <v>33114</v>
          </cell>
          <cell r="D1574" t="str">
            <v>Descontos Obtidos</v>
          </cell>
          <cell r="E1574" t="str">
            <v>A</v>
          </cell>
          <cell r="H1574" t="str">
            <v>Receitas Financeiras</v>
          </cell>
          <cell r="I1574">
            <v>500006</v>
          </cell>
          <cell r="J1574" t="str">
            <v>N/A</v>
          </cell>
          <cell r="K1574">
            <v>600001</v>
          </cell>
          <cell r="L1574">
            <v>0</v>
          </cell>
        </row>
        <row r="1575">
          <cell r="B1575" t="str">
            <v>3.3.1.01.0005</v>
          </cell>
          <cell r="C1575">
            <v>33115</v>
          </cell>
          <cell r="D1575" t="str">
            <v>Variações Monetárias(Dep.Jud.)</v>
          </cell>
          <cell r="E1575" t="str">
            <v>A</v>
          </cell>
          <cell r="H1575" t="str">
            <v>Receitas Financeiras</v>
          </cell>
          <cell r="I1575">
            <v>500006</v>
          </cell>
          <cell r="J1575" t="str">
            <v>N/A</v>
          </cell>
          <cell r="K1575">
            <v>600001</v>
          </cell>
          <cell r="L1575">
            <v>0</v>
          </cell>
        </row>
        <row r="1576">
          <cell r="B1576" t="str">
            <v>3.3.1.01.0006</v>
          </cell>
          <cell r="C1576">
            <v>33116</v>
          </cell>
          <cell r="D1576" t="str">
            <v>Variações Monetárias(Imp. a Rec)</v>
          </cell>
          <cell r="E1576" t="str">
            <v>A</v>
          </cell>
          <cell r="H1576" t="str">
            <v>Receitas Financeiras</v>
          </cell>
          <cell r="I1576">
            <v>500006</v>
          </cell>
          <cell r="J1576" t="str">
            <v>N/A</v>
          </cell>
          <cell r="K1576">
            <v>600001</v>
          </cell>
          <cell r="L1576">
            <v>0</v>
          </cell>
        </row>
        <row r="1577">
          <cell r="B1577" t="str">
            <v>3.3.1.01.0007</v>
          </cell>
          <cell r="C1577">
            <v>33117</v>
          </cell>
          <cell r="D1577" t="str">
            <v>Variações Monetárias(Reem. ANEEL)</v>
          </cell>
          <cell r="E1577" t="str">
            <v>A</v>
          </cell>
          <cell r="H1577" t="str">
            <v>Receitas Financeiras</v>
          </cell>
          <cell r="I1577">
            <v>500006</v>
          </cell>
          <cell r="J1577" t="str">
            <v>N/A</v>
          </cell>
          <cell r="K1577">
            <v>600001</v>
          </cell>
          <cell r="L1577">
            <v>0</v>
          </cell>
        </row>
        <row r="1578">
          <cell r="B1578" t="str">
            <v>3.3.1.01.0999</v>
          </cell>
          <cell r="C1578">
            <v>3311999</v>
          </cell>
          <cell r="D1578" t="str">
            <v>Outras Rendas</v>
          </cell>
          <cell r="E1578" t="str">
            <v>A</v>
          </cell>
          <cell r="H1578" t="str">
            <v>Receitas Financeiras</v>
          </cell>
          <cell r="I1578">
            <v>500006</v>
          </cell>
          <cell r="J1578" t="str">
            <v>N/A</v>
          </cell>
          <cell r="K1578">
            <v>600001</v>
          </cell>
          <cell r="L1578">
            <v>0</v>
          </cell>
        </row>
        <row r="1579">
          <cell r="B1579" t="str">
            <v>3.3.1.02</v>
          </cell>
          <cell r="C1579">
            <v>3312</v>
          </cell>
          <cell r="D1579" t="str">
            <v>Receitas s/ Transações Bancárias</v>
          </cell>
          <cell r="E1579" t="str">
            <v>S</v>
          </cell>
        </row>
        <row r="1580">
          <cell r="B1580" t="str">
            <v>3.3.1.02.0001</v>
          </cell>
          <cell r="C1580">
            <v>33121</v>
          </cell>
          <cell r="D1580" t="str">
            <v>Rendas de Aplicações Financeiras</v>
          </cell>
          <cell r="E1580" t="str">
            <v>A</v>
          </cell>
          <cell r="H1580" t="str">
            <v>Receitas Financeiras</v>
          </cell>
          <cell r="I1580">
            <v>500006</v>
          </cell>
          <cell r="J1580" t="str">
            <v>N/A</v>
          </cell>
          <cell r="K1580">
            <v>600001</v>
          </cell>
          <cell r="L1580">
            <v>0</v>
          </cell>
        </row>
        <row r="1581">
          <cell r="B1581" t="str">
            <v>3.3.1.02.0999</v>
          </cell>
          <cell r="C1581">
            <v>3312999</v>
          </cell>
          <cell r="D1581" t="str">
            <v>Outras Rendas</v>
          </cell>
          <cell r="E1581" t="str">
            <v>A</v>
          </cell>
          <cell r="H1581" t="str">
            <v>Receitas Financeiras</v>
          </cell>
          <cell r="I1581">
            <v>500006</v>
          </cell>
          <cell r="J1581" t="str">
            <v>N/A</v>
          </cell>
          <cell r="K1581">
            <v>600001</v>
          </cell>
          <cell r="L1581">
            <v>0</v>
          </cell>
        </row>
        <row r="1582">
          <cell r="B1582" t="str">
            <v>3.3.1.03</v>
          </cell>
          <cell r="C1582">
            <v>3313</v>
          </cell>
          <cell r="D1582" t="str">
            <v>Receitas de Títulos e Valores Mobiliário</v>
          </cell>
          <cell r="E1582" t="str">
            <v>S</v>
          </cell>
        </row>
        <row r="1583">
          <cell r="B1583" t="str">
            <v>3.3.1.03.0001</v>
          </cell>
          <cell r="C1583">
            <v>33131</v>
          </cell>
          <cell r="D1583" t="str">
            <v>Lucro na Venda de Ações</v>
          </cell>
          <cell r="E1583" t="str">
            <v>A</v>
          </cell>
          <cell r="H1583" t="str">
            <v>Receitas Financeiras</v>
          </cell>
          <cell r="I1583">
            <v>500006</v>
          </cell>
          <cell r="J1583" t="str">
            <v>N/A</v>
          </cell>
          <cell r="K1583">
            <v>600001</v>
          </cell>
          <cell r="L1583">
            <v>0</v>
          </cell>
        </row>
        <row r="1584">
          <cell r="B1584" t="str">
            <v>3.3.1.03.0002</v>
          </cell>
          <cell r="C1584">
            <v>33132</v>
          </cell>
          <cell r="D1584" t="str">
            <v>Divid. e Juros s/ Cap. Próprio Recebidos</v>
          </cell>
          <cell r="E1584" t="str">
            <v>A</v>
          </cell>
          <cell r="H1584" t="str">
            <v>Receitas Financeiras</v>
          </cell>
          <cell r="I1584">
            <v>500006</v>
          </cell>
          <cell r="J1584" t="str">
            <v>N/A</v>
          </cell>
          <cell r="K1584">
            <v>600001</v>
          </cell>
          <cell r="L1584">
            <v>0</v>
          </cell>
        </row>
        <row r="1585">
          <cell r="B1585" t="str">
            <v>3.3.1.05</v>
          </cell>
          <cell r="C1585">
            <v>33105</v>
          </cell>
          <cell r="D1585" t="str">
            <v>Atualização Monetária – Créd. Tributário</v>
          </cell>
          <cell r="E1585" t="str">
            <v>S</v>
          </cell>
        </row>
        <row r="1586">
          <cell r="B1586" t="str">
            <v>3.3.1.05.0001</v>
          </cell>
          <cell r="C1586">
            <v>33151</v>
          </cell>
          <cell r="D1586" t="str">
            <v>Tributos a Recup ou Compens – Federais</v>
          </cell>
          <cell r="E1586" t="str">
            <v>A</v>
          </cell>
          <cell r="H1586" t="str">
            <v>Receitas Financeiras</v>
          </cell>
          <cell r="I1586">
            <v>500006</v>
          </cell>
          <cell r="J1586" t="str">
            <v>N/A</v>
          </cell>
          <cell r="K1586">
            <v>600001</v>
          </cell>
          <cell r="L1586">
            <v>0</v>
          </cell>
        </row>
        <row r="1587">
          <cell r="B1587" t="str">
            <v>3.3.1.05.0002</v>
          </cell>
          <cell r="C1587">
            <v>33152</v>
          </cell>
          <cell r="D1587" t="str">
            <v>Tributos a Recup ou Compens – Estaduais</v>
          </cell>
          <cell r="E1587" t="str">
            <v>A</v>
          </cell>
          <cell r="H1587" t="str">
            <v>Receitas Financeiras</v>
          </cell>
          <cell r="I1587">
            <v>500006</v>
          </cell>
          <cell r="J1587" t="str">
            <v>N/A</v>
          </cell>
          <cell r="K1587">
            <v>600001</v>
          </cell>
          <cell r="L1587">
            <v>0</v>
          </cell>
        </row>
        <row r="1588">
          <cell r="B1588" t="str">
            <v>3.3.1.05.0003</v>
          </cell>
          <cell r="C1588">
            <v>33153</v>
          </cell>
          <cell r="D1588" t="str">
            <v>Tributos a Recup ou Compens – Municipais</v>
          </cell>
          <cell r="E1588" t="str">
            <v>A</v>
          </cell>
          <cell r="H1588" t="str">
            <v>Receitas Financeiras</v>
          </cell>
          <cell r="I1588">
            <v>500006</v>
          </cell>
          <cell r="J1588" t="str">
            <v>N/A</v>
          </cell>
          <cell r="K1588">
            <v>600001</v>
          </cell>
          <cell r="L1588">
            <v>0</v>
          </cell>
        </row>
        <row r="1589">
          <cell r="B1589" t="str">
            <v>3.3.1.99</v>
          </cell>
          <cell r="C1589">
            <v>33199</v>
          </cell>
          <cell r="D1589" t="str">
            <v>Outras Receitas Financeiras</v>
          </cell>
          <cell r="E1589" t="str">
            <v>S</v>
          </cell>
        </row>
        <row r="1590">
          <cell r="B1590" t="str">
            <v>3.3.1.99.0999</v>
          </cell>
          <cell r="C1590">
            <v>331999</v>
          </cell>
          <cell r="D1590" t="str">
            <v>Outras Receitas Financeiras</v>
          </cell>
          <cell r="E1590" t="str">
            <v>A</v>
          </cell>
          <cell r="H1590" t="str">
            <v>Receitas Financeiras</v>
          </cell>
          <cell r="I1590">
            <v>500006</v>
          </cell>
          <cell r="J1590" t="str">
            <v>N/A</v>
          </cell>
          <cell r="K1590">
            <v>600001</v>
          </cell>
          <cell r="L1590">
            <v>0</v>
          </cell>
        </row>
        <row r="1591">
          <cell r="B1591" t="str">
            <v>3.3.2</v>
          </cell>
          <cell r="C1591">
            <v>332</v>
          </cell>
          <cell r="D1591" t="str">
            <v>Reembolso de Custos e Despesas</v>
          </cell>
          <cell r="E1591" t="str">
            <v>S</v>
          </cell>
        </row>
        <row r="1592">
          <cell r="B1592" t="str">
            <v>3.3.2.01</v>
          </cell>
          <cell r="C1592">
            <v>3321</v>
          </cell>
          <cell r="D1592" t="str">
            <v>Reversão de Custos e Despesas</v>
          </cell>
          <cell r="E1592" t="str">
            <v>S</v>
          </cell>
        </row>
        <row r="1593">
          <cell r="B1593" t="str">
            <v>3.3.2.01.0001</v>
          </cell>
          <cell r="C1593">
            <v>33211</v>
          </cell>
          <cell r="D1593" t="str">
            <v>Leilões ANEEL – Geração de Energia</v>
          </cell>
          <cell r="E1593" t="str">
            <v>A</v>
          </cell>
          <cell r="H1593" t="str">
            <v>Outras Receitas</v>
          </cell>
          <cell r="I1593">
            <v>500003</v>
          </cell>
          <cell r="J1593" t="str">
            <v>N/A</v>
          </cell>
          <cell r="K1593">
            <v>600001</v>
          </cell>
          <cell r="L1593">
            <v>0</v>
          </cell>
        </row>
        <row r="1594">
          <cell r="B1594" t="str">
            <v>3.3.2.01.0002</v>
          </cell>
          <cell r="C1594">
            <v>33212</v>
          </cell>
          <cell r="D1594" t="str">
            <v>Leilões ANEEL – Transmissão de Energia</v>
          </cell>
          <cell r="E1594" t="str">
            <v>A</v>
          </cell>
          <cell r="H1594" t="str">
            <v>Outras Receitas</v>
          </cell>
          <cell r="I1594">
            <v>500003</v>
          </cell>
          <cell r="J1594" t="str">
            <v>N/A</v>
          </cell>
          <cell r="K1594">
            <v>600001</v>
          </cell>
          <cell r="L1594">
            <v>0</v>
          </cell>
        </row>
        <row r="1595">
          <cell r="B1595" t="str">
            <v>3.3.2.01.0003</v>
          </cell>
          <cell r="C1595">
            <v>33213</v>
          </cell>
          <cell r="D1595" t="str">
            <v>Recuperação de Despesa e Custo</v>
          </cell>
          <cell r="E1595" t="str">
            <v>A</v>
          </cell>
          <cell r="H1595" t="str">
            <v>Outras Receitas</v>
          </cell>
          <cell r="I1595">
            <v>500003</v>
          </cell>
          <cell r="J1595" t="str">
            <v>N/A</v>
          </cell>
          <cell r="K1595">
            <v>600001</v>
          </cell>
          <cell r="L1595">
            <v>0</v>
          </cell>
        </row>
        <row r="1596">
          <cell r="B1596" t="str">
            <v>3.3.6</v>
          </cell>
          <cell r="C1596">
            <v>336</v>
          </cell>
          <cell r="D1596" t="str">
            <v>Reversão de Provisões</v>
          </cell>
          <cell r="E1596" t="str">
            <v>S</v>
          </cell>
        </row>
        <row r="1597">
          <cell r="B1597" t="str">
            <v>3.3.6.01</v>
          </cell>
          <cell r="C1597">
            <v>3361</v>
          </cell>
          <cell r="D1597" t="str">
            <v>Reversão de Provisões - Contingência</v>
          </cell>
          <cell r="E1597" t="str">
            <v>S</v>
          </cell>
        </row>
        <row r="1598">
          <cell r="B1598" t="str">
            <v>3.3.6.01.0001</v>
          </cell>
          <cell r="C1598">
            <v>33611</v>
          </cell>
          <cell r="D1598" t="str">
            <v>Contingência Trabalhistas</v>
          </cell>
          <cell r="E1598" t="str">
            <v>A</v>
          </cell>
          <cell r="H1598" t="str">
            <v>Outras Receitas</v>
          </cell>
          <cell r="I1598">
            <v>500003</v>
          </cell>
          <cell r="J1598" t="str">
            <v>N/A</v>
          </cell>
          <cell r="K1598">
            <v>600001</v>
          </cell>
          <cell r="L1598">
            <v>0</v>
          </cell>
        </row>
        <row r="1599">
          <cell r="B1599" t="str">
            <v>3.3.6.01.0002</v>
          </cell>
          <cell r="C1599">
            <v>33612</v>
          </cell>
          <cell r="D1599" t="str">
            <v>Contingência Civis</v>
          </cell>
          <cell r="E1599" t="str">
            <v>A</v>
          </cell>
          <cell r="H1599" t="str">
            <v>Outras Receitas</v>
          </cell>
          <cell r="I1599">
            <v>500003</v>
          </cell>
          <cell r="J1599" t="str">
            <v>N/A</v>
          </cell>
          <cell r="K1599">
            <v>600001</v>
          </cell>
          <cell r="L1599">
            <v>0</v>
          </cell>
        </row>
        <row r="1600">
          <cell r="B1600" t="str">
            <v>3.3.6.01.0003</v>
          </cell>
          <cell r="C1600">
            <v>33613</v>
          </cell>
          <cell r="D1600" t="str">
            <v>Contingência Fiscais</v>
          </cell>
          <cell r="E1600" t="str">
            <v>A</v>
          </cell>
          <cell r="H1600" t="str">
            <v>Outras Receitas</v>
          </cell>
          <cell r="I1600">
            <v>500003</v>
          </cell>
          <cell r="J1600" t="str">
            <v>N/A</v>
          </cell>
          <cell r="K1600">
            <v>600001</v>
          </cell>
          <cell r="L1600">
            <v>0</v>
          </cell>
        </row>
        <row r="1601">
          <cell r="B1601" t="str">
            <v>3.3.6.01.0004</v>
          </cell>
          <cell r="C1601">
            <v>33614</v>
          </cell>
          <cell r="D1601" t="str">
            <v>Reversão Variação Monetária Contingências</v>
          </cell>
          <cell r="E1601" t="str">
            <v>A</v>
          </cell>
          <cell r="H1601" t="str">
            <v>Reversão de Custos e Despesas</v>
          </cell>
          <cell r="I1601">
            <v>500007</v>
          </cell>
          <cell r="J1601" t="str">
            <v>N/A</v>
          </cell>
          <cell r="K1601">
            <v>600001</v>
          </cell>
          <cell r="L1601">
            <v>0</v>
          </cell>
        </row>
        <row r="1602">
          <cell r="B1602" t="str">
            <v>3.3.6.02</v>
          </cell>
          <cell r="C1602">
            <v>3362</v>
          </cell>
          <cell r="D1602" t="str">
            <v>Reversão de Devedores Duvidosos</v>
          </cell>
          <cell r="E1602" t="str">
            <v>S</v>
          </cell>
        </row>
        <row r="1603">
          <cell r="B1603" t="str">
            <v>3.3.9</v>
          </cell>
          <cell r="C1603">
            <v>339</v>
          </cell>
          <cell r="D1603" t="str">
            <v>Outras Receitas</v>
          </cell>
          <cell r="E1603" t="str">
            <v>S</v>
          </cell>
        </row>
        <row r="1604">
          <cell r="B1604" t="str">
            <v>3.3.9.01</v>
          </cell>
          <cell r="C1604">
            <v>3391</v>
          </cell>
          <cell r="D1604" t="str">
            <v>Receitas Alienação do Permanente</v>
          </cell>
          <cell r="E1604" t="str">
            <v>S</v>
          </cell>
        </row>
        <row r="1605">
          <cell r="B1605" t="str">
            <v>3.3.9.01.0001</v>
          </cell>
          <cell r="C1605">
            <v>33911</v>
          </cell>
          <cell r="D1605" t="str">
            <v>Ganho Alienação - Investimentos</v>
          </cell>
          <cell r="E1605" t="str">
            <v>A</v>
          </cell>
          <cell r="H1605" t="str">
            <v>Outras Receitas</v>
          </cell>
          <cell r="I1605">
            <v>500003</v>
          </cell>
          <cell r="J1605" t="str">
            <v>N/A</v>
          </cell>
          <cell r="K1605">
            <v>600001</v>
          </cell>
          <cell r="L1605">
            <v>0</v>
          </cell>
        </row>
        <row r="1606">
          <cell r="B1606" t="str">
            <v>3.3.9.01.0002</v>
          </cell>
          <cell r="C1606">
            <v>33912</v>
          </cell>
          <cell r="D1606" t="str">
            <v>Ganho Alienação - Imobilizado</v>
          </cell>
          <cell r="E1606" t="str">
            <v>A</v>
          </cell>
          <cell r="H1606" t="str">
            <v>Outras Receitas</v>
          </cell>
          <cell r="I1606">
            <v>500003</v>
          </cell>
          <cell r="J1606" t="str">
            <v>N/A</v>
          </cell>
          <cell r="K1606">
            <v>600001</v>
          </cell>
          <cell r="L1606">
            <v>0</v>
          </cell>
        </row>
        <row r="1607">
          <cell r="B1607" t="str">
            <v>3.3.9.01.0003</v>
          </cell>
          <cell r="C1607">
            <v>33913</v>
          </cell>
          <cell r="D1607" t="str">
            <v>Ganho Alienação - Intangível</v>
          </cell>
          <cell r="E1607" t="str">
            <v>A</v>
          </cell>
          <cell r="H1607" t="str">
            <v>Outras Receitas</v>
          </cell>
          <cell r="I1607">
            <v>500003</v>
          </cell>
          <cell r="J1607" t="str">
            <v>N/A</v>
          </cell>
          <cell r="K1607">
            <v>600001</v>
          </cell>
          <cell r="L1607">
            <v>0</v>
          </cell>
        </row>
        <row r="1608">
          <cell r="B1608" t="str">
            <v>3.3.9.02</v>
          </cell>
          <cell r="C1608">
            <v>3392</v>
          </cell>
          <cell r="D1608" t="str">
            <v>Receitas com Doações</v>
          </cell>
          <cell r="E1608" t="str">
            <v>S</v>
          </cell>
        </row>
        <row r="1609">
          <cell r="B1609" t="str">
            <v>3.3.9.02.0001</v>
          </cell>
          <cell r="C1609">
            <v>33921</v>
          </cell>
          <cell r="D1609" t="str">
            <v>Doações Recebidas</v>
          </cell>
          <cell r="E1609" t="str">
            <v>A</v>
          </cell>
          <cell r="H1609" t="str">
            <v>Outras Receitas</v>
          </cell>
          <cell r="I1609">
            <v>500003</v>
          </cell>
          <cell r="J1609" t="str">
            <v>N/A</v>
          </cell>
          <cell r="K1609">
            <v>600001</v>
          </cell>
          <cell r="L1609">
            <v>0</v>
          </cell>
        </row>
        <row r="1610">
          <cell r="B1610" t="str">
            <v>3.3.9.03</v>
          </cell>
          <cell r="C1610">
            <v>3393</v>
          </cell>
          <cell r="D1610" t="str">
            <v>Reversão de Custos/Despesas</v>
          </cell>
          <cell r="E1610" t="str">
            <v>S</v>
          </cell>
        </row>
        <row r="1611">
          <cell r="B1611" t="str">
            <v>3.3.9.03.0001</v>
          </cell>
          <cell r="C1611">
            <v>33931</v>
          </cell>
          <cell r="D1611" t="str">
            <v>Recuperação de Despesa e Custo</v>
          </cell>
          <cell r="E1611" t="str">
            <v>A</v>
          </cell>
          <cell r="H1611" t="str">
            <v>Outras Receitas</v>
          </cell>
          <cell r="I1611">
            <v>500003</v>
          </cell>
          <cell r="J1611" t="str">
            <v>N/A</v>
          </cell>
          <cell r="K1611">
            <v>600001</v>
          </cell>
          <cell r="L1611">
            <v>0</v>
          </cell>
        </row>
        <row r="1612">
          <cell r="B1612" t="str">
            <v>3.3.9.03.0002</v>
          </cell>
          <cell r="C1612">
            <v>33932</v>
          </cell>
          <cell r="D1612" t="str">
            <v>Reversão Provisão de Contingências</v>
          </cell>
          <cell r="E1612" t="str">
            <v>A</v>
          </cell>
          <cell r="H1612" t="str">
            <v>Reversão de Custos e Despesas</v>
          </cell>
          <cell r="I1612">
            <v>500007</v>
          </cell>
          <cell r="J1612" t="str">
            <v>N/A</v>
          </cell>
          <cell r="K1612">
            <v>600001</v>
          </cell>
          <cell r="L1612">
            <v>0</v>
          </cell>
        </row>
        <row r="1613">
          <cell r="B1613" t="str">
            <v>3.3.9.04</v>
          </cell>
          <cell r="C1613">
            <v>3394</v>
          </cell>
          <cell r="D1613" t="str">
            <v>Receita de Alienação de Investimento</v>
          </cell>
          <cell r="E1613" t="str">
            <v>S</v>
          </cell>
        </row>
        <row r="1614">
          <cell r="B1614" t="str">
            <v>3.3.9.04.0001</v>
          </cell>
          <cell r="C1614">
            <v>33941</v>
          </cell>
          <cell r="D1614" t="str">
            <v>Ganhos na Alienação de Investimentos</v>
          </cell>
          <cell r="E1614" t="str">
            <v>A</v>
          </cell>
          <cell r="H1614" t="str">
            <v>Outras Receitas</v>
          </cell>
          <cell r="I1614">
            <v>500003</v>
          </cell>
          <cell r="J1614" t="str">
            <v>N/A</v>
          </cell>
          <cell r="K1614">
            <v>600001</v>
          </cell>
          <cell r="L1614">
            <v>0</v>
          </cell>
        </row>
        <row r="1615">
          <cell r="B1615" t="str">
            <v>3.3.9.05</v>
          </cell>
          <cell r="C1615">
            <v>3395</v>
          </cell>
          <cell r="D1615" t="str">
            <v>Receitas de Equivalência Patrimonial</v>
          </cell>
          <cell r="E1615" t="str">
            <v>S</v>
          </cell>
        </row>
        <row r="1616">
          <cell r="B1616" t="str">
            <v>3.3.9.05.0001</v>
          </cell>
          <cell r="C1616">
            <v>33951</v>
          </cell>
          <cell r="D1616" t="str">
            <v>Resultado Positivo de Equiv. Patrimonial</v>
          </cell>
          <cell r="E1616" t="str">
            <v>A</v>
          </cell>
          <cell r="H1616" t="str">
            <v>Outras Receitas</v>
          </cell>
          <cell r="I1616">
            <v>500003</v>
          </cell>
          <cell r="J1616" t="str">
            <v>N/A</v>
          </cell>
          <cell r="K1616">
            <v>600001</v>
          </cell>
          <cell r="L1616">
            <v>0</v>
          </cell>
        </row>
        <row r="1617">
          <cell r="B1617" t="str">
            <v>3.3.9.06</v>
          </cell>
          <cell r="C1617">
            <v>3396</v>
          </cell>
          <cell r="D1617" t="str">
            <v>Receita de Alienação de Imobilizado</v>
          </cell>
          <cell r="E1617" t="str">
            <v>S</v>
          </cell>
        </row>
        <row r="1618">
          <cell r="B1618" t="str">
            <v>3.3.9.06.0001</v>
          </cell>
          <cell r="C1618">
            <v>33961</v>
          </cell>
          <cell r="D1618" t="str">
            <v>Ganho na Alienação de Imobilizado</v>
          </cell>
          <cell r="E1618" t="str">
            <v>A</v>
          </cell>
          <cell r="H1618" t="str">
            <v>Outras Receitas</v>
          </cell>
          <cell r="I1618">
            <v>500003</v>
          </cell>
          <cell r="J1618" t="str">
            <v>N/A</v>
          </cell>
          <cell r="K1618">
            <v>600001</v>
          </cell>
          <cell r="L1618">
            <v>0</v>
          </cell>
        </row>
        <row r="1619">
          <cell r="B1619" t="str">
            <v>3.3.9.07</v>
          </cell>
          <cell r="C1619">
            <v>3397</v>
          </cell>
          <cell r="D1619" t="str">
            <v>Receitas de Alienação de Diferido</v>
          </cell>
          <cell r="E1619" t="str">
            <v>S</v>
          </cell>
        </row>
        <row r="1620">
          <cell r="B1620" t="str">
            <v>3.3.9.07.0001</v>
          </cell>
          <cell r="C1620">
            <v>33971</v>
          </cell>
          <cell r="D1620" t="str">
            <v>Ganho na Alienação de Diferido</v>
          </cell>
          <cell r="E1620" t="str">
            <v>A</v>
          </cell>
          <cell r="H1620" t="str">
            <v>Outras Receitas</v>
          </cell>
          <cell r="I1620">
            <v>500003</v>
          </cell>
          <cell r="J1620" t="str">
            <v>N/A</v>
          </cell>
          <cell r="K1620">
            <v>600001</v>
          </cell>
          <cell r="L1620">
            <v>0</v>
          </cell>
        </row>
        <row r="1621">
          <cell r="B1621" t="str">
            <v>3.3.9.08</v>
          </cell>
          <cell r="C1621">
            <v>3398</v>
          </cell>
          <cell r="D1621" t="str">
            <v>Reversão de Perda com Impairment</v>
          </cell>
          <cell r="E1621" t="str">
            <v>S</v>
          </cell>
        </row>
        <row r="1622">
          <cell r="B1622" t="str">
            <v>3.3.9.08.0001</v>
          </cell>
          <cell r="C1622">
            <v>33981</v>
          </cell>
          <cell r="D1622" t="str">
            <v>Reversão de Perda com Impairment</v>
          </cell>
          <cell r="E1622" t="str">
            <v>A</v>
          </cell>
          <cell r="H1622" t="str">
            <v>Reversão de Custos e Despesas</v>
          </cell>
          <cell r="I1622">
            <v>500007</v>
          </cell>
          <cell r="J1622" t="str">
            <v>N/A</v>
          </cell>
          <cell r="K1622">
            <v>600001</v>
          </cell>
          <cell r="L1622">
            <v>0</v>
          </cell>
        </row>
        <row r="1623">
          <cell r="B1623" t="str">
            <v>3.3.9.09</v>
          </cell>
          <cell r="C1623">
            <v>3399</v>
          </cell>
          <cell r="D1623" t="str">
            <v>Receita Concurso Público</v>
          </cell>
          <cell r="E1623" t="str">
            <v>S</v>
          </cell>
        </row>
        <row r="1624">
          <cell r="B1624" t="str">
            <v>3.3.9.09.0001</v>
          </cell>
          <cell r="C1624">
            <v>33991</v>
          </cell>
          <cell r="D1624" t="str">
            <v>Receita de Concurso Público</v>
          </cell>
          <cell r="E1624" t="str">
            <v>A</v>
          </cell>
          <cell r="H1624" t="str">
            <v>Outras Receitas</v>
          </cell>
          <cell r="I1624">
            <v>500003</v>
          </cell>
          <cell r="J1624" t="str">
            <v>N/A</v>
          </cell>
          <cell r="K1624">
            <v>600001</v>
          </cell>
          <cell r="L1624">
            <v>0</v>
          </cell>
        </row>
        <row r="1625">
          <cell r="B1625" t="str">
            <v>3.3.9.99</v>
          </cell>
          <cell r="C1625">
            <v>33999</v>
          </cell>
          <cell r="D1625" t="str">
            <v>Outras Receitas</v>
          </cell>
          <cell r="E1625" t="str">
            <v>S</v>
          </cell>
        </row>
        <row r="1626">
          <cell r="B1626" t="str">
            <v>3.3.9.99.0001</v>
          </cell>
          <cell r="C1626">
            <v>339991</v>
          </cell>
          <cell r="D1626" t="str">
            <v>Outras Receitas</v>
          </cell>
          <cell r="E1626" t="str">
            <v>A</v>
          </cell>
          <cell r="H1626" t="str">
            <v>Outras Receitas</v>
          </cell>
          <cell r="I1626">
            <v>500003</v>
          </cell>
          <cell r="J1626" t="str">
            <v>N/A</v>
          </cell>
          <cell r="K1626">
            <v>600001</v>
          </cell>
          <cell r="L1626">
            <v>0</v>
          </cell>
        </row>
        <row r="1627">
          <cell r="B1627" t="str">
            <v>3.3.9.99.0002</v>
          </cell>
          <cell r="C1627">
            <v>339992</v>
          </cell>
          <cell r="D1627" t="str">
            <v>Receita de Concurso Público</v>
          </cell>
          <cell r="E1627" t="str">
            <v>A</v>
          </cell>
          <cell r="H1627" t="str">
            <v>Outras Receitas</v>
          </cell>
          <cell r="I1627">
            <v>500003</v>
          </cell>
          <cell r="J1627" t="str">
            <v>N/A</v>
          </cell>
          <cell r="K1627">
            <v>600001</v>
          </cell>
          <cell r="L1627">
            <v>0</v>
          </cell>
        </row>
        <row r="1628">
          <cell r="B1628">
            <v>4</v>
          </cell>
          <cell r="C1628">
            <v>4</v>
          </cell>
          <cell r="D1628" t="str">
            <v>Custos e Despesas</v>
          </cell>
          <cell r="E1628" t="str">
            <v>S</v>
          </cell>
        </row>
        <row r="1629">
          <cell r="B1629" t="str">
            <v>4.1</v>
          </cell>
          <cell r="C1629">
            <v>41</v>
          </cell>
          <cell r="D1629" t="str">
            <v>Custos</v>
          </cell>
          <cell r="E1629" t="str">
            <v>S</v>
          </cell>
        </row>
        <row r="1630">
          <cell r="B1630" t="str">
            <v>4.1.1</v>
          </cell>
          <cell r="C1630">
            <v>411</v>
          </cell>
          <cell r="D1630" t="str">
            <v>Gastos com Pessoal - Serviços</v>
          </cell>
          <cell r="E1630" t="str">
            <v>S</v>
          </cell>
        </row>
        <row r="1631">
          <cell r="B1631" t="str">
            <v>4.1.1.01</v>
          </cell>
          <cell r="C1631">
            <v>4111</v>
          </cell>
          <cell r="D1631" t="str">
            <v>Remunerações</v>
          </cell>
          <cell r="E1631" t="str">
            <v>S</v>
          </cell>
        </row>
        <row r="1632">
          <cell r="B1632" t="str">
            <v>4.1.1.01.0001</v>
          </cell>
          <cell r="C1632">
            <v>41111</v>
          </cell>
          <cell r="D1632" t="str">
            <v>Salários</v>
          </cell>
          <cell r="E1632" t="str">
            <v>A</v>
          </cell>
          <cell r="H1632" t="str">
            <v>Remuneração Direta</v>
          </cell>
          <cell r="I1632">
            <v>500008</v>
          </cell>
          <cell r="J1632" t="str">
            <v>N/A</v>
          </cell>
          <cell r="K1632">
            <v>600001</v>
          </cell>
          <cell r="L1632">
            <v>0</v>
          </cell>
        </row>
        <row r="1633">
          <cell r="B1633" t="str">
            <v>4.1.1.01.0002</v>
          </cell>
          <cell r="C1633">
            <v>41112</v>
          </cell>
          <cell r="D1633" t="str">
            <v>Gratificações</v>
          </cell>
          <cell r="E1633" t="str">
            <v>A</v>
          </cell>
          <cell r="H1633" t="str">
            <v>Remuneração Direta</v>
          </cell>
          <cell r="I1633">
            <v>500008</v>
          </cell>
          <cell r="J1633" t="str">
            <v>N/A</v>
          </cell>
          <cell r="K1633">
            <v>600001</v>
          </cell>
          <cell r="L1633">
            <v>0</v>
          </cell>
        </row>
        <row r="1634">
          <cell r="B1634" t="str">
            <v>4.1.1.01.0003</v>
          </cell>
          <cell r="C1634">
            <v>41113</v>
          </cell>
          <cell r="D1634" t="str">
            <v>Adicionais por Tempo de Serviço</v>
          </cell>
          <cell r="E1634" t="str">
            <v>A</v>
          </cell>
          <cell r="H1634" t="str">
            <v>Remuneração Direta</v>
          </cell>
          <cell r="I1634">
            <v>500008</v>
          </cell>
          <cell r="J1634" t="str">
            <v>N/A</v>
          </cell>
          <cell r="K1634">
            <v>600001</v>
          </cell>
          <cell r="L1634">
            <v>0</v>
          </cell>
        </row>
        <row r="1635">
          <cell r="B1635" t="str">
            <v>4.1.1.01.0004</v>
          </cell>
          <cell r="C1635">
            <v>41114</v>
          </cell>
          <cell r="D1635" t="str">
            <v>Horas Extraordinárias</v>
          </cell>
          <cell r="E1635" t="str">
            <v>A</v>
          </cell>
          <cell r="H1635" t="str">
            <v>Remuneração Direta</v>
          </cell>
          <cell r="I1635">
            <v>500008</v>
          </cell>
          <cell r="J1635" t="str">
            <v>N/A</v>
          </cell>
          <cell r="K1635">
            <v>600001</v>
          </cell>
          <cell r="L1635">
            <v>0</v>
          </cell>
        </row>
        <row r="1636">
          <cell r="B1636" t="str">
            <v>4.1.1.01.0005</v>
          </cell>
          <cell r="C1636">
            <v>41115</v>
          </cell>
          <cell r="D1636" t="str">
            <v>Abonos</v>
          </cell>
          <cell r="E1636" t="str">
            <v>A</v>
          </cell>
          <cell r="H1636" t="str">
            <v>Remuneração Direta</v>
          </cell>
          <cell r="I1636">
            <v>500008</v>
          </cell>
          <cell r="J1636" t="str">
            <v>N/A</v>
          </cell>
          <cell r="K1636">
            <v>600001</v>
          </cell>
          <cell r="L1636">
            <v>0</v>
          </cell>
        </row>
        <row r="1637">
          <cell r="B1637" t="str">
            <v>4.1.1.01.0006</v>
          </cell>
          <cell r="C1637">
            <v>41116</v>
          </cell>
          <cell r="D1637" t="str">
            <v>Aviso Prévio e Indenizações</v>
          </cell>
          <cell r="E1637" t="str">
            <v>A</v>
          </cell>
          <cell r="H1637" t="str">
            <v>Contingências/indenizações trabalhistas</v>
          </cell>
          <cell r="I1637">
            <v>500011</v>
          </cell>
          <cell r="J1637" t="str">
            <v>N/A</v>
          </cell>
          <cell r="K1637">
            <v>600001</v>
          </cell>
          <cell r="L1637">
            <v>0</v>
          </cell>
        </row>
        <row r="1638">
          <cell r="B1638" t="str">
            <v>4.1.1.01.0007</v>
          </cell>
          <cell r="C1638">
            <v>41117</v>
          </cell>
          <cell r="D1638" t="str">
            <v>Provisão de Férias e Encargos Sociais</v>
          </cell>
          <cell r="E1638" t="str">
            <v>A</v>
          </cell>
          <cell r="H1638" t="str">
            <v>Remuneração Direta</v>
          </cell>
          <cell r="I1638">
            <v>500008</v>
          </cell>
          <cell r="J1638" t="str">
            <v>N/A</v>
          </cell>
          <cell r="K1638">
            <v>600001</v>
          </cell>
          <cell r="L1638">
            <v>0</v>
          </cell>
        </row>
        <row r="1639">
          <cell r="B1639" t="str">
            <v>4.1.1.01.0008</v>
          </cell>
          <cell r="C1639">
            <v>41118</v>
          </cell>
          <cell r="D1639" t="str">
            <v>Abono Pecuniário de Férias</v>
          </cell>
          <cell r="E1639" t="str">
            <v>A</v>
          </cell>
          <cell r="H1639" t="str">
            <v>Remuneração Direta</v>
          </cell>
          <cell r="I1639">
            <v>500008</v>
          </cell>
          <cell r="J1639" t="str">
            <v>N/A</v>
          </cell>
          <cell r="K1639">
            <v>600001</v>
          </cell>
          <cell r="L1639">
            <v>0</v>
          </cell>
        </row>
        <row r="1640">
          <cell r="B1640" t="str">
            <v>4.1.1.01.0009</v>
          </cell>
          <cell r="C1640">
            <v>41119</v>
          </cell>
          <cell r="D1640" t="str">
            <v>Provisão de 13º Salários e Enc. Sociais</v>
          </cell>
          <cell r="E1640" t="str">
            <v>A</v>
          </cell>
          <cell r="H1640" t="str">
            <v>Remuneração Direta</v>
          </cell>
          <cell r="I1640">
            <v>500008</v>
          </cell>
          <cell r="J1640" t="str">
            <v>N/A</v>
          </cell>
          <cell r="K1640">
            <v>600001</v>
          </cell>
          <cell r="L1640">
            <v>0</v>
          </cell>
        </row>
        <row r="1641">
          <cell r="B1641" t="str">
            <v>4.1.1.01.0010</v>
          </cell>
          <cell r="C1641">
            <v>411110</v>
          </cell>
          <cell r="D1641" t="str">
            <v>Salario Maternidade - Prorrogação</v>
          </cell>
          <cell r="E1641" t="str">
            <v>A</v>
          </cell>
          <cell r="H1641" t="str">
            <v>Remuneração Direta</v>
          </cell>
          <cell r="I1641">
            <v>500008</v>
          </cell>
          <cell r="J1641" t="str">
            <v>N/A</v>
          </cell>
          <cell r="K1641">
            <v>600001</v>
          </cell>
          <cell r="L1641">
            <v>0</v>
          </cell>
        </row>
        <row r="1642">
          <cell r="B1642" t="str">
            <v>4.1.1.01.0011</v>
          </cell>
          <cell r="C1642">
            <v>411111</v>
          </cell>
          <cell r="D1642" t="str">
            <v>Salario Maternidade - Prorrogação</v>
          </cell>
          <cell r="E1642" t="str">
            <v>A</v>
          </cell>
          <cell r="H1642" t="str">
            <v>Remuneração Direta</v>
          </cell>
          <cell r="I1642">
            <v>500008</v>
          </cell>
          <cell r="J1642" t="str">
            <v>N/A</v>
          </cell>
          <cell r="K1642">
            <v>600001</v>
          </cell>
          <cell r="L1642">
            <v>0</v>
          </cell>
        </row>
        <row r="1643">
          <cell r="B1643" t="str">
            <v>4.1.1.01.0013</v>
          </cell>
          <cell r="C1643">
            <v>411113</v>
          </cell>
          <cell r="D1643" t="str">
            <v>Licença Paternidade Prorrogação</v>
          </cell>
          <cell r="E1643" t="str">
            <v>A</v>
          </cell>
          <cell r="H1643" t="str">
            <v>Remuneração Direta</v>
          </cell>
          <cell r="I1643">
            <v>500008</v>
          </cell>
          <cell r="J1643" t="str">
            <v>N/A</v>
          </cell>
          <cell r="K1643">
            <v>600001</v>
          </cell>
          <cell r="L1643">
            <v>0</v>
          </cell>
        </row>
        <row r="1644">
          <cell r="B1644" t="str">
            <v>4.1.1.01.0014</v>
          </cell>
          <cell r="C1644">
            <v>411114</v>
          </cell>
          <cell r="D1644" t="str">
            <v>Incorporação Função Gratificada - Ordem Judicial</v>
          </cell>
          <cell r="E1644" t="str">
            <v>A</v>
          </cell>
          <cell r="H1644" t="str">
            <v>Remuneração Direta</v>
          </cell>
          <cell r="I1644">
            <v>500008</v>
          </cell>
          <cell r="J1644" t="str">
            <v>N/A</v>
          </cell>
          <cell r="K1644">
            <v>600001</v>
          </cell>
          <cell r="L1644">
            <v>0</v>
          </cell>
        </row>
        <row r="1645">
          <cell r="B1645" t="str">
            <v>4.1.1.01.0999</v>
          </cell>
          <cell r="C1645">
            <v>4111999</v>
          </cell>
          <cell r="D1645" t="str">
            <v>Outras Remunerações</v>
          </cell>
          <cell r="E1645" t="str">
            <v>A</v>
          </cell>
          <cell r="H1645" t="str">
            <v>Remuneração Direta</v>
          </cell>
          <cell r="I1645">
            <v>500008</v>
          </cell>
          <cell r="J1645" t="str">
            <v>N/A</v>
          </cell>
          <cell r="K1645">
            <v>600001</v>
          </cell>
          <cell r="L1645">
            <v>0</v>
          </cell>
        </row>
        <row r="1646">
          <cell r="B1646" t="str">
            <v>4.1.1.02</v>
          </cell>
          <cell r="C1646">
            <v>4112</v>
          </cell>
          <cell r="D1646" t="str">
            <v>Encargos Sociais</v>
          </cell>
          <cell r="E1646" t="str">
            <v>S</v>
          </cell>
        </row>
        <row r="1647">
          <cell r="B1647" t="str">
            <v>4.1.1.02.0001</v>
          </cell>
          <cell r="C1647">
            <v>41121</v>
          </cell>
          <cell r="D1647" t="str">
            <v>INSS</v>
          </cell>
          <cell r="E1647" t="str">
            <v>A</v>
          </cell>
          <cell r="H1647" t="str">
            <v>Federais (inclui a contribuição previdenciária e sindical)</v>
          </cell>
          <cell r="I1647">
            <v>500012</v>
          </cell>
          <cell r="J1647" t="str">
            <v>N/A</v>
          </cell>
          <cell r="K1647">
            <v>600001</v>
          </cell>
          <cell r="L1647">
            <v>0</v>
          </cell>
        </row>
        <row r="1648">
          <cell r="B1648" t="str">
            <v>4.1.1.02.0002</v>
          </cell>
          <cell r="C1648">
            <v>41122</v>
          </cell>
          <cell r="D1648" t="str">
            <v>FGTS</v>
          </cell>
          <cell r="E1648" t="str">
            <v>A</v>
          </cell>
          <cell r="H1648" t="str">
            <v>FGTS</v>
          </cell>
          <cell r="I1648">
            <v>500010</v>
          </cell>
          <cell r="J1648" t="str">
            <v>N/A</v>
          </cell>
          <cell r="K1648">
            <v>600001</v>
          </cell>
          <cell r="L1648">
            <v>0</v>
          </cell>
        </row>
        <row r="1649">
          <cell r="B1649" t="str">
            <v>4.1.1.02.0003</v>
          </cell>
          <cell r="C1649">
            <v>41123</v>
          </cell>
          <cell r="D1649" t="str">
            <v>Contribuições Sindicais</v>
          </cell>
          <cell r="E1649" t="str">
            <v>A</v>
          </cell>
          <cell r="H1649" t="str">
            <v>Benefícios</v>
          </cell>
          <cell r="I1649">
            <v>500009</v>
          </cell>
          <cell r="J1649" t="str">
            <v>N/A</v>
          </cell>
          <cell r="K1649">
            <v>600001</v>
          </cell>
          <cell r="L1649">
            <v>0</v>
          </cell>
        </row>
        <row r="1650">
          <cell r="B1650" t="str">
            <v>4.1.1.02.0004</v>
          </cell>
          <cell r="C1650">
            <v>41124</v>
          </cell>
          <cell r="D1650" t="str">
            <v>INSS s/ 13º Salário</v>
          </cell>
          <cell r="E1650" t="str">
            <v>A</v>
          </cell>
          <cell r="H1650" t="str">
            <v>Federais (inclui a contribuição previdenciária e sindical)</v>
          </cell>
          <cell r="I1650">
            <v>500012</v>
          </cell>
          <cell r="J1650" t="str">
            <v>N/A</v>
          </cell>
          <cell r="K1650">
            <v>600001</v>
          </cell>
          <cell r="L1650">
            <v>0</v>
          </cell>
        </row>
        <row r="1651">
          <cell r="B1651" t="str">
            <v>4.1.1.02.0005</v>
          </cell>
          <cell r="C1651">
            <v>41125</v>
          </cell>
          <cell r="D1651" t="str">
            <v>INSS s/ Férias</v>
          </cell>
          <cell r="E1651" t="str">
            <v>A</v>
          </cell>
          <cell r="H1651" t="str">
            <v>Federais (inclui a contribuição previdenciária e sindical)</v>
          </cell>
          <cell r="I1651">
            <v>500012</v>
          </cell>
          <cell r="J1651" t="str">
            <v>N/A</v>
          </cell>
          <cell r="K1651">
            <v>600001</v>
          </cell>
          <cell r="L1651">
            <v>0</v>
          </cell>
        </row>
        <row r="1652">
          <cell r="B1652" t="str">
            <v>4.1.1.02.0006</v>
          </cell>
          <cell r="C1652">
            <v>41126</v>
          </cell>
          <cell r="D1652" t="str">
            <v>FGTS s/ Férias</v>
          </cell>
          <cell r="E1652" t="str">
            <v>A</v>
          </cell>
          <cell r="H1652" t="str">
            <v>FGTS</v>
          </cell>
          <cell r="I1652">
            <v>500010</v>
          </cell>
          <cell r="J1652" t="str">
            <v>N/A</v>
          </cell>
          <cell r="K1652">
            <v>600001</v>
          </cell>
          <cell r="L1652">
            <v>0</v>
          </cell>
        </row>
        <row r="1653">
          <cell r="B1653" t="str">
            <v>4.1.1.02.0007</v>
          </cell>
          <cell r="C1653">
            <v>41127</v>
          </cell>
          <cell r="D1653" t="str">
            <v>FGTS s/ 13º Salário</v>
          </cell>
          <cell r="E1653" t="str">
            <v>A</v>
          </cell>
          <cell r="H1653" t="str">
            <v>FGTS</v>
          </cell>
          <cell r="I1653">
            <v>500010</v>
          </cell>
          <cell r="J1653" t="str">
            <v>N/A</v>
          </cell>
          <cell r="K1653">
            <v>600001</v>
          </cell>
          <cell r="L1653">
            <v>0</v>
          </cell>
        </row>
        <row r="1654">
          <cell r="B1654" t="str">
            <v>4.1.1.02.0999</v>
          </cell>
          <cell r="C1654">
            <v>4112999</v>
          </cell>
          <cell r="D1654" t="str">
            <v>Outros Encargos</v>
          </cell>
          <cell r="E1654" t="str">
            <v>A</v>
          </cell>
          <cell r="H1654" t="str">
            <v>Federais (inclui a contribuição previdenciária e sindical)</v>
          </cell>
          <cell r="I1654">
            <v>500012</v>
          </cell>
          <cell r="J1654" t="str">
            <v>N/A</v>
          </cell>
          <cell r="K1654">
            <v>600001</v>
          </cell>
          <cell r="L1654">
            <v>0</v>
          </cell>
        </row>
        <row r="1655">
          <cell r="B1655" t="str">
            <v>4.1.1.03</v>
          </cell>
          <cell r="C1655">
            <v>4113</v>
          </cell>
          <cell r="D1655" t="str">
            <v>Benefícios</v>
          </cell>
          <cell r="E1655" t="str">
            <v>S</v>
          </cell>
        </row>
        <row r="1656">
          <cell r="B1656" t="str">
            <v>4.1.1.03.0001</v>
          </cell>
          <cell r="C1656">
            <v>41131</v>
          </cell>
          <cell r="D1656" t="str">
            <v>Previdência Privada Complementar</v>
          </cell>
          <cell r="E1656" t="str">
            <v>A</v>
          </cell>
          <cell r="H1656" t="str">
            <v>Benefícios</v>
          </cell>
          <cell r="I1656">
            <v>500009</v>
          </cell>
          <cell r="J1656" t="str">
            <v>N/A</v>
          </cell>
          <cell r="K1656">
            <v>600001</v>
          </cell>
          <cell r="L1656">
            <v>0</v>
          </cell>
        </row>
        <row r="1657">
          <cell r="B1657" t="str">
            <v>4.1.1.03.0002</v>
          </cell>
          <cell r="C1657">
            <v>41132</v>
          </cell>
          <cell r="D1657" t="str">
            <v>Auxílio Alimentação</v>
          </cell>
          <cell r="E1657" t="str">
            <v>A</v>
          </cell>
          <cell r="H1657" t="str">
            <v>Benefícios</v>
          </cell>
          <cell r="I1657">
            <v>500009</v>
          </cell>
          <cell r="J1657" t="str">
            <v>N/A</v>
          </cell>
          <cell r="K1657">
            <v>600001</v>
          </cell>
          <cell r="L1657">
            <v>0</v>
          </cell>
        </row>
        <row r="1658">
          <cell r="B1658" t="str">
            <v>4.1.1.03.0003</v>
          </cell>
          <cell r="C1658">
            <v>41133</v>
          </cell>
          <cell r="D1658" t="str">
            <v>Auxílio Transporte</v>
          </cell>
          <cell r="E1658" t="str">
            <v>A</v>
          </cell>
          <cell r="H1658" t="str">
            <v>Benefícios</v>
          </cell>
          <cell r="I1658">
            <v>500009</v>
          </cell>
          <cell r="J1658" t="str">
            <v>N/A</v>
          </cell>
          <cell r="K1658">
            <v>600001</v>
          </cell>
          <cell r="L1658">
            <v>0</v>
          </cell>
        </row>
        <row r="1659">
          <cell r="B1659" t="str">
            <v>4.1.1.03.0004</v>
          </cell>
          <cell r="C1659">
            <v>41134</v>
          </cell>
          <cell r="D1659" t="str">
            <v>Auxílio Moradia</v>
          </cell>
          <cell r="E1659" t="str">
            <v>A</v>
          </cell>
          <cell r="H1659" t="str">
            <v>Benefícios</v>
          </cell>
          <cell r="I1659">
            <v>500009</v>
          </cell>
          <cell r="J1659" t="str">
            <v>N/A</v>
          </cell>
          <cell r="K1659">
            <v>600001</v>
          </cell>
          <cell r="L1659">
            <v>0</v>
          </cell>
        </row>
        <row r="1660">
          <cell r="B1660" t="str">
            <v>4.1.1.03.0005</v>
          </cell>
          <cell r="C1660">
            <v>41135</v>
          </cell>
          <cell r="D1660" t="str">
            <v>Auxílio Creche</v>
          </cell>
          <cell r="E1660" t="str">
            <v>A</v>
          </cell>
          <cell r="H1660" t="str">
            <v>Benefícios</v>
          </cell>
          <cell r="I1660">
            <v>500009</v>
          </cell>
          <cell r="J1660" t="str">
            <v>N/A</v>
          </cell>
          <cell r="K1660">
            <v>600001</v>
          </cell>
          <cell r="L1660">
            <v>0</v>
          </cell>
        </row>
        <row r="1661">
          <cell r="B1661" t="str">
            <v>4.1.1.03.0006</v>
          </cell>
          <cell r="C1661">
            <v>41136</v>
          </cell>
          <cell r="D1661" t="str">
            <v>Assistência Médica e  Odontológica</v>
          </cell>
          <cell r="E1661" t="str">
            <v>A</v>
          </cell>
          <cell r="H1661" t="str">
            <v>Benefícios</v>
          </cell>
          <cell r="I1661">
            <v>500009</v>
          </cell>
          <cell r="J1661" t="str">
            <v>N/A</v>
          </cell>
          <cell r="K1661">
            <v>600001</v>
          </cell>
          <cell r="L1661">
            <v>0</v>
          </cell>
        </row>
        <row r="1662">
          <cell r="B1662" t="str">
            <v>4.1.1.03.0007</v>
          </cell>
          <cell r="C1662">
            <v>41137</v>
          </cell>
          <cell r="D1662" t="str">
            <v>Seguro de Vida</v>
          </cell>
          <cell r="E1662" t="str">
            <v>A</v>
          </cell>
          <cell r="H1662" t="str">
            <v>Benefícios</v>
          </cell>
          <cell r="I1662">
            <v>500009</v>
          </cell>
          <cell r="J1662" t="str">
            <v>N/A</v>
          </cell>
          <cell r="K1662">
            <v>600001</v>
          </cell>
          <cell r="L1662">
            <v>0</v>
          </cell>
        </row>
        <row r="1663">
          <cell r="B1663" t="str">
            <v>4.1.1.03.0008</v>
          </cell>
          <cell r="C1663">
            <v>41138</v>
          </cell>
          <cell r="D1663" t="str">
            <v>Recreação e Lazer</v>
          </cell>
          <cell r="E1663" t="str">
            <v>A</v>
          </cell>
          <cell r="H1663" t="str">
            <v>Benefícios</v>
          </cell>
          <cell r="I1663">
            <v>500009</v>
          </cell>
          <cell r="J1663" t="str">
            <v>N/A</v>
          </cell>
          <cell r="K1663">
            <v>600001</v>
          </cell>
          <cell r="L1663">
            <v>0</v>
          </cell>
        </row>
        <row r="1664">
          <cell r="B1664" t="str">
            <v>4.1.1.03.0009</v>
          </cell>
          <cell r="C1664">
            <v>41139</v>
          </cell>
          <cell r="D1664" t="str">
            <v>Assistência e Capacitação Profissional</v>
          </cell>
          <cell r="E1664" t="str">
            <v>A</v>
          </cell>
          <cell r="H1664" t="str">
            <v>Benefícios</v>
          </cell>
          <cell r="I1664">
            <v>500009</v>
          </cell>
          <cell r="J1664" t="str">
            <v>N/A</v>
          </cell>
          <cell r="K1664">
            <v>600001</v>
          </cell>
          <cell r="L1664">
            <v>0</v>
          </cell>
        </row>
        <row r="1665">
          <cell r="B1665" t="str">
            <v>4.1.1.03.0010</v>
          </cell>
          <cell r="C1665">
            <v>411310</v>
          </cell>
          <cell r="D1665" t="str">
            <v>Vale Cultura</v>
          </cell>
          <cell r="E1665" t="str">
            <v>A</v>
          </cell>
          <cell r="H1665" t="str">
            <v>Benefícios</v>
          </cell>
          <cell r="I1665">
            <v>500009</v>
          </cell>
          <cell r="J1665" t="str">
            <v>N/A</v>
          </cell>
          <cell r="K1665">
            <v>600001</v>
          </cell>
          <cell r="L1665">
            <v>0</v>
          </cell>
        </row>
        <row r="1666">
          <cell r="B1666" t="str">
            <v>4.1.1.03.0011</v>
          </cell>
          <cell r="C1666">
            <v>411311</v>
          </cell>
          <cell r="D1666" t="str">
            <v>Saúde Ocupacional</v>
          </cell>
          <cell r="E1666" t="str">
            <v>A</v>
          </cell>
          <cell r="H1666" t="str">
            <v>Benefícios</v>
          </cell>
          <cell r="I1666">
            <v>500009</v>
          </cell>
          <cell r="J1666" t="str">
            <v>N/A</v>
          </cell>
          <cell r="K1666">
            <v>600001</v>
          </cell>
          <cell r="L1666">
            <v>0</v>
          </cell>
        </row>
        <row r="1667">
          <cell r="B1667" t="str">
            <v>4.1.1.03.0999</v>
          </cell>
          <cell r="C1667">
            <v>4113999</v>
          </cell>
          <cell r="D1667" t="str">
            <v>Outros benefícios</v>
          </cell>
          <cell r="E1667" t="str">
            <v>A</v>
          </cell>
          <cell r="H1667" t="str">
            <v>Benefícios</v>
          </cell>
          <cell r="I1667">
            <v>500009</v>
          </cell>
          <cell r="J1667" t="str">
            <v>N/A</v>
          </cell>
          <cell r="K1667">
            <v>600001</v>
          </cell>
          <cell r="L1667">
            <v>0</v>
          </cell>
        </row>
        <row r="1668">
          <cell r="B1668" t="str">
            <v>4.1.1.09</v>
          </cell>
          <cell r="C1668">
            <v>4119</v>
          </cell>
          <cell r="D1668" t="str">
            <v>Outros Gastos de Pessoal</v>
          </cell>
          <cell r="E1668" t="str">
            <v>S</v>
          </cell>
        </row>
        <row r="1669">
          <cell r="B1669" t="str">
            <v>4.1.1.09.0999</v>
          </cell>
          <cell r="C1669">
            <v>4119999</v>
          </cell>
          <cell r="D1669" t="str">
            <v>Outros Custos</v>
          </cell>
          <cell r="E1669" t="str">
            <v>A</v>
          </cell>
          <cell r="H1669" t="str">
            <v>Materiais, utilidades, serviços de terceiros e outros</v>
          </cell>
          <cell r="I1669">
            <v>500004</v>
          </cell>
          <cell r="J1669" t="str">
            <v>N/A</v>
          </cell>
          <cell r="K1669">
            <v>600001</v>
          </cell>
          <cell r="L1669">
            <v>0</v>
          </cell>
        </row>
        <row r="1670">
          <cell r="B1670" t="str">
            <v>4.1.1.10</v>
          </cell>
          <cell r="C1670">
            <v>41110</v>
          </cell>
          <cell r="D1670" t="str">
            <v>Indenizações</v>
          </cell>
          <cell r="E1670" t="str">
            <v>S</v>
          </cell>
        </row>
        <row r="1671">
          <cell r="B1671" t="str">
            <v>4.1.1.10.0001</v>
          </cell>
          <cell r="C1671">
            <v>411101</v>
          </cell>
          <cell r="D1671" t="str">
            <v>Indenizações Trabalhistas</v>
          </cell>
          <cell r="E1671" t="str">
            <v>A</v>
          </cell>
          <cell r="H1671" t="str">
            <v>Contingências/indenizações trabalhistas</v>
          </cell>
          <cell r="I1671">
            <v>500011</v>
          </cell>
          <cell r="J1671" t="str">
            <v>N/A</v>
          </cell>
          <cell r="K1671">
            <v>600001</v>
          </cell>
          <cell r="L1671">
            <v>0</v>
          </cell>
        </row>
        <row r="1672">
          <cell r="B1672" t="str">
            <v>4.1.1.99</v>
          </cell>
          <cell r="C1672">
            <v>41199</v>
          </cell>
          <cell r="D1672" t="str">
            <v>(-) Reembolso de Custos de Pessoal</v>
          </cell>
          <cell r="E1672" t="str">
            <v>S</v>
          </cell>
        </row>
        <row r="1673">
          <cell r="B1673" t="str">
            <v>4.1.1.99.0998</v>
          </cell>
          <cell r="C1673">
            <v>41199998</v>
          </cell>
          <cell r="D1673" t="str">
            <v>(-) Reembolso de custos - Convênios</v>
          </cell>
          <cell r="E1673" t="str">
            <v>A</v>
          </cell>
          <cell r="H1673" t="str">
            <v>Outras Receitas</v>
          </cell>
          <cell r="I1673">
            <v>500003</v>
          </cell>
          <cell r="J1673" t="str">
            <v>N/A</v>
          </cell>
          <cell r="K1673">
            <v>600001</v>
          </cell>
          <cell r="L1673">
            <v>0</v>
          </cell>
        </row>
        <row r="1674">
          <cell r="B1674" t="str">
            <v>4.1.2</v>
          </cell>
          <cell r="C1674">
            <v>412</v>
          </cell>
          <cell r="D1674" t="str">
            <v>Custos com Materiais - Serviços</v>
          </cell>
          <cell r="E1674" t="str">
            <v>S</v>
          </cell>
        </row>
        <row r="1675">
          <cell r="B1675" t="str">
            <v>4.1.2.01</v>
          </cell>
          <cell r="C1675">
            <v>4121</v>
          </cell>
          <cell r="D1675" t="str">
            <v>Materiais Nacionais</v>
          </cell>
          <cell r="E1675" t="str">
            <v>S</v>
          </cell>
        </row>
        <row r="1676">
          <cell r="B1676" t="str">
            <v>4.1.2.01.0001</v>
          </cell>
          <cell r="C1676">
            <v>41211</v>
          </cell>
          <cell r="D1676" t="str">
            <v>Materiais Adm. e de Expediente</v>
          </cell>
          <cell r="E1676" t="str">
            <v>A</v>
          </cell>
          <cell r="H1676" t="str">
            <v>Materiais, utilidades, serviços de terceiros e outros</v>
          </cell>
          <cell r="I1676">
            <v>500004</v>
          </cell>
          <cell r="J1676" t="str">
            <v>N/A</v>
          </cell>
          <cell r="K1676">
            <v>600001</v>
          </cell>
          <cell r="L1676">
            <v>0</v>
          </cell>
        </row>
        <row r="1677">
          <cell r="B1677" t="str">
            <v>4.1.2.01.0002</v>
          </cell>
          <cell r="C1677">
            <v>41212</v>
          </cell>
          <cell r="D1677" t="str">
            <v>Combustíveis e Lubrificantes</v>
          </cell>
          <cell r="E1677" t="str">
            <v>A</v>
          </cell>
          <cell r="H1677" t="str">
            <v>Materiais, utilidades, serviços de terceiros e outros</v>
          </cell>
          <cell r="I1677">
            <v>500004</v>
          </cell>
          <cell r="J1677" t="str">
            <v>N/A</v>
          </cell>
          <cell r="K1677">
            <v>600001</v>
          </cell>
          <cell r="L1677">
            <v>0</v>
          </cell>
        </row>
        <row r="1678">
          <cell r="B1678" t="str">
            <v>4.1.2.01.0003</v>
          </cell>
          <cell r="C1678">
            <v>41213</v>
          </cell>
          <cell r="D1678" t="str">
            <v>Materiais e Equipamentos</v>
          </cell>
          <cell r="E1678" t="str">
            <v>A</v>
          </cell>
          <cell r="H1678" t="str">
            <v>Materiais, utilidades, serviços de terceiros e outros</v>
          </cell>
          <cell r="I1678">
            <v>500004</v>
          </cell>
          <cell r="J1678" t="str">
            <v>N/A</v>
          </cell>
          <cell r="K1678">
            <v>600001</v>
          </cell>
          <cell r="L1678">
            <v>0</v>
          </cell>
        </row>
        <row r="1679">
          <cell r="B1679" t="str">
            <v>4.1.2.01.0998</v>
          </cell>
          <cell r="C1679">
            <v>4121998</v>
          </cell>
          <cell r="D1679" t="str">
            <v>(-) Reemb. Custos  de Materiais Convenio</v>
          </cell>
          <cell r="E1679" t="str">
            <v>A</v>
          </cell>
          <cell r="H1679" t="str">
            <v>Outras Receitas</v>
          </cell>
          <cell r="I1679">
            <v>500003</v>
          </cell>
          <cell r="J1679" t="str">
            <v>N/A</v>
          </cell>
          <cell r="K1679">
            <v>600001</v>
          </cell>
          <cell r="L1679">
            <v>0</v>
          </cell>
        </row>
        <row r="1680">
          <cell r="B1680" t="str">
            <v>4.1.2.01.0999</v>
          </cell>
          <cell r="C1680">
            <v>4121999</v>
          </cell>
          <cell r="D1680" t="str">
            <v>Outros Materiais Nacionais</v>
          </cell>
          <cell r="E1680" t="str">
            <v>A</v>
          </cell>
          <cell r="H1680" t="str">
            <v>Materiais, utilidades, serviços de terceiros e outros</v>
          </cell>
          <cell r="I1680">
            <v>500004</v>
          </cell>
          <cell r="J1680" t="str">
            <v>N/A</v>
          </cell>
          <cell r="K1680">
            <v>600001</v>
          </cell>
          <cell r="L1680">
            <v>0</v>
          </cell>
        </row>
        <row r="1681">
          <cell r="B1681" t="str">
            <v>4.1.2.02</v>
          </cell>
          <cell r="C1681">
            <v>4122</v>
          </cell>
          <cell r="D1681" t="str">
            <v>Materiais Estrangeiros</v>
          </cell>
          <cell r="E1681" t="str">
            <v>S</v>
          </cell>
        </row>
        <row r="1682">
          <cell r="B1682" t="str">
            <v>4.1.2.02.0001</v>
          </cell>
          <cell r="C1682">
            <v>41221</v>
          </cell>
          <cell r="D1682" t="str">
            <v>Materiais e Equipamentos</v>
          </cell>
          <cell r="E1682" t="str">
            <v>A</v>
          </cell>
          <cell r="H1682" t="str">
            <v>Materiais, utilidades, serviços de terceiros e outros</v>
          </cell>
          <cell r="I1682">
            <v>500004</v>
          </cell>
          <cell r="J1682" t="str">
            <v>N/A</v>
          </cell>
          <cell r="K1682">
            <v>600001</v>
          </cell>
          <cell r="L1682">
            <v>0</v>
          </cell>
        </row>
        <row r="1683">
          <cell r="B1683" t="str">
            <v>4.1.2.02.0999</v>
          </cell>
          <cell r="C1683">
            <v>4122999</v>
          </cell>
          <cell r="D1683" t="str">
            <v>Outros Materiais Estrangeiros</v>
          </cell>
          <cell r="E1683" t="str">
            <v>A</v>
          </cell>
          <cell r="H1683" t="str">
            <v>Materiais, utilidades, serviços de terceiros e outros</v>
          </cell>
          <cell r="I1683">
            <v>500004</v>
          </cell>
          <cell r="J1683" t="str">
            <v>N/A</v>
          </cell>
          <cell r="K1683">
            <v>600001</v>
          </cell>
          <cell r="L1683">
            <v>0</v>
          </cell>
        </row>
        <row r="1684">
          <cell r="B1684" t="str">
            <v>4.1.2.99</v>
          </cell>
          <cell r="C1684">
            <v>41299</v>
          </cell>
          <cell r="D1684" t="str">
            <v>(-) Reembolso de Custos de Materiais</v>
          </cell>
          <cell r="E1684" t="str">
            <v>S</v>
          </cell>
        </row>
        <row r="1685">
          <cell r="B1685" t="str">
            <v>4.1.2.99.0998</v>
          </cell>
          <cell r="C1685">
            <v>41299998</v>
          </cell>
          <cell r="D1685" t="str">
            <v>(-) Reemb. de  Custos - Convênios</v>
          </cell>
          <cell r="E1685" t="str">
            <v>A</v>
          </cell>
          <cell r="H1685" t="str">
            <v>Outras Receitas</v>
          </cell>
          <cell r="I1685">
            <v>500003</v>
          </cell>
          <cell r="J1685" t="str">
            <v>N/A</v>
          </cell>
          <cell r="K1685">
            <v>600001</v>
          </cell>
          <cell r="L1685">
            <v>0</v>
          </cell>
        </row>
        <row r="1686">
          <cell r="B1686" t="str">
            <v>4.1.3</v>
          </cell>
          <cell r="C1686">
            <v>413</v>
          </cell>
          <cell r="D1686" t="str">
            <v>Custos c/ Serviços de Terceiros - Serv.</v>
          </cell>
          <cell r="E1686" t="str">
            <v>S</v>
          </cell>
        </row>
        <row r="1687">
          <cell r="B1687" t="str">
            <v>4.1.3.01</v>
          </cell>
          <cell r="C1687">
            <v>4131</v>
          </cell>
          <cell r="D1687" t="str">
            <v>Serviços de Terceiros</v>
          </cell>
          <cell r="E1687" t="str">
            <v>S</v>
          </cell>
        </row>
        <row r="1688">
          <cell r="B1688" t="str">
            <v>4.1.3.01.0001</v>
          </cell>
          <cell r="C1688">
            <v>41311</v>
          </cell>
          <cell r="D1688" t="str">
            <v>Serviços de Consultoria</v>
          </cell>
          <cell r="E1688" t="str">
            <v>A</v>
          </cell>
          <cell r="H1688" t="str">
            <v>Materiais, utilidades, serviços de terceiros e outros</v>
          </cell>
          <cell r="I1688">
            <v>500004</v>
          </cell>
          <cell r="J1688" t="str">
            <v>N/A</v>
          </cell>
          <cell r="K1688">
            <v>600001</v>
          </cell>
          <cell r="L1688">
            <v>0</v>
          </cell>
        </row>
        <row r="1689">
          <cell r="B1689" t="str">
            <v>4.1.3.01.0002</v>
          </cell>
          <cell r="C1689">
            <v>41312</v>
          </cell>
          <cell r="D1689" t="str">
            <v>Serviços de Apoio Técnico e/ou Administrativo</v>
          </cell>
          <cell r="E1689" t="str">
            <v>A</v>
          </cell>
          <cell r="H1689" t="str">
            <v>Materiais, utilidades, serviços de terceiros e outros</v>
          </cell>
          <cell r="I1689">
            <v>500004</v>
          </cell>
          <cell r="J1689" t="str">
            <v>N/A</v>
          </cell>
          <cell r="K1689">
            <v>600001</v>
          </cell>
          <cell r="L1689">
            <v>0</v>
          </cell>
        </row>
        <row r="1690">
          <cell r="B1690" t="str">
            <v>4.1.3.01.0003</v>
          </cell>
          <cell r="C1690">
            <v>41313</v>
          </cell>
          <cell r="D1690" t="str">
            <v>Cessão ou Requisição de Pessoal</v>
          </cell>
          <cell r="E1690" t="str">
            <v>A</v>
          </cell>
          <cell r="H1690" t="str">
            <v>Outras Receitas</v>
          </cell>
          <cell r="I1690">
            <v>500003</v>
          </cell>
          <cell r="J1690" t="str">
            <v>N/A</v>
          </cell>
          <cell r="K1690">
            <v>600001</v>
          </cell>
          <cell r="L1690">
            <v>0</v>
          </cell>
        </row>
        <row r="1691">
          <cell r="B1691" t="str">
            <v>4.1.3.01.0004</v>
          </cell>
          <cell r="C1691">
            <v>41314</v>
          </cell>
          <cell r="D1691" t="str">
            <v>Publicidade</v>
          </cell>
          <cell r="E1691" t="str">
            <v>A</v>
          </cell>
          <cell r="H1691" t="str">
            <v>Materiais, utilidades, serviços de terceiros e outros</v>
          </cell>
          <cell r="I1691">
            <v>500004</v>
          </cell>
          <cell r="J1691" t="str">
            <v>N/A</v>
          </cell>
          <cell r="K1691">
            <v>600001</v>
          </cell>
          <cell r="L1691">
            <v>0</v>
          </cell>
        </row>
        <row r="1692">
          <cell r="B1692" t="str">
            <v>4.1.3.01.0005</v>
          </cell>
          <cell r="C1692">
            <v>41315</v>
          </cell>
          <cell r="D1692" t="str">
            <v>Cursos, Seminários e Convenções</v>
          </cell>
          <cell r="E1692" t="str">
            <v>A</v>
          </cell>
          <cell r="H1692" t="str">
            <v>Materiais, utilidades, serviços de terceiros e outros</v>
          </cell>
          <cell r="I1692">
            <v>500004</v>
          </cell>
          <cell r="J1692" t="str">
            <v>N/A</v>
          </cell>
          <cell r="K1692">
            <v>600001</v>
          </cell>
          <cell r="L1692">
            <v>0</v>
          </cell>
        </row>
        <row r="1693">
          <cell r="B1693" t="str">
            <v>4.1.3.01.0006</v>
          </cell>
          <cell r="C1693">
            <v>41316</v>
          </cell>
          <cell r="D1693" t="str">
            <v>Serviços de Processamentos de Dados</v>
          </cell>
          <cell r="E1693" t="str">
            <v>A</v>
          </cell>
          <cell r="H1693" t="str">
            <v>Materiais, utilidades, serviços de terceiros e outros</v>
          </cell>
          <cell r="I1693">
            <v>500004</v>
          </cell>
          <cell r="J1693" t="str">
            <v>N/A</v>
          </cell>
          <cell r="K1693">
            <v>600001</v>
          </cell>
          <cell r="L1693">
            <v>0</v>
          </cell>
        </row>
        <row r="1694">
          <cell r="B1694" t="str">
            <v>4.1.3.01.0007</v>
          </cell>
          <cell r="C1694">
            <v>41317</v>
          </cell>
          <cell r="D1694" t="str">
            <v>Serviços de Manut. Equip. de Informática</v>
          </cell>
          <cell r="E1694" t="str">
            <v>A</v>
          </cell>
          <cell r="H1694" t="str">
            <v>Materiais, utilidades, serviços de terceiros e outros</v>
          </cell>
          <cell r="I1694">
            <v>500004</v>
          </cell>
          <cell r="J1694" t="str">
            <v>N/A</v>
          </cell>
          <cell r="K1694">
            <v>600001</v>
          </cell>
          <cell r="L1694">
            <v>0</v>
          </cell>
        </row>
        <row r="1695">
          <cell r="B1695" t="str">
            <v>4.1.3.01.0008</v>
          </cell>
          <cell r="C1695">
            <v>41318</v>
          </cell>
          <cell r="D1695" t="str">
            <v>Serv. Contábeis, Folha Pgto e  Auditoria</v>
          </cell>
          <cell r="E1695" t="str">
            <v>A</v>
          </cell>
          <cell r="H1695" t="str">
            <v>Materiais, utilidades, serviços de terceiros e outros</v>
          </cell>
          <cell r="I1695">
            <v>500004</v>
          </cell>
          <cell r="J1695" t="str">
            <v>N/A</v>
          </cell>
          <cell r="K1695">
            <v>600001</v>
          </cell>
          <cell r="L1695">
            <v>0</v>
          </cell>
        </row>
        <row r="1696">
          <cell r="B1696" t="str">
            <v>4.1.3.01.0009</v>
          </cell>
          <cell r="C1696">
            <v>41319</v>
          </cell>
          <cell r="D1696" t="str">
            <v>Serviços de Limpeza</v>
          </cell>
          <cell r="E1696" t="str">
            <v>A</v>
          </cell>
          <cell r="H1696" t="str">
            <v>Materiais, utilidades, serviços de terceiros e outros</v>
          </cell>
          <cell r="I1696">
            <v>500004</v>
          </cell>
          <cell r="J1696" t="str">
            <v>N/A</v>
          </cell>
          <cell r="K1696">
            <v>600001</v>
          </cell>
          <cell r="L1696">
            <v>0</v>
          </cell>
        </row>
        <row r="1697">
          <cell r="B1697" t="str">
            <v>4.1.3.01.0010</v>
          </cell>
          <cell r="C1697">
            <v>413110</v>
          </cell>
          <cell r="D1697" t="str">
            <v>Serviços de Segurança</v>
          </cell>
          <cell r="E1697" t="str">
            <v>A</v>
          </cell>
          <cell r="H1697" t="str">
            <v>Materiais, utilidades, serviços de terceiros e outros</v>
          </cell>
          <cell r="I1697">
            <v>500004</v>
          </cell>
          <cell r="J1697" t="str">
            <v>N/A</v>
          </cell>
          <cell r="K1697">
            <v>600001</v>
          </cell>
          <cell r="L1697">
            <v>0</v>
          </cell>
        </row>
        <row r="1698">
          <cell r="B1698" t="str">
            <v>4.1.3.01.0011</v>
          </cell>
          <cell r="C1698">
            <v>413111</v>
          </cell>
          <cell r="D1698" t="str">
            <v>Gastos com licença ambiental</v>
          </cell>
          <cell r="E1698" t="str">
            <v>A</v>
          </cell>
          <cell r="H1698" t="str">
            <v>Materiais, utilidades, serviços de terceiros e outros</v>
          </cell>
          <cell r="I1698">
            <v>500004</v>
          </cell>
          <cell r="J1698" t="str">
            <v>N/A</v>
          </cell>
          <cell r="K1698">
            <v>600001</v>
          </cell>
          <cell r="L1698">
            <v>0</v>
          </cell>
        </row>
        <row r="1699">
          <cell r="B1699" t="str">
            <v>4.1.3.01.0012</v>
          </cell>
          <cell r="C1699">
            <v>413112</v>
          </cell>
          <cell r="D1699" t="str">
            <v>Serviços Gerais</v>
          </cell>
          <cell r="E1699" t="str">
            <v>A</v>
          </cell>
          <cell r="H1699" t="str">
            <v>Materiais, utilidades, serviços de terceiros e outros</v>
          </cell>
          <cell r="I1699">
            <v>500004</v>
          </cell>
          <cell r="J1699" t="str">
            <v>N/A</v>
          </cell>
          <cell r="K1699">
            <v>600001</v>
          </cell>
          <cell r="L1699">
            <v>0</v>
          </cell>
        </row>
        <row r="1700">
          <cell r="B1700" t="str">
            <v>4.1.3.01.0013</v>
          </cell>
          <cell r="C1700">
            <v>413113</v>
          </cell>
          <cell r="D1700" t="str">
            <v>Locação de Veículos</v>
          </cell>
          <cell r="E1700" t="str">
            <v>A</v>
          </cell>
          <cell r="H1700" t="str">
            <v>Alugueis</v>
          </cell>
          <cell r="I1700">
            <v>500017</v>
          </cell>
          <cell r="J1700" t="str">
            <v>N/A</v>
          </cell>
          <cell r="K1700">
            <v>600001</v>
          </cell>
          <cell r="L1700">
            <v>0</v>
          </cell>
        </row>
        <row r="1701">
          <cell r="B1701" t="str">
            <v>4.1.3.01.0014</v>
          </cell>
          <cell r="C1701">
            <v>413114</v>
          </cell>
          <cell r="D1701" t="str">
            <v>Cessão Temporária e Manutenção de Softwa</v>
          </cell>
          <cell r="E1701" t="str">
            <v>A</v>
          </cell>
          <cell r="H1701" t="str">
            <v>Materiais, utilidades, serviços de terceiros e outros</v>
          </cell>
          <cell r="I1701">
            <v>500004</v>
          </cell>
          <cell r="J1701" t="str">
            <v>N/A</v>
          </cell>
          <cell r="K1701">
            <v>600001</v>
          </cell>
          <cell r="L1701">
            <v>0</v>
          </cell>
        </row>
        <row r="1702">
          <cell r="B1702" t="str">
            <v>4.1.3.01.0015</v>
          </cell>
          <cell r="C1702">
            <v>413115</v>
          </cell>
          <cell r="D1702" t="str">
            <v>Serviços de Clipping e Multimídia</v>
          </cell>
          <cell r="E1702" t="str">
            <v>A</v>
          </cell>
          <cell r="H1702" t="str">
            <v>Materiais, utilidades, serviços de terceiros e outros</v>
          </cell>
          <cell r="I1702">
            <v>500004</v>
          </cell>
          <cell r="J1702" t="str">
            <v>N/A</v>
          </cell>
          <cell r="K1702">
            <v>600001</v>
          </cell>
          <cell r="L1702">
            <v>0</v>
          </cell>
        </row>
        <row r="1703">
          <cell r="B1703" t="str">
            <v>4.1.3.01.0017</v>
          </cell>
          <cell r="C1703">
            <v>413117</v>
          </cell>
          <cell r="D1703" t="str">
            <v>Custos com Estagiarios</v>
          </cell>
          <cell r="E1703" t="str">
            <v>A</v>
          </cell>
          <cell r="H1703" t="str">
            <v>Remuneração Direta</v>
          </cell>
          <cell r="I1703">
            <v>500008</v>
          </cell>
          <cell r="J1703" t="str">
            <v>N/A</v>
          </cell>
          <cell r="K1703">
            <v>600001</v>
          </cell>
          <cell r="L1703">
            <v>0</v>
          </cell>
        </row>
        <row r="1704">
          <cell r="B1704" t="str">
            <v>4.1.3.01.0018</v>
          </cell>
          <cell r="C1704">
            <v>413118</v>
          </cell>
          <cell r="D1704" t="str">
            <v>Custos com Jovens Aprendiz</v>
          </cell>
          <cell r="E1704" t="str">
            <v>A</v>
          </cell>
          <cell r="H1704" t="str">
            <v>Remuneração Direta</v>
          </cell>
          <cell r="I1704">
            <v>500008</v>
          </cell>
          <cell r="J1704" t="str">
            <v>N/A</v>
          </cell>
          <cell r="K1704">
            <v>600001</v>
          </cell>
          <cell r="L1704">
            <v>0</v>
          </cell>
        </row>
        <row r="1705">
          <cell r="B1705" t="str">
            <v>4.1.3.01.0997</v>
          </cell>
          <cell r="C1705">
            <v>4131997</v>
          </cell>
          <cell r="D1705" t="str">
            <v>Serviço Prestado PF</v>
          </cell>
          <cell r="E1705" t="str">
            <v>A</v>
          </cell>
          <cell r="H1705" t="str">
            <v>Materiais, utilidades, serviços de terceiros e outros</v>
          </cell>
          <cell r="I1705">
            <v>500004</v>
          </cell>
          <cell r="J1705" t="str">
            <v>N/A</v>
          </cell>
          <cell r="K1705">
            <v>600001</v>
          </cell>
          <cell r="L1705">
            <v>0</v>
          </cell>
        </row>
        <row r="1706">
          <cell r="B1706" t="str">
            <v>4.1.3.01.0998</v>
          </cell>
          <cell r="C1706">
            <v>4131998</v>
          </cell>
          <cell r="D1706" t="str">
            <v>(-) Reemb. de custos - Convênios</v>
          </cell>
          <cell r="E1706" t="str">
            <v>A</v>
          </cell>
          <cell r="H1706" t="str">
            <v>Outras Receitas</v>
          </cell>
          <cell r="I1706">
            <v>500003</v>
          </cell>
          <cell r="J1706" t="str">
            <v>N/A</v>
          </cell>
          <cell r="K1706">
            <v>600001</v>
          </cell>
          <cell r="L1706">
            <v>0</v>
          </cell>
        </row>
        <row r="1707">
          <cell r="B1707" t="str">
            <v>4.1.3.01.0999</v>
          </cell>
          <cell r="C1707">
            <v>4131999</v>
          </cell>
          <cell r="D1707" t="str">
            <v>Outros Serviços</v>
          </cell>
          <cell r="E1707" t="str">
            <v>A</v>
          </cell>
          <cell r="H1707" t="str">
            <v>Materiais, utilidades, serviços de terceiros e outros</v>
          </cell>
          <cell r="I1707">
            <v>500004</v>
          </cell>
          <cell r="J1707" t="str">
            <v>N/A</v>
          </cell>
          <cell r="K1707">
            <v>600001</v>
          </cell>
          <cell r="L1707">
            <v>0</v>
          </cell>
        </row>
        <row r="1708">
          <cell r="B1708" t="str">
            <v>4.1.3.02</v>
          </cell>
          <cell r="C1708">
            <v>4132</v>
          </cell>
          <cell r="D1708" t="str">
            <v>Serviços de Terceiros Estrangeiros</v>
          </cell>
          <cell r="E1708" t="str">
            <v>S</v>
          </cell>
        </row>
        <row r="1709">
          <cell r="B1709" t="str">
            <v>4.1.3.02.0001</v>
          </cell>
          <cell r="C1709">
            <v>41321</v>
          </cell>
          <cell r="D1709" t="str">
            <v>Serviços de Consultoria</v>
          </cell>
          <cell r="E1709" t="str">
            <v>A</v>
          </cell>
          <cell r="H1709" t="str">
            <v>Materiais, utilidades, serviços de terceiros e outros</v>
          </cell>
          <cell r="I1709">
            <v>500004</v>
          </cell>
          <cell r="J1709" t="str">
            <v>N/A</v>
          </cell>
          <cell r="K1709">
            <v>600001</v>
          </cell>
          <cell r="L1709">
            <v>0</v>
          </cell>
        </row>
        <row r="1710">
          <cell r="B1710" t="str">
            <v>4.1.3.02.0002</v>
          </cell>
          <cell r="C1710">
            <v>41322</v>
          </cell>
          <cell r="D1710" t="str">
            <v>Cessão Temporária e Manutenção de Softwa</v>
          </cell>
          <cell r="E1710" t="str">
            <v>A</v>
          </cell>
          <cell r="H1710" t="str">
            <v>Materiais, utilidades, serviços de terceiros e outros</v>
          </cell>
          <cell r="I1710">
            <v>500004</v>
          </cell>
          <cell r="J1710" t="str">
            <v>N/A</v>
          </cell>
          <cell r="K1710">
            <v>600001</v>
          </cell>
          <cell r="L1710">
            <v>0</v>
          </cell>
        </row>
        <row r="1711">
          <cell r="B1711" t="str">
            <v>4.1.3.02.0999</v>
          </cell>
          <cell r="C1711">
            <v>4132999</v>
          </cell>
          <cell r="D1711" t="str">
            <v>Outros Serviços</v>
          </cell>
          <cell r="E1711" t="str">
            <v>A</v>
          </cell>
          <cell r="H1711" t="str">
            <v>Materiais, utilidades, serviços de terceiros e outros</v>
          </cell>
          <cell r="I1711">
            <v>500004</v>
          </cell>
          <cell r="J1711" t="str">
            <v>N/A</v>
          </cell>
          <cell r="K1711">
            <v>600001</v>
          </cell>
          <cell r="L1711">
            <v>0</v>
          </cell>
        </row>
        <row r="1712">
          <cell r="B1712" t="str">
            <v>4.1.4</v>
          </cell>
          <cell r="C1712">
            <v>414</v>
          </cell>
          <cell r="D1712" t="str">
            <v>Custos c/ Tributos - Serviços</v>
          </cell>
          <cell r="E1712" t="str">
            <v>S</v>
          </cell>
        </row>
        <row r="1713">
          <cell r="B1713" t="str">
            <v>4.1.4.01</v>
          </cell>
          <cell r="C1713">
            <v>4141</v>
          </cell>
          <cell r="D1713" t="str">
            <v>Impostos, Taxas e Contribuições</v>
          </cell>
          <cell r="E1713" t="str">
            <v>S</v>
          </cell>
        </row>
        <row r="1714">
          <cell r="B1714" t="str">
            <v>4.1.4.01.0001</v>
          </cell>
          <cell r="C1714">
            <v>41411</v>
          </cell>
          <cell r="D1714" t="str">
            <v>ITR</v>
          </cell>
          <cell r="E1714" t="str">
            <v>A</v>
          </cell>
          <cell r="H1714" t="str">
            <v>Federais (inclui a contribuição previdenciária e sindical)</v>
          </cell>
          <cell r="I1714">
            <v>500012</v>
          </cell>
          <cell r="J1714" t="str">
            <v>N/A</v>
          </cell>
          <cell r="K1714">
            <v>600001</v>
          </cell>
          <cell r="L1714">
            <v>0</v>
          </cell>
        </row>
        <row r="1715">
          <cell r="B1715" t="str">
            <v>4.1.4.01.0002</v>
          </cell>
          <cell r="C1715">
            <v>41412</v>
          </cell>
          <cell r="D1715" t="str">
            <v>IPTU</v>
          </cell>
          <cell r="E1715" t="str">
            <v>A</v>
          </cell>
          <cell r="H1715" t="str">
            <v xml:space="preserve">Municipais </v>
          </cell>
          <cell r="I1715">
            <v>500014</v>
          </cell>
          <cell r="J1715" t="str">
            <v>N/A</v>
          </cell>
          <cell r="K1715">
            <v>600001</v>
          </cell>
          <cell r="L1715">
            <v>0</v>
          </cell>
        </row>
        <row r="1716">
          <cell r="B1716" t="str">
            <v>4.1.4.01.0003</v>
          </cell>
          <cell r="C1716">
            <v>41413</v>
          </cell>
          <cell r="D1716" t="str">
            <v>IPVA</v>
          </cell>
          <cell r="E1716" t="str">
            <v>A</v>
          </cell>
          <cell r="H1716" t="str">
            <v>Estaduais (inclui IPVA)</v>
          </cell>
          <cell r="I1716">
            <v>500013</v>
          </cell>
          <cell r="J1716" t="str">
            <v>N/A</v>
          </cell>
          <cell r="K1716">
            <v>600001</v>
          </cell>
          <cell r="L1716">
            <v>0</v>
          </cell>
        </row>
        <row r="1717">
          <cell r="B1717" t="str">
            <v>4.1.4.01.0004</v>
          </cell>
          <cell r="C1717">
            <v>41414</v>
          </cell>
          <cell r="D1717" t="str">
            <v>Taxas Municipais</v>
          </cell>
          <cell r="E1717" t="str">
            <v>A</v>
          </cell>
          <cell r="H1717" t="str">
            <v xml:space="preserve">Municipais </v>
          </cell>
          <cell r="I1717">
            <v>500014</v>
          </cell>
          <cell r="J1717" t="str">
            <v>N/A</v>
          </cell>
          <cell r="K1717">
            <v>600001</v>
          </cell>
          <cell r="L1717">
            <v>0</v>
          </cell>
        </row>
        <row r="1718">
          <cell r="B1718" t="str">
            <v>4.1.4.01.0005</v>
          </cell>
          <cell r="C1718">
            <v>41415</v>
          </cell>
          <cell r="D1718" t="str">
            <v>Taxas de Licenciamento Ambiental Município</v>
          </cell>
          <cell r="E1718" t="str">
            <v>A</v>
          </cell>
          <cell r="H1718" t="str">
            <v xml:space="preserve">Municipais </v>
          </cell>
          <cell r="I1718">
            <v>500014</v>
          </cell>
          <cell r="J1718" t="str">
            <v>N/A</v>
          </cell>
          <cell r="K1718">
            <v>600001</v>
          </cell>
          <cell r="L1718">
            <v>0</v>
          </cell>
        </row>
        <row r="1719">
          <cell r="B1719" t="str">
            <v>4.1.4.01.0006</v>
          </cell>
          <cell r="C1719">
            <v>41416</v>
          </cell>
          <cell r="D1719" t="str">
            <v>Outros Impostos e Taxas</v>
          </cell>
          <cell r="E1719" t="str">
            <v>A</v>
          </cell>
          <cell r="H1719" t="str">
            <v>Federais (inclui a contribuição previdenciária e sindical)</v>
          </cell>
          <cell r="I1719">
            <v>500012</v>
          </cell>
          <cell r="J1719" t="str">
            <v>N/A</v>
          </cell>
          <cell r="K1719">
            <v>600001</v>
          </cell>
          <cell r="L1719">
            <v>0</v>
          </cell>
        </row>
        <row r="1720">
          <cell r="B1720" t="str">
            <v>4.1.4.01.0007</v>
          </cell>
          <cell r="C1720">
            <v>41417</v>
          </cell>
          <cell r="D1720" t="str">
            <v>Taxas de Licenciamento Ambiental Estado</v>
          </cell>
          <cell r="E1720" t="str">
            <v>A</v>
          </cell>
          <cell r="H1720" t="str">
            <v>Estaduais (inclui IPVA)</v>
          </cell>
          <cell r="I1720">
            <v>500013</v>
          </cell>
          <cell r="J1720" t="str">
            <v>N/A</v>
          </cell>
          <cell r="K1720">
            <v>600001</v>
          </cell>
          <cell r="L1720">
            <v>0</v>
          </cell>
        </row>
        <row r="1721">
          <cell r="B1721" t="str">
            <v>4.1.4.01.0008</v>
          </cell>
          <cell r="C1721">
            <v>41418</v>
          </cell>
          <cell r="D1721" t="str">
            <v>Taxas Estaduais</v>
          </cell>
          <cell r="E1721" t="str">
            <v>A</v>
          </cell>
          <cell r="H1721" t="str">
            <v>Estaduais (inclui IPVA)</v>
          </cell>
          <cell r="I1721">
            <v>500013</v>
          </cell>
          <cell r="J1721" t="str">
            <v>N/A</v>
          </cell>
          <cell r="K1721">
            <v>600001</v>
          </cell>
          <cell r="L1721">
            <v>0</v>
          </cell>
        </row>
        <row r="1722">
          <cell r="B1722" t="str">
            <v>4.1.5</v>
          </cell>
          <cell r="C1722">
            <v>415</v>
          </cell>
          <cell r="D1722" t="str">
            <v>Custos c/ Provisões - Serviços</v>
          </cell>
          <cell r="E1722" t="str">
            <v>S</v>
          </cell>
        </row>
        <row r="1723">
          <cell r="B1723" t="str">
            <v>4.1.5.01</v>
          </cell>
          <cell r="C1723">
            <v>4151</v>
          </cell>
          <cell r="D1723" t="str">
            <v>Provisões p/Contingências</v>
          </cell>
          <cell r="E1723" t="str">
            <v>S</v>
          </cell>
        </row>
        <row r="1724">
          <cell r="B1724" t="str">
            <v>4.1.5.01.0001</v>
          </cell>
          <cell r="C1724">
            <v>41511</v>
          </cell>
          <cell r="D1724" t="str">
            <v>Provisões p/ Contingências Trabalhistas</v>
          </cell>
          <cell r="E1724" t="str">
            <v>A</v>
          </cell>
          <cell r="H1724" t="str">
            <v>Contingências/indenizações trabalhistas</v>
          </cell>
          <cell r="I1724">
            <v>500011</v>
          </cell>
          <cell r="J1724" t="str">
            <v>N/A</v>
          </cell>
          <cell r="K1724">
            <v>600001</v>
          </cell>
          <cell r="L1724">
            <v>0</v>
          </cell>
        </row>
        <row r="1725">
          <cell r="B1725" t="str">
            <v>4.1.5.01.0002</v>
          </cell>
          <cell r="C1725">
            <v>41512</v>
          </cell>
          <cell r="D1725" t="str">
            <v>Provisões p/ Contingências Cíveis</v>
          </cell>
          <cell r="E1725" t="str">
            <v>A</v>
          </cell>
          <cell r="H1725" t="str">
            <v>Contingências fiscais</v>
          </cell>
          <cell r="I1725">
            <v>500015</v>
          </cell>
          <cell r="J1725" t="str">
            <v>N/A</v>
          </cell>
          <cell r="K1725">
            <v>600001</v>
          </cell>
          <cell r="L1725">
            <v>0</v>
          </cell>
        </row>
        <row r="1726">
          <cell r="B1726" t="str">
            <v>4.1.5.01.0003</v>
          </cell>
          <cell r="C1726">
            <v>41513</v>
          </cell>
          <cell r="D1726" t="str">
            <v>Provisões p/ Contingências Fiscais</v>
          </cell>
          <cell r="E1726" t="str">
            <v>A</v>
          </cell>
          <cell r="H1726" t="str">
            <v>Contingências fiscais</v>
          </cell>
          <cell r="I1726">
            <v>500015</v>
          </cell>
          <cell r="J1726" t="str">
            <v>N/A</v>
          </cell>
          <cell r="K1726">
            <v>600001</v>
          </cell>
          <cell r="L1726">
            <v>0</v>
          </cell>
        </row>
        <row r="1727">
          <cell r="B1727" t="str">
            <v>4.1.5.01.0999</v>
          </cell>
          <cell r="C1727">
            <v>4151999</v>
          </cell>
          <cell r="D1727" t="str">
            <v>Outras Provisões</v>
          </cell>
          <cell r="E1727" t="str">
            <v>A</v>
          </cell>
          <cell r="H1727" t="str">
            <v xml:space="preserve">Outras </v>
          </cell>
          <cell r="I1727">
            <v>500018</v>
          </cell>
          <cell r="J1727" t="str">
            <v>N/A</v>
          </cell>
          <cell r="K1727">
            <v>600001</v>
          </cell>
          <cell r="L1727">
            <v>0</v>
          </cell>
        </row>
        <row r="1728">
          <cell r="B1728" t="str">
            <v>4.1.6</v>
          </cell>
          <cell r="C1728">
            <v>416</v>
          </cell>
          <cell r="D1728" t="str">
            <v>Custos Gerais - Serviços</v>
          </cell>
          <cell r="E1728" t="str">
            <v>S</v>
          </cell>
        </row>
        <row r="1729">
          <cell r="B1729" t="str">
            <v>4.1.6.01</v>
          </cell>
          <cell r="C1729">
            <v>4161</v>
          </cell>
          <cell r="D1729" t="str">
            <v>Custos de Funcionamento das Instalações</v>
          </cell>
          <cell r="E1729" t="str">
            <v>S</v>
          </cell>
        </row>
        <row r="1730">
          <cell r="B1730" t="str">
            <v>4.1.6.01.0001</v>
          </cell>
          <cell r="C1730">
            <v>41611</v>
          </cell>
          <cell r="D1730" t="str">
            <v>Aluguéis</v>
          </cell>
          <cell r="E1730" t="str">
            <v>A</v>
          </cell>
          <cell r="H1730" t="str">
            <v>Alugueis</v>
          </cell>
          <cell r="I1730">
            <v>500017</v>
          </cell>
          <cell r="J1730" t="str">
            <v>N/A</v>
          </cell>
          <cell r="K1730">
            <v>600001</v>
          </cell>
          <cell r="L1730">
            <v>0</v>
          </cell>
        </row>
        <row r="1731">
          <cell r="B1731" t="str">
            <v>4.1.6.01.0002</v>
          </cell>
          <cell r="C1731">
            <v>41612</v>
          </cell>
          <cell r="D1731" t="str">
            <v>Arrendamento Mercantil</v>
          </cell>
          <cell r="E1731" t="str">
            <v>A</v>
          </cell>
          <cell r="H1731" t="str">
            <v>Alugueis</v>
          </cell>
          <cell r="I1731">
            <v>500017</v>
          </cell>
          <cell r="J1731" t="str">
            <v>N/A</v>
          </cell>
          <cell r="K1731">
            <v>600001</v>
          </cell>
          <cell r="L1731">
            <v>0</v>
          </cell>
        </row>
        <row r="1732">
          <cell r="B1732" t="str">
            <v>4.1.6.01.0003</v>
          </cell>
          <cell r="C1732">
            <v>41613</v>
          </cell>
          <cell r="D1732" t="str">
            <v>Manutenção e Reparos</v>
          </cell>
          <cell r="E1732" t="str">
            <v>A</v>
          </cell>
          <cell r="H1732" t="str">
            <v>Materiais, utilidades, serviços de terceiros e outros</v>
          </cell>
          <cell r="I1732">
            <v>500004</v>
          </cell>
          <cell r="J1732" t="str">
            <v>N/A</v>
          </cell>
          <cell r="K1732">
            <v>600001</v>
          </cell>
          <cell r="L1732">
            <v>0</v>
          </cell>
        </row>
        <row r="1733">
          <cell r="B1733" t="str">
            <v>4.1.6.01.0004</v>
          </cell>
          <cell r="C1733">
            <v>41614</v>
          </cell>
          <cell r="D1733" t="str">
            <v>Energia Elétrica</v>
          </cell>
          <cell r="E1733" t="str">
            <v>A</v>
          </cell>
          <cell r="H1733" t="str">
            <v>Materiais, utilidades, serviços de terceiros e outros</v>
          </cell>
          <cell r="I1733">
            <v>500004</v>
          </cell>
          <cell r="J1733" t="str">
            <v>N/A</v>
          </cell>
          <cell r="K1733">
            <v>600001</v>
          </cell>
          <cell r="L1733">
            <v>0</v>
          </cell>
        </row>
        <row r="1734">
          <cell r="B1734" t="str">
            <v>4.1.6.01.0005</v>
          </cell>
          <cell r="C1734">
            <v>41615</v>
          </cell>
          <cell r="D1734" t="str">
            <v>Água e Esgoto</v>
          </cell>
          <cell r="E1734" t="str">
            <v>A</v>
          </cell>
          <cell r="H1734" t="str">
            <v>Materiais, utilidades, serviços de terceiros e outros</v>
          </cell>
          <cell r="I1734">
            <v>500004</v>
          </cell>
          <cell r="J1734" t="str">
            <v>N/A</v>
          </cell>
          <cell r="K1734">
            <v>600001</v>
          </cell>
          <cell r="L1734">
            <v>0</v>
          </cell>
        </row>
        <row r="1735">
          <cell r="B1735" t="str">
            <v>4.1.6.01.0006</v>
          </cell>
          <cell r="C1735">
            <v>41616</v>
          </cell>
          <cell r="D1735" t="str">
            <v>Telecomunicações</v>
          </cell>
          <cell r="E1735" t="str">
            <v>A</v>
          </cell>
          <cell r="H1735" t="str">
            <v>Materiais, utilidades, serviços de terceiros e outros</v>
          </cell>
          <cell r="I1735">
            <v>500004</v>
          </cell>
          <cell r="J1735" t="str">
            <v>N/A</v>
          </cell>
          <cell r="K1735">
            <v>600001</v>
          </cell>
          <cell r="L1735">
            <v>0</v>
          </cell>
        </row>
        <row r="1736">
          <cell r="B1736" t="str">
            <v>4.1.6.01.0007</v>
          </cell>
          <cell r="C1736">
            <v>41617</v>
          </cell>
          <cell r="D1736" t="str">
            <v>Correios e Malotes</v>
          </cell>
          <cell r="E1736" t="str">
            <v>A</v>
          </cell>
          <cell r="H1736" t="str">
            <v>Materiais, utilidades, serviços de terceiros e outros</v>
          </cell>
          <cell r="I1736">
            <v>500004</v>
          </cell>
          <cell r="J1736" t="str">
            <v>N/A</v>
          </cell>
          <cell r="K1736">
            <v>600001</v>
          </cell>
          <cell r="L1736">
            <v>0</v>
          </cell>
        </row>
        <row r="1737">
          <cell r="B1737" t="str">
            <v>4.1.6.01.0008</v>
          </cell>
          <cell r="C1737">
            <v>41618</v>
          </cell>
          <cell r="D1737" t="str">
            <v>Reproduções</v>
          </cell>
          <cell r="E1737" t="str">
            <v>A</v>
          </cell>
          <cell r="H1737" t="str">
            <v>Materiais, utilidades, serviços de terceiros e outros</v>
          </cell>
          <cell r="I1737">
            <v>500004</v>
          </cell>
          <cell r="J1737" t="str">
            <v>N/A</v>
          </cell>
          <cell r="K1737">
            <v>600001</v>
          </cell>
          <cell r="L1737">
            <v>0</v>
          </cell>
        </row>
        <row r="1738">
          <cell r="B1738" t="str">
            <v>4.1.6.01.0009</v>
          </cell>
          <cell r="C1738">
            <v>41619</v>
          </cell>
          <cell r="D1738" t="str">
            <v>Seguros</v>
          </cell>
          <cell r="E1738" t="str">
            <v>A</v>
          </cell>
          <cell r="H1738" t="str">
            <v>Materiais, utilidades, serviços de terceiros e outros</v>
          </cell>
          <cell r="I1738">
            <v>500004</v>
          </cell>
          <cell r="J1738" t="str">
            <v>N/A</v>
          </cell>
          <cell r="K1738">
            <v>600001</v>
          </cell>
          <cell r="L1738">
            <v>0</v>
          </cell>
        </row>
        <row r="1739">
          <cell r="B1739" t="str">
            <v>4.1.6.01.0010</v>
          </cell>
          <cell r="C1739">
            <v>416110</v>
          </cell>
          <cell r="D1739" t="str">
            <v>Conduções</v>
          </cell>
          <cell r="E1739" t="str">
            <v>A</v>
          </cell>
          <cell r="H1739" t="str">
            <v>Materiais, utilidades, serviços de terceiros e outros</v>
          </cell>
          <cell r="I1739">
            <v>500004</v>
          </cell>
          <cell r="J1739" t="str">
            <v>N/A</v>
          </cell>
          <cell r="K1739">
            <v>600001</v>
          </cell>
          <cell r="L1739">
            <v>0</v>
          </cell>
        </row>
        <row r="1740">
          <cell r="B1740" t="str">
            <v>4.1.6.01.0011</v>
          </cell>
          <cell r="C1740">
            <v>416111</v>
          </cell>
          <cell r="D1740" t="str">
            <v>Depreciação e Amortização</v>
          </cell>
          <cell r="E1740" t="str">
            <v>A</v>
          </cell>
          <cell r="H1740" t="str">
            <v>Depreciação e Amortização</v>
          </cell>
          <cell r="I1740">
            <v>500005</v>
          </cell>
          <cell r="J1740" t="str">
            <v>N/A</v>
          </cell>
          <cell r="K1740">
            <v>600001</v>
          </cell>
          <cell r="L1740">
            <v>0</v>
          </cell>
        </row>
        <row r="1741">
          <cell r="B1741" t="str">
            <v>4.1.6.01.0012</v>
          </cell>
          <cell r="C1741">
            <v>416112</v>
          </cell>
          <cell r="D1741" t="str">
            <v>Alugueis de Móveis, Máquinas e Equip.</v>
          </cell>
          <cell r="E1741" t="str">
            <v>A</v>
          </cell>
          <cell r="H1741" t="str">
            <v>Alugueis</v>
          </cell>
          <cell r="I1741">
            <v>500017</v>
          </cell>
          <cell r="J1741" t="str">
            <v>N/A</v>
          </cell>
          <cell r="K1741">
            <v>600001</v>
          </cell>
          <cell r="L1741">
            <v>0</v>
          </cell>
        </row>
        <row r="1742">
          <cell r="B1742" t="str">
            <v>4.1.6.01.0013</v>
          </cell>
          <cell r="C1742">
            <v>416113</v>
          </cell>
          <cell r="D1742" t="str">
            <v>Aluguel de Eq de Processamento de Dados</v>
          </cell>
          <cell r="E1742" t="str">
            <v>A</v>
          </cell>
          <cell r="H1742" t="str">
            <v>Alugueis</v>
          </cell>
          <cell r="I1742">
            <v>500017</v>
          </cell>
          <cell r="J1742" t="str">
            <v>N/A</v>
          </cell>
          <cell r="K1742">
            <v>600001</v>
          </cell>
          <cell r="L1742">
            <v>0</v>
          </cell>
        </row>
        <row r="1743">
          <cell r="B1743" t="str">
            <v>4.1.6.01.0014</v>
          </cell>
          <cell r="C1743">
            <v>416114</v>
          </cell>
          <cell r="D1743" t="str">
            <v>Serviço de Limpeza e Higiene</v>
          </cell>
          <cell r="E1743" t="str">
            <v>A</v>
          </cell>
          <cell r="H1743" t="str">
            <v>Materiais, utilidades, serviços de terceiros e outros</v>
          </cell>
          <cell r="I1743">
            <v>500004</v>
          </cell>
          <cell r="J1743" t="str">
            <v>N/A</v>
          </cell>
          <cell r="K1743">
            <v>600001</v>
          </cell>
          <cell r="L1743">
            <v>0</v>
          </cell>
        </row>
        <row r="1744">
          <cell r="B1744" t="str">
            <v>4.1.6.01.0015</v>
          </cell>
          <cell r="C1744">
            <v>416115</v>
          </cell>
          <cell r="D1744" t="str">
            <v>Serviços Gerais</v>
          </cell>
          <cell r="E1744" t="str">
            <v>A</v>
          </cell>
          <cell r="H1744" t="str">
            <v>Materiais, utilidades, serviços de terceiros e outros</v>
          </cell>
          <cell r="I1744">
            <v>500004</v>
          </cell>
          <cell r="J1744" t="str">
            <v>N/A</v>
          </cell>
          <cell r="K1744">
            <v>600001</v>
          </cell>
          <cell r="L1744">
            <v>0</v>
          </cell>
        </row>
        <row r="1745">
          <cell r="B1745" t="str">
            <v>4.1.6.01.0016</v>
          </cell>
          <cell r="C1745">
            <v>416116</v>
          </cell>
          <cell r="D1745" t="str">
            <v>Condomínios</v>
          </cell>
          <cell r="E1745" t="str">
            <v>A</v>
          </cell>
          <cell r="H1745" t="str">
            <v>Materiais, utilidades, serviços de terceiros e outros</v>
          </cell>
          <cell r="I1745">
            <v>500004</v>
          </cell>
          <cell r="J1745" t="str">
            <v>N/A</v>
          </cell>
          <cell r="K1745">
            <v>600001</v>
          </cell>
          <cell r="L1745">
            <v>0</v>
          </cell>
        </row>
        <row r="1746">
          <cell r="B1746" t="str">
            <v>4.1.6.01.0998</v>
          </cell>
          <cell r="C1746">
            <v>4161998</v>
          </cell>
          <cell r="D1746" t="str">
            <v>(-) Reemb. de custos - Convênios</v>
          </cell>
          <cell r="E1746" t="str">
            <v>A</v>
          </cell>
          <cell r="H1746" t="str">
            <v>Outras Receitas</v>
          </cell>
          <cell r="I1746">
            <v>500003</v>
          </cell>
          <cell r="J1746" t="str">
            <v>N/A</v>
          </cell>
          <cell r="K1746">
            <v>600001</v>
          </cell>
          <cell r="L1746">
            <v>0</v>
          </cell>
        </row>
        <row r="1747">
          <cell r="B1747" t="str">
            <v>4.1.6.01.0999</v>
          </cell>
          <cell r="C1747">
            <v>4161999</v>
          </cell>
          <cell r="D1747" t="str">
            <v>Outros Custos Func. das Instalações</v>
          </cell>
          <cell r="E1747" t="str">
            <v>A</v>
          </cell>
          <cell r="H1747" t="str">
            <v>Materiais, utilidades, serviços de terceiros e outros</v>
          </cell>
          <cell r="I1747">
            <v>500004</v>
          </cell>
          <cell r="J1747" t="str">
            <v>N/A</v>
          </cell>
          <cell r="K1747">
            <v>600001</v>
          </cell>
          <cell r="L1747">
            <v>0</v>
          </cell>
        </row>
        <row r="1748">
          <cell r="B1748" t="str">
            <v>4.1.6.02</v>
          </cell>
          <cell r="C1748">
            <v>4162</v>
          </cell>
          <cell r="D1748" t="str">
            <v>Custos Gerais da Administração</v>
          </cell>
          <cell r="E1748" t="str">
            <v>S</v>
          </cell>
        </row>
        <row r="1749">
          <cell r="B1749" t="str">
            <v>4.1.6.02.0001</v>
          </cell>
          <cell r="C1749">
            <v>41621</v>
          </cell>
          <cell r="D1749" t="str">
            <v>Honorários da Diretoria</v>
          </cell>
          <cell r="E1749" t="str">
            <v>A</v>
          </cell>
          <cell r="H1749" t="str">
            <v>Remuneração Direta</v>
          </cell>
          <cell r="I1749">
            <v>500008</v>
          </cell>
          <cell r="J1749" t="str">
            <v>N/A</v>
          </cell>
          <cell r="K1749">
            <v>600001</v>
          </cell>
          <cell r="L1749">
            <v>0</v>
          </cell>
        </row>
        <row r="1750">
          <cell r="B1750" t="str">
            <v>4.1.6.02.0002</v>
          </cell>
          <cell r="C1750">
            <v>41622</v>
          </cell>
          <cell r="D1750" t="str">
            <v>Honorários Conselhos de Adm. e Fiscal</v>
          </cell>
          <cell r="E1750" t="str">
            <v>A</v>
          </cell>
          <cell r="H1750" t="str">
            <v>Remuneração Direta</v>
          </cell>
          <cell r="I1750">
            <v>500008</v>
          </cell>
          <cell r="J1750" t="str">
            <v>N/A</v>
          </cell>
          <cell r="K1750">
            <v>600001</v>
          </cell>
          <cell r="L1750">
            <v>0</v>
          </cell>
        </row>
        <row r="1751">
          <cell r="B1751" t="str">
            <v>4.1.6.02.0003</v>
          </cell>
          <cell r="C1751">
            <v>41623</v>
          </cell>
          <cell r="D1751" t="str">
            <v>Custos com Estagiários</v>
          </cell>
          <cell r="E1751" t="str">
            <v>A</v>
          </cell>
          <cell r="H1751" t="str">
            <v>Materiais, utilidades, serviços de terceiros e outros</v>
          </cell>
          <cell r="I1751">
            <v>500004</v>
          </cell>
          <cell r="J1751" t="str">
            <v>N/A</v>
          </cell>
          <cell r="K1751">
            <v>600001</v>
          </cell>
          <cell r="L1751">
            <v>0</v>
          </cell>
        </row>
        <row r="1752">
          <cell r="B1752" t="str">
            <v>4.1.6.02.0004</v>
          </cell>
          <cell r="C1752">
            <v>41624</v>
          </cell>
          <cell r="D1752" t="str">
            <v>Custos de Viagens - Passagens Aéreas</v>
          </cell>
          <cell r="E1752" t="str">
            <v>A</v>
          </cell>
          <cell r="H1752" t="str">
            <v>Materiais, utilidades, serviços de terceiros e outros</v>
          </cell>
          <cell r="I1752">
            <v>500004</v>
          </cell>
          <cell r="J1752" t="str">
            <v>N/A</v>
          </cell>
          <cell r="K1752">
            <v>600001</v>
          </cell>
          <cell r="L1752">
            <v>0</v>
          </cell>
        </row>
        <row r="1753">
          <cell r="B1753" t="str">
            <v>4.1.6.02.0005</v>
          </cell>
          <cell r="C1753">
            <v>41625</v>
          </cell>
          <cell r="D1753" t="str">
            <v>Custos de Viagens - Hospedagens</v>
          </cell>
          <cell r="E1753" t="str">
            <v>A</v>
          </cell>
          <cell r="H1753" t="str">
            <v>Materiais, utilidades, serviços de terceiros e outros</v>
          </cell>
          <cell r="I1753">
            <v>500004</v>
          </cell>
          <cell r="J1753" t="str">
            <v>N/A</v>
          </cell>
          <cell r="K1753">
            <v>600001</v>
          </cell>
          <cell r="L1753">
            <v>0</v>
          </cell>
        </row>
        <row r="1754">
          <cell r="B1754" t="str">
            <v>4.1.6.02.0006</v>
          </cell>
          <cell r="C1754">
            <v>41626</v>
          </cell>
          <cell r="D1754" t="str">
            <v>Custos de Viagens - Outros</v>
          </cell>
          <cell r="E1754" t="str">
            <v>A</v>
          </cell>
          <cell r="H1754" t="str">
            <v>Materiais, utilidades, serviços de terceiros e outros</v>
          </cell>
          <cell r="I1754">
            <v>500004</v>
          </cell>
          <cell r="J1754" t="str">
            <v>N/A</v>
          </cell>
          <cell r="K1754">
            <v>600001</v>
          </cell>
          <cell r="L1754">
            <v>0</v>
          </cell>
        </row>
        <row r="1755">
          <cell r="B1755" t="str">
            <v>4.1.6.02.0007</v>
          </cell>
          <cell r="C1755">
            <v>41627</v>
          </cell>
          <cell r="D1755" t="str">
            <v xml:space="preserve">Assinatura Banco de Dados e Portais </v>
          </cell>
          <cell r="E1755" t="str">
            <v>A</v>
          </cell>
          <cell r="H1755" t="str">
            <v>Materiais, utilidades, serviços de terceiros e outros</v>
          </cell>
          <cell r="I1755">
            <v>500004</v>
          </cell>
          <cell r="J1755" t="str">
            <v>N/A</v>
          </cell>
          <cell r="K1755">
            <v>600001</v>
          </cell>
          <cell r="L1755">
            <v>0</v>
          </cell>
        </row>
        <row r="1756">
          <cell r="B1756" t="str">
            <v>4.1.6.02.0008</v>
          </cell>
          <cell r="C1756">
            <v>41628</v>
          </cell>
          <cell r="D1756" t="str">
            <v>Donativos e Contribuições</v>
          </cell>
          <cell r="E1756" t="str">
            <v>A</v>
          </cell>
          <cell r="H1756" t="str">
            <v>Materiais, utilidades, serviços de terceiros e outros</v>
          </cell>
          <cell r="I1756">
            <v>500004</v>
          </cell>
          <cell r="J1756" t="str">
            <v>N/A</v>
          </cell>
          <cell r="K1756">
            <v>600001</v>
          </cell>
          <cell r="L1756">
            <v>0</v>
          </cell>
        </row>
        <row r="1757">
          <cell r="B1757" t="str">
            <v>4.1.6.02.0009</v>
          </cell>
          <cell r="C1757">
            <v>41629</v>
          </cell>
          <cell r="D1757" t="str">
            <v>Custos Legais e Judiciais</v>
          </cell>
          <cell r="E1757" t="str">
            <v>A</v>
          </cell>
          <cell r="H1757" t="str">
            <v>Materiais, utilidades, serviços de terceiros e outros</v>
          </cell>
          <cell r="I1757">
            <v>500004</v>
          </cell>
          <cell r="J1757" t="str">
            <v>N/A</v>
          </cell>
          <cell r="K1757">
            <v>600001</v>
          </cell>
          <cell r="L1757">
            <v>0</v>
          </cell>
        </row>
        <row r="1758">
          <cell r="B1758" t="str">
            <v>4.1.6.02.0010</v>
          </cell>
          <cell r="C1758">
            <v>416210</v>
          </cell>
          <cell r="D1758" t="str">
            <v>Custo de Viagem ao Exterior</v>
          </cell>
          <cell r="E1758" t="str">
            <v>A</v>
          </cell>
          <cell r="H1758" t="str">
            <v>Materiais, utilidades, serviços de terceiros e outros</v>
          </cell>
          <cell r="I1758">
            <v>500004</v>
          </cell>
          <cell r="J1758" t="str">
            <v>N/A</v>
          </cell>
          <cell r="K1758">
            <v>600001</v>
          </cell>
          <cell r="L1758">
            <v>0</v>
          </cell>
        </row>
        <row r="1759">
          <cell r="B1759" t="str">
            <v>4.1.6.02.0011</v>
          </cell>
          <cell r="C1759">
            <v>416211</v>
          </cell>
          <cell r="D1759" t="str">
            <v>DESPESAS NÃO DEDUTIVEIS</v>
          </cell>
          <cell r="E1759" t="str">
            <v>A</v>
          </cell>
          <cell r="H1759" t="str">
            <v>Materiais, utilidades, serviços de terceiros e outros</v>
          </cell>
          <cell r="I1759">
            <v>500004</v>
          </cell>
          <cell r="J1759" t="str">
            <v>N/A</v>
          </cell>
          <cell r="K1759">
            <v>600001</v>
          </cell>
          <cell r="L1759">
            <v>0</v>
          </cell>
        </row>
        <row r="1760">
          <cell r="B1760" t="str">
            <v>4.1.6.02.0998</v>
          </cell>
          <cell r="C1760">
            <v>4162998</v>
          </cell>
          <cell r="D1760" t="str">
            <v>(-) Reemb. de custos - Convênios</v>
          </cell>
          <cell r="E1760" t="str">
            <v>A</v>
          </cell>
          <cell r="H1760" t="str">
            <v>Outras Receitas</v>
          </cell>
          <cell r="I1760">
            <v>500003</v>
          </cell>
          <cell r="J1760" t="str">
            <v>N/A</v>
          </cell>
          <cell r="K1760">
            <v>600001</v>
          </cell>
          <cell r="L1760">
            <v>0</v>
          </cell>
        </row>
        <row r="1761">
          <cell r="B1761" t="str">
            <v>4.1.6.02.0999</v>
          </cell>
          <cell r="C1761">
            <v>4162999</v>
          </cell>
          <cell r="D1761" t="str">
            <v>Outros Custos Gerais da Administração</v>
          </cell>
          <cell r="E1761" t="str">
            <v>A</v>
          </cell>
          <cell r="H1761" t="str">
            <v>Materiais, utilidades, serviços de terceiros e outros</v>
          </cell>
          <cell r="I1761">
            <v>500004</v>
          </cell>
          <cell r="J1761" t="str">
            <v>N/A</v>
          </cell>
          <cell r="K1761">
            <v>600001</v>
          </cell>
          <cell r="L1761">
            <v>0</v>
          </cell>
        </row>
        <row r="1762">
          <cell r="B1762" t="str">
            <v>4.1.6.03</v>
          </cell>
          <cell r="C1762">
            <v>4163</v>
          </cell>
          <cell r="D1762" t="str">
            <v>Indenizações</v>
          </cell>
          <cell r="E1762" t="str">
            <v>S</v>
          </cell>
        </row>
        <row r="1763">
          <cell r="B1763" t="str">
            <v>4.1.6.03.0001</v>
          </cell>
          <cell r="C1763">
            <v>416031</v>
          </cell>
          <cell r="D1763" t="str">
            <v>Outras Indenizações</v>
          </cell>
          <cell r="E1763" t="str">
            <v>A</v>
          </cell>
          <cell r="H1763" t="str">
            <v xml:space="preserve">Outras </v>
          </cell>
          <cell r="I1763">
            <v>500018</v>
          </cell>
          <cell r="J1763" t="str">
            <v>N/A</v>
          </cell>
          <cell r="K1763">
            <v>600001</v>
          </cell>
          <cell r="L1763">
            <v>0</v>
          </cell>
        </row>
        <row r="1764">
          <cell r="B1764" t="str">
            <v>4.1.7</v>
          </cell>
          <cell r="C1764">
            <v>417</v>
          </cell>
          <cell r="D1764" t="str">
            <v>Outros Custos</v>
          </cell>
          <cell r="E1764" t="str">
            <v>S</v>
          </cell>
        </row>
        <row r="1765">
          <cell r="B1765" t="str">
            <v>4.1.7.01</v>
          </cell>
          <cell r="C1765">
            <v>41701</v>
          </cell>
          <cell r="D1765" t="str">
            <v>Redução ao Valor Recuperável Impairment</v>
          </cell>
          <cell r="E1765" t="str">
            <v>S</v>
          </cell>
        </row>
        <row r="1766">
          <cell r="B1766" t="str">
            <v>4.1.7.01.0001</v>
          </cell>
          <cell r="C1766">
            <v>41711</v>
          </cell>
          <cell r="D1766" t="str">
            <v>Redução ao Valor Recuperável Impairment</v>
          </cell>
          <cell r="E1766" t="str">
            <v>A</v>
          </cell>
          <cell r="H1766" t="str">
            <v xml:space="preserve">Outras </v>
          </cell>
          <cell r="I1766">
            <v>500018</v>
          </cell>
          <cell r="J1766" t="str">
            <v>N/A</v>
          </cell>
          <cell r="K1766">
            <v>600001</v>
          </cell>
          <cell r="L1766">
            <v>0</v>
          </cell>
        </row>
        <row r="1767">
          <cell r="B1767" t="str">
            <v>4.1.9</v>
          </cell>
          <cell r="C1767">
            <v>419</v>
          </cell>
          <cell r="D1767" t="str">
            <v>Custo das Mercadorias Vendidas</v>
          </cell>
          <cell r="E1767" t="str">
            <v>S</v>
          </cell>
        </row>
        <row r="1768">
          <cell r="B1768" t="str">
            <v>4.1.9.01</v>
          </cell>
          <cell r="C1768">
            <v>4191</v>
          </cell>
          <cell r="D1768" t="str">
            <v>Custo das Mercadorias Vendidas</v>
          </cell>
          <cell r="E1768" t="str">
            <v>S</v>
          </cell>
        </row>
        <row r="1769">
          <cell r="B1769" t="str">
            <v>4.1.9.01.0001</v>
          </cell>
          <cell r="C1769">
            <v>41911</v>
          </cell>
          <cell r="D1769" t="str">
            <v>Custo das Mercadorias Vendidas</v>
          </cell>
          <cell r="E1769" t="str">
            <v>A</v>
          </cell>
          <cell r="H1769" t="str">
            <v>Materiais, utilidades, serviços de terceiros e outros</v>
          </cell>
          <cell r="I1769">
            <v>500004</v>
          </cell>
          <cell r="J1769" t="str">
            <v>N/A</v>
          </cell>
          <cell r="K1769">
            <v>600001</v>
          </cell>
          <cell r="L1769">
            <v>0</v>
          </cell>
        </row>
        <row r="1770">
          <cell r="B1770" t="str">
            <v>4.2</v>
          </cell>
          <cell r="C1770">
            <v>42</v>
          </cell>
          <cell r="D1770" t="str">
            <v>Despesas</v>
          </cell>
          <cell r="E1770" t="str">
            <v>S</v>
          </cell>
        </row>
        <row r="1771">
          <cell r="B1771" t="str">
            <v>4.2.1</v>
          </cell>
          <cell r="C1771">
            <v>421</v>
          </cell>
          <cell r="D1771" t="str">
            <v>Despesas com Pessoal</v>
          </cell>
          <cell r="E1771" t="str">
            <v>S</v>
          </cell>
        </row>
        <row r="1772">
          <cell r="B1772" t="str">
            <v>4.2.1.01</v>
          </cell>
          <cell r="C1772">
            <v>4211</v>
          </cell>
          <cell r="D1772" t="str">
            <v>Remunerações</v>
          </cell>
          <cell r="E1772" t="str">
            <v>S</v>
          </cell>
        </row>
        <row r="1773">
          <cell r="B1773" t="str">
            <v>4.2.1.01.0001</v>
          </cell>
          <cell r="C1773">
            <v>42111</v>
          </cell>
          <cell r="D1773" t="str">
            <v>Salários</v>
          </cell>
          <cell r="E1773" t="str">
            <v>A</v>
          </cell>
          <cell r="H1773" t="str">
            <v>Remuneração Direta</v>
          </cell>
          <cell r="I1773">
            <v>500008</v>
          </cell>
          <cell r="J1773" t="str">
            <v>N/A</v>
          </cell>
          <cell r="K1773">
            <v>600001</v>
          </cell>
          <cell r="L1773">
            <v>0</v>
          </cell>
        </row>
        <row r="1774">
          <cell r="B1774" t="str">
            <v>4.2.1.01.0002</v>
          </cell>
          <cell r="C1774">
            <v>42112</v>
          </cell>
          <cell r="D1774" t="str">
            <v>Gratificações</v>
          </cell>
          <cell r="E1774" t="str">
            <v>A</v>
          </cell>
          <cell r="H1774" t="str">
            <v>Remuneração Direta</v>
          </cell>
          <cell r="I1774">
            <v>500008</v>
          </cell>
          <cell r="J1774" t="str">
            <v>N/A</v>
          </cell>
          <cell r="K1774">
            <v>600001</v>
          </cell>
          <cell r="L1774">
            <v>0</v>
          </cell>
        </row>
        <row r="1775">
          <cell r="B1775" t="str">
            <v>4.2.1.01.0003</v>
          </cell>
          <cell r="C1775">
            <v>42113</v>
          </cell>
          <cell r="D1775" t="str">
            <v>Adicionais por Tempo de Serviço</v>
          </cell>
          <cell r="E1775" t="str">
            <v>A</v>
          </cell>
          <cell r="H1775" t="str">
            <v>Remuneração Direta</v>
          </cell>
          <cell r="I1775">
            <v>500008</v>
          </cell>
          <cell r="J1775" t="str">
            <v>N/A</v>
          </cell>
          <cell r="K1775">
            <v>600001</v>
          </cell>
          <cell r="L1775">
            <v>0</v>
          </cell>
        </row>
        <row r="1776">
          <cell r="B1776" t="str">
            <v>4.2.1.01.0004</v>
          </cell>
          <cell r="C1776">
            <v>42114</v>
          </cell>
          <cell r="D1776" t="str">
            <v>Horas Extraordinárias</v>
          </cell>
          <cell r="E1776" t="str">
            <v>A</v>
          </cell>
          <cell r="H1776" t="str">
            <v>Remuneração Direta</v>
          </cell>
          <cell r="I1776">
            <v>500008</v>
          </cell>
          <cell r="J1776" t="str">
            <v>N/A</v>
          </cell>
          <cell r="K1776">
            <v>600001</v>
          </cell>
          <cell r="L1776">
            <v>0</v>
          </cell>
        </row>
        <row r="1777">
          <cell r="B1777" t="str">
            <v>4.2.1.01.0005</v>
          </cell>
          <cell r="C1777">
            <v>42115</v>
          </cell>
          <cell r="D1777" t="str">
            <v>Abonos</v>
          </cell>
          <cell r="E1777" t="str">
            <v>A</v>
          </cell>
          <cell r="H1777" t="str">
            <v>Remuneração Direta</v>
          </cell>
          <cell r="I1777">
            <v>500008</v>
          </cell>
          <cell r="J1777" t="str">
            <v>N/A</v>
          </cell>
          <cell r="K1777">
            <v>600001</v>
          </cell>
          <cell r="L1777">
            <v>0</v>
          </cell>
        </row>
        <row r="1778">
          <cell r="B1778" t="str">
            <v>4.2.1.01.0006</v>
          </cell>
          <cell r="C1778">
            <v>42116</v>
          </cell>
          <cell r="D1778" t="str">
            <v>Aviso Prévio e Indenizações</v>
          </cell>
          <cell r="E1778" t="str">
            <v>A</v>
          </cell>
          <cell r="H1778" t="str">
            <v>Contingências/indenizações trabalhistas</v>
          </cell>
          <cell r="I1778">
            <v>500011</v>
          </cell>
          <cell r="J1778" t="str">
            <v>N/A</v>
          </cell>
          <cell r="K1778">
            <v>600001</v>
          </cell>
          <cell r="L1778">
            <v>0</v>
          </cell>
        </row>
        <row r="1779">
          <cell r="B1779" t="str">
            <v>4.2.1.01.0007</v>
          </cell>
          <cell r="C1779">
            <v>42117</v>
          </cell>
          <cell r="D1779" t="str">
            <v>Provisão de Férias e Encargos Sociais</v>
          </cell>
          <cell r="E1779" t="str">
            <v>A</v>
          </cell>
          <cell r="H1779" t="str">
            <v>Remuneração Direta</v>
          </cell>
          <cell r="I1779">
            <v>500008</v>
          </cell>
          <cell r="J1779" t="str">
            <v>N/A</v>
          </cell>
          <cell r="K1779">
            <v>600001</v>
          </cell>
          <cell r="L1779">
            <v>0</v>
          </cell>
        </row>
        <row r="1780">
          <cell r="B1780" t="str">
            <v>4.2.1.01.0008</v>
          </cell>
          <cell r="C1780">
            <v>42118</v>
          </cell>
          <cell r="D1780" t="str">
            <v>Abono Pecuniário de Férias</v>
          </cell>
          <cell r="E1780" t="str">
            <v>A</v>
          </cell>
          <cell r="H1780" t="str">
            <v>Remuneração Direta</v>
          </cell>
          <cell r="I1780">
            <v>500008</v>
          </cell>
          <cell r="J1780" t="str">
            <v>N/A</v>
          </cell>
          <cell r="K1780">
            <v>600001</v>
          </cell>
          <cell r="L1780">
            <v>0</v>
          </cell>
        </row>
        <row r="1781">
          <cell r="B1781" t="str">
            <v>4.2.1.01.0009</v>
          </cell>
          <cell r="C1781">
            <v>42119</v>
          </cell>
          <cell r="D1781" t="str">
            <v>Provisão de 13º Salários e Encargos</v>
          </cell>
          <cell r="E1781" t="str">
            <v>A</v>
          </cell>
          <cell r="H1781" t="str">
            <v>Remuneração Direta</v>
          </cell>
          <cell r="I1781">
            <v>500008</v>
          </cell>
          <cell r="J1781" t="str">
            <v>N/A</v>
          </cell>
          <cell r="K1781">
            <v>600001</v>
          </cell>
          <cell r="L1781">
            <v>0</v>
          </cell>
        </row>
        <row r="1782">
          <cell r="B1782" t="str">
            <v>4.2.1.01.0010</v>
          </cell>
          <cell r="C1782">
            <v>421110</v>
          </cell>
          <cell r="D1782" t="str">
            <v>Salario Maternidade - Prorrogação</v>
          </cell>
          <cell r="E1782" t="str">
            <v>A</v>
          </cell>
          <cell r="H1782" t="str">
            <v>Remuneração Direta</v>
          </cell>
          <cell r="I1782">
            <v>500008</v>
          </cell>
          <cell r="J1782" t="str">
            <v>N/A</v>
          </cell>
          <cell r="K1782">
            <v>600001</v>
          </cell>
          <cell r="L1782">
            <v>0</v>
          </cell>
        </row>
        <row r="1783">
          <cell r="B1783" t="str">
            <v>4.2.1.01.0012</v>
          </cell>
          <cell r="C1783">
            <v>421112</v>
          </cell>
          <cell r="D1783" t="str">
            <v>Licença Paternidade Prorrogação</v>
          </cell>
          <cell r="E1783" t="str">
            <v>A</v>
          </cell>
          <cell r="H1783" t="str">
            <v>Remuneração Direta</v>
          </cell>
          <cell r="I1783">
            <v>500008</v>
          </cell>
          <cell r="J1783" t="str">
            <v>N/A</v>
          </cell>
          <cell r="K1783">
            <v>600001</v>
          </cell>
          <cell r="L1783">
            <v>0</v>
          </cell>
        </row>
        <row r="1784">
          <cell r="B1784" t="str">
            <v>4.2.1.01.0014</v>
          </cell>
          <cell r="C1784">
            <v>421114</v>
          </cell>
          <cell r="D1784" t="str">
            <v>Incorporação Função Gratificada - Ordem Judicial</v>
          </cell>
          <cell r="E1784" t="str">
            <v>A</v>
          </cell>
          <cell r="H1784" t="str">
            <v>Remuneração Direta</v>
          </cell>
          <cell r="I1784">
            <v>500008</v>
          </cell>
          <cell r="J1784" t="str">
            <v>N/A</v>
          </cell>
          <cell r="K1784">
            <v>600001</v>
          </cell>
          <cell r="L1784">
            <v>0</v>
          </cell>
        </row>
        <row r="1785">
          <cell r="B1785" t="str">
            <v>4.2.1.01.0998</v>
          </cell>
          <cell r="C1785">
            <v>4211998</v>
          </cell>
          <cell r="D1785" t="str">
            <v>(-)Reemb. Despesas de Remunerações Conve</v>
          </cell>
          <cell r="E1785" t="str">
            <v>A</v>
          </cell>
          <cell r="H1785" t="str">
            <v>Outras Receitas</v>
          </cell>
          <cell r="I1785">
            <v>500003</v>
          </cell>
          <cell r="J1785" t="str">
            <v>N/A</v>
          </cell>
          <cell r="K1785">
            <v>600001</v>
          </cell>
          <cell r="L1785">
            <v>0</v>
          </cell>
        </row>
        <row r="1786">
          <cell r="B1786" t="str">
            <v>4.2.1.01.0999</v>
          </cell>
          <cell r="C1786">
            <v>4211999</v>
          </cell>
          <cell r="D1786" t="str">
            <v>Outras Remunerações</v>
          </cell>
          <cell r="E1786" t="str">
            <v>A</v>
          </cell>
          <cell r="H1786" t="str">
            <v>Remuneração Direta</v>
          </cell>
          <cell r="I1786">
            <v>500008</v>
          </cell>
          <cell r="J1786" t="str">
            <v>N/A</v>
          </cell>
          <cell r="K1786">
            <v>600001</v>
          </cell>
          <cell r="L1786">
            <v>0</v>
          </cell>
        </row>
        <row r="1787">
          <cell r="B1787" t="str">
            <v>4.2.1.02</v>
          </cell>
          <cell r="C1787">
            <v>4212</v>
          </cell>
          <cell r="D1787" t="str">
            <v>Encargos Sociais</v>
          </cell>
          <cell r="E1787" t="str">
            <v>S</v>
          </cell>
        </row>
        <row r="1788">
          <cell r="B1788" t="str">
            <v>4.2.1.02.0001</v>
          </cell>
          <cell r="C1788">
            <v>42121</v>
          </cell>
          <cell r="D1788" t="str">
            <v>INSS</v>
          </cell>
          <cell r="E1788" t="str">
            <v>A</v>
          </cell>
          <cell r="H1788" t="str">
            <v>Federais (inclui a contribuição previdenciária e sindical)</v>
          </cell>
          <cell r="I1788">
            <v>500012</v>
          </cell>
          <cell r="J1788" t="str">
            <v>N/A</v>
          </cell>
          <cell r="K1788">
            <v>600001</v>
          </cell>
          <cell r="L1788">
            <v>0</v>
          </cell>
        </row>
        <row r="1789">
          <cell r="B1789" t="str">
            <v>4.2.1.02.0002</v>
          </cell>
          <cell r="C1789">
            <v>42122</v>
          </cell>
          <cell r="D1789" t="str">
            <v>FGTS</v>
          </cell>
          <cell r="E1789" t="str">
            <v>A</v>
          </cell>
          <cell r="H1789" t="str">
            <v>FGTS</v>
          </cell>
          <cell r="I1789">
            <v>500010</v>
          </cell>
          <cell r="J1789" t="str">
            <v>N/A</v>
          </cell>
          <cell r="K1789">
            <v>600001</v>
          </cell>
          <cell r="L1789">
            <v>0</v>
          </cell>
        </row>
        <row r="1790">
          <cell r="B1790" t="str">
            <v>4.2.1.02.0003</v>
          </cell>
          <cell r="C1790">
            <v>42123</v>
          </cell>
          <cell r="D1790" t="str">
            <v>Contribuições Sindicais</v>
          </cell>
          <cell r="E1790" t="str">
            <v>A</v>
          </cell>
          <cell r="H1790" t="str">
            <v>Benefícios</v>
          </cell>
          <cell r="I1790">
            <v>500009</v>
          </cell>
          <cell r="J1790" t="str">
            <v>N/A</v>
          </cell>
          <cell r="K1790">
            <v>600001</v>
          </cell>
          <cell r="L1790">
            <v>0</v>
          </cell>
        </row>
        <row r="1791">
          <cell r="B1791" t="str">
            <v>4.2.1.02.0004</v>
          </cell>
          <cell r="C1791">
            <v>42124</v>
          </cell>
          <cell r="D1791" t="str">
            <v>INSS s/ 13º Salário</v>
          </cell>
          <cell r="E1791" t="str">
            <v>A</v>
          </cell>
          <cell r="H1791" t="str">
            <v>Federais (inclui a contribuição previdenciária e sindical)</v>
          </cell>
          <cell r="I1791">
            <v>500012</v>
          </cell>
          <cell r="J1791" t="str">
            <v>N/A</v>
          </cell>
          <cell r="K1791">
            <v>600001</v>
          </cell>
          <cell r="L1791">
            <v>0</v>
          </cell>
        </row>
        <row r="1792">
          <cell r="B1792" t="str">
            <v>4.2.1.02.0005</v>
          </cell>
          <cell r="C1792">
            <v>42125</v>
          </cell>
          <cell r="D1792" t="str">
            <v>INSS s/ Férias</v>
          </cell>
          <cell r="E1792" t="str">
            <v>A</v>
          </cell>
          <cell r="H1792" t="str">
            <v>Federais (inclui a contribuição previdenciária e sindical)</v>
          </cell>
          <cell r="I1792">
            <v>500012</v>
          </cell>
          <cell r="J1792" t="str">
            <v>N/A</v>
          </cell>
          <cell r="K1792">
            <v>600001</v>
          </cell>
          <cell r="L1792">
            <v>0</v>
          </cell>
        </row>
        <row r="1793">
          <cell r="B1793" t="str">
            <v>4.2.1.02.0006</v>
          </cell>
          <cell r="C1793">
            <v>42126</v>
          </cell>
          <cell r="D1793" t="str">
            <v>FGTS s/ Férias</v>
          </cell>
          <cell r="E1793" t="str">
            <v>A</v>
          </cell>
          <cell r="H1793" t="str">
            <v>FGTS</v>
          </cell>
          <cell r="I1793">
            <v>500010</v>
          </cell>
          <cell r="J1793" t="str">
            <v>N/A</v>
          </cell>
          <cell r="K1793">
            <v>600001</v>
          </cell>
          <cell r="L1793">
            <v>0</v>
          </cell>
        </row>
        <row r="1794">
          <cell r="B1794" t="str">
            <v>4.2.1.02.0007</v>
          </cell>
          <cell r="C1794">
            <v>42127</v>
          </cell>
          <cell r="D1794" t="str">
            <v>FGTS s/ 13º Salário</v>
          </cell>
          <cell r="E1794" t="str">
            <v>A</v>
          </cell>
          <cell r="H1794" t="str">
            <v>FGTS</v>
          </cell>
          <cell r="I1794">
            <v>500010</v>
          </cell>
          <cell r="J1794" t="str">
            <v>N/A</v>
          </cell>
          <cell r="K1794">
            <v>600001</v>
          </cell>
          <cell r="L1794">
            <v>0</v>
          </cell>
        </row>
        <row r="1795">
          <cell r="B1795" t="str">
            <v>4.2.1.02.0999</v>
          </cell>
          <cell r="C1795">
            <v>4212999</v>
          </cell>
          <cell r="D1795" t="str">
            <v>Outros Encargos</v>
          </cell>
          <cell r="E1795" t="str">
            <v>A</v>
          </cell>
          <cell r="H1795" t="str">
            <v>Federais (inclui a contribuição previdenciária e sindical)</v>
          </cell>
          <cell r="I1795">
            <v>500012</v>
          </cell>
          <cell r="J1795" t="str">
            <v>N/A</v>
          </cell>
          <cell r="K1795">
            <v>600001</v>
          </cell>
          <cell r="L1795">
            <v>0</v>
          </cell>
        </row>
        <row r="1796">
          <cell r="B1796" t="str">
            <v>4.2.1.03</v>
          </cell>
          <cell r="C1796">
            <v>4213</v>
          </cell>
          <cell r="D1796" t="str">
            <v>Benefícios</v>
          </cell>
          <cell r="E1796" t="str">
            <v>S</v>
          </cell>
        </row>
        <row r="1797">
          <cell r="B1797" t="str">
            <v>4.2.1.03.0001</v>
          </cell>
          <cell r="C1797">
            <v>42131</v>
          </cell>
          <cell r="D1797" t="str">
            <v>Previdência Privada Complementar</v>
          </cell>
          <cell r="E1797" t="str">
            <v>A</v>
          </cell>
          <cell r="H1797" t="str">
            <v>Benefícios</v>
          </cell>
          <cell r="I1797">
            <v>500009</v>
          </cell>
          <cell r="J1797" t="str">
            <v>N/A</v>
          </cell>
          <cell r="K1797">
            <v>600001</v>
          </cell>
          <cell r="L1797">
            <v>0</v>
          </cell>
        </row>
        <row r="1798">
          <cell r="B1798" t="str">
            <v>4.2.1.03.0002</v>
          </cell>
          <cell r="C1798">
            <v>42132</v>
          </cell>
          <cell r="D1798" t="str">
            <v>Auxílio Alimentação</v>
          </cell>
          <cell r="E1798" t="str">
            <v>A</v>
          </cell>
          <cell r="H1798" t="str">
            <v>Benefícios</v>
          </cell>
          <cell r="I1798">
            <v>500009</v>
          </cell>
          <cell r="J1798" t="str">
            <v>N/A</v>
          </cell>
          <cell r="K1798">
            <v>600001</v>
          </cell>
          <cell r="L1798">
            <v>0</v>
          </cell>
        </row>
        <row r="1799">
          <cell r="B1799" t="str">
            <v>4.2.1.03.0003</v>
          </cell>
          <cell r="C1799">
            <v>42133</v>
          </cell>
          <cell r="D1799" t="str">
            <v>Auxílio Transporte</v>
          </cell>
          <cell r="E1799" t="str">
            <v>A</v>
          </cell>
          <cell r="H1799" t="str">
            <v>Benefícios</v>
          </cell>
          <cell r="I1799">
            <v>500009</v>
          </cell>
          <cell r="J1799" t="str">
            <v>N/A</v>
          </cell>
          <cell r="K1799">
            <v>600001</v>
          </cell>
          <cell r="L1799">
            <v>0</v>
          </cell>
        </row>
        <row r="1800">
          <cell r="B1800" t="str">
            <v>4.2.1.03.0004</v>
          </cell>
          <cell r="C1800">
            <v>42134</v>
          </cell>
          <cell r="D1800" t="str">
            <v>Auxílio Moradia</v>
          </cell>
          <cell r="E1800" t="str">
            <v>A</v>
          </cell>
          <cell r="H1800" t="str">
            <v>Benefícios</v>
          </cell>
          <cell r="I1800">
            <v>500009</v>
          </cell>
          <cell r="J1800" t="str">
            <v>N/A</v>
          </cell>
          <cell r="K1800">
            <v>600001</v>
          </cell>
          <cell r="L1800">
            <v>0</v>
          </cell>
        </row>
        <row r="1801">
          <cell r="B1801" t="str">
            <v>4.2.1.03.0005</v>
          </cell>
          <cell r="C1801">
            <v>42135</v>
          </cell>
          <cell r="D1801" t="str">
            <v>Auxílio Creche</v>
          </cell>
          <cell r="E1801" t="str">
            <v>A</v>
          </cell>
          <cell r="H1801" t="str">
            <v>Benefícios</v>
          </cell>
          <cell r="I1801">
            <v>500009</v>
          </cell>
          <cell r="J1801" t="str">
            <v>N/A</v>
          </cell>
          <cell r="K1801">
            <v>600001</v>
          </cell>
          <cell r="L1801">
            <v>0</v>
          </cell>
        </row>
        <row r="1802">
          <cell r="B1802" t="str">
            <v>4.2.1.03.0006</v>
          </cell>
          <cell r="C1802">
            <v>42136</v>
          </cell>
          <cell r="D1802" t="str">
            <v>Assistência Médica e  Odontológica</v>
          </cell>
          <cell r="E1802" t="str">
            <v>A</v>
          </cell>
          <cell r="H1802" t="str">
            <v>Benefícios</v>
          </cell>
          <cell r="I1802">
            <v>500009</v>
          </cell>
          <cell r="J1802" t="str">
            <v>N/A</v>
          </cell>
          <cell r="K1802">
            <v>600001</v>
          </cell>
          <cell r="L1802">
            <v>0</v>
          </cell>
        </row>
        <row r="1803">
          <cell r="B1803" t="str">
            <v>4.2.1.03.0007</v>
          </cell>
          <cell r="C1803">
            <v>42137</v>
          </cell>
          <cell r="D1803" t="str">
            <v>Seguro de Vida</v>
          </cell>
          <cell r="E1803" t="str">
            <v>A</v>
          </cell>
          <cell r="H1803" t="str">
            <v>Benefícios</v>
          </cell>
          <cell r="I1803">
            <v>500009</v>
          </cell>
          <cell r="J1803" t="str">
            <v>N/A</v>
          </cell>
          <cell r="K1803">
            <v>600001</v>
          </cell>
          <cell r="L1803">
            <v>0</v>
          </cell>
        </row>
        <row r="1804">
          <cell r="B1804" t="str">
            <v>4.2.1.03.0008</v>
          </cell>
          <cell r="C1804">
            <v>42138</v>
          </cell>
          <cell r="D1804" t="str">
            <v>Recreação e Lazer</v>
          </cell>
          <cell r="E1804" t="str">
            <v>A</v>
          </cell>
          <cell r="H1804" t="str">
            <v>Benefícios</v>
          </cell>
          <cell r="I1804">
            <v>500009</v>
          </cell>
          <cell r="J1804" t="str">
            <v>N/A</v>
          </cell>
          <cell r="K1804">
            <v>600001</v>
          </cell>
          <cell r="L1804">
            <v>0</v>
          </cell>
        </row>
        <row r="1805">
          <cell r="B1805" t="str">
            <v>4.2.1.03.0009</v>
          </cell>
          <cell r="C1805">
            <v>42139</v>
          </cell>
          <cell r="D1805" t="str">
            <v>Assistência e Capacitação Profissional</v>
          </cell>
          <cell r="E1805" t="str">
            <v>A</v>
          </cell>
          <cell r="H1805" t="str">
            <v>Benefícios</v>
          </cell>
          <cell r="I1805">
            <v>500009</v>
          </cell>
          <cell r="J1805" t="str">
            <v>N/A</v>
          </cell>
          <cell r="K1805">
            <v>600001</v>
          </cell>
          <cell r="L1805">
            <v>0</v>
          </cell>
        </row>
        <row r="1806">
          <cell r="B1806" t="str">
            <v>4.2.1.03.0010</v>
          </cell>
          <cell r="C1806">
            <v>421310</v>
          </cell>
          <cell r="D1806" t="str">
            <v>Vale Cultura</v>
          </cell>
          <cell r="E1806" t="str">
            <v>A</v>
          </cell>
          <cell r="H1806" t="str">
            <v>Benefícios</v>
          </cell>
          <cell r="I1806">
            <v>500009</v>
          </cell>
          <cell r="J1806" t="str">
            <v>N/A</v>
          </cell>
          <cell r="K1806">
            <v>600001</v>
          </cell>
          <cell r="L1806">
            <v>0</v>
          </cell>
        </row>
        <row r="1807">
          <cell r="B1807" t="str">
            <v>4.2.1.03.0011</v>
          </cell>
          <cell r="C1807">
            <v>421311</v>
          </cell>
          <cell r="D1807" t="str">
            <v>Saúde Ocupacional</v>
          </cell>
          <cell r="E1807" t="str">
            <v>A</v>
          </cell>
          <cell r="H1807" t="str">
            <v>Benefícios</v>
          </cell>
          <cell r="I1807">
            <v>500009</v>
          </cell>
          <cell r="J1807" t="str">
            <v>N/A</v>
          </cell>
          <cell r="K1807">
            <v>600001</v>
          </cell>
          <cell r="L1807">
            <v>0</v>
          </cell>
        </row>
        <row r="1808">
          <cell r="B1808" t="str">
            <v>4.2.1.03.0999</v>
          </cell>
          <cell r="C1808">
            <v>4213999</v>
          </cell>
          <cell r="D1808" t="str">
            <v>Outros benefícios</v>
          </cell>
          <cell r="E1808" t="str">
            <v>A</v>
          </cell>
          <cell r="H1808" t="str">
            <v>Benefícios</v>
          </cell>
          <cell r="I1808">
            <v>500009</v>
          </cell>
          <cell r="J1808" t="str">
            <v>N/A</v>
          </cell>
          <cell r="K1808">
            <v>600001</v>
          </cell>
          <cell r="L1808">
            <v>0</v>
          </cell>
        </row>
        <row r="1809">
          <cell r="B1809" t="str">
            <v>4.2.1.04</v>
          </cell>
          <cell r="C1809">
            <v>4214</v>
          </cell>
          <cell r="D1809" t="str">
            <v>Outros Gastos de Pessoal</v>
          </cell>
          <cell r="E1809" t="str">
            <v>S</v>
          </cell>
        </row>
        <row r="1810">
          <cell r="B1810" t="str">
            <v>4.2.1.04.0999</v>
          </cell>
          <cell r="C1810">
            <v>4214999</v>
          </cell>
          <cell r="D1810" t="str">
            <v>Outras Despesas</v>
          </cell>
          <cell r="E1810" t="str">
            <v>A</v>
          </cell>
          <cell r="H1810" t="str">
            <v xml:space="preserve">Outras </v>
          </cell>
          <cell r="I1810">
            <v>500018</v>
          </cell>
          <cell r="J1810" t="str">
            <v>N/A</v>
          </cell>
          <cell r="K1810">
            <v>600001</v>
          </cell>
          <cell r="L1810">
            <v>0</v>
          </cell>
        </row>
        <row r="1811">
          <cell r="B1811" t="str">
            <v>4.2.1.05</v>
          </cell>
          <cell r="C1811">
            <v>4215</v>
          </cell>
          <cell r="D1811" t="str">
            <v>Indenizações</v>
          </cell>
          <cell r="E1811" t="str">
            <v>S</v>
          </cell>
        </row>
        <row r="1812">
          <cell r="B1812" t="str">
            <v>4.2.1.05.0001</v>
          </cell>
          <cell r="C1812">
            <v>42151</v>
          </cell>
          <cell r="D1812" t="str">
            <v>Indenizações</v>
          </cell>
          <cell r="E1812" t="str">
            <v>A</v>
          </cell>
          <cell r="H1812" t="str">
            <v>Contingências/indenizações trabalhistas</v>
          </cell>
          <cell r="I1812">
            <v>500011</v>
          </cell>
          <cell r="J1812" t="str">
            <v>N/A</v>
          </cell>
          <cell r="K1812">
            <v>600001</v>
          </cell>
          <cell r="L1812">
            <v>0</v>
          </cell>
        </row>
        <row r="1813">
          <cell r="B1813" t="str">
            <v>4.2.2</v>
          </cell>
          <cell r="C1813">
            <v>422</v>
          </cell>
          <cell r="D1813" t="str">
            <v>Despesas Com Materiais</v>
          </cell>
          <cell r="E1813" t="str">
            <v>S</v>
          </cell>
        </row>
        <row r="1814">
          <cell r="B1814" t="str">
            <v>4.2.2.01</v>
          </cell>
          <cell r="C1814">
            <v>4221</v>
          </cell>
          <cell r="D1814" t="str">
            <v>Despesas com Materiais Nacionais</v>
          </cell>
          <cell r="E1814" t="str">
            <v>S</v>
          </cell>
        </row>
        <row r="1815">
          <cell r="B1815" t="str">
            <v>4.2.2.01.0001</v>
          </cell>
          <cell r="C1815">
            <v>42211</v>
          </cell>
          <cell r="D1815" t="str">
            <v>Materiais Adm. e de Expediente</v>
          </cell>
          <cell r="E1815" t="str">
            <v>A</v>
          </cell>
          <cell r="H1815" t="str">
            <v>Materiais, utilidades, serviços de terceiros e outros</v>
          </cell>
          <cell r="I1815">
            <v>500004</v>
          </cell>
          <cell r="J1815" t="str">
            <v>N/A</v>
          </cell>
          <cell r="K1815">
            <v>600001</v>
          </cell>
          <cell r="L1815">
            <v>0</v>
          </cell>
        </row>
        <row r="1816">
          <cell r="B1816" t="str">
            <v>4.2.2.01.0002</v>
          </cell>
          <cell r="C1816">
            <v>42212</v>
          </cell>
          <cell r="D1816" t="str">
            <v>Combustíveis e Lubrificantes</v>
          </cell>
          <cell r="E1816" t="str">
            <v>A</v>
          </cell>
          <cell r="H1816" t="str">
            <v>Materiais, utilidades, serviços de terceiros e outros</v>
          </cell>
          <cell r="I1816">
            <v>500004</v>
          </cell>
          <cell r="J1816" t="str">
            <v>N/A</v>
          </cell>
          <cell r="K1816">
            <v>600001</v>
          </cell>
          <cell r="L1816">
            <v>0</v>
          </cell>
        </row>
        <row r="1817">
          <cell r="B1817" t="str">
            <v>4.2.2.01.0003</v>
          </cell>
          <cell r="C1817">
            <v>42213</v>
          </cell>
          <cell r="D1817" t="str">
            <v>Materiais e Equipamentos</v>
          </cell>
          <cell r="E1817" t="str">
            <v>A</v>
          </cell>
          <cell r="H1817" t="str">
            <v>Materiais, utilidades, serviços de terceiros e outros</v>
          </cell>
          <cell r="I1817">
            <v>500004</v>
          </cell>
          <cell r="J1817" t="str">
            <v>N/A</v>
          </cell>
          <cell r="K1817">
            <v>600001</v>
          </cell>
          <cell r="L1817">
            <v>0</v>
          </cell>
        </row>
        <row r="1818">
          <cell r="B1818" t="str">
            <v>4.2.2.01.0004</v>
          </cell>
          <cell r="C1818">
            <v>42214</v>
          </cell>
          <cell r="D1818" t="str">
            <v>Outros Materiais Nacionais</v>
          </cell>
          <cell r="E1818" t="str">
            <v>A</v>
          </cell>
          <cell r="H1818" t="str">
            <v>Materiais, utilidades, serviços de terceiros e outros</v>
          </cell>
          <cell r="I1818">
            <v>500004</v>
          </cell>
          <cell r="J1818" t="str">
            <v>N/A</v>
          </cell>
          <cell r="K1818">
            <v>600001</v>
          </cell>
          <cell r="L1818">
            <v>0</v>
          </cell>
        </row>
        <row r="1819">
          <cell r="B1819" t="str">
            <v>4.2.2.01.0098</v>
          </cell>
          <cell r="C1819">
            <v>422198</v>
          </cell>
          <cell r="D1819" t="str">
            <v>(-)  Reemb. Despesas de Materiais Conven</v>
          </cell>
          <cell r="E1819" t="str">
            <v>A</v>
          </cell>
          <cell r="H1819" t="str">
            <v>Outras Receitas</v>
          </cell>
          <cell r="I1819">
            <v>500003</v>
          </cell>
          <cell r="J1819" t="str">
            <v>N/A</v>
          </cell>
          <cell r="K1819">
            <v>600001</v>
          </cell>
          <cell r="L1819">
            <v>0</v>
          </cell>
        </row>
        <row r="1820">
          <cell r="B1820" t="str">
            <v>4.2.2.02</v>
          </cell>
          <cell r="C1820">
            <v>4222</v>
          </cell>
          <cell r="D1820" t="str">
            <v>Despesas com Materiais Estrangeiros</v>
          </cell>
          <cell r="E1820" t="str">
            <v>S</v>
          </cell>
        </row>
        <row r="1821">
          <cell r="B1821" t="str">
            <v>4.2.2.02.0001</v>
          </cell>
          <cell r="C1821">
            <v>42221</v>
          </cell>
          <cell r="D1821" t="str">
            <v>Materiais e Equipamentos</v>
          </cell>
          <cell r="E1821" t="str">
            <v>A</v>
          </cell>
          <cell r="H1821" t="str">
            <v>Materiais, utilidades, serviços de terceiros e outros</v>
          </cell>
          <cell r="I1821">
            <v>500004</v>
          </cell>
          <cell r="J1821" t="str">
            <v>N/A</v>
          </cell>
          <cell r="K1821">
            <v>600001</v>
          </cell>
          <cell r="L1821">
            <v>0</v>
          </cell>
        </row>
        <row r="1822">
          <cell r="B1822" t="str">
            <v>4.2.2.02.0999</v>
          </cell>
          <cell r="C1822">
            <v>4222999</v>
          </cell>
          <cell r="D1822" t="str">
            <v>Outros Materiais Estrangeiros</v>
          </cell>
          <cell r="E1822" t="str">
            <v>A</v>
          </cell>
          <cell r="H1822" t="str">
            <v>Materiais, utilidades, serviços de terceiros e outros</v>
          </cell>
          <cell r="I1822">
            <v>500004</v>
          </cell>
          <cell r="J1822" t="str">
            <v>N/A</v>
          </cell>
          <cell r="K1822">
            <v>600001</v>
          </cell>
          <cell r="L1822">
            <v>0</v>
          </cell>
        </row>
        <row r="1823">
          <cell r="B1823" t="str">
            <v>4.2.3</v>
          </cell>
          <cell r="C1823">
            <v>423</v>
          </cell>
          <cell r="D1823" t="str">
            <v>Desp.c/Serv. de Terceiros</v>
          </cell>
          <cell r="E1823" t="str">
            <v>S</v>
          </cell>
        </row>
        <row r="1824">
          <cell r="B1824" t="str">
            <v>4.2.3.01</v>
          </cell>
          <cell r="C1824">
            <v>4231</v>
          </cell>
          <cell r="D1824" t="str">
            <v>Desp.c/Serv. de Terceiros</v>
          </cell>
          <cell r="E1824" t="str">
            <v>S</v>
          </cell>
        </row>
        <row r="1825">
          <cell r="B1825" t="str">
            <v>4.2.3.01.0001</v>
          </cell>
          <cell r="C1825">
            <v>42311</v>
          </cell>
          <cell r="D1825" t="str">
            <v>Serviços de Consultoria</v>
          </cell>
          <cell r="E1825" t="str">
            <v>A</v>
          </cell>
          <cell r="H1825" t="str">
            <v>Materiais, utilidades, serviços de terceiros e outros</v>
          </cell>
          <cell r="I1825">
            <v>500004</v>
          </cell>
          <cell r="J1825" t="str">
            <v>N/A</v>
          </cell>
          <cell r="K1825">
            <v>600001</v>
          </cell>
          <cell r="L1825">
            <v>0</v>
          </cell>
        </row>
        <row r="1826">
          <cell r="B1826" t="str">
            <v>4.2.3.01.0002</v>
          </cell>
          <cell r="C1826">
            <v>42312</v>
          </cell>
          <cell r="D1826" t="str">
            <v>Serviços de Apoio Técnico e/ou Administrativo</v>
          </cell>
          <cell r="E1826" t="str">
            <v>A</v>
          </cell>
          <cell r="H1826" t="str">
            <v>Materiais, utilidades, serviços de terceiros e outros</v>
          </cell>
          <cell r="I1826">
            <v>500004</v>
          </cell>
          <cell r="J1826" t="str">
            <v>N/A</v>
          </cell>
          <cell r="K1826">
            <v>600001</v>
          </cell>
          <cell r="L1826">
            <v>0</v>
          </cell>
        </row>
        <row r="1827">
          <cell r="B1827" t="str">
            <v>4.2.3.01.0003</v>
          </cell>
          <cell r="C1827">
            <v>42313</v>
          </cell>
          <cell r="D1827" t="str">
            <v>Cessão ou Requisição de Pessoal</v>
          </cell>
          <cell r="E1827" t="str">
            <v>A</v>
          </cell>
          <cell r="H1827" t="str">
            <v>Remuneração Direta</v>
          </cell>
          <cell r="I1827">
            <v>500008</v>
          </cell>
          <cell r="J1827" t="str">
            <v>N/A</v>
          </cell>
          <cell r="K1827">
            <v>600001</v>
          </cell>
          <cell r="L1827">
            <v>0</v>
          </cell>
        </row>
        <row r="1828">
          <cell r="B1828" t="str">
            <v>4.2.3.01.0004</v>
          </cell>
          <cell r="C1828">
            <v>42314</v>
          </cell>
          <cell r="D1828" t="str">
            <v>Publicidade</v>
          </cell>
          <cell r="E1828" t="str">
            <v>A</v>
          </cell>
          <cell r="H1828" t="str">
            <v>Materiais, utilidades, serviços de terceiros e outros</v>
          </cell>
          <cell r="I1828">
            <v>500004</v>
          </cell>
          <cell r="J1828" t="str">
            <v>N/A</v>
          </cell>
          <cell r="K1828">
            <v>600001</v>
          </cell>
          <cell r="L1828">
            <v>0</v>
          </cell>
        </row>
        <row r="1829">
          <cell r="B1829" t="str">
            <v>4.2.3.01.0005</v>
          </cell>
          <cell r="C1829">
            <v>42315</v>
          </cell>
          <cell r="D1829" t="str">
            <v>Cursos, Seminários e Convenções</v>
          </cell>
          <cell r="E1829" t="str">
            <v>A</v>
          </cell>
          <cell r="H1829" t="str">
            <v>Materiais, utilidades, serviços de terceiros e outros</v>
          </cell>
          <cell r="I1829">
            <v>500004</v>
          </cell>
          <cell r="J1829" t="str">
            <v>N/A</v>
          </cell>
          <cell r="K1829">
            <v>600001</v>
          </cell>
          <cell r="L1829">
            <v>0</v>
          </cell>
        </row>
        <row r="1830">
          <cell r="B1830" t="str">
            <v>4.2.3.01.0006</v>
          </cell>
          <cell r="C1830">
            <v>42316</v>
          </cell>
          <cell r="D1830" t="str">
            <v>Serviços de Processamentos de Dados</v>
          </cell>
          <cell r="E1830" t="str">
            <v>A</v>
          </cell>
          <cell r="H1830" t="str">
            <v>Materiais, utilidades, serviços de terceiros e outros</v>
          </cell>
          <cell r="I1830">
            <v>500004</v>
          </cell>
          <cell r="J1830" t="str">
            <v>N/A</v>
          </cell>
          <cell r="K1830">
            <v>600001</v>
          </cell>
          <cell r="L1830">
            <v>0</v>
          </cell>
        </row>
        <row r="1831">
          <cell r="B1831" t="str">
            <v>4.2.3.01.0007</v>
          </cell>
          <cell r="C1831">
            <v>42317</v>
          </cell>
          <cell r="D1831" t="str">
            <v>Serviços Manut. Equipamentos Informática</v>
          </cell>
          <cell r="E1831" t="str">
            <v>A</v>
          </cell>
          <cell r="H1831" t="str">
            <v>Materiais, utilidades, serviços de terceiros e outros</v>
          </cell>
          <cell r="I1831">
            <v>500004</v>
          </cell>
          <cell r="J1831" t="str">
            <v>N/A</v>
          </cell>
          <cell r="K1831">
            <v>600001</v>
          </cell>
          <cell r="L1831">
            <v>0</v>
          </cell>
        </row>
        <row r="1832">
          <cell r="B1832" t="str">
            <v>4.2.3.01.0008</v>
          </cell>
          <cell r="C1832">
            <v>42318</v>
          </cell>
          <cell r="D1832" t="str">
            <v>Serv. Tributários e Auditoria</v>
          </cell>
          <cell r="E1832" t="str">
            <v>A</v>
          </cell>
          <cell r="H1832" t="str">
            <v>Materiais, utilidades, serviços de terceiros e outros</v>
          </cell>
          <cell r="I1832">
            <v>500004</v>
          </cell>
          <cell r="J1832" t="str">
            <v>N/A</v>
          </cell>
          <cell r="K1832">
            <v>600001</v>
          </cell>
          <cell r="L1832">
            <v>0</v>
          </cell>
        </row>
        <row r="1833">
          <cell r="B1833" t="str">
            <v>4.2.3.01.0009</v>
          </cell>
          <cell r="C1833">
            <v>42319</v>
          </cell>
          <cell r="D1833" t="str">
            <v>Serviços de Limpeza</v>
          </cell>
          <cell r="E1833" t="str">
            <v>A</v>
          </cell>
          <cell r="H1833" t="str">
            <v>Materiais, utilidades, serviços de terceiros e outros</v>
          </cell>
          <cell r="I1833">
            <v>500004</v>
          </cell>
          <cell r="J1833" t="str">
            <v>N/A</v>
          </cell>
          <cell r="K1833">
            <v>600001</v>
          </cell>
          <cell r="L1833">
            <v>0</v>
          </cell>
        </row>
        <row r="1834">
          <cell r="B1834" t="str">
            <v>4.2.3.01.0010</v>
          </cell>
          <cell r="C1834">
            <v>423110</v>
          </cell>
          <cell r="D1834" t="str">
            <v>Serviços de Segurança</v>
          </cell>
          <cell r="E1834" t="str">
            <v>A</v>
          </cell>
          <cell r="H1834" t="str">
            <v>Materiais, utilidades, serviços de terceiros e outros</v>
          </cell>
          <cell r="I1834">
            <v>500004</v>
          </cell>
          <cell r="J1834" t="str">
            <v>N/A</v>
          </cell>
          <cell r="K1834">
            <v>600001</v>
          </cell>
          <cell r="L1834">
            <v>0</v>
          </cell>
        </row>
        <row r="1835">
          <cell r="B1835" t="str">
            <v>4.2.3.01.0011</v>
          </cell>
          <cell r="C1835">
            <v>423111</v>
          </cell>
          <cell r="D1835" t="str">
            <v>Serviços de Reforma das Instalações</v>
          </cell>
          <cell r="E1835" t="str">
            <v>A</v>
          </cell>
          <cell r="H1835" t="str">
            <v>Materiais, utilidades, serviços de terceiros e outros</v>
          </cell>
          <cell r="I1835">
            <v>500004</v>
          </cell>
          <cell r="J1835" t="str">
            <v>N/A</v>
          </cell>
          <cell r="K1835">
            <v>600001</v>
          </cell>
          <cell r="L1835">
            <v>0</v>
          </cell>
        </row>
        <row r="1836">
          <cell r="B1836" t="str">
            <v>4.2.3.01.0012</v>
          </cell>
          <cell r="C1836">
            <v>423112</v>
          </cell>
          <cell r="D1836" t="str">
            <v>Servicos Gerais</v>
          </cell>
          <cell r="E1836" t="str">
            <v>A</v>
          </cell>
          <cell r="H1836" t="str">
            <v>Materiais, utilidades, serviços de terceiros e outros</v>
          </cell>
          <cell r="I1836">
            <v>500004</v>
          </cell>
          <cell r="J1836" t="str">
            <v>N/A</v>
          </cell>
          <cell r="K1836">
            <v>600001</v>
          </cell>
          <cell r="L1836">
            <v>0</v>
          </cell>
        </row>
        <row r="1837">
          <cell r="B1837" t="str">
            <v>4.2.3.01.0013</v>
          </cell>
          <cell r="C1837">
            <v>423113</v>
          </cell>
          <cell r="D1837" t="str">
            <v>Locação de Veículos</v>
          </cell>
          <cell r="E1837" t="str">
            <v>A</v>
          </cell>
          <cell r="H1837" t="str">
            <v>Alugueis</v>
          </cell>
          <cell r="I1837">
            <v>500017</v>
          </cell>
          <cell r="J1837" t="str">
            <v>N/A</v>
          </cell>
          <cell r="K1837">
            <v>600001</v>
          </cell>
          <cell r="L1837">
            <v>0</v>
          </cell>
        </row>
        <row r="1838">
          <cell r="B1838" t="str">
            <v>4.2.3.01.0014</v>
          </cell>
          <cell r="C1838">
            <v>423114</v>
          </cell>
          <cell r="D1838" t="str">
            <v>Cessão Temporária e Manut. de Software</v>
          </cell>
          <cell r="E1838" t="str">
            <v>A</v>
          </cell>
          <cell r="H1838" t="str">
            <v>Materiais, utilidades, serviços de terceiros e outros</v>
          </cell>
          <cell r="I1838">
            <v>500004</v>
          </cell>
          <cell r="J1838" t="str">
            <v>N/A</v>
          </cell>
          <cell r="K1838">
            <v>600001</v>
          </cell>
          <cell r="L1838">
            <v>0</v>
          </cell>
        </row>
        <row r="1839">
          <cell r="B1839" t="str">
            <v>4.2.3.01.0015</v>
          </cell>
          <cell r="C1839">
            <v>423115</v>
          </cell>
          <cell r="D1839" t="str">
            <v>Serviços de Clipping de Multimídia</v>
          </cell>
          <cell r="E1839" t="str">
            <v>A</v>
          </cell>
          <cell r="H1839" t="str">
            <v>Materiais, utilidades, serviços de terceiros e outros</v>
          </cell>
          <cell r="I1839">
            <v>500004</v>
          </cell>
          <cell r="J1839" t="str">
            <v>N/A</v>
          </cell>
          <cell r="K1839">
            <v>600001</v>
          </cell>
          <cell r="L1839">
            <v>0</v>
          </cell>
        </row>
        <row r="1840">
          <cell r="B1840" t="str">
            <v>4.2.3.01.0017</v>
          </cell>
          <cell r="C1840">
            <v>423117</v>
          </cell>
          <cell r="D1840" t="str">
            <v>Despesas com Estagiarios</v>
          </cell>
          <cell r="E1840" t="str">
            <v>A</v>
          </cell>
          <cell r="H1840" t="str">
            <v>Remuneração Direta</v>
          </cell>
          <cell r="I1840">
            <v>500008</v>
          </cell>
          <cell r="J1840" t="str">
            <v>N/A</v>
          </cell>
          <cell r="K1840">
            <v>600001</v>
          </cell>
          <cell r="L1840">
            <v>0</v>
          </cell>
        </row>
        <row r="1841">
          <cell r="B1841" t="str">
            <v>4.2.3.01.0018</v>
          </cell>
          <cell r="C1841">
            <v>423118</v>
          </cell>
          <cell r="D1841" t="str">
            <v>Despesas com Eventos e Confraternizações</v>
          </cell>
          <cell r="E1841" t="str">
            <v>A</v>
          </cell>
          <cell r="H1841" t="str">
            <v>Materiais, utilidades, serviços de terceiros e outros</v>
          </cell>
          <cell r="I1841">
            <v>500004</v>
          </cell>
          <cell r="J1841" t="str">
            <v>N/A</v>
          </cell>
          <cell r="K1841">
            <v>600001</v>
          </cell>
          <cell r="L1841">
            <v>0</v>
          </cell>
        </row>
        <row r="1842">
          <cell r="B1842" t="str">
            <v>4.2.3.01.0019</v>
          </cell>
          <cell r="C1842">
            <v>423119</v>
          </cell>
          <cell r="D1842" t="str">
            <v>Despesas com Jovem Aprendiz</v>
          </cell>
          <cell r="E1842" t="str">
            <v>A</v>
          </cell>
          <cell r="H1842" t="str">
            <v>Remuneração Direta</v>
          </cell>
          <cell r="I1842">
            <v>500008</v>
          </cell>
          <cell r="J1842" t="str">
            <v>N/A</v>
          </cell>
          <cell r="K1842">
            <v>600001</v>
          </cell>
          <cell r="L1842">
            <v>0</v>
          </cell>
        </row>
        <row r="1843">
          <cell r="B1843" t="str">
            <v>4.2.3.01.0997</v>
          </cell>
          <cell r="C1843">
            <v>4231997</v>
          </cell>
          <cell r="D1843" t="str">
            <v>Serviço Prestado PF</v>
          </cell>
          <cell r="E1843" t="str">
            <v>A</v>
          </cell>
          <cell r="H1843" t="str">
            <v>Materiais, utilidades, serviços de terceiros e outros</v>
          </cell>
          <cell r="I1843">
            <v>500004</v>
          </cell>
          <cell r="J1843" t="str">
            <v>N/A</v>
          </cell>
          <cell r="K1843">
            <v>600001</v>
          </cell>
          <cell r="L1843">
            <v>0</v>
          </cell>
        </row>
        <row r="1844">
          <cell r="B1844" t="str">
            <v>4.2.3.01.0998</v>
          </cell>
          <cell r="C1844">
            <v>4231998</v>
          </cell>
          <cell r="D1844" t="str">
            <v>(-) Reemb. de desp. c/ Serviço de Terc.</v>
          </cell>
          <cell r="E1844" t="str">
            <v>A</v>
          </cell>
          <cell r="H1844" t="str">
            <v>Outras Receitas</v>
          </cell>
          <cell r="I1844">
            <v>500003</v>
          </cell>
          <cell r="J1844" t="str">
            <v>N/A</v>
          </cell>
          <cell r="K1844">
            <v>600001</v>
          </cell>
          <cell r="L1844">
            <v>0</v>
          </cell>
        </row>
        <row r="1845">
          <cell r="B1845" t="str">
            <v>4.2.3.01.0999</v>
          </cell>
          <cell r="C1845">
            <v>4231999</v>
          </cell>
          <cell r="D1845" t="str">
            <v>Outros Serviços</v>
          </cell>
          <cell r="E1845" t="str">
            <v>A</v>
          </cell>
          <cell r="H1845" t="str">
            <v>Materiais, utilidades, serviços de terceiros e outros</v>
          </cell>
          <cell r="I1845">
            <v>500004</v>
          </cell>
          <cell r="J1845" t="str">
            <v>N/A</v>
          </cell>
          <cell r="K1845">
            <v>600001</v>
          </cell>
          <cell r="L1845">
            <v>0</v>
          </cell>
        </row>
        <row r="1846">
          <cell r="B1846" t="str">
            <v>4.2.3.02</v>
          </cell>
          <cell r="C1846">
            <v>4232</v>
          </cell>
          <cell r="D1846" t="str">
            <v>Desp.c/Serv. de Terceiros - Estrangeiros</v>
          </cell>
          <cell r="E1846" t="str">
            <v>S</v>
          </cell>
        </row>
        <row r="1847">
          <cell r="B1847" t="str">
            <v>4.2.3.02.0001</v>
          </cell>
          <cell r="C1847">
            <v>42321</v>
          </cell>
          <cell r="D1847" t="str">
            <v>Serviços de Consultoria</v>
          </cell>
          <cell r="E1847" t="str">
            <v>A</v>
          </cell>
          <cell r="H1847" t="str">
            <v>Materiais, utilidades, serviços de terceiros e outros</v>
          </cell>
          <cell r="I1847">
            <v>500004</v>
          </cell>
          <cell r="J1847" t="str">
            <v>N/A</v>
          </cell>
          <cell r="K1847">
            <v>600001</v>
          </cell>
          <cell r="L1847">
            <v>0</v>
          </cell>
        </row>
        <row r="1848">
          <cell r="B1848" t="str">
            <v>4.2.3.02.0002</v>
          </cell>
          <cell r="C1848">
            <v>42322</v>
          </cell>
          <cell r="D1848" t="str">
            <v>Cessão Temporária e Manut. de Software</v>
          </cell>
          <cell r="E1848" t="str">
            <v>A</v>
          </cell>
          <cell r="H1848" t="str">
            <v>Materiais, utilidades, serviços de terceiros e outros</v>
          </cell>
          <cell r="I1848">
            <v>500004</v>
          </cell>
          <cell r="J1848" t="str">
            <v>N/A</v>
          </cell>
          <cell r="K1848">
            <v>600001</v>
          </cell>
          <cell r="L1848">
            <v>0</v>
          </cell>
        </row>
        <row r="1849">
          <cell r="B1849" t="str">
            <v>4.2.3.02.0999</v>
          </cell>
          <cell r="C1849">
            <v>4232999</v>
          </cell>
          <cell r="D1849" t="str">
            <v>Outros Serviços</v>
          </cell>
          <cell r="E1849" t="str">
            <v>A</v>
          </cell>
          <cell r="H1849" t="str">
            <v>Materiais, utilidades, serviços de terceiros e outros</v>
          </cell>
          <cell r="I1849">
            <v>500004</v>
          </cell>
          <cell r="J1849" t="str">
            <v>N/A</v>
          </cell>
          <cell r="K1849">
            <v>600001</v>
          </cell>
          <cell r="L1849">
            <v>0</v>
          </cell>
        </row>
        <row r="1850">
          <cell r="B1850" t="str">
            <v>4.2.4</v>
          </cell>
          <cell r="C1850">
            <v>424</v>
          </cell>
          <cell r="D1850" t="str">
            <v>Desp.c/Tributos</v>
          </cell>
          <cell r="E1850" t="str">
            <v>S</v>
          </cell>
        </row>
        <row r="1851">
          <cell r="B1851" t="str">
            <v>4.2.4.01</v>
          </cell>
          <cell r="C1851">
            <v>4241</v>
          </cell>
          <cell r="D1851" t="str">
            <v>Desp.c/Tributos-Imp.,Txs e Contribuições</v>
          </cell>
          <cell r="E1851" t="str">
            <v>S</v>
          </cell>
        </row>
        <row r="1852">
          <cell r="B1852" t="str">
            <v>4.2.4.01.0001</v>
          </cell>
          <cell r="C1852">
            <v>42411</v>
          </cell>
          <cell r="D1852" t="str">
            <v>ITR</v>
          </cell>
          <cell r="E1852" t="str">
            <v>A</v>
          </cell>
          <cell r="H1852" t="str">
            <v>Federais (inclui a contribuição previdenciária e sindical)</v>
          </cell>
          <cell r="I1852">
            <v>500012</v>
          </cell>
          <cell r="J1852" t="str">
            <v>N/A</v>
          </cell>
          <cell r="K1852">
            <v>600001</v>
          </cell>
          <cell r="L1852">
            <v>0</v>
          </cell>
        </row>
        <row r="1853">
          <cell r="B1853" t="str">
            <v>4.2.4.01.0002</v>
          </cell>
          <cell r="C1853">
            <v>42412</v>
          </cell>
          <cell r="D1853" t="str">
            <v>IPTU</v>
          </cell>
          <cell r="E1853" t="str">
            <v>A</v>
          </cell>
          <cell r="H1853" t="str">
            <v xml:space="preserve">Municipais </v>
          </cell>
          <cell r="I1853">
            <v>500014</v>
          </cell>
          <cell r="J1853" t="str">
            <v>N/A</v>
          </cell>
          <cell r="K1853">
            <v>600001</v>
          </cell>
          <cell r="L1853">
            <v>0</v>
          </cell>
        </row>
        <row r="1854">
          <cell r="B1854" t="str">
            <v>4.2.4.01.0003</v>
          </cell>
          <cell r="C1854">
            <v>42413</v>
          </cell>
          <cell r="D1854" t="str">
            <v>IPVA</v>
          </cell>
          <cell r="E1854" t="str">
            <v>A</v>
          </cell>
          <cell r="H1854" t="str">
            <v>Estaduais (inclui IPVA)</v>
          </cell>
          <cell r="I1854">
            <v>500013</v>
          </cell>
          <cell r="J1854" t="str">
            <v>N/A</v>
          </cell>
          <cell r="K1854">
            <v>600001</v>
          </cell>
          <cell r="L1854">
            <v>0</v>
          </cell>
        </row>
        <row r="1855">
          <cell r="B1855" t="str">
            <v>4.2.4.01.0004</v>
          </cell>
          <cell r="C1855">
            <v>42414</v>
          </cell>
          <cell r="D1855" t="str">
            <v>Taxas Municipais</v>
          </cell>
          <cell r="E1855" t="str">
            <v>A</v>
          </cell>
          <cell r="H1855" t="str">
            <v xml:space="preserve">Municipais </v>
          </cell>
          <cell r="I1855">
            <v>500014</v>
          </cell>
          <cell r="J1855" t="str">
            <v>N/A</v>
          </cell>
          <cell r="K1855">
            <v>600001</v>
          </cell>
          <cell r="L1855">
            <v>0</v>
          </cell>
        </row>
        <row r="1856">
          <cell r="B1856" t="str">
            <v>4.2.4.01.0005</v>
          </cell>
          <cell r="C1856">
            <v>42415</v>
          </cell>
          <cell r="D1856" t="str">
            <v>PIS s/ Outras Receitas</v>
          </cell>
          <cell r="E1856" t="str">
            <v>A</v>
          </cell>
          <cell r="H1856" t="str">
            <v>Federais (inclui a contribuição previdenciária e sindical)</v>
          </cell>
          <cell r="I1856">
            <v>500012</v>
          </cell>
          <cell r="J1856" t="str">
            <v>N/A</v>
          </cell>
          <cell r="K1856">
            <v>600001</v>
          </cell>
          <cell r="L1856">
            <v>0</v>
          </cell>
        </row>
        <row r="1857">
          <cell r="B1857" t="str">
            <v>4.2.4.01.0006</v>
          </cell>
          <cell r="C1857">
            <v>42416</v>
          </cell>
          <cell r="D1857" t="str">
            <v>COFINS s/ outras Receitas</v>
          </cell>
          <cell r="E1857" t="str">
            <v>A</v>
          </cell>
          <cell r="H1857" t="str">
            <v>Federais (inclui a contribuição previdenciária e sindical)</v>
          </cell>
          <cell r="I1857">
            <v>500012</v>
          </cell>
          <cell r="J1857" t="str">
            <v>N/A</v>
          </cell>
          <cell r="K1857">
            <v>600001</v>
          </cell>
          <cell r="L1857">
            <v>0</v>
          </cell>
        </row>
        <row r="1858">
          <cell r="B1858" t="str">
            <v>4.2.4.01.0007</v>
          </cell>
          <cell r="C1858">
            <v>42417</v>
          </cell>
          <cell r="D1858" t="str">
            <v>ICMS</v>
          </cell>
          <cell r="E1858" t="str">
            <v>A</v>
          </cell>
          <cell r="H1858" t="str">
            <v>Estaduais (inclui IPVA)</v>
          </cell>
          <cell r="I1858">
            <v>500013</v>
          </cell>
          <cell r="J1858" t="str">
            <v>N/A</v>
          </cell>
          <cell r="K1858">
            <v>600001</v>
          </cell>
          <cell r="L1858">
            <v>0</v>
          </cell>
        </row>
        <row r="1859">
          <cell r="B1859" t="str">
            <v>4.2.4.01.0008</v>
          </cell>
          <cell r="C1859">
            <v>42418</v>
          </cell>
          <cell r="D1859" t="str">
            <v>Outros Impostos e Taxas</v>
          </cell>
          <cell r="E1859" t="str">
            <v>A</v>
          </cell>
          <cell r="H1859" t="str">
            <v>Federais (inclui a contribuição previdenciária e sindical)</v>
          </cell>
          <cell r="I1859">
            <v>500012</v>
          </cell>
          <cell r="J1859" t="str">
            <v>N/A</v>
          </cell>
          <cell r="K1859">
            <v>600001</v>
          </cell>
          <cell r="L1859">
            <v>0</v>
          </cell>
        </row>
        <row r="1860">
          <cell r="B1860" t="str">
            <v>4.2.4.01.0009</v>
          </cell>
          <cell r="C1860">
            <v>42419</v>
          </cell>
          <cell r="D1860" t="str">
            <v>REFORMA DAS INSTALAÇÕES</v>
          </cell>
          <cell r="E1860" t="str">
            <v>A</v>
          </cell>
          <cell r="H1860" t="str">
            <v>Materiais, utilidades, serviços de terceiros e outros</v>
          </cell>
          <cell r="I1860">
            <v>500004</v>
          </cell>
          <cell r="J1860" t="str">
            <v>N/A</v>
          </cell>
          <cell r="K1860">
            <v>600001</v>
          </cell>
          <cell r="L1860">
            <v>0</v>
          </cell>
        </row>
        <row r="1861">
          <cell r="B1861" t="str">
            <v>4.2.4.01.0010</v>
          </cell>
          <cell r="C1861">
            <v>424110</v>
          </cell>
          <cell r="D1861" t="str">
            <v>Despesas com IRPJ - Anos Anteriores</v>
          </cell>
          <cell r="E1861" t="str">
            <v>A</v>
          </cell>
          <cell r="H1861" t="str">
            <v>Federais (inclui a contribuição previdenciária e sindical)</v>
          </cell>
          <cell r="I1861">
            <v>500012</v>
          </cell>
          <cell r="J1861" t="str">
            <v>N/A</v>
          </cell>
          <cell r="K1861">
            <v>600001</v>
          </cell>
          <cell r="L1861">
            <v>0</v>
          </cell>
        </row>
        <row r="1862">
          <cell r="B1862" t="str">
            <v>4.2.4.01.0011</v>
          </cell>
          <cell r="C1862">
            <v>424111</v>
          </cell>
          <cell r="D1862" t="str">
            <v>Despesas com CSLL - Anos Anteriores</v>
          </cell>
          <cell r="E1862" t="str">
            <v>A</v>
          </cell>
          <cell r="H1862" t="str">
            <v>Federais (inclui a contribuição previdenciária e sindical)</v>
          </cell>
          <cell r="I1862">
            <v>500012</v>
          </cell>
          <cell r="J1862" t="str">
            <v>N/A</v>
          </cell>
          <cell r="K1862">
            <v>600001</v>
          </cell>
          <cell r="L1862">
            <v>0</v>
          </cell>
        </row>
        <row r="1863">
          <cell r="B1863" t="str">
            <v>4.2.4.01.0012</v>
          </cell>
          <cell r="C1863">
            <v>424112</v>
          </cell>
          <cell r="D1863" t="str">
            <v>Taxas Estaduais</v>
          </cell>
          <cell r="E1863" t="str">
            <v>A</v>
          </cell>
          <cell r="H1863" t="str">
            <v>Estaduais (inclui IPVA)</v>
          </cell>
          <cell r="I1863">
            <v>500013</v>
          </cell>
          <cell r="J1863" t="str">
            <v>N/A</v>
          </cell>
          <cell r="K1863">
            <v>600001</v>
          </cell>
          <cell r="L1863">
            <v>0</v>
          </cell>
        </row>
        <row r="1864">
          <cell r="B1864" t="str">
            <v>4.2.4.01.0013</v>
          </cell>
          <cell r="C1864">
            <v>424113</v>
          </cell>
          <cell r="D1864" t="str">
            <v>Perdas de Créditos Tributários</v>
          </cell>
          <cell r="E1864" t="str">
            <v>A</v>
          </cell>
          <cell r="H1864" t="str">
            <v xml:space="preserve">Outras </v>
          </cell>
          <cell r="I1864">
            <v>500018</v>
          </cell>
          <cell r="J1864" t="str">
            <v>N/A</v>
          </cell>
          <cell r="K1864">
            <v>600001</v>
          </cell>
          <cell r="L1864">
            <v>0</v>
          </cell>
        </row>
        <row r="1865">
          <cell r="B1865" t="str">
            <v>4.2.5</v>
          </cell>
          <cell r="C1865">
            <v>425</v>
          </cell>
          <cell r="D1865" t="str">
            <v>Despesas com Provisôes</v>
          </cell>
          <cell r="E1865" t="str">
            <v>S</v>
          </cell>
        </row>
        <row r="1866">
          <cell r="B1866" t="str">
            <v>4.2.5.01</v>
          </cell>
          <cell r="C1866">
            <v>4251</v>
          </cell>
          <cell r="D1866" t="str">
            <v>Imposto de Renda</v>
          </cell>
          <cell r="E1866" t="str">
            <v>S</v>
          </cell>
        </row>
        <row r="1867">
          <cell r="B1867" t="str">
            <v>4.2.5.01.0001</v>
          </cell>
          <cell r="C1867">
            <v>42511</v>
          </cell>
          <cell r="D1867" t="str">
            <v>Provisão p/ IRPJ</v>
          </cell>
          <cell r="E1867" t="str">
            <v>A</v>
          </cell>
          <cell r="H1867" t="str">
            <v>Federais (inclui a contribuição previdenciária e sindical)</v>
          </cell>
          <cell r="I1867">
            <v>500012</v>
          </cell>
          <cell r="J1867" t="str">
            <v>N/A</v>
          </cell>
          <cell r="K1867">
            <v>600001</v>
          </cell>
          <cell r="L1867">
            <v>0</v>
          </cell>
        </row>
        <row r="1868">
          <cell r="B1868" t="str">
            <v>4.2.5.01.0002</v>
          </cell>
          <cell r="C1868">
            <v>42512</v>
          </cell>
          <cell r="D1868" t="str">
            <v>Provisao p/ IRPJ Diferido</v>
          </cell>
          <cell r="E1868" t="str">
            <v>A</v>
          </cell>
          <cell r="H1868" t="str">
            <v>Federais (inclui a contribuição previdenciária e sindical)</v>
          </cell>
          <cell r="I1868">
            <v>500012</v>
          </cell>
          <cell r="J1868" t="str">
            <v>N/A</v>
          </cell>
          <cell r="K1868">
            <v>600001</v>
          </cell>
          <cell r="L1868">
            <v>0</v>
          </cell>
        </row>
        <row r="1869">
          <cell r="B1869" t="str">
            <v>4.2.5.02</v>
          </cell>
          <cell r="C1869">
            <v>4252</v>
          </cell>
          <cell r="D1869" t="str">
            <v>Contribuição Social s/ Lucro Líquido</v>
          </cell>
          <cell r="E1869" t="str">
            <v>S</v>
          </cell>
        </row>
        <row r="1870">
          <cell r="B1870" t="str">
            <v>4.2.5.02.0001</v>
          </cell>
          <cell r="C1870">
            <v>42521</v>
          </cell>
          <cell r="D1870" t="str">
            <v>Provisão p/ CSLL</v>
          </cell>
          <cell r="E1870" t="str">
            <v>A</v>
          </cell>
          <cell r="H1870" t="str">
            <v>Federais (inclui a contribuição previdenciária e sindical)</v>
          </cell>
          <cell r="I1870">
            <v>500012</v>
          </cell>
          <cell r="J1870" t="str">
            <v>N/A</v>
          </cell>
          <cell r="K1870">
            <v>600001</v>
          </cell>
          <cell r="L1870">
            <v>0</v>
          </cell>
        </row>
        <row r="1871">
          <cell r="B1871" t="str">
            <v>4.2.5.02.0002</v>
          </cell>
          <cell r="C1871">
            <v>42522</v>
          </cell>
          <cell r="D1871" t="str">
            <v>Provisao p/ CSLL Diferido</v>
          </cell>
          <cell r="E1871" t="str">
            <v>A</v>
          </cell>
          <cell r="H1871" t="str">
            <v>Federais (inclui a contribuição previdenciária e sindical)</v>
          </cell>
          <cell r="I1871">
            <v>500012</v>
          </cell>
          <cell r="J1871" t="str">
            <v>N/A</v>
          </cell>
          <cell r="K1871">
            <v>600001</v>
          </cell>
          <cell r="L1871">
            <v>0</v>
          </cell>
        </row>
        <row r="1872">
          <cell r="B1872" t="str">
            <v>4.2.5.03</v>
          </cell>
          <cell r="C1872">
            <v>4253</v>
          </cell>
          <cell r="D1872" t="str">
            <v>Desp. c/ Provisões-Retific. de Créditos</v>
          </cell>
          <cell r="E1872" t="str">
            <v>S</v>
          </cell>
        </row>
        <row r="1873">
          <cell r="B1873" t="str">
            <v>4.2.5.03.0001</v>
          </cell>
          <cell r="C1873">
            <v>42531</v>
          </cell>
          <cell r="D1873" t="str">
            <v>Provisões p/ Devedores Duvidosos</v>
          </cell>
          <cell r="E1873" t="str">
            <v>A</v>
          </cell>
          <cell r="H1873" t="str">
            <v xml:space="preserve">Outras </v>
          </cell>
          <cell r="I1873">
            <v>500018</v>
          </cell>
          <cell r="J1873" t="str">
            <v>N/A</v>
          </cell>
          <cell r="K1873">
            <v>600001</v>
          </cell>
          <cell r="L1873">
            <v>0</v>
          </cell>
        </row>
        <row r="1874">
          <cell r="B1874" t="str">
            <v>4.2.5.03.0002</v>
          </cell>
          <cell r="C1874">
            <v>42532</v>
          </cell>
          <cell r="D1874" t="str">
            <v>Provisões p/Perdas em Valores Mobiliário</v>
          </cell>
          <cell r="E1874" t="str">
            <v>A</v>
          </cell>
          <cell r="H1874" t="str">
            <v xml:space="preserve">Outras </v>
          </cell>
          <cell r="I1874">
            <v>500018</v>
          </cell>
          <cell r="J1874" t="str">
            <v>N/A</v>
          </cell>
          <cell r="K1874">
            <v>600001</v>
          </cell>
          <cell r="L1874">
            <v>0</v>
          </cell>
        </row>
        <row r="1875">
          <cell r="B1875" t="str">
            <v>4.2.5.04</v>
          </cell>
          <cell r="C1875">
            <v>4254</v>
          </cell>
          <cell r="D1875" t="str">
            <v>Despesas c/ Provisões - p/ Contingências</v>
          </cell>
          <cell r="E1875" t="str">
            <v>S</v>
          </cell>
        </row>
        <row r="1876">
          <cell r="B1876" t="str">
            <v>4.2.5.04.0001</v>
          </cell>
          <cell r="C1876">
            <v>42541</v>
          </cell>
          <cell r="D1876" t="str">
            <v>Provisões p/ Contingências Trabalhistas</v>
          </cell>
          <cell r="E1876" t="str">
            <v>A</v>
          </cell>
          <cell r="H1876" t="str">
            <v>Contingências/indenizações trabalhistas</v>
          </cell>
          <cell r="I1876">
            <v>500011</v>
          </cell>
          <cell r="J1876" t="str">
            <v>N/A</v>
          </cell>
          <cell r="K1876">
            <v>600001</v>
          </cell>
          <cell r="L1876">
            <v>0</v>
          </cell>
        </row>
        <row r="1877">
          <cell r="B1877" t="str">
            <v>4.2.5.04.0002</v>
          </cell>
          <cell r="C1877">
            <v>42542</v>
          </cell>
          <cell r="D1877" t="str">
            <v>Provisões p/ Contingências Cíveis</v>
          </cell>
          <cell r="E1877" t="str">
            <v>A</v>
          </cell>
          <cell r="H1877" t="str">
            <v>Contingências fiscais</v>
          </cell>
          <cell r="I1877">
            <v>500015</v>
          </cell>
          <cell r="J1877" t="str">
            <v>N/A</v>
          </cell>
          <cell r="K1877">
            <v>600001</v>
          </cell>
          <cell r="L1877">
            <v>0</v>
          </cell>
        </row>
        <row r="1878">
          <cell r="B1878" t="str">
            <v>4.2.5.04.0003</v>
          </cell>
          <cell r="C1878">
            <v>42543</v>
          </cell>
          <cell r="D1878" t="str">
            <v>Provisões p/ Contingências Fiscais</v>
          </cell>
          <cell r="E1878" t="str">
            <v>A</v>
          </cell>
          <cell r="H1878" t="str">
            <v>Contingências fiscais</v>
          </cell>
          <cell r="I1878">
            <v>500015</v>
          </cell>
          <cell r="J1878" t="str">
            <v>N/A</v>
          </cell>
          <cell r="K1878">
            <v>600001</v>
          </cell>
          <cell r="L1878">
            <v>0</v>
          </cell>
        </row>
        <row r="1879">
          <cell r="B1879" t="str">
            <v>4.2.5.04.0004</v>
          </cell>
          <cell r="C1879">
            <v>42544</v>
          </cell>
          <cell r="D1879" t="str">
            <v>Provisões p/ Contingências Processos Administrativos</v>
          </cell>
          <cell r="E1879" t="str">
            <v>A</v>
          </cell>
          <cell r="H1879" t="str">
            <v>Contingências fiscais</v>
          </cell>
          <cell r="I1879">
            <v>500015</v>
          </cell>
          <cell r="J1879" t="str">
            <v>N/A</v>
          </cell>
          <cell r="K1879">
            <v>600001</v>
          </cell>
          <cell r="L1879">
            <v>0</v>
          </cell>
        </row>
        <row r="1880">
          <cell r="B1880" t="str">
            <v>4.2.5.04.0999</v>
          </cell>
          <cell r="C1880">
            <v>4254999</v>
          </cell>
          <cell r="D1880" t="str">
            <v>Outras Provisões</v>
          </cell>
          <cell r="E1880" t="str">
            <v>A</v>
          </cell>
          <cell r="H1880" t="str">
            <v>Materiais, utilidades, serviços de terceiros e outros</v>
          </cell>
          <cell r="I1880">
            <v>500004</v>
          </cell>
          <cell r="J1880" t="str">
            <v>N/A</v>
          </cell>
          <cell r="K1880">
            <v>600001</v>
          </cell>
          <cell r="L1880">
            <v>0</v>
          </cell>
        </row>
        <row r="1881">
          <cell r="B1881" t="str">
            <v>4.2.6</v>
          </cell>
          <cell r="C1881">
            <v>426</v>
          </cell>
          <cell r="D1881" t="str">
            <v>Despesas Gerais</v>
          </cell>
          <cell r="E1881" t="str">
            <v>S</v>
          </cell>
        </row>
        <row r="1882">
          <cell r="B1882" t="str">
            <v>4.2.6.01</v>
          </cell>
          <cell r="C1882">
            <v>4261</v>
          </cell>
          <cell r="D1882" t="str">
            <v>Desp. Gerais Funcionamento Instalações</v>
          </cell>
          <cell r="E1882" t="str">
            <v>S</v>
          </cell>
        </row>
        <row r="1883">
          <cell r="B1883" t="str">
            <v>4.2.6.01.0001</v>
          </cell>
          <cell r="C1883">
            <v>42611</v>
          </cell>
          <cell r="D1883" t="str">
            <v xml:space="preserve">Aluguéis </v>
          </cell>
          <cell r="E1883" t="str">
            <v>A</v>
          </cell>
          <cell r="H1883" t="str">
            <v>Alugueis</v>
          </cell>
          <cell r="I1883">
            <v>500017</v>
          </cell>
          <cell r="J1883" t="str">
            <v>N/A</v>
          </cell>
          <cell r="K1883">
            <v>600001</v>
          </cell>
          <cell r="L1883">
            <v>0</v>
          </cell>
        </row>
        <row r="1884">
          <cell r="B1884" t="str">
            <v>4.2.6.01.0002</v>
          </cell>
          <cell r="C1884">
            <v>42612</v>
          </cell>
          <cell r="D1884" t="str">
            <v>Arrendamento Mercantil</v>
          </cell>
          <cell r="E1884" t="str">
            <v>A</v>
          </cell>
          <cell r="H1884" t="str">
            <v>Alugueis</v>
          </cell>
          <cell r="I1884">
            <v>500017</v>
          </cell>
          <cell r="J1884" t="str">
            <v>N/A</v>
          </cell>
          <cell r="K1884">
            <v>600001</v>
          </cell>
          <cell r="L1884">
            <v>0</v>
          </cell>
        </row>
        <row r="1885">
          <cell r="B1885" t="str">
            <v>4.2.6.01.0003</v>
          </cell>
          <cell r="C1885">
            <v>42613</v>
          </cell>
          <cell r="D1885" t="str">
            <v>Manutenção e Reparos</v>
          </cell>
          <cell r="E1885" t="str">
            <v>A</v>
          </cell>
          <cell r="H1885" t="str">
            <v>Materiais, utilidades, serviços de terceiros e outros</v>
          </cell>
          <cell r="I1885">
            <v>500004</v>
          </cell>
          <cell r="J1885" t="str">
            <v>N/A</v>
          </cell>
          <cell r="K1885">
            <v>600001</v>
          </cell>
          <cell r="L1885">
            <v>0</v>
          </cell>
        </row>
        <row r="1886">
          <cell r="B1886" t="str">
            <v>4.2.6.01.0004</v>
          </cell>
          <cell r="C1886">
            <v>42614</v>
          </cell>
          <cell r="D1886" t="str">
            <v>Energia Elétrica</v>
          </cell>
          <cell r="E1886" t="str">
            <v>A</v>
          </cell>
          <cell r="H1886" t="str">
            <v>Materiais, utilidades, serviços de terceiros e outros</v>
          </cell>
          <cell r="I1886">
            <v>500004</v>
          </cell>
          <cell r="J1886" t="str">
            <v>N/A</v>
          </cell>
          <cell r="K1886">
            <v>600001</v>
          </cell>
          <cell r="L1886">
            <v>0</v>
          </cell>
        </row>
        <row r="1887">
          <cell r="B1887" t="str">
            <v>4.2.6.01.0005</v>
          </cell>
          <cell r="C1887">
            <v>42615</v>
          </cell>
          <cell r="D1887" t="str">
            <v>Água e Esgoto</v>
          </cell>
          <cell r="E1887" t="str">
            <v>A</v>
          </cell>
          <cell r="H1887" t="str">
            <v>Materiais, utilidades, serviços de terceiros e outros</v>
          </cell>
          <cell r="I1887">
            <v>500004</v>
          </cell>
          <cell r="J1887" t="str">
            <v>N/A</v>
          </cell>
          <cell r="K1887">
            <v>600001</v>
          </cell>
          <cell r="L1887">
            <v>0</v>
          </cell>
        </row>
        <row r="1888">
          <cell r="B1888" t="str">
            <v>4.2.6.01.0006</v>
          </cell>
          <cell r="C1888">
            <v>42616</v>
          </cell>
          <cell r="D1888" t="str">
            <v>Telecomunicações</v>
          </cell>
          <cell r="E1888" t="str">
            <v>A</v>
          </cell>
          <cell r="H1888" t="str">
            <v>Materiais, utilidades, serviços de terceiros e outros</v>
          </cell>
          <cell r="I1888">
            <v>500004</v>
          </cell>
          <cell r="J1888" t="str">
            <v>N/A</v>
          </cell>
          <cell r="K1888">
            <v>600001</v>
          </cell>
          <cell r="L1888">
            <v>0</v>
          </cell>
        </row>
        <row r="1889">
          <cell r="B1889" t="str">
            <v>4.2.6.01.0007</v>
          </cell>
          <cell r="C1889">
            <v>42617</v>
          </cell>
          <cell r="D1889" t="str">
            <v>Correios e Malotes</v>
          </cell>
          <cell r="E1889" t="str">
            <v>A</v>
          </cell>
          <cell r="H1889" t="str">
            <v>Materiais, utilidades, serviços de terceiros e outros</v>
          </cell>
          <cell r="I1889">
            <v>500004</v>
          </cell>
          <cell r="J1889" t="str">
            <v>N/A</v>
          </cell>
          <cell r="K1889">
            <v>600001</v>
          </cell>
          <cell r="L1889">
            <v>0</v>
          </cell>
        </row>
        <row r="1890">
          <cell r="B1890" t="str">
            <v>4.2.6.01.0008</v>
          </cell>
          <cell r="C1890">
            <v>42618</v>
          </cell>
          <cell r="D1890" t="str">
            <v>Reproduções</v>
          </cell>
          <cell r="E1890" t="str">
            <v>A</v>
          </cell>
          <cell r="H1890" t="str">
            <v>Materiais, utilidades, serviços de terceiros e outros</v>
          </cell>
          <cell r="I1890">
            <v>500004</v>
          </cell>
          <cell r="J1890" t="str">
            <v>N/A</v>
          </cell>
          <cell r="K1890">
            <v>600001</v>
          </cell>
          <cell r="L1890">
            <v>0</v>
          </cell>
        </row>
        <row r="1891">
          <cell r="B1891" t="str">
            <v>4.2.6.01.0009</v>
          </cell>
          <cell r="C1891">
            <v>42619</v>
          </cell>
          <cell r="D1891" t="str">
            <v>Seguros</v>
          </cell>
          <cell r="E1891" t="str">
            <v>A</v>
          </cell>
          <cell r="H1891" t="str">
            <v>Materiais, utilidades, serviços de terceiros e outros</v>
          </cell>
          <cell r="I1891">
            <v>500004</v>
          </cell>
          <cell r="J1891" t="str">
            <v>N/A</v>
          </cell>
          <cell r="K1891">
            <v>600001</v>
          </cell>
          <cell r="L1891">
            <v>0</v>
          </cell>
        </row>
        <row r="1892">
          <cell r="B1892" t="str">
            <v>4.2.6.01.0010</v>
          </cell>
          <cell r="C1892">
            <v>426110</v>
          </cell>
          <cell r="D1892" t="str">
            <v>Conduções</v>
          </cell>
          <cell r="E1892" t="str">
            <v>A</v>
          </cell>
          <cell r="H1892" t="str">
            <v>Materiais, utilidades, serviços de terceiros e outros</v>
          </cell>
          <cell r="I1892">
            <v>500004</v>
          </cell>
          <cell r="J1892" t="str">
            <v>N/A</v>
          </cell>
          <cell r="K1892">
            <v>600001</v>
          </cell>
          <cell r="L1892">
            <v>0</v>
          </cell>
        </row>
        <row r="1893">
          <cell r="B1893" t="str">
            <v>4.2.6.01.0011</v>
          </cell>
          <cell r="C1893">
            <v>426111</v>
          </cell>
          <cell r="D1893" t="str">
            <v>Depreciação e Amortização</v>
          </cell>
          <cell r="E1893" t="str">
            <v>A</v>
          </cell>
          <cell r="H1893" t="str">
            <v>Depreciação e Amortização</v>
          </cell>
          <cell r="I1893">
            <v>500005</v>
          </cell>
          <cell r="J1893" t="str">
            <v>N/A</v>
          </cell>
          <cell r="K1893">
            <v>600001</v>
          </cell>
          <cell r="L1893">
            <v>0</v>
          </cell>
        </row>
        <row r="1894">
          <cell r="B1894" t="str">
            <v>4.2.6.01.0012</v>
          </cell>
          <cell r="C1894">
            <v>426112</v>
          </cell>
          <cell r="D1894" t="str">
            <v>Alugueis de Móveis, Máquinas e Equip.</v>
          </cell>
          <cell r="E1894" t="str">
            <v>A</v>
          </cell>
          <cell r="H1894" t="str">
            <v>Alugueis</v>
          </cell>
          <cell r="I1894">
            <v>500017</v>
          </cell>
          <cell r="J1894" t="str">
            <v>N/A</v>
          </cell>
          <cell r="K1894">
            <v>600001</v>
          </cell>
          <cell r="L1894">
            <v>0</v>
          </cell>
        </row>
        <row r="1895">
          <cell r="B1895" t="str">
            <v>4.2.6.01.0013</v>
          </cell>
          <cell r="C1895">
            <v>426113</v>
          </cell>
          <cell r="D1895" t="str">
            <v>Aluguel de Eq de Processamento de Dados</v>
          </cell>
          <cell r="E1895" t="str">
            <v>A</v>
          </cell>
          <cell r="H1895" t="str">
            <v>Alugueis</v>
          </cell>
          <cell r="I1895">
            <v>500017</v>
          </cell>
          <cell r="J1895" t="str">
            <v>N/A</v>
          </cell>
          <cell r="K1895">
            <v>600001</v>
          </cell>
          <cell r="L1895">
            <v>0</v>
          </cell>
        </row>
        <row r="1896">
          <cell r="B1896" t="str">
            <v>4.2.6.01.0014</v>
          </cell>
          <cell r="C1896">
            <v>426114</v>
          </cell>
          <cell r="D1896" t="str">
            <v>Serviço de Limpeza e Higiene</v>
          </cell>
          <cell r="E1896" t="str">
            <v>A</v>
          </cell>
          <cell r="H1896" t="str">
            <v>Materiais, utilidades, serviços de terceiros e outros</v>
          </cell>
          <cell r="I1896">
            <v>500004</v>
          </cell>
          <cell r="J1896" t="str">
            <v>N/A</v>
          </cell>
          <cell r="K1896">
            <v>600001</v>
          </cell>
          <cell r="L1896">
            <v>0</v>
          </cell>
        </row>
        <row r="1897">
          <cell r="B1897" t="str">
            <v>4.2.6.01.0015</v>
          </cell>
          <cell r="C1897">
            <v>426115</v>
          </cell>
          <cell r="D1897" t="str">
            <v>Projeto de Eficiência Energética</v>
          </cell>
          <cell r="E1897" t="str">
            <v>A</v>
          </cell>
          <cell r="H1897" t="str">
            <v>Materiais, utilidades, serviços de terceiros e outros</v>
          </cell>
          <cell r="I1897">
            <v>500004</v>
          </cell>
          <cell r="J1897" t="str">
            <v>N/A</v>
          </cell>
          <cell r="K1897">
            <v>600001</v>
          </cell>
          <cell r="L1897">
            <v>0</v>
          </cell>
        </row>
        <row r="1898">
          <cell r="B1898" t="str">
            <v>4.2.6.01.0016</v>
          </cell>
          <cell r="C1898">
            <v>426116</v>
          </cell>
          <cell r="D1898" t="str">
            <v>Condomínios</v>
          </cell>
          <cell r="E1898" t="str">
            <v>A</v>
          </cell>
          <cell r="H1898" t="str">
            <v>Materiais, utilidades, serviços de terceiros e outros</v>
          </cell>
          <cell r="I1898">
            <v>500004</v>
          </cell>
          <cell r="J1898" t="str">
            <v>N/A</v>
          </cell>
          <cell r="K1898">
            <v>600001</v>
          </cell>
          <cell r="L1898">
            <v>0</v>
          </cell>
        </row>
        <row r="1899">
          <cell r="B1899" t="str">
            <v>4.2.6.01.0017</v>
          </cell>
          <cell r="C1899">
            <v>426117</v>
          </cell>
          <cell r="D1899" t="str">
            <v>Serviços Gerais</v>
          </cell>
          <cell r="E1899" t="str">
            <v>A</v>
          </cell>
          <cell r="H1899" t="str">
            <v>Materiais, utilidades, serviços de terceiros e outros</v>
          </cell>
          <cell r="I1899">
            <v>500004</v>
          </cell>
          <cell r="J1899" t="str">
            <v>N/A</v>
          </cell>
          <cell r="K1899">
            <v>600001</v>
          </cell>
          <cell r="L1899">
            <v>0</v>
          </cell>
        </row>
        <row r="1900">
          <cell r="B1900" t="str">
            <v>4.2.6.01.0018</v>
          </cell>
          <cell r="C1900">
            <v>426118</v>
          </cell>
          <cell r="D1900" t="str">
            <v>Amortização Arrend. Mercantil / Direito de Uso Bens Arrendados</v>
          </cell>
          <cell r="E1900" t="str">
            <v>A</v>
          </cell>
          <cell r="H1900" t="str">
            <v>Depreciação e Amortização</v>
          </cell>
          <cell r="I1900">
            <v>500005</v>
          </cell>
          <cell r="J1900" t="str">
            <v>N/A</v>
          </cell>
          <cell r="K1900">
            <v>600001</v>
          </cell>
          <cell r="L1900">
            <v>0</v>
          </cell>
        </row>
        <row r="1901">
          <cell r="B1901" t="str">
            <v>4.2.6.01.0998</v>
          </cell>
          <cell r="C1901">
            <v>4261998</v>
          </cell>
          <cell r="D1901" t="str">
            <v>(-) Reemb despesas Gerais de funcionamen</v>
          </cell>
          <cell r="E1901" t="str">
            <v>A</v>
          </cell>
          <cell r="H1901" t="str">
            <v>Outras Receitas</v>
          </cell>
          <cell r="I1901">
            <v>500003</v>
          </cell>
          <cell r="J1901" t="str">
            <v>N/A</v>
          </cell>
          <cell r="K1901">
            <v>600001</v>
          </cell>
          <cell r="L1901">
            <v>0</v>
          </cell>
        </row>
        <row r="1902">
          <cell r="B1902" t="str">
            <v>4.2.6.01.0999</v>
          </cell>
          <cell r="C1902">
            <v>4261999</v>
          </cell>
          <cell r="D1902" t="str">
            <v>Outras Despesas</v>
          </cell>
          <cell r="E1902" t="str">
            <v>A</v>
          </cell>
          <cell r="H1902" t="str">
            <v>Materiais, utilidades, serviços de terceiros e outros</v>
          </cell>
          <cell r="I1902">
            <v>500004</v>
          </cell>
          <cell r="J1902" t="str">
            <v>N/A</v>
          </cell>
          <cell r="K1902">
            <v>600001</v>
          </cell>
          <cell r="L1902">
            <v>0</v>
          </cell>
        </row>
        <row r="1903">
          <cell r="B1903" t="str">
            <v>4.2.6.02</v>
          </cell>
          <cell r="C1903">
            <v>4262</v>
          </cell>
          <cell r="D1903" t="str">
            <v>Despesas Gerais da Administração</v>
          </cell>
          <cell r="E1903" t="str">
            <v>S</v>
          </cell>
        </row>
        <row r="1904">
          <cell r="B1904" t="str">
            <v>4.2.6.02.0001</v>
          </cell>
          <cell r="C1904">
            <v>42621</v>
          </cell>
          <cell r="D1904" t="str">
            <v>Honorários da Diretoria</v>
          </cell>
          <cell r="E1904" t="str">
            <v>A</v>
          </cell>
          <cell r="H1904" t="str">
            <v>Remuneração Direta</v>
          </cell>
          <cell r="I1904">
            <v>500008</v>
          </cell>
          <cell r="J1904" t="str">
            <v>N/A</v>
          </cell>
          <cell r="K1904">
            <v>600001</v>
          </cell>
          <cell r="L1904">
            <v>0</v>
          </cell>
        </row>
        <row r="1905">
          <cell r="B1905" t="str">
            <v>4.2.6.02.0002</v>
          </cell>
          <cell r="C1905">
            <v>42622</v>
          </cell>
          <cell r="D1905" t="str">
            <v>Honorários Conselhos de Adm. e Fiscal</v>
          </cell>
          <cell r="E1905" t="str">
            <v>A</v>
          </cell>
          <cell r="H1905" t="str">
            <v>Remuneração Direta</v>
          </cell>
          <cell r="I1905">
            <v>500008</v>
          </cell>
          <cell r="J1905" t="str">
            <v>N/A</v>
          </cell>
          <cell r="K1905">
            <v>600001</v>
          </cell>
          <cell r="L1905">
            <v>0</v>
          </cell>
        </row>
        <row r="1906">
          <cell r="B1906" t="str">
            <v>4.2.6.02.0003</v>
          </cell>
          <cell r="C1906">
            <v>42623</v>
          </cell>
          <cell r="D1906" t="str">
            <v>Despesas com Estagiários</v>
          </cell>
          <cell r="E1906" t="str">
            <v>A</v>
          </cell>
          <cell r="H1906" t="str">
            <v>Materiais, utilidades, serviços de terceiros e outros</v>
          </cell>
          <cell r="I1906">
            <v>500004</v>
          </cell>
          <cell r="J1906" t="str">
            <v>N/A</v>
          </cell>
          <cell r="K1906">
            <v>600001</v>
          </cell>
          <cell r="L1906">
            <v>0</v>
          </cell>
        </row>
        <row r="1907">
          <cell r="B1907" t="str">
            <v>4.2.6.02.0004</v>
          </cell>
          <cell r="C1907">
            <v>42624</v>
          </cell>
          <cell r="D1907" t="str">
            <v>Despesas de Viagens - Passagens Aéreas</v>
          </cell>
          <cell r="E1907" t="str">
            <v>A</v>
          </cell>
          <cell r="H1907" t="str">
            <v>Materiais, utilidades, serviços de terceiros e outros</v>
          </cell>
          <cell r="I1907">
            <v>500004</v>
          </cell>
          <cell r="J1907" t="str">
            <v>N/A</v>
          </cell>
          <cell r="K1907">
            <v>600001</v>
          </cell>
          <cell r="L1907">
            <v>0</v>
          </cell>
        </row>
        <row r="1908">
          <cell r="B1908" t="str">
            <v>4.2.6.02.0005</v>
          </cell>
          <cell r="C1908">
            <v>42625</v>
          </cell>
          <cell r="D1908" t="str">
            <v>Despesas de Viagens - Hospedagens</v>
          </cell>
          <cell r="E1908" t="str">
            <v>A</v>
          </cell>
          <cell r="H1908" t="str">
            <v>Materiais, utilidades, serviços de terceiros e outros</v>
          </cell>
          <cell r="I1908">
            <v>500004</v>
          </cell>
          <cell r="J1908" t="str">
            <v>N/A</v>
          </cell>
          <cell r="K1908">
            <v>600001</v>
          </cell>
          <cell r="L1908">
            <v>0</v>
          </cell>
        </row>
        <row r="1909">
          <cell r="B1909" t="str">
            <v>4.2.6.02.0006</v>
          </cell>
          <cell r="C1909">
            <v>42626</v>
          </cell>
          <cell r="D1909" t="str">
            <v>Despesas de Viagens - Outros</v>
          </cell>
          <cell r="E1909" t="str">
            <v>A</v>
          </cell>
          <cell r="H1909" t="str">
            <v>Materiais, utilidades, serviços de terceiros e outros</v>
          </cell>
          <cell r="I1909">
            <v>500004</v>
          </cell>
          <cell r="J1909" t="str">
            <v>N/A</v>
          </cell>
          <cell r="K1909">
            <v>600001</v>
          </cell>
          <cell r="L1909">
            <v>0</v>
          </cell>
        </row>
        <row r="1910">
          <cell r="B1910" t="str">
            <v>4.2.6.02.0007</v>
          </cell>
          <cell r="C1910">
            <v>42627</v>
          </cell>
          <cell r="D1910" t="str">
            <v>Assinaturas Banco de Dados e Portais</v>
          </cell>
          <cell r="E1910" t="str">
            <v>A</v>
          </cell>
          <cell r="H1910" t="str">
            <v>Materiais, utilidades, serviços de terceiros e outros</v>
          </cell>
          <cell r="I1910">
            <v>500004</v>
          </cell>
          <cell r="J1910" t="str">
            <v>N/A</v>
          </cell>
          <cell r="K1910">
            <v>600001</v>
          </cell>
          <cell r="L1910">
            <v>0</v>
          </cell>
        </row>
        <row r="1911">
          <cell r="B1911" t="str">
            <v>4.2.6.02.0008</v>
          </cell>
          <cell r="C1911">
            <v>42628</v>
          </cell>
          <cell r="D1911" t="str">
            <v>Donativos e Contribuições</v>
          </cell>
          <cell r="E1911" t="str">
            <v>A</v>
          </cell>
          <cell r="H1911" t="str">
            <v>Materiais, utilidades, serviços de terceiros e outros</v>
          </cell>
          <cell r="I1911">
            <v>500004</v>
          </cell>
          <cell r="J1911" t="str">
            <v>N/A</v>
          </cell>
          <cell r="K1911">
            <v>600001</v>
          </cell>
          <cell r="L1911">
            <v>0</v>
          </cell>
        </row>
        <row r="1912">
          <cell r="B1912" t="str">
            <v>4.2.6.02.0009</v>
          </cell>
          <cell r="C1912">
            <v>42629</v>
          </cell>
          <cell r="D1912" t="str">
            <v>Despesas Legais e Judiciais</v>
          </cell>
          <cell r="E1912" t="str">
            <v>A</v>
          </cell>
          <cell r="H1912" t="str">
            <v>Materiais, utilidades, serviços de terceiros e outros</v>
          </cell>
          <cell r="I1912">
            <v>500004</v>
          </cell>
          <cell r="J1912" t="str">
            <v>N/A</v>
          </cell>
          <cell r="K1912">
            <v>600001</v>
          </cell>
          <cell r="L1912">
            <v>0</v>
          </cell>
        </row>
        <row r="1913">
          <cell r="B1913" t="str">
            <v>4.2.6.02.0010</v>
          </cell>
          <cell r="C1913">
            <v>426210</v>
          </cell>
          <cell r="D1913" t="str">
            <v>Despesa de Viagem ao Exterior</v>
          </cell>
          <cell r="E1913" t="str">
            <v>A</v>
          </cell>
          <cell r="H1913" t="str">
            <v>Materiais, utilidades, serviços de terceiros e outros</v>
          </cell>
          <cell r="I1913">
            <v>500004</v>
          </cell>
          <cell r="J1913" t="str">
            <v>N/A</v>
          </cell>
          <cell r="K1913">
            <v>600001</v>
          </cell>
          <cell r="L1913">
            <v>0</v>
          </cell>
        </row>
        <row r="1914">
          <cell r="B1914" t="str">
            <v>4.2.6.02.0011</v>
          </cell>
          <cell r="C1914">
            <v>426211</v>
          </cell>
          <cell r="D1914" t="str">
            <v>Doação de Livros Técnicos</v>
          </cell>
          <cell r="E1914" t="str">
            <v>A</v>
          </cell>
          <cell r="H1914" t="str">
            <v>Materiais, utilidades, serviços de terceiros e outros</v>
          </cell>
          <cell r="I1914">
            <v>500004</v>
          </cell>
          <cell r="J1914" t="str">
            <v>N/A</v>
          </cell>
          <cell r="K1914">
            <v>600001</v>
          </cell>
          <cell r="L1914">
            <v>0</v>
          </cell>
        </row>
        <row r="1915">
          <cell r="B1915" t="str">
            <v>4.2.6.02.0012</v>
          </cell>
          <cell r="C1915">
            <v>426212</v>
          </cell>
          <cell r="D1915" t="str">
            <v>DESPESAS NAO DEDUTIVEIS</v>
          </cell>
          <cell r="E1915" t="str">
            <v>A</v>
          </cell>
          <cell r="H1915" t="str">
            <v xml:space="preserve">Outras </v>
          </cell>
          <cell r="I1915">
            <v>500018</v>
          </cell>
          <cell r="J1915" t="str">
            <v>N/A</v>
          </cell>
          <cell r="K1915">
            <v>600001</v>
          </cell>
          <cell r="L1915">
            <v>0</v>
          </cell>
        </row>
        <row r="1916">
          <cell r="B1916" t="str">
            <v>4.2.6.02.0013</v>
          </cell>
          <cell r="C1916">
            <v>426213</v>
          </cell>
          <cell r="D1916" t="str">
            <v>DESPESAS NÃO DEDUTIVEIS</v>
          </cell>
          <cell r="E1916" t="str">
            <v>A</v>
          </cell>
          <cell r="H1916" t="str">
            <v xml:space="preserve">Outras </v>
          </cell>
          <cell r="I1916">
            <v>500018</v>
          </cell>
          <cell r="J1916" t="str">
            <v>N/A</v>
          </cell>
          <cell r="K1916">
            <v>600001</v>
          </cell>
          <cell r="L1916">
            <v>0</v>
          </cell>
        </row>
        <row r="1917">
          <cell r="B1917" t="str">
            <v>4.2.6.02.0014</v>
          </cell>
          <cell r="C1917">
            <v>426214</v>
          </cell>
          <cell r="D1917" t="str">
            <v>Honorários Comite de Auditoria</v>
          </cell>
          <cell r="E1917" t="str">
            <v>A</v>
          </cell>
          <cell r="H1917" t="str">
            <v>Remuneração Direta</v>
          </cell>
          <cell r="I1917">
            <v>500008</v>
          </cell>
          <cell r="J1917" t="str">
            <v>N/A</v>
          </cell>
          <cell r="K1917">
            <v>600001</v>
          </cell>
          <cell r="L1917">
            <v>0</v>
          </cell>
        </row>
        <row r="1918">
          <cell r="B1918" t="str">
            <v>4.2.6.02.0015</v>
          </cell>
          <cell r="C1918">
            <v>426215</v>
          </cell>
          <cell r="D1918" t="str">
            <v>Seguro de Responsabilidade Cívil</v>
          </cell>
          <cell r="E1918" t="str">
            <v>A</v>
          </cell>
          <cell r="H1918" t="str">
            <v>Materiais, utilidades, serviços de terceiros e outros</v>
          </cell>
          <cell r="I1918">
            <v>500004</v>
          </cell>
          <cell r="J1918" t="str">
            <v>N/A</v>
          </cell>
          <cell r="K1918">
            <v>600001</v>
          </cell>
          <cell r="L1918">
            <v>0</v>
          </cell>
        </row>
        <row r="1919">
          <cell r="B1919" t="str">
            <v>4.2.6.02.0998</v>
          </cell>
          <cell r="C1919">
            <v>4262998</v>
          </cell>
          <cell r="D1919" t="str">
            <v>(-) Reemb. de desp. Gerais da Administ.</v>
          </cell>
          <cell r="E1919" t="str">
            <v>A</v>
          </cell>
          <cell r="H1919" t="str">
            <v>Outras Receitas</v>
          </cell>
          <cell r="I1919">
            <v>500003</v>
          </cell>
          <cell r="J1919" t="str">
            <v>N/A</v>
          </cell>
          <cell r="K1919">
            <v>600001</v>
          </cell>
          <cell r="L1919">
            <v>0</v>
          </cell>
        </row>
        <row r="1920">
          <cell r="B1920" t="str">
            <v>4.2.6.02.0999</v>
          </cell>
          <cell r="C1920">
            <v>4262999</v>
          </cell>
          <cell r="D1920" t="str">
            <v>Outras Despesas</v>
          </cell>
          <cell r="E1920" t="str">
            <v>A</v>
          </cell>
          <cell r="H1920" t="str">
            <v>Materiais, utilidades, serviços de terceiros e outros</v>
          </cell>
          <cell r="I1920">
            <v>500004</v>
          </cell>
          <cell r="J1920" t="str">
            <v>N/A</v>
          </cell>
          <cell r="K1920">
            <v>600001</v>
          </cell>
          <cell r="L1920">
            <v>0</v>
          </cell>
        </row>
        <row r="1921">
          <cell r="B1921" t="str">
            <v>4.2.6.02.1001</v>
          </cell>
          <cell r="C1921">
            <v>4262101</v>
          </cell>
          <cell r="D1921" t="str">
            <v>Despesas com Concurso Publico</v>
          </cell>
          <cell r="E1921" t="str">
            <v>A</v>
          </cell>
          <cell r="H1921" t="str">
            <v>Materiais, utilidades, serviços de terceiros e outros</v>
          </cell>
          <cell r="I1921">
            <v>500004</v>
          </cell>
          <cell r="J1921" t="str">
            <v>N/A</v>
          </cell>
          <cell r="K1921">
            <v>600001</v>
          </cell>
          <cell r="L1921">
            <v>0</v>
          </cell>
        </row>
        <row r="1922">
          <cell r="B1922" t="str">
            <v>4.2.7</v>
          </cell>
          <cell r="C1922">
            <v>427</v>
          </cell>
          <cell r="D1922" t="str">
            <v>Despesas Financeiras</v>
          </cell>
          <cell r="E1922" t="str">
            <v>S</v>
          </cell>
        </row>
        <row r="1923">
          <cell r="B1923" t="str">
            <v>4.2.7.01</v>
          </cell>
          <cell r="C1923">
            <v>42701</v>
          </cell>
          <cell r="D1923" t="str">
            <v>Despesas Financeiras</v>
          </cell>
          <cell r="E1923" t="str">
            <v>S</v>
          </cell>
        </row>
        <row r="1924">
          <cell r="B1924" t="str">
            <v>4.2.7.01.0001</v>
          </cell>
          <cell r="C1924">
            <v>42711</v>
          </cell>
          <cell r="D1924" t="str">
            <v>Juros Pagos ou Incorridos</v>
          </cell>
          <cell r="E1924" t="str">
            <v>A</v>
          </cell>
          <cell r="H1924" t="str">
            <v>Juros, multas e atualizações monetárias</v>
          </cell>
          <cell r="I1924">
            <v>500016</v>
          </cell>
          <cell r="J1924" t="str">
            <v>N/A</v>
          </cell>
          <cell r="K1924">
            <v>600001</v>
          </cell>
          <cell r="L1924">
            <v>0</v>
          </cell>
        </row>
        <row r="1925">
          <cell r="B1925" t="str">
            <v>4.2.7.01.0002</v>
          </cell>
          <cell r="C1925">
            <v>42712</v>
          </cell>
          <cell r="D1925" t="str">
            <v>Descontos Concedidos</v>
          </cell>
          <cell r="E1925" t="str">
            <v>A</v>
          </cell>
          <cell r="H1925" t="str">
            <v>Juros, multas e atualizações monetárias</v>
          </cell>
          <cell r="I1925">
            <v>500016</v>
          </cell>
          <cell r="J1925" t="str">
            <v>N/A</v>
          </cell>
          <cell r="K1925">
            <v>600001</v>
          </cell>
          <cell r="L1925">
            <v>0</v>
          </cell>
        </row>
        <row r="1926">
          <cell r="B1926" t="str">
            <v>4.2.7.01.0003</v>
          </cell>
          <cell r="C1926">
            <v>42713</v>
          </cell>
          <cell r="D1926" t="str">
            <v>Comissões e Despesas Bancárias</v>
          </cell>
          <cell r="E1926" t="str">
            <v>A</v>
          </cell>
          <cell r="H1926" t="str">
            <v>Juros, multas e atualizações monetárias</v>
          </cell>
          <cell r="I1926">
            <v>500016</v>
          </cell>
          <cell r="J1926" t="str">
            <v>N/A</v>
          </cell>
          <cell r="K1926">
            <v>600001</v>
          </cell>
          <cell r="L1926">
            <v>0</v>
          </cell>
        </row>
        <row r="1927">
          <cell r="B1927" t="str">
            <v>4.2.7.01.0004</v>
          </cell>
          <cell r="C1927">
            <v>42714</v>
          </cell>
          <cell r="D1927" t="str">
            <v>Variações Monetárias</v>
          </cell>
          <cell r="E1927" t="str">
            <v>A</v>
          </cell>
          <cell r="H1927" t="str">
            <v>Juros, multas e atualizações monetárias</v>
          </cell>
          <cell r="I1927">
            <v>500016</v>
          </cell>
          <cell r="J1927" t="str">
            <v>N/A</v>
          </cell>
          <cell r="K1927">
            <v>600001</v>
          </cell>
          <cell r="L1927">
            <v>0</v>
          </cell>
        </row>
        <row r="1928">
          <cell r="B1928" t="str">
            <v>4.2.7.01.0005</v>
          </cell>
          <cell r="C1928">
            <v>42715</v>
          </cell>
          <cell r="D1928" t="str">
            <v>Despesas Financeiras Comerciais</v>
          </cell>
          <cell r="E1928" t="str">
            <v>A</v>
          </cell>
          <cell r="H1928" t="str">
            <v>Juros, multas e atualizações monetárias</v>
          </cell>
          <cell r="I1928">
            <v>500016</v>
          </cell>
          <cell r="J1928" t="str">
            <v>N/A</v>
          </cell>
          <cell r="K1928">
            <v>600001</v>
          </cell>
          <cell r="L1928">
            <v>0</v>
          </cell>
        </row>
        <row r="1929">
          <cell r="B1929" t="str">
            <v>4.2.7.01.0006</v>
          </cell>
          <cell r="C1929">
            <v>42716</v>
          </cell>
          <cell r="D1929" t="str">
            <v>Multas</v>
          </cell>
          <cell r="E1929" t="str">
            <v>A</v>
          </cell>
          <cell r="H1929" t="str">
            <v>Juros, multas e atualizações monetárias</v>
          </cell>
          <cell r="I1929">
            <v>500016</v>
          </cell>
          <cell r="J1929" t="str">
            <v>N/A</v>
          </cell>
          <cell r="K1929">
            <v>600001</v>
          </cell>
          <cell r="L1929">
            <v>0</v>
          </cell>
        </row>
        <row r="1930">
          <cell r="B1930" t="str">
            <v>4.2.7.01.0007</v>
          </cell>
          <cell r="C1930">
            <v>42717</v>
          </cell>
          <cell r="D1930" t="str">
            <v>CPMF</v>
          </cell>
          <cell r="E1930" t="str">
            <v>A</v>
          </cell>
          <cell r="H1930" t="str">
            <v>Juros, multas e atualizações monetárias</v>
          </cell>
          <cell r="I1930">
            <v>500016</v>
          </cell>
          <cell r="J1930" t="str">
            <v>N/A</v>
          </cell>
          <cell r="K1930">
            <v>600001</v>
          </cell>
          <cell r="L1930">
            <v>0</v>
          </cell>
        </row>
        <row r="1931">
          <cell r="B1931" t="str">
            <v>4.2.7.01.0008</v>
          </cell>
          <cell r="C1931">
            <v>42718</v>
          </cell>
          <cell r="D1931" t="str">
            <v>Perda na Venda de Ações</v>
          </cell>
          <cell r="E1931" t="str">
            <v>A</v>
          </cell>
          <cell r="H1931" t="str">
            <v>Juros, multas e atualizações monetárias</v>
          </cell>
          <cell r="I1931">
            <v>500016</v>
          </cell>
          <cell r="J1931" t="str">
            <v>N/A</v>
          </cell>
          <cell r="K1931">
            <v>600001</v>
          </cell>
          <cell r="L1931">
            <v>0</v>
          </cell>
        </row>
        <row r="1932">
          <cell r="B1932" t="str">
            <v>4.2.7.01.0009</v>
          </cell>
          <cell r="C1932">
            <v>42719</v>
          </cell>
          <cell r="D1932" t="str">
            <v>Despesa c/Juros s/Capital Próprio</v>
          </cell>
          <cell r="E1932" t="str">
            <v>A</v>
          </cell>
          <cell r="H1932" t="str">
            <v>Juros, multas e atualizações monetárias</v>
          </cell>
          <cell r="I1932">
            <v>500016</v>
          </cell>
          <cell r="J1932" t="str">
            <v>N/A</v>
          </cell>
          <cell r="K1932">
            <v>600001</v>
          </cell>
          <cell r="L1932">
            <v>0</v>
          </cell>
        </row>
        <row r="1933">
          <cell r="B1933" t="str">
            <v>4.2.7.01.0010</v>
          </cell>
          <cell r="C1933">
            <v>427110</v>
          </cell>
          <cell r="D1933" t="str">
            <v>Multas Indedutiveis</v>
          </cell>
          <cell r="E1933" t="str">
            <v>A</v>
          </cell>
          <cell r="H1933" t="str">
            <v>Juros, multas e atualizações monetárias</v>
          </cell>
          <cell r="I1933">
            <v>500016</v>
          </cell>
          <cell r="J1933" t="str">
            <v>N/A</v>
          </cell>
          <cell r="K1933">
            <v>600001</v>
          </cell>
          <cell r="L1933">
            <v>0</v>
          </cell>
        </row>
        <row r="1934">
          <cell r="B1934" t="str">
            <v>4.2.7.01.0020</v>
          </cell>
          <cell r="C1934">
            <v>42720</v>
          </cell>
          <cell r="D1934" t="str">
            <v>Prov. Contingências Variações Monetárias</v>
          </cell>
          <cell r="E1934" t="str">
            <v>A</v>
          </cell>
          <cell r="H1934" t="str">
            <v>Juros, multas e atualizações monetárias</v>
          </cell>
          <cell r="I1934">
            <v>500016</v>
          </cell>
          <cell r="J1934" t="str">
            <v>N/A</v>
          </cell>
          <cell r="K1934">
            <v>600001</v>
          </cell>
          <cell r="L1934">
            <v>0</v>
          </cell>
        </row>
        <row r="1935">
          <cell r="B1935" t="str">
            <v>4.2.7.01.0021</v>
          </cell>
          <cell r="C1935">
            <v>427121</v>
          </cell>
          <cell r="D1935" t="str">
            <v>Prov. Contingências Multas</v>
          </cell>
          <cell r="E1935" t="str">
            <v>A</v>
          </cell>
          <cell r="H1935" t="str">
            <v>Juros, multas e atualizações monetárias</v>
          </cell>
          <cell r="I1935">
            <v>500016</v>
          </cell>
          <cell r="J1935" t="str">
            <v>N/A</v>
          </cell>
          <cell r="K1935">
            <v>600001</v>
          </cell>
          <cell r="L1935">
            <v>0</v>
          </cell>
        </row>
        <row r="1936">
          <cell r="B1936" t="str">
            <v>4.2.7.01.0022</v>
          </cell>
          <cell r="C1936">
            <v>427122</v>
          </cell>
          <cell r="D1936" t="str">
            <v>Aprop. Juros Arrendamento Mercantil</v>
          </cell>
          <cell r="E1936" t="str">
            <v>A</v>
          </cell>
          <cell r="H1936" t="str">
            <v>Juros, multas e atualizações monetárias</v>
          </cell>
          <cell r="I1936">
            <v>500016</v>
          </cell>
          <cell r="J1936" t="str">
            <v>N/A</v>
          </cell>
          <cell r="K1936">
            <v>600001</v>
          </cell>
          <cell r="L1936">
            <v>0</v>
          </cell>
        </row>
        <row r="1937">
          <cell r="B1937" t="str">
            <v>4.2.7.01.0023</v>
          </cell>
          <cell r="C1937">
            <v>427123</v>
          </cell>
          <cell r="D1937" t="str">
            <v>Reversão de Juros Selic</v>
          </cell>
          <cell r="E1937" t="str">
            <v>A</v>
          </cell>
          <cell r="H1937" t="str">
            <v>Juros, multas e atualizações monetárias</v>
          </cell>
          <cell r="I1937">
            <v>500016</v>
          </cell>
          <cell r="J1937" t="str">
            <v>N/A</v>
          </cell>
          <cell r="K1937">
            <v>600001</v>
          </cell>
          <cell r="L1937">
            <v>0</v>
          </cell>
        </row>
        <row r="1938">
          <cell r="B1938" t="str">
            <v>4.2.7.01.0999</v>
          </cell>
          <cell r="C1938">
            <v>4271999</v>
          </cell>
          <cell r="D1938" t="str">
            <v>Outras Despesas Financeiras</v>
          </cell>
          <cell r="E1938" t="str">
            <v>A</v>
          </cell>
          <cell r="H1938" t="str">
            <v>Juros, multas e atualizações monetárias</v>
          </cell>
          <cell r="I1938">
            <v>500016</v>
          </cell>
          <cell r="J1938" t="str">
            <v>N/A</v>
          </cell>
          <cell r="K1938">
            <v>600001</v>
          </cell>
          <cell r="L1938">
            <v>0</v>
          </cell>
        </row>
        <row r="1939">
          <cell r="B1939" t="str">
            <v>4.2.8</v>
          </cell>
          <cell r="C1939">
            <v>428</v>
          </cell>
          <cell r="D1939" t="str">
            <v>Despesas com Indenizações</v>
          </cell>
          <cell r="E1939" t="str">
            <v>S</v>
          </cell>
        </row>
        <row r="1940">
          <cell r="B1940" t="str">
            <v>4.2.8.01</v>
          </cell>
          <cell r="C1940">
            <v>4281</v>
          </cell>
          <cell r="D1940" t="str">
            <v>Indenizações</v>
          </cell>
          <cell r="E1940" t="str">
            <v>S</v>
          </cell>
        </row>
        <row r="1941">
          <cell r="B1941" t="str">
            <v>4.2.8.01.0001</v>
          </cell>
          <cell r="C1941">
            <v>42811</v>
          </cell>
          <cell r="D1941" t="str">
            <v>Indenizações Trabalhistas</v>
          </cell>
          <cell r="E1941" t="str">
            <v>A</v>
          </cell>
          <cell r="H1941" t="str">
            <v>Contingências/indenizações trabalhistas</v>
          </cell>
          <cell r="I1941">
            <v>500011</v>
          </cell>
          <cell r="J1941" t="str">
            <v>N/A</v>
          </cell>
          <cell r="K1941">
            <v>600001</v>
          </cell>
          <cell r="L1941">
            <v>0</v>
          </cell>
        </row>
        <row r="1942">
          <cell r="B1942" t="str">
            <v>4.2.8.01.0002</v>
          </cell>
          <cell r="C1942">
            <v>42812</v>
          </cell>
          <cell r="D1942" t="str">
            <v>Indenizações Civeis</v>
          </cell>
          <cell r="E1942" t="str">
            <v>A</v>
          </cell>
          <cell r="H1942" t="str">
            <v>Contingências fiscais</v>
          </cell>
          <cell r="I1942">
            <v>500015</v>
          </cell>
          <cell r="J1942" t="str">
            <v>N/A</v>
          </cell>
          <cell r="K1942">
            <v>600001</v>
          </cell>
          <cell r="L1942">
            <v>0</v>
          </cell>
        </row>
        <row r="1943">
          <cell r="B1943" t="str">
            <v>4.2.8.01.0003</v>
          </cell>
          <cell r="C1943">
            <v>42813</v>
          </cell>
          <cell r="D1943" t="str">
            <v>Indenizações Fiscais</v>
          </cell>
          <cell r="E1943" t="str">
            <v>A</v>
          </cell>
          <cell r="H1943" t="str">
            <v>Contingências fiscais</v>
          </cell>
          <cell r="I1943">
            <v>500015</v>
          </cell>
          <cell r="J1943" t="str">
            <v>N/A</v>
          </cell>
          <cell r="K1943">
            <v>600001</v>
          </cell>
          <cell r="L1943">
            <v>0</v>
          </cell>
        </row>
        <row r="1944">
          <cell r="B1944" t="str">
            <v>4.2.9</v>
          </cell>
          <cell r="C1944">
            <v>429</v>
          </cell>
          <cell r="D1944" t="str">
            <v>Outras Despesas</v>
          </cell>
          <cell r="E1944" t="str">
            <v>S</v>
          </cell>
        </row>
        <row r="1945">
          <cell r="B1945" t="str">
            <v>4.2.9.01</v>
          </cell>
          <cell r="C1945">
            <v>4291</v>
          </cell>
          <cell r="D1945" t="str">
            <v>Perdas de Alienação de Investimento</v>
          </cell>
          <cell r="E1945" t="str">
            <v>S</v>
          </cell>
        </row>
        <row r="1946">
          <cell r="B1946" t="str">
            <v>4.2.9.01.0001</v>
          </cell>
          <cell r="C1946">
            <v>42911</v>
          </cell>
          <cell r="D1946" t="str">
            <v>Result. Negativo Venda de Investimentos</v>
          </cell>
          <cell r="E1946" t="str">
            <v>A</v>
          </cell>
          <cell r="H1946" t="str">
            <v xml:space="preserve">Outras </v>
          </cell>
          <cell r="I1946">
            <v>500018</v>
          </cell>
          <cell r="J1946" t="str">
            <v>N/A</v>
          </cell>
          <cell r="K1946">
            <v>600001</v>
          </cell>
          <cell r="L1946">
            <v>0</v>
          </cell>
        </row>
        <row r="1947">
          <cell r="B1947" t="str">
            <v>4.2.9.02</v>
          </cell>
          <cell r="C1947">
            <v>4292</v>
          </cell>
          <cell r="D1947" t="str">
            <v>Perdas de Equivalência Patrimonial</v>
          </cell>
          <cell r="E1947" t="str">
            <v>S</v>
          </cell>
        </row>
        <row r="1948">
          <cell r="B1948" t="str">
            <v>4.2.9.02.0001</v>
          </cell>
          <cell r="C1948">
            <v>42921</v>
          </cell>
          <cell r="D1948" t="str">
            <v>Result.Negativo Equivalência Patrimonial</v>
          </cell>
          <cell r="E1948" t="str">
            <v>A</v>
          </cell>
          <cell r="H1948" t="str">
            <v xml:space="preserve">Outras </v>
          </cell>
          <cell r="I1948">
            <v>500018</v>
          </cell>
          <cell r="J1948" t="str">
            <v>N/A</v>
          </cell>
          <cell r="K1948">
            <v>600001</v>
          </cell>
          <cell r="L1948">
            <v>0</v>
          </cell>
        </row>
        <row r="1949">
          <cell r="B1949" t="str">
            <v>4.2.9.03</v>
          </cell>
          <cell r="C1949">
            <v>4293</v>
          </cell>
          <cell r="D1949" t="str">
            <v>Perdas na Alienação de Imobilizado</v>
          </cell>
          <cell r="E1949" t="str">
            <v>S</v>
          </cell>
        </row>
        <row r="1950">
          <cell r="B1950" t="str">
            <v>4.2.9.03.0001</v>
          </cell>
          <cell r="C1950">
            <v>42931</v>
          </cell>
          <cell r="D1950" t="str">
            <v>Result. Negativo na Venda de Imobilizado</v>
          </cell>
          <cell r="E1950" t="str">
            <v>A</v>
          </cell>
          <cell r="H1950" t="str">
            <v xml:space="preserve">Outras </v>
          </cell>
          <cell r="I1950">
            <v>500018</v>
          </cell>
          <cell r="J1950" t="str">
            <v>N/A</v>
          </cell>
          <cell r="K1950">
            <v>600001</v>
          </cell>
          <cell r="L1950">
            <v>0</v>
          </cell>
        </row>
        <row r="1951">
          <cell r="B1951" t="str">
            <v>4.2.9.03.0002</v>
          </cell>
          <cell r="C1951">
            <v>42932</v>
          </cell>
          <cell r="D1951" t="str">
            <v>PERDA DE BENS NO IMOBILIZADO</v>
          </cell>
          <cell r="E1951" t="str">
            <v>A</v>
          </cell>
          <cell r="H1951" t="str">
            <v xml:space="preserve">Outras </v>
          </cell>
          <cell r="I1951">
            <v>500018</v>
          </cell>
          <cell r="J1951" t="str">
            <v>N/A</v>
          </cell>
          <cell r="K1951">
            <v>600001</v>
          </cell>
          <cell r="L1951">
            <v>0</v>
          </cell>
        </row>
        <row r="1952">
          <cell r="B1952" t="str">
            <v>4.2.9.03.0003</v>
          </cell>
          <cell r="C1952">
            <v>42933</v>
          </cell>
          <cell r="D1952" t="str">
            <v>PERDA DE BENS NO IMOBILIZADO</v>
          </cell>
          <cell r="E1952" t="str">
            <v>A</v>
          </cell>
          <cell r="H1952" t="str">
            <v xml:space="preserve">Outras </v>
          </cell>
          <cell r="I1952">
            <v>500018</v>
          </cell>
          <cell r="J1952" t="str">
            <v>N/A</v>
          </cell>
          <cell r="K1952">
            <v>600001</v>
          </cell>
          <cell r="L1952">
            <v>0</v>
          </cell>
        </row>
        <row r="1953">
          <cell r="B1953" t="str">
            <v>4.2.9.04</v>
          </cell>
          <cell r="C1953">
            <v>4294</v>
          </cell>
          <cell r="D1953" t="str">
            <v>Perdas na Alienação de Diferido</v>
          </cell>
          <cell r="E1953" t="str">
            <v>S</v>
          </cell>
        </row>
        <row r="1954">
          <cell r="B1954" t="str">
            <v>4.2.9.04.0001</v>
          </cell>
          <cell r="C1954">
            <v>42941</v>
          </cell>
          <cell r="D1954" t="str">
            <v>Resultado Negativo na Venda de Diferido</v>
          </cell>
          <cell r="E1954" t="str">
            <v>A</v>
          </cell>
          <cell r="H1954" t="str">
            <v xml:space="preserve">Outras </v>
          </cell>
          <cell r="I1954">
            <v>500018</v>
          </cell>
          <cell r="J1954" t="str">
            <v>N/A</v>
          </cell>
          <cell r="K1954">
            <v>600001</v>
          </cell>
          <cell r="L1954">
            <v>0</v>
          </cell>
        </row>
        <row r="1955">
          <cell r="B1955" t="str">
            <v>4.2.9.05</v>
          </cell>
          <cell r="C1955">
            <v>4295</v>
          </cell>
          <cell r="D1955" t="str">
            <v>Outras Despesas não Operacionais</v>
          </cell>
          <cell r="E1955" t="str">
            <v>S</v>
          </cell>
        </row>
        <row r="1956">
          <cell r="B1956" t="str">
            <v>4.2.9.06</v>
          </cell>
          <cell r="C1956">
            <v>4296</v>
          </cell>
          <cell r="D1956" t="str">
            <v>Participações nos Lucros ou  Resultados</v>
          </cell>
          <cell r="E1956" t="str">
            <v>S</v>
          </cell>
        </row>
        <row r="1957">
          <cell r="B1957" t="str">
            <v>4.2.9.06.0001</v>
          </cell>
          <cell r="C1957">
            <v>42961</v>
          </cell>
          <cell r="D1957" t="str">
            <v>Empregados</v>
          </cell>
          <cell r="E1957" t="str">
            <v>A</v>
          </cell>
          <cell r="H1957" t="str">
            <v>Remuneração Direta</v>
          </cell>
          <cell r="I1957">
            <v>500008</v>
          </cell>
          <cell r="J1957" t="str">
            <v>N/A</v>
          </cell>
          <cell r="K1957">
            <v>600001</v>
          </cell>
          <cell r="L1957">
            <v>0</v>
          </cell>
        </row>
        <row r="1958">
          <cell r="B1958" t="str">
            <v>4.2.9.06.0002</v>
          </cell>
          <cell r="C1958">
            <v>42962</v>
          </cell>
          <cell r="D1958" t="str">
            <v>Administradores</v>
          </cell>
          <cell r="E1958" t="str">
            <v>A</v>
          </cell>
          <cell r="H1958" t="str">
            <v>Remuneração Direta</v>
          </cell>
          <cell r="I1958">
            <v>500008</v>
          </cell>
          <cell r="J1958" t="str">
            <v>N/A</v>
          </cell>
          <cell r="K1958">
            <v>600001</v>
          </cell>
          <cell r="L1958">
            <v>0</v>
          </cell>
        </row>
        <row r="1959">
          <cell r="B1959" t="str">
            <v>4.2.9.08</v>
          </cell>
          <cell r="C1959">
            <v>4298</v>
          </cell>
          <cell r="D1959" t="str">
            <v>Reversão de Juros s/Capital Proprio</v>
          </cell>
          <cell r="E1959" t="str">
            <v>S</v>
          </cell>
        </row>
        <row r="1960">
          <cell r="B1960" t="str">
            <v>4.2.9.08.0001</v>
          </cell>
          <cell r="C1960">
            <v>42981</v>
          </cell>
          <cell r="D1960" t="str">
            <v>Reversão de Juros s/Capital Proprio</v>
          </cell>
          <cell r="E1960" t="str">
            <v>A</v>
          </cell>
          <cell r="H1960" t="str">
            <v>Reversão de Custos e Despesas</v>
          </cell>
          <cell r="I1960">
            <v>500007</v>
          </cell>
          <cell r="J1960" t="str">
            <v>N/A</v>
          </cell>
          <cell r="K1960">
            <v>600001</v>
          </cell>
          <cell r="L1960">
            <v>0</v>
          </cell>
        </row>
        <row r="1961">
          <cell r="B1961" t="str">
            <v>4.2.9.09</v>
          </cell>
          <cell r="C1961">
            <v>4299</v>
          </cell>
          <cell r="D1961" t="str">
            <v>Perdas com Bens do Ativo Permanente</v>
          </cell>
          <cell r="E1961" t="str">
            <v>S</v>
          </cell>
        </row>
        <row r="1962">
          <cell r="B1962" t="str">
            <v>4.2.9.09.0001</v>
          </cell>
          <cell r="C1962">
            <v>42991</v>
          </cell>
          <cell r="D1962" t="str">
            <v>Perdas com Alienações - Investimento</v>
          </cell>
          <cell r="E1962" t="str">
            <v>A</v>
          </cell>
          <cell r="H1962" t="str">
            <v xml:space="preserve">Outras </v>
          </cell>
          <cell r="I1962">
            <v>500018</v>
          </cell>
          <cell r="J1962" t="str">
            <v>N/A</v>
          </cell>
          <cell r="K1962">
            <v>600001</v>
          </cell>
          <cell r="L1962">
            <v>0</v>
          </cell>
        </row>
        <row r="1963">
          <cell r="B1963" t="str">
            <v>4.2.9.09.0002</v>
          </cell>
          <cell r="C1963">
            <v>42992</v>
          </cell>
          <cell r="D1963" t="str">
            <v>Perdas com Alienações - Imobilizado</v>
          </cell>
          <cell r="E1963" t="str">
            <v>A</v>
          </cell>
          <cell r="H1963" t="str">
            <v xml:space="preserve">Outras </v>
          </cell>
          <cell r="I1963">
            <v>500018</v>
          </cell>
          <cell r="J1963" t="str">
            <v>N/A</v>
          </cell>
          <cell r="K1963">
            <v>600001</v>
          </cell>
          <cell r="L1963">
            <v>0</v>
          </cell>
        </row>
        <row r="1964">
          <cell r="B1964" t="str">
            <v>4.2.9.09.0003</v>
          </cell>
          <cell r="C1964">
            <v>42993</v>
          </cell>
          <cell r="D1964" t="str">
            <v>Perdas com Alienações - Intangível</v>
          </cell>
          <cell r="E1964" t="str">
            <v>A</v>
          </cell>
          <cell r="H1964" t="str">
            <v xml:space="preserve">Outras </v>
          </cell>
          <cell r="I1964">
            <v>500018</v>
          </cell>
          <cell r="J1964" t="str">
            <v>N/A</v>
          </cell>
          <cell r="K1964">
            <v>600001</v>
          </cell>
          <cell r="L1964">
            <v>0</v>
          </cell>
        </row>
        <row r="1965">
          <cell r="B1965" t="str">
            <v>4.2.9.09.0004</v>
          </cell>
          <cell r="C1965">
            <v>42994</v>
          </cell>
          <cell r="D1965" t="str">
            <v>Perdas com Extravio de Bens</v>
          </cell>
          <cell r="E1965" t="str">
            <v>A</v>
          </cell>
          <cell r="H1965" t="str">
            <v xml:space="preserve">Outras </v>
          </cell>
          <cell r="I1965">
            <v>500018</v>
          </cell>
          <cell r="J1965" t="str">
            <v>N/A</v>
          </cell>
          <cell r="K1965">
            <v>600001</v>
          </cell>
          <cell r="L1965">
            <v>0</v>
          </cell>
        </row>
        <row r="1966">
          <cell r="B1966" t="str">
            <v>4.2.9.09.0005</v>
          </cell>
          <cell r="C1966">
            <v>42995</v>
          </cell>
          <cell r="D1966" t="str">
            <v>Perdas com Obsolescência de Bens</v>
          </cell>
          <cell r="E1966" t="str">
            <v>A</v>
          </cell>
          <cell r="H1966" t="str">
            <v xml:space="preserve">Outras </v>
          </cell>
          <cell r="I1966">
            <v>500018</v>
          </cell>
          <cell r="J1966" t="str">
            <v>N/A</v>
          </cell>
          <cell r="K1966">
            <v>600001</v>
          </cell>
          <cell r="L1966">
            <v>0</v>
          </cell>
        </row>
        <row r="1967">
          <cell r="B1967" t="str">
            <v>4.2.9.09.0006</v>
          </cell>
          <cell r="C1967">
            <v>42996</v>
          </cell>
          <cell r="D1967" t="str">
            <v>INVENTARIO FISICO  - AJUSTE</v>
          </cell>
          <cell r="E1967" t="str">
            <v>A</v>
          </cell>
          <cell r="H1967" t="str">
            <v xml:space="preserve">Outras </v>
          </cell>
          <cell r="I1967">
            <v>500018</v>
          </cell>
          <cell r="J1967" t="str">
            <v>N/A</v>
          </cell>
          <cell r="K1967">
            <v>600001</v>
          </cell>
          <cell r="L1967">
            <v>0</v>
          </cell>
        </row>
        <row r="1968">
          <cell r="B1968" t="str">
            <v>4.2.9.09.0007</v>
          </cell>
          <cell r="C1968">
            <v>42934</v>
          </cell>
          <cell r="D1968" t="str">
            <v>Doações de Imobilizado</v>
          </cell>
          <cell r="E1968" t="str">
            <v>A</v>
          </cell>
          <cell r="H1968" t="str">
            <v xml:space="preserve">Outras </v>
          </cell>
          <cell r="I1968">
            <v>500018</v>
          </cell>
          <cell r="J1968" t="str">
            <v>N/A</v>
          </cell>
          <cell r="K1968">
            <v>600001</v>
          </cell>
          <cell r="L1968">
            <v>0</v>
          </cell>
        </row>
        <row r="1969">
          <cell r="B1969" t="str">
            <v>4.2.9.09.0008</v>
          </cell>
          <cell r="C1969">
            <v>42998</v>
          </cell>
          <cell r="D1969" t="str">
            <v>Redução ao Valor Recuperável Impairment</v>
          </cell>
          <cell r="E1969" t="str">
            <v>A</v>
          </cell>
          <cell r="H1969" t="str">
            <v xml:space="preserve">Outras </v>
          </cell>
          <cell r="I1969">
            <v>500018</v>
          </cell>
          <cell r="J1969" t="str">
            <v>N/A</v>
          </cell>
          <cell r="K1969">
            <v>600001</v>
          </cell>
          <cell r="L1969">
            <v>0</v>
          </cell>
        </row>
        <row r="1970">
          <cell r="B1970" t="str">
            <v>4.2.9.10</v>
          </cell>
          <cell r="C1970">
            <v>42910</v>
          </cell>
          <cell r="D1970" t="str">
            <v>Despesas Concurso Público</v>
          </cell>
          <cell r="E1970" t="str">
            <v>S</v>
          </cell>
        </row>
        <row r="1971">
          <cell r="B1971" t="str">
            <v>4.2.9.10.0001</v>
          </cell>
          <cell r="C1971">
            <v>429101</v>
          </cell>
          <cell r="D1971" t="str">
            <v>Despesa de Concurso Público</v>
          </cell>
          <cell r="E1971" t="str">
            <v>A</v>
          </cell>
          <cell r="H1971" t="str">
            <v>Materiais, utilidades, serviços de terceiros e outros</v>
          </cell>
          <cell r="I1971">
            <v>500004</v>
          </cell>
          <cell r="J1971" t="str">
            <v>N/A</v>
          </cell>
          <cell r="K1971">
            <v>600001</v>
          </cell>
          <cell r="L1971">
            <v>0</v>
          </cell>
        </row>
        <row r="1972">
          <cell r="B1972">
            <v>5</v>
          </cell>
          <cell r="C1972">
            <v>5</v>
          </cell>
          <cell r="D1972" t="str">
            <v>Resultado do Período</v>
          </cell>
          <cell r="E1972" t="str">
            <v>S</v>
          </cell>
        </row>
        <row r="1973">
          <cell r="B1973" t="str">
            <v>5.1</v>
          </cell>
          <cell r="C1973">
            <v>51</v>
          </cell>
          <cell r="D1973" t="str">
            <v>Resultado do Período</v>
          </cell>
          <cell r="E1973" t="str">
            <v>S</v>
          </cell>
        </row>
        <row r="1974">
          <cell r="B1974" t="str">
            <v>5.1.1</v>
          </cell>
          <cell r="C1974">
            <v>511</v>
          </cell>
          <cell r="D1974" t="str">
            <v>Lucro do Período</v>
          </cell>
          <cell r="E1974" t="str">
            <v>S</v>
          </cell>
        </row>
        <row r="1975">
          <cell r="B1975" t="str">
            <v>5.1.1.01</v>
          </cell>
          <cell r="C1975">
            <v>5111</v>
          </cell>
          <cell r="D1975" t="str">
            <v>Janeiro</v>
          </cell>
          <cell r="E1975" t="str">
            <v>A</v>
          </cell>
          <cell r="H1975" t="str">
            <v>Lucro (prejuízo) do exercício</v>
          </cell>
          <cell r="I1975">
            <v>500019</v>
          </cell>
          <cell r="J1975" t="str">
            <v>N/A</v>
          </cell>
          <cell r="K1975">
            <v>600001</v>
          </cell>
          <cell r="L1975">
            <v>0</v>
          </cell>
        </row>
        <row r="1976">
          <cell r="B1976" t="str">
            <v>5.1.1.02</v>
          </cell>
          <cell r="C1976">
            <v>5112</v>
          </cell>
          <cell r="D1976" t="str">
            <v>Fevereiro</v>
          </cell>
          <cell r="E1976" t="str">
            <v>A</v>
          </cell>
          <cell r="H1976" t="str">
            <v>Lucro (prejuízo) do exercício</v>
          </cell>
          <cell r="I1976">
            <v>500019</v>
          </cell>
          <cell r="J1976" t="str">
            <v>N/A</v>
          </cell>
          <cell r="K1976">
            <v>600001</v>
          </cell>
          <cell r="L1976">
            <v>0</v>
          </cell>
        </row>
        <row r="1977">
          <cell r="B1977" t="str">
            <v>5.1.1.03</v>
          </cell>
          <cell r="C1977">
            <v>5113</v>
          </cell>
          <cell r="D1977" t="str">
            <v>Março</v>
          </cell>
          <cell r="E1977" t="str">
            <v>A</v>
          </cell>
          <cell r="H1977" t="str">
            <v>Lucro (prejuízo) do exercício</v>
          </cell>
          <cell r="I1977">
            <v>500019</v>
          </cell>
          <cell r="J1977" t="str">
            <v>N/A</v>
          </cell>
          <cell r="K1977">
            <v>600001</v>
          </cell>
          <cell r="L1977">
            <v>0</v>
          </cell>
        </row>
        <row r="1978">
          <cell r="B1978" t="str">
            <v>5.1.1.04</v>
          </cell>
          <cell r="C1978">
            <v>5114</v>
          </cell>
          <cell r="D1978" t="str">
            <v>Abril</v>
          </cell>
          <cell r="E1978" t="str">
            <v>A</v>
          </cell>
          <cell r="H1978" t="str">
            <v>Lucro (prejuízo) do exercício</v>
          </cell>
          <cell r="I1978">
            <v>500019</v>
          </cell>
          <cell r="J1978" t="str">
            <v>N/A</v>
          </cell>
          <cell r="K1978">
            <v>600001</v>
          </cell>
          <cell r="L1978">
            <v>0</v>
          </cell>
        </row>
        <row r="1979">
          <cell r="B1979" t="str">
            <v>5.1.1.05</v>
          </cell>
          <cell r="C1979">
            <v>5115</v>
          </cell>
          <cell r="D1979" t="str">
            <v>Maio</v>
          </cell>
          <cell r="E1979" t="str">
            <v>A</v>
          </cell>
          <cell r="H1979" t="str">
            <v>Lucro (prejuízo) do exercício</v>
          </cell>
          <cell r="I1979">
            <v>500019</v>
          </cell>
          <cell r="J1979" t="str">
            <v>N/A</v>
          </cell>
          <cell r="K1979">
            <v>600001</v>
          </cell>
          <cell r="L1979">
            <v>0</v>
          </cell>
        </row>
        <row r="1980">
          <cell r="B1980" t="str">
            <v>5.1.1.06</v>
          </cell>
          <cell r="C1980">
            <v>5116</v>
          </cell>
          <cell r="D1980" t="str">
            <v>Junho</v>
          </cell>
          <cell r="E1980" t="str">
            <v>A</v>
          </cell>
          <cell r="H1980" t="str">
            <v>Lucro (prejuízo) do exercício</v>
          </cell>
          <cell r="I1980">
            <v>500019</v>
          </cell>
          <cell r="J1980" t="str">
            <v>N/A</v>
          </cell>
          <cell r="K1980">
            <v>600001</v>
          </cell>
          <cell r="L1980">
            <v>0</v>
          </cell>
        </row>
        <row r="1981">
          <cell r="B1981" t="str">
            <v>5.1.1.07</v>
          </cell>
          <cell r="C1981">
            <v>5117</v>
          </cell>
          <cell r="D1981" t="str">
            <v>Julho</v>
          </cell>
          <cell r="E1981" t="str">
            <v>A</v>
          </cell>
          <cell r="H1981" t="str">
            <v>Lucro (prejuízo) do exercício</v>
          </cell>
          <cell r="I1981">
            <v>500019</v>
          </cell>
          <cell r="J1981" t="str">
            <v>N/A</v>
          </cell>
          <cell r="K1981">
            <v>600001</v>
          </cell>
          <cell r="L1981">
            <v>0</v>
          </cell>
        </row>
        <row r="1982">
          <cell r="B1982" t="str">
            <v>5.1.1.08</v>
          </cell>
          <cell r="C1982">
            <v>5118</v>
          </cell>
          <cell r="D1982" t="str">
            <v>Agosto</v>
          </cell>
          <cell r="E1982" t="str">
            <v>A</v>
          </cell>
          <cell r="H1982" t="str">
            <v>Lucro (prejuízo) do exercício</v>
          </cell>
          <cell r="I1982">
            <v>500019</v>
          </cell>
          <cell r="J1982" t="str">
            <v>N/A</v>
          </cell>
          <cell r="K1982">
            <v>600001</v>
          </cell>
          <cell r="L1982">
            <v>0</v>
          </cell>
        </row>
        <row r="1983">
          <cell r="B1983" t="str">
            <v>5.1.1.09</v>
          </cell>
          <cell r="C1983">
            <v>5119</v>
          </cell>
          <cell r="D1983" t="str">
            <v>Setembro</v>
          </cell>
          <cell r="E1983" t="str">
            <v>A</v>
          </cell>
          <cell r="H1983" t="str">
            <v>Lucro (prejuízo) do exercício</v>
          </cell>
          <cell r="I1983">
            <v>500019</v>
          </cell>
          <cell r="J1983" t="str">
            <v>N/A</v>
          </cell>
          <cell r="K1983">
            <v>600001</v>
          </cell>
          <cell r="L1983">
            <v>0</v>
          </cell>
        </row>
        <row r="1984">
          <cell r="B1984" t="str">
            <v>5.1.1.10</v>
          </cell>
          <cell r="C1984">
            <v>51110</v>
          </cell>
          <cell r="D1984" t="str">
            <v>Outubro</v>
          </cell>
          <cell r="E1984" t="str">
            <v>A</v>
          </cell>
          <cell r="H1984" t="str">
            <v>Lucro (prejuízo) do exercício</v>
          </cell>
          <cell r="I1984">
            <v>500019</v>
          </cell>
          <cell r="J1984" t="str">
            <v>N/A</v>
          </cell>
          <cell r="K1984">
            <v>600001</v>
          </cell>
          <cell r="L1984">
            <v>0</v>
          </cell>
        </row>
        <row r="1985">
          <cell r="B1985" t="str">
            <v>5.1.1.11</v>
          </cell>
          <cell r="C1985">
            <v>51111</v>
          </cell>
          <cell r="D1985" t="str">
            <v>Novembro</v>
          </cell>
          <cell r="E1985" t="str">
            <v>A</v>
          </cell>
          <cell r="H1985" t="str">
            <v>Lucro (prejuízo) do exercício</v>
          </cell>
          <cell r="I1985">
            <v>500019</v>
          </cell>
          <cell r="J1985" t="str">
            <v>N/A</v>
          </cell>
          <cell r="K1985">
            <v>600001</v>
          </cell>
          <cell r="L1985">
            <v>0</v>
          </cell>
        </row>
        <row r="1986">
          <cell r="B1986" t="str">
            <v>5.1.1.12</v>
          </cell>
          <cell r="C1986">
            <v>51112</v>
          </cell>
          <cell r="D1986" t="str">
            <v>Dezembro</v>
          </cell>
          <cell r="E1986" t="str">
            <v>A</v>
          </cell>
          <cell r="H1986" t="str">
            <v>Lucro (prejuízo) do exercício</v>
          </cell>
          <cell r="I1986">
            <v>500019</v>
          </cell>
          <cell r="J1986" t="str">
            <v>N/A</v>
          </cell>
          <cell r="K1986">
            <v>600001</v>
          </cell>
          <cell r="L1986">
            <v>0</v>
          </cell>
        </row>
        <row r="1987">
          <cell r="B1987" t="str">
            <v>5.1.2</v>
          </cell>
          <cell r="C1987">
            <v>512</v>
          </cell>
          <cell r="D1987" t="str">
            <v>Prejuízo do Período</v>
          </cell>
          <cell r="E1987" t="str">
            <v>S</v>
          </cell>
        </row>
        <row r="1988">
          <cell r="B1988" t="str">
            <v>5.1.2.01</v>
          </cell>
          <cell r="C1988">
            <v>5121</v>
          </cell>
          <cell r="D1988" t="str">
            <v>Janeiro</v>
          </cell>
          <cell r="E1988" t="str">
            <v>A</v>
          </cell>
          <cell r="H1988" t="str">
            <v>Lucro (prejuízo) do exercício</v>
          </cell>
          <cell r="I1988">
            <v>500019</v>
          </cell>
          <cell r="J1988" t="str">
            <v>N/A</v>
          </cell>
          <cell r="K1988">
            <v>600001</v>
          </cell>
          <cell r="L1988">
            <v>0</v>
          </cell>
        </row>
        <row r="1989">
          <cell r="B1989" t="str">
            <v>5.1.2.02</v>
          </cell>
          <cell r="C1989">
            <v>5122</v>
          </cell>
          <cell r="D1989" t="str">
            <v>Fevereiro</v>
          </cell>
          <cell r="E1989" t="str">
            <v>A</v>
          </cell>
          <cell r="H1989" t="str">
            <v>Lucro (prejuízo) do exercício</v>
          </cell>
          <cell r="I1989">
            <v>500019</v>
          </cell>
          <cell r="J1989" t="str">
            <v>N/A</v>
          </cell>
          <cell r="K1989">
            <v>600001</v>
          </cell>
          <cell r="L1989">
            <v>0</v>
          </cell>
        </row>
        <row r="1990">
          <cell r="B1990" t="str">
            <v>5.1.2.03</v>
          </cell>
          <cell r="C1990">
            <v>5123</v>
          </cell>
          <cell r="D1990" t="str">
            <v>Março</v>
          </cell>
          <cell r="E1990" t="str">
            <v>A</v>
          </cell>
          <cell r="H1990" t="str">
            <v>Lucro (prejuízo) do exercício</v>
          </cell>
          <cell r="I1990">
            <v>500019</v>
          </cell>
          <cell r="J1990" t="str">
            <v>N/A</v>
          </cell>
          <cell r="K1990">
            <v>600001</v>
          </cell>
          <cell r="L1990">
            <v>0</v>
          </cell>
        </row>
        <row r="1991">
          <cell r="B1991" t="str">
            <v>5.1.2.04</v>
          </cell>
          <cell r="C1991">
            <v>5124</v>
          </cell>
          <cell r="D1991" t="str">
            <v>Abril</v>
          </cell>
          <cell r="E1991" t="str">
            <v>A</v>
          </cell>
          <cell r="H1991" t="str">
            <v>Lucro (prejuízo) do exercício</v>
          </cell>
          <cell r="I1991">
            <v>500019</v>
          </cell>
          <cell r="J1991" t="str">
            <v>N/A</v>
          </cell>
          <cell r="K1991">
            <v>600001</v>
          </cell>
          <cell r="L1991">
            <v>0</v>
          </cell>
        </row>
        <row r="1992">
          <cell r="B1992" t="str">
            <v>5.1.2.05</v>
          </cell>
          <cell r="C1992">
            <v>5125</v>
          </cell>
          <cell r="D1992" t="str">
            <v>Maio</v>
          </cell>
          <cell r="E1992" t="str">
            <v>A</v>
          </cell>
          <cell r="H1992" t="str">
            <v>Lucro (prejuízo) do exercício</v>
          </cell>
          <cell r="I1992">
            <v>500019</v>
          </cell>
          <cell r="J1992" t="str">
            <v>N/A</v>
          </cell>
          <cell r="K1992">
            <v>600001</v>
          </cell>
          <cell r="L1992">
            <v>0</v>
          </cell>
        </row>
        <row r="1993">
          <cell r="B1993" t="str">
            <v>5.1.2.06</v>
          </cell>
          <cell r="C1993">
            <v>5126</v>
          </cell>
          <cell r="D1993" t="str">
            <v>Junho</v>
          </cell>
          <cell r="E1993" t="str">
            <v>A</v>
          </cell>
          <cell r="H1993" t="str">
            <v>Lucro (prejuízo) do exercício</v>
          </cell>
          <cell r="I1993">
            <v>500019</v>
          </cell>
          <cell r="J1993" t="str">
            <v>N/A</v>
          </cell>
          <cell r="K1993">
            <v>600001</v>
          </cell>
          <cell r="L1993">
            <v>0</v>
          </cell>
        </row>
        <row r="1994">
          <cell r="B1994" t="str">
            <v>5.1.2.07</v>
          </cell>
          <cell r="C1994">
            <v>5127</v>
          </cell>
          <cell r="D1994" t="str">
            <v>Julho</v>
          </cell>
          <cell r="E1994" t="str">
            <v>A</v>
          </cell>
          <cell r="H1994" t="str">
            <v>Lucro (prejuízo) do exercício</v>
          </cell>
          <cell r="I1994">
            <v>500019</v>
          </cell>
          <cell r="J1994" t="str">
            <v>N/A</v>
          </cell>
          <cell r="K1994">
            <v>600001</v>
          </cell>
          <cell r="L1994">
            <v>0</v>
          </cell>
        </row>
        <row r="1995">
          <cell r="B1995" t="str">
            <v>5.1.2.08</v>
          </cell>
          <cell r="C1995">
            <v>5128</v>
          </cell>
          <cell r="D1995" t="str">
            <v>Agosto</v>
          </cell>
          <cell r="E1995" t="str">
            <v>A</v>
          </cell>
          <cell r="H1995" t="str">
            <v>Lucro (prejuízo) do exercício</v>
          </cell>
          <cell r="I1995">
            <v>500019</v>
          </cell>
          <cell r="J1995" t="str">
            <v>N/A</v>
          </cell>
          <cell r="K1995">
            <v>600001</v>
          </cell>
          <cell r="L1995">
            <v>0</v>
          </cell>
        </row>
        <row r="1996">
          <cell r="B1996" t="str">
            <v>5.1.2.09</v>
          </cell>
          <cell r="C1996">
            <v>5129</v>
          </cell>
          <cell r="D1996" t="str">
            <v>Setembro</v>
          </cell>
          <cell r="E1996" t="str">
            <v>A</v>
          </cell>
          <cell r="H1996" t="str">
            <v>Lucro (prejuízo) do exercício</v>
          </cell>
          <cell r="I1996">
            <v>500019</v>
          </cell>
          <cell r="J1996" t="str">
            <v>N/A</v>
          </cell>
          <cell r="K1996">
            <v>600001</v>
          </cell>
          <cell r="L1996">
            <v>0</v>
          </cell>
        </row>
        <row r="1997">
          <cell r="B1997" t="str">
            <v>5.1.2.10</v>
          </cell>
          <cell r="C1997">
            <v>51210</v>
          </cell>
          <cell r="D1997" t="str">
            <v>Outubro</v>
          </cell>
          <cell r="E1997" t="str">
            <v>A</v>
          </cell>
          <cell r="H1997" t="str">
            <v>Lucro (prejuízo) do exercício</v>
          </cell>
          <cell r="I1997">
            <v>500019</v>
          </cell>
          <cell r="J1997" t="str">
            <v>N/A</v>
          </cell>
          <cell r="K1997">
            <v>600001</v>
          </cell>
          <cell r="L1997">
            <v>0</v>
          </cell>
        </row>
        <row r="1998">
          <cell r="B1998" t="str">
            <v>5.1.2.11</v>
          </cell>
          <cell r="C1998">
            <v>51211</v>
          </cell>
          <cell r="D1998" t="str">
            <v>Novembro</v>
          </cell>
          <cell r="E1998" t="str">
            <v>A</v>
          </cell>
          <cell r="H1998" t="str">
            <v>Lucro (prejuízo) do exercício</v>
          </cell>
          <cell r="I1998">
            <v>500019</v>
          </cell>
          <cell r="J1998" t="str">
            <v>N/A</v>
          </cell>
          <cell r="K1998">
            <v>600001</v>
          </cell>
          <cell r="L1998">
            <v>0</v>
          </cell>
        </row>
        <row r="1999">
          <cell r="B1999" t="str">
            <v>5.1.2.12</v>
          </cell>
          <cell r="C1999">
            <v>51212</v>
          </cell>
          <cell r="D1999" t="str">
            <v>Dezembro</v>
          </cell>
          <cell r="E1999" t="str">
            <v>A</v>
          </cell>
          <cell r="H1999" t="str">
            <v>Lucro (prejuízo) do exercício</v>
          </cell>
          <cell r="I1999">
            <v>500019</v>
          </cell>
          <cell r="J1999" t="str">
            <v>N/A</v>
          </cell>
          <cell r="K1999">
            <v>600001</v>
          </cell>
          <cell r="L1999">
            <v>0</v>
          </cell>
        </row>
        <row r="2000">
          <cell r="B2000">
            <v>6</v>
          </cell>
          <cell r="C2000">
            <v>6</v>
          </cell>
          <cell r="D2000" t="str">
            <v>RESULTADO DO EXERCÍCIO DO ANO</v>
          </cell>
          <cell r="E2000" t="str">
            <v>S</v>
          </cell>
        </row>
        <row r="2001">
          <cell r="B2001" t="str">
            <v>6.1</v>
          </cell>
          <cell r="C2001">
            <v>61</v>
          </cell>
          <cell r="D2001" t="str">
            <v>Resultado do Exercício</v>
          </cell>
          <cell r="E2001" t="str">
            <v>A</v>
          </cell>
          <cell r="H2001" t="str">
            <v>N/A</v>
          </cell>
          <cell r="I2001">
            <v>500001</v>
          </cell>
          <cell r="J2001" t="str">
            <v>N/A</v>
          </cell>
          <cell r="K2001">
            <v>600001</v>
          </cell>
          <cell r="L2001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erno_Cache_XXXXX"/>
      <sheetName val="Planilha1"/>
      <sheetName val="IRPJ_CSLL_2021"/>
      <sheetName val="12.2021"/>
      <sheetName val="11.2021"/>
      <sheetName val="10.2021"/>
      <sheetName val="01.2022"/>
      <sheetName val="02.2022"/>
      <sheetName val="EPE (2)"/>
      <sheetName val="IRPJ_CSLL_2022"/>
      <sheetName val="IRPJ_CSLL_2023"/>
      <sheetName val="IRPJ_CSLL_2024"/>
      <sheetName val="IRPJ_CSLL_2025"/>
      <sheetName val="Balancete 01.2025"/>
      <sheetName val="Balancete 12.2024"/>
      <sheetName val="Balancete 11.2024"/>
      <sheetName val="Balancete 10.2024"/>
      <sheetName val="Balancete 09.2024"/>
      <sheetName val="Balancete 08.2024"/>
      <sheetName val="Balancete 07.2024"/>
      <sheetName val="Balancete 06.2024"/>
      <sheetName val="Balancete 05.2024"/>
      <sheetName val="Balancete 04.2024"/>
      <sheetName val="Balancete 03.2024"/>
      <sheetName val="Balancete 04.2023"/>
      <sheetName val="Balancete 02.2024"/>
      <sheetName val="Balancete 01.2024"/>
      <sheetName val="12.2023"/>
      <sheetName val="11.2023"/>
      <sheetName val="10.2023"/>
      <sheetName val="09.2023"/>
      <sheetName val="08.2023"/>
      <sheetName val="07.2023"/>
      <sheetName val="06.2023"/>
      <sheetName val="EPE (3)"/>
      <sheetName val="05.2023"/>
      <sheetName val="04.2023"/>
      <sheetName val="03.2023"/>
      <sheetName val="02.2023"/>
      <sheetName val="01.2023"/>
      <sheetName val="12.2022"/>
      <sheetName val="11.2022"/>
      <sheetName val="10.2022"/>
      <sheetName val="09.2022"/>
      <sheetName val="08.2022"/>
      <sheetName val="07.2022"/>
      <sheetName val="06.2022"/>
      <sheetName val="05.2022"/>
      <sheetName val="07.2020"/>
      <sheetName val="08.2020"/>
      <sheetName val="Plan1"/>
      <sheetName val="03.2022"/>
      <sheetName val="04.2022"/>
      <sheetName val="06.2021"/>
      <sheetName val="07.2021"/>
      <sheetName val="08.2021"/>
      <sheetName val="09.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12">
          <cell r="O112">
            <v>2028901.8850000021</v>
          </cell>
        </row>
      </sheetData>
      <sheetData sheetId="12" refreshError="1"/>
      <sheetData sheetId="13">
        <row r="1">
          <cell r="B1" t="str">
            <v>Balancete Contábil Analítico</v>
          </cell>
        </row>
      </sheetData>
      <sheetData sheetId="14">
        <row r="1">
          <cell r="B1" t="str">
            <v>Balancete Contábil Analítico</v>
          </cell>
        </row>
      </sheetData>
      <sheetData sheetId="15" refreshError="1"/>
      <sheetData sheetId="16">
        <row r="1">
          <cell r="B1" t="str">
            <v>Balancete Contábil Analítico</v>
          </cell>
        </row>
      </sheetData>
      <sheetData sheetId="17">
        <row r="1">
          <cell r="B1" t="str">
            <v>Balancete Contábil Analítico</v>
          </cell>
        </row>
      </sheetData>
      <sheetData sheetId="18">
        <row r="1">
          <cell r="B1" t="str">
            <v>Balancete Contábil Analítico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cerno_Cache_XXXXX"/>
      <sheetName val="Planilha1"/>
      <sheetName val="IRPJ_CSLL_2021"/>
      <sheetName val="12.2021"/>
      <sheetName val="11.2021"/>
      <sheetName val="10.2021"/>
      <sheetName val="01.2022"/>
      <sheetName val="02.2022"/>
      <sheetName val="EPE (2)"/>
      <sheetName val="IRPJ_CSLL_2022"/>
      <sheetName val="IRPJ_CSLL_2023"/>
      <sheetName val="IRPJ_CSLL_2024"/>
      <sheetName val="IRPJ_CSLL_2025"/>
      <sheetName val="IRPJ_CSLL_2026"/>
      <sheetName val="Março 2026"/>
      <sheetName val="Balancete 12.2025"/>
      <sheetName val="Balancete 11.2025"/>
      <sheetName val="Balancete 10.2025"/>
      <sheetName val="Balancete 09.2025"/>
      <sheetName val="Balancete 08.2025"/>
      <sheetName val="Balancete 07.2025"/>
      <sheetName val="Balancete 06.2025"/>
      <sheetName val="Balancete 05.2025"/>
      <sheetName val="Balancete 04.2025"/>
      <sheetName val="Balancete 03.2025"/>
      <sheetName val="Balancete 02.2025"/>
      <sheetName val="Balancete 01.2025"/>
      <sheetName val="Balancete 12.2024"/>
      <sheetName val="Balancete 11.2024"/>
      <sheetName val="Balancete 10.2024"/>
      <sheetName val="Balancete 09.2024"/>
      <sheetName val="Balancete 08.2024"/>
      <sheetName val="Balancete 07.2024"/>
      <sheetName val="Balancete 06.2024"/>
      <sheetName val="Balancete 05.2024"/>
      <sheetName val="Balancete 04.2024"/>
      <sheetName val="Balancete 03.2024"/>
      <sheetName val="Balancete 04.2023"/>
      <sheetName val="Balancete 02.2024"/>
      <sheetName val="Balancete 01.2024"/>
      <sheetName val="12.2023"/>
      <sheetName val="11.2023"/>
      <sheetName val="10.2023"/>
      <sheetName val="09.2023"/>
      <sheetName val="08.2023"/>
      <sheetName val="07.2023"/>
      <sheetName val="06.2023"/>
      <sheetName val="EPE (3)"/>
      <sheetName val="05.2023"/>
      <sheetName val="04.2023"/>
      <sheetName val="03.2023"/>
      <sheetName val="02.2023"/>
      <sheetName val="01.2023"/>
      <sheetName val="12.2022"/>
      <sheetName val="11.2022"/>
      <sheetName val="10.2022"/>
      <sheetName val="09.2022"/>
      <sheetName val="08.2022"/>
      <sheetName val="07.2022"/>
      <sheetName val="06.2022"/>
      <sheetName val="05.2022"/>
      <sheetName val="07.2020"/>
      <sheetName val="08.2020"/>
      <sheetName val="Plan1"/>
      <sheetName val="03.2022"/>
      <sheetName val="04.2022"/>
      <sheetName val="06.2021"/>
      <sheetName val="07.2021"/>
      <sheetName val="08.2021"/>
      <sheetName val="09.20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12">
          <cell r="O112">
            <v>2028901.8850000021</v>
          </cell>
        </row>
      </sheetData>
      <sheetData sheetId="12">
        <row r="85">
          <cell r="O85">
            <v>-5414500.0299999984</v>
          </cell>
        </row>
      </sheetData>
      <sheetData sheetId="13"/>
      <sheetData sheetId="14">
        <row r="1">
          <cell r="B1" t="str">
            <v>Balancete Contábil Analítico</v>
          </cell>
          <cell r="G1" t="str">
            <v xml:space="preserve">     </v>
          </cell>
        </row>
        <row r="7">
          <cell r="B7" t="str">
            <v>Reduzido</v>
          </cell>
          <cell r="G7" t="str">
            <v>Movimento</v>
          </cell>
        </row>
        <row r="8">
          <cell r="B8">
            <v>1</v>
          </cell>
          <cell r="G8">
            <v>-778602.11</v>
          </cell>
        </row>
        <row r="9">
          <cell r="B9">
            <v>11</v>
          </cell>
          <cell r="G9">
            <v>-1683292.58</v>
          </cell>
        </row>
        <row r="10">
          <cell r="B10">
            <v>111</v>
          </cell>
          <cell r="G10">
            <v>-1342794.96</v>
          </cell>
        </row>
        <row r="11">
          <cell r="B11">
            <v>1112</v>
          </cell>
          <cell r="G11">
            <v>-1342794.96</v>
          </cell>
        </row>
        <row r="12">
          <cell r="B12" t="str">
            <v>CO</v>
          </cell>
          <cell r="G12">
            <v>0</v>
          </cell>
        </row>
        <row r="13">
          <cell r="B13" t="str">
            <v>BBT</v>
          </cell>
          <cell r="G13">
            <v>-1292875.45</v>
          </cell>
        </row>
        <row r="14">
          <cell r="B14" t="str">
            <v>BBR</v>
          </cell>
          <cell r="G14">
            <v>-49919.51</v>
          </cell>
        </row>
        <row r="15">
          <cell r="B15">
            <v>112</v>
          </cell>
          <cell r="G15">
            <v>694226.57</v>
          </cell>
        </row>
        <row r="16">
          <cell r="B16">
            <v>1123</v>
          </cell>
          <cell r="G16">
            <v>-754271.2</v>
          </cell>
        </row>
        <row r="17">
          <cell r="B17">
            <v>11239</v>
          </cell>
          <cell r="G17">
            <v>83443.14</v>
          </cell>
        </row>
        <row r="18">
          <cell r="B18">
            <v>112310</v>
          </cell>
          <cell r="G18">
            <v>17.22</v>
          </cell>
        </row>
        <row r="19">
          <cell r="B19">
            <v>112316</v>
          </cell>
          <cell r="G19">
            <v>-178629.72</v>
          </cell>
        </row>
        <row r="20">
          <cell r="B20">
            <v>112317</v>
          </cell>
          <cell r="G20">
            <v>-66625.72</v>
          </cell>
        </row>
        <row r="21">
          <cell r="B21">
            <v>112327</v>
          </cell>
          <cell r="G21">
            <v>18115.939999999999</v>
          </cell>
        </row>
        <row r="22">
          <cell r="B22">
            <v>112340</v>
          </cell>
          <cell r="G22">
            <v>-645456.96</v>
          </cell>
        </row>
        <row r="23">
          <cell r="B23">
            <v>112341</v>
          </cell>
          <cell r="G23">
            <v>-218655.65</v>
          </cell>
        </row>
        <row r="24">
          <cell r="B24">
            <v>112342</v>
          </cell>
          <cell r="G24">
            <v>184649.54</v>
          </cell>
        </row>
        <row r="25">
          <cell r="B25">
            <v>112343</v>
          </cell>
          <cell r="G25">
            <v>68871.009999999995</v>
          </cell>
        </row>
        <row r="26">
          <cell r="B26">
            <v>1124</v>
          </cell>
          <cell r="G26">
            <v>1336644.76</v>
          </cell>
        </row>
        <row r="27">
          <cell r="B27">
            <v>11241</v>
          </cell>
          <cell r="G27">
            <v>99881.84</v>
          </cell>
        </row>
        <row r="28">
          <cell r="B28">
            <v>11242</v>
          </cell>
          <cell r="G28">
            <v>1236762.92</v>
          </cell>
        </row>
        <row r="29">
          <cell r="B29">
            <v>112424</v>
          </cell>
          <cell r="G29">
            <v>0</v>
          </cell>
        </row>
        <row r="30">
          <cell r="B30">
            <v>112425</v>
          </cell>
          <cell r="G30">
            <v>0</v>
          </cell>
        </row>
        <row r="31">
          <cell r="B31">
            <v>1129</v>
          </cell>
          <cell r="G31">
            <v>0</v>
          </cell>
        </row>
        <row r="32">
          <cell r="B32">
            <v>11291</v>
          </cell>
          <cell r="G32">
            <v>0</v>
          </cell>
        </row>
        <row r="33">
          <cell r="B33">
            <v>11299</v>
          </cell>
          <cell r="G33">
            <v>111853.01</v>
          </cell>
        </row>
        <row r="34">
          <cell r="B34">
            <v>112995</v>
          </cell>
          <cell r="G34">
            <v>111853.01</v>
          </cell>
        </row>
        <row r="35">
          <cell r="B35">
            <v>11299999</v>
          </cell>
          <cell r="G35">
            <v>0</v>
          </cell>
        </row>
        <row r="36">
          <cell r="B36">
            <v>113</v>
          </cell>
          <cell r="G36">
            <v>-1034724.19</v>
          </cell>
        </row>
        <row r="37">
          <cell r="B37">
            <v>1131</v>
          </cell>
          <cell r="G37">
            <v>-1034724.19</v>
          </cell>
        </row>
        <row r="38">
          <cell r="B38">
            <v>11311</v>
          </cell>
          <cell r="G38">
            <v>-13561.64</v>
          </cell>
        </row>
        <row r="39">
          <cell r="B39">
            <v>11312</v>
          </cell>
          <cell r="G39">
            <v>-973234.2</v>
          </cell>
        </row>
        <row r="40">
          <cell r="B40">
            <v>11313</v>
          </cell>
          <cell r="G40">
            <v>-36192.76</v>
          </cell>
        </row>
        <row r="41">
          <cell r="B41">
            <v>11315</v>
          </cell>
          <cell r="G41">
            <v>366902.45</v>
          </cell>
        </row>
        <row r="42">
          <cell r="B42">
            <v>11316</v>
          </cell>
          <cell r="G42">
            <v>-378638.04</v>
          </cell>
        </row>
        <row r="43">
          <cell r="B43">
            <v>12</v>
          </cell>
          <cell r="G43">
            <v>904690.47</v>
          </cell>
        </row>
        <row r="44">
          <cell r="B44">
            <v>121</v>
          </cell>
          <cell r="G44">
            <v>1975753.96</v>
          </cell>
        </row>
        <row r="45">
          <cell r="B45">
            <v>1213</v>
          </cell>
          <cell r="G45">
            <v>561175.41</v>
          </cell>
        </row>
        <row r="46">
          <cell r="B46">
            <v>12131</v>
          </cell>
          <cell r="G46">
            <v>583.20000000000005</v>
          </cell>
        </row>
        <row r="47">
          <cell r="B47">
            <v>12134</v>
          </cell>
          <cell r="G47">
            <v>0</v>
          </cell>
        </row>
        <row r="48">
          <cell r="B48">
            <v>12135</v>
          </cell>
          <cell r="G48">
            <v>3969.94</v>
          </cell>
        </row>
        <row r="49">
          <cell r="B49">
            <v>12139</v>
          </cell>
          <cell r="G49">
            <v>42.67</v>
          </cell>
        </row>
        <row r="50">
          <cell r="B50">
            <v>121311</v>
          </cell>
          <cell r="G50">
            <v>114.63</v>
          </cell>
        </row>
        <row r="51">
          <cell r="B51">
            <v>121312</v>
          </cell>
          <cell r="G51">
            <v>6.94</v>
          </cell>
        </row>
        <row r="52">
          <cell r="B52">
            <v>121313</v>
          </cell>
          <cell r="G52">
            <v>5266.2</v>
          </cell>
        </row>
        <row r="53">
          <cell r="B53">
            <v>121315</v>
          </cell>
          <cell r="G53">
            <v>-142724.78</v>
          </cell>
        </row>
        <row r="54">
          <cell r="B54">
            <v>121316</v>
          </cell>
          <cell r="G54">
            <v>28304.03</v>
          </cell>
        </row>
        <row r="55">
          <cell r="B55">
            <v>121317</v>
          </cell>
          <cell r="G55">
            <v>56.06</v>
          </cell>
        </row>
        <row r="56">
          <cell r="B56">
            <v>121318</v>
          </cell>
          <cell r="G56">
            <v>-235518.53</v>
          </cell>
        </row>
        <row r="57">
          <cell r="B57">
            <v>121319</v>
          </cell>
          <cell r="G57">
            <v>11298.74</v>
          </cell>
        </row>
        <row r="58">
          <cell r="B58">
            <v>121320</v>
          </cell>
          <cell r="G58">
            <v>664626.69999999995</v>
          </cell>
        </row>
        <row r="59">
          <cell r="B59">
            <v>121321</v>
          </cell>
          <cell r="G59">
            <v>225149.61</v>
          </cell>
        </row>
        <row r="60">
          <cell r="B60">
            <v>1217</v>
          </cell>
          <cell r="G60">
            <v>34.32</v>
          </cell>
        </row>
        <row r="61">
          <cell r="B61">
            <v>12171</v>
          </cell>
          <cell r="G61">
            <v>34.32</v>
          </cell>
        </row>
        <row r="62">
          <cell r="B62">
            <v>1218</v>
          </cell>
          <cell r="G62">
            <v>1414544.23</v>
          </cell>
        </row>
        <row r="63">
          <cell r="B63">
            <v>12181</v>
          </cell>
          <cell r="G63">
            <v>66840.09</v>
          </cell>
        </row>
        <row r="64">
          <cell r="B64">
            <v>12182</v>
          </cell>
          <cell r="G64">
            <v>1344065.92</v>
          </cell>
        </row>
        <row r="65">
          <cell r="B65">
            <v>12183</v>
          </cell>
          <cell r="G65">
            <v>3638.22</v>
          </cell>
        </row>
        <row r="66">
          <cell r="B66">
            <v>123</v>
          </cell>
          <cell r="G66">
            <v>-201105.86</v>
          </cell>
        </row>
        <row r="67">
          <cell r="B67">
            <v>1231</v>
          </cell>
          <cell r="G67">
            <v>269074.99</v>
          </cell>
        </row>
        <row r="68">
          <cell r="B68">
            <v>12313</v>
          </cell>
          <cell r="G68">
            <v>-0.01</v>
          </cell>
        </row>
        <row r="69">
          <cell r="B69">
            <v>12314</v>
          </cell>
          <cell r="G69">
            <v>0</v>
          </cell>
        </row>
        <row r="70">
          <cell r="B70">
            <v>12315</v>
          </cell>
          <cell r="G70">
            <v>269075</v>
          </cell>
        </row>
        <row r="71">
          <cell r="B71">
            <v>12317</v>
          </cell>
          <cell r="G71">
            <v>0</v>
          </cell>
        </row>
        <row r="72">
          <cell r="B72">
            <v>12398</v>
          </cell>
          <cell r="G72">
            <v>-470180.85</v>
          </cell>
        </row>
        <row r="73">
          <cell r="B73">
            <v>123982</v>
          </cell>
          <cell r="G73">
            <v>-67850.460000000006</v>
          </cell>
        </row>
        <row r="74">
          <cell r="B74">
            <v>123983</v>
          </cell>
          <cell r="G74">
            <v>-4040.28</v>
          </cell>
        </row>
        <row r="75">
          <cell r="B75">
            <v>123984</v>
          </cell>
          <cell r="G75">
            <v>-373331.4</v>
          </cell>
        </row>
        <row r="76">
          <cell r="B76">
            <v>123986</v>
          </cell>
          <cell r="G76">
            <v>-24958.71</v>
          </cell>
        </row>
        <row r="77">
          <cell r="B77">
            <v>124</v>
          </cell>
          <cell r="G77">
            <v>-131135.48000000001</v>
          </cell>
        </row>
        <row r="78">
          <cell r="B78">
            <v>1241</v>
          </cell>
          <cell r="G78">
            <v>0</v>
          </cell>
        </row>
        <row r="79">
          <cell r="B79">
            <v>124101</v>
          </cell>
          <cell r="G79">
            <v>0</v>
          </cell>
        </row>
        <row r="80">
          <cell r="B80">
            <v>12498</v>
          </cell>
          <cell r="G80">
            <v>-131135.48000000001</v>
          </cell>
        </row>
        <row r="81">
          <cell r="B81">
            <v>1242</v>
          </cell>
          <cell r="G81">
            <v>-131135.48000000001</v>
          </cell>
        </row>
        <row r="82">
          <cell r="B82">
            <v>125</v>
          </cell>
          <cell r="G82">
            <v>-738822.15</v>
          </cell>
        </row>
        <row r="83">
          <cell r="B83">
            <v>1251</v>
          </cell>
          <cell r="G83">
            <v>-738822.15</v>
          </cell>
        </row>
        <row r="84">
          <cell r="B84">
            <v>12511</v>
          </cell>
          <cell r="G84">
            <v>0</v>
          </cell>
        </row>
        <row r="85">
          <cell r="B85">
            <v>12512</v>
          </cell>
          <cell r="G85">
            <v>-738822.15</v>
          </cell>
        </row>
        <row r="86">
          <cell r="B86">
            <v>2</v>
          </cell>
          <cell r="G86">
            <v>778602.11</v>
          </cell>
        </row>
        <row r="87">
          <cell r="B87">
            <v>21</v>
          </cell>
          <cell r="G87">
            <v>364997.52</v>
          </cell>
        </row>
        <row r="88">
          <cell r="B88">
            <v>211</v>
          </cell>
          <cell r="G88">
            <v>364997.52</v>
          </cell>
        </row>
        <row r="89">
          <cell r="B89">
            <v>2114</v>
          </cell>
          <cell r="G89">
            <v>-662314.23</v>
          </cell>
        </row>
        <row r="90">
          <cell r="B90">
            <v>60444400000000</v>
          </cell>
          <cell r="G90">
            <v>-30000</v>
          </cell>
        </row>
        <row r="91">
          <cell r="B91">
            <v>57143000000000</v>
          </cell>
          <cell r="G91">
            <v>0</v>
          </cell>
        </row>
        <row r="92">
          <cell r="B92">
            <v>34028300000000</v>
          </cell>
          <cell r="G92">
            <v>0</v>
          </cell>
        </row>
        <row r="93">
          <cell r="B93" t="str">
            <v>33641663/0001-44</v>
          </cell>
          <cell r="G93">
            <v>0</v>
          </cell>
        </row>
        <row r="94">
          <cell r="B94" t="str">
            <v>69034668/0001-56</v>
          </cell>
          <cell r="G94">
            <v>-443200.96</v>
          </cell>
        </row>
        <row r="95">
          <cell r="B95" t="str">
            <v>71208516/0001-74</v>
          </cell>
          <cell r="G95">
            <v>0</v>
          </cell>
        </row>
        <row r="96">
          <cell r="B96" t="str">
            <v>05983000/0001-72</v>
          </cell>
          <cell r="G96">
            <v>0</v>
          </cell>
        </row>
        <row r="97">
          <cell r="B97">
            <v>30033800000000</v>
          </cell>
          <cell r="G97">
            <v>-6630</v>
          </cell>
        </row>
        <row r="98">
          <cell r="B98" t="str">
            <v>53113791/0001-22</v>
          </cell>
          <cell r="G98">
            <v>0</v>
          </cell>
        </row>
        <row r="99">
          <cell r="B99">
            <v>32578400000000</v>
          </cell>
          <cell r="G99">
            <v>0</v>
          </cell>
        </row>
        <row r="100">
          <cell r="B100" t="str">
            <v>08794730/0001-13</v>
          </cell>
          <cell r="G100">
            <v>0</v>
          </cell>
        </row>
        <row r="101">
          <cell r="B101" t="str">
            <v>72381189/0006-25</v>
          </cell>
          <cell r="G101">
            <v>0</v>
          </cell>
        </row>
        <row r="102">
          <cell r="B102" t="str">
            <v>33683111/0008-75</v>
          </cell>
          <cell r="G102">
            <v>0</v>
          </cell>
        </row>
        <row r="103">
          <cell r="B103" t="str">
            <v>05344234/0001-70</v>
          </cell>
          <cell r="G103">
            <v>0</v>
          </cell>
        </row>
        <row r="104">
          <cell r="B104">
            <v>33754500000000</v>
          </cell>
          <cell r="G104">
            <v>0</v>
          </cell>
        </row>
        <row r="105">
          <cell r="B105">
            <v>3017430000000</v>
          </cell>
          <cell r="G105">
            <v>0</v>
          </cell>
        </row>
        <row r="106">
          <cell r="B106">
            <v>28019200000000</v>
          </cell>
          <cell r="G106">
            <v>0</v>
          </cell>
        </row>
        <row r="107">
          <cell r="B107">
            <v>16727400000000</v>
          </cell>
          <cell r="G107">
            <v>0</v>
          </cell>
        </row>
        <row r="108">
          <cell r="B108">
            <v>3535900000000</v>
          </cell>
          <cell r="G108">
            <v>86150</v>
          </cell>
        </row>
        <row r="109">
          <cell r="B109">
            <v>23458500000000</v>
          </cell>
          <cell r="G109">
            <v>0</v>
          </cell>
        </row>
        <row r="110">
          <cell r="B110">
            <v>14031100000000</v>
          </cell>
          <cell r="G110">
            <v>0</v>
          </cell>
        </row>
        <row r="111">
          <cell r="B111">
            <v>11825800000000</v>
          </cell>
          <cell r="G111">
            <v>0</v>
          </cell>
        </row>
        <row r="112">
          <cell r="B112">
            <v>2081860000000</v>
          </cell>
          <cell r="G112">
            <v>0</v>
          </cell>
        </row>
        <row r="113">
          <cell r="B113">
            <v>7718940000000</v>
          </cell>
          <cell r="G113">
            <v>-140</v>
          </cell>
        </row>
        <row r="114">
          <cell r="B114">
            <v>9079570000000</v>
          </cell>
          <cell r="G114">
            <v>-3625.21</v>
          </cell>
        </row>
        <row r="115">
          <cell r="B115">
            <v>19088600000000</v>
          </cell>
          <cell r="G115">
            <v>-90000</v>
          </cell>
        </row>
        <row r="116">
          <cell r="B116">
            <v>34036200000000</v>
          </cell>
          <cell r="G116">
            <v>-101066.6</v>
          </cell>
        </row>
        <row r="117">
          <cell r="B117">
            <v>36813600000000</v>
          </cell>
          <cell r="G117">
            <v>-20333.8</v>
          </cell>
        </row>
        <row r="118">
          <cell r="B118">
            <v>191477000000</v>
          </cell>
          <cell r="G118">
            <v>33777</v>
          </cell>
        </row>
        <row r="119">
          <cell r="B119">
            <v>5506560000000</v>
          </cell>
          <cell r="G119">
            <v>0</v>
          </cell>
        </row>
        <row r="120">
          <cell r="B120">
            <v>34977900000000</v>
          </cell>
          <cell r="G120">
            <v>0</v>
          </cell>
        </row>
        <row r="121">
          <cell r="B121">
            <v>25131900000000</v>
          </cell>
          <cell r="G121">
            <v>0</v>
          </cell>
        </row>
        <row r="122">
          <cell r="B122">
            <v>33198300000000</v>
          </cell>
          <cell r="G122">
            <v>-499.6</v>
          </cell>
        </row>
        <row r="123">
          <cell r="B123">
            <v>28712100000000</v>
          </cell>
          <cell r="G123">
            <v>0</v>
          </cell>
        </row>
        <row r="124">
          <cell r="B124">
            <v>12499500000000</v>
          </cell>
          <cell r="G124">
            <v>0</v>
          </cell>
        </row>
        <row r="125">
          <cell r="B125">
            <v>7843950000000</v>
          </cell>
          <cell r="G125">
            <v>0</v>
          </cell>
        </row>
        <row r="126">
          <cell r="B126">
            <v>38056400000000</v>
          </cell>
          <cell r="G126">
            <v>0</v>
          </cell>
        </row>
        <row r="127">
          <cell r="B127" t="str">
            <v>01707536/000104</v>
          </cell>
          <cell r="G127">
            <v>0</v>
          </cell>
        </row>
        <row r="128">
          <cell r="B128">
            <v>32681700000000</v>
          </cell>
          <cell r="G128">
            <v>0</v>
          </cell>
        </row>
        <row r="129">
          <cell r="B129">
            <v>27553300000000</v>
          </cell>
          <cell r="G129">
            <v>0</v>
          </cell>
        </row>
        <row r="130">
          <cell r="B130">
            <v>5630090000000</v>
          </cell>
          <cell r="G130">
            <v>0</v>
          </cell>
        </row>
        <row r="131">
          <cell r="B131">
            <v>2114998</v>
          </cell>
          <cell r="G131">
            <v>0</v>
          </cell>
        </row>
        <row r="132">
          <cell r="B132">
            <v>8210270000000</v>
          </cell>
          <cell r="G132">
            <v>0</v>
          </cell>
        </row>
        <row r="133">
          <cell r="B133">
            <v>2445480000000</v>
          </cell>
          <cell r="G133">
            <v>0</v>
          </cell>
        </row>
        <row r="134">
          <cell r="B134">
            <v>37381900000000</v>
          </cell>
          <cell r="G134">
            <v>0</v>
          </cell>
        </row>
        <row r="135">
          <cell r="B135">
            <v>12782100000000</v>
          </cell>
          <cell r="G135">
            <v>0</v>
          </cell>
        </row>
        <row r="136">
          <cell r="B136">
            <v>24185200000000</v>
          </cell>
          <cell r="G136">
            <v>0</v>
          </cell>
        </row>
        <row r="137">
          <cell r="B137">
            <v>69112500000000</v>
          </cell>
          <cell r="G137">
            <v>-93.39</v>
          </cell>
        </row>
        <row r="138">
          <cell r="B138">
            <v>16647700000000</v>
          </cell>
          <cell r="G138">
            <v>0</v>
          </cell>
        </row>
        <row r="139">
          <cell r="B139">
            <v>5342580000000</v>
          </cell>
          <cell r="G139">
            <v>0</v>
          </cell>
        </row>
        <row r="140">
          <cell r="B140">
            <v>4842770000000</v>
          </cell>
          <cell r="G140">
            <v>0</v>
          </cell>
        </row>
        <row r="141">
          <cell r="B141">
            <v>26391300000000</v>
          </cell>
          <cell r="G141">
            <v>0</v>
          </cell>
        </row>
        <row r="142">
          <cell r="B142">
            <v>28000129</v>
          </cell>
          <cell r="G142">
            <v>-1333.12</v>
          </cell>
        </row>
        <row r="143">
          <cell r="B143">
            <v>61825700000000</v>
          </cell>
          <cell r="G143">
            <v>1242.28</v>
          </cell>
        </row>
        <row r="144">
          <cell r="B144">
            <v>17178200000000</v>
          </cell>
          <cell r="G144">
            <v>0</v>
          </cell>
        </row>
        <row r="145">
          <cell r="B145">
            <v>42422300000000</v>
          </cell>
          <cell r="G145">
            <v>0</v>
          </cell>
        </row>
        <row r="146">
          <cell r="B146">
            <v>48707800000000</v>
          </cell>
          <cell r="G146">
            <v>0</v>
          </cell>
        </row>
        <row r="147">
          <cell r="B147">
            <v>7708130000000</v>
          </cell>
          <cell r="G147">
            <v>-9600</v>
          </cell>
        </row>
        <row r="148">
          <cell r="B148">
            <v>5681340000000</v>
          </cell>
          <cell r="G148">
            <v>-7250</v>
          </cell>
        </row>
        <row r="149">
          <cell r="B149" t="str">
            <v>50974018/0001-62</v>
          </cell>
          <cell r="G149">
            <v>-3593.55</v>
          </cell>
        </row>
        <row r="150">
          <cell r="B150">
            <v>57929000000000</v>
          </cell>
          <cell r="G150">
            <v>0</v>
          </cell>
        </row>
        <row r="151">
          <cell r="B151">
            <v>9305980000000</v>
          </cell>
          <cell r="G151">
            <v>0</v>
          </cell>
        </row>
        <row r="152">
          <cell r="B152">
            <v>7112530000000</v>
          </cell>
          <cell r="G152">
            <v>-1500.1</v>
          </cell>
        </row>
        <row r="153">
          <cell r="B153">
            <v>33372300000000</v>
          </cell>
          <cell r="G153">
            <v>0</v>
          </cell>
        </row>
        <row r="154">
          <cell r="B154">
            <v>9494320000000</v>
          </cell>
          <cell r="G154">
            <v>0</v>
          </cell>
        </row>
        <row r="155">
          <cell r="B155">
            <v>58567900000000</v>
          </cell>
          <cell r="G155">
            <v>5169.26</v>
          </cell>
        </row>
        <row r="156">
          <cell r="B156">
            <v>2298310000000</v>
          </cell>
          <cell r="G156">
            <v>-1320</v>
          </cell>
        </row>
        <row r="157">
          <cell r="B157">
            <v>26722200000000</v>
          </cell>
          <cell r="G157">
            <v>0</v>
          </cell>
        </row>
        <row r="158">
          <cell r="B158">
            <v>15664800000000</v>
          </cell>
          <cell r="G158">
            <v>-3200</v>
          </cell>
        </row>
        <row r="159">
          <cell r="B159">
            <v>57115300000000</v>
          </cell>
          <cell r="G159">
            <v>7223.56</v>
          </cell>
        </row>
        <row r="160">
          <cell r="B160">
            <v>32301800000000</v>
          </cell>
          <cell r="G160">
            <v>0</v>
          </cell>
        </row>
        <row r="161">
          <cell r="B161">
            <v>18234900000000</v>
          </cell>
          <cell r="G161">
            <v>0</v>
          </cell>
        </row>
        <row r="162">
          <cell r="B162">
            <v>12021900000000</v>
          </cell>
          <cell r="G162">
            <v>0</v>
          </cell>
        </row>
        <row r="163">
          <cell r="B163">
            <v>13418200000000</v>
          </cell>
          <cell r="G163">
            <v>0</v>
          </cell>
        </row>
        <row r="164">
          <cell r="B164">
            <v>1183610000000</v>
          </cell>
          <cell r="G164">
            <v>-56490</v>
          </cell>
        </row>
        <row r="165">
          <cell r="B165">
            <v>60011700000000</v>
          </cell>
          <cell r="G165">
            <v>-14000</v>
          </cell>
        </row>
        <row r="166">
          <cell r="B166">
            <v>50237400000000</v>
          </cell>
          <cell r="G166">
            <v>0</v>
          </cell>
        </row>
        <row r="167">
          <cell r="B167">
            <v>57558200000000</v>
          </cell>
          <cell r="G167">
            <v>-2000</v>
          </cell>
        </row>
        <row r="168">
          <cell r="B168">
            <v>2116</v>
          </cell>
          <cell r="G168">
            <v>-2384.0100000000002</v>
          </cell>
        </row>
        <row r="169">
          <cell r="B169">
            <v>21162</v>
          </cell>
          <cell r="G169">
            <v>-333.25</v>
          </cell>
        </row>
        <row r="170">
          <cell r="B170">
            <v>21163</v>
          </cell>
          <cell r="G170">
            <v>-2050.7600000000002</v>
          </cell>
        </row>
        <row r="171">
          <cell r="B171">
            <v>2117</v>
          </cell>
          <cell r="G171">
            <v>2170217.04</v>
          </cell>
        </row>
        <row r="172">
          <cell r="B172">
            <v>561</v>
          </cell>
          <cell r="G172">
            <v>1865668.72</v>
          </cell>
        </row>
        <row r="173">
          <cell r="B173" t="str">
            <v>INSS</v>
          </cell>
          <cell r="G173">
            <v>13995.87</v>
          </cell>
        </row>
        <row r="174">
          <cell r="B174">
            <v>6147</v>
          </cell>
          <cell r="G174">
            <v>4506.6099999999997</v>
          </cell>
        </row>
        <row r="175">
          <cell r="B175">
            <v>6190</v>
          </cell>
          <cell r="G175">
            <v>285253.15000000002</v>
          </cell>
        </row>
        <row r="176">
          <cell r="B176">
            <v>6175</v>
          </cell>
          <cell r="G176">
            <v>792.69</v>
          </cell>
        </row>
        <row r="177">
          <cell r="B177">
            <v>2118</v>
          </cell>
          <cell r="G177">
            <v>-314653.36</v>
          </cell>
        </row>
        <row r="178">
          <cell r="B178">
            <v>21181</v>
          </cell>
          <cell r="G178">
            <v>1843148.75</v>
          </cell>
        </row>
        <row r="179">
          <cell r="B179">
            <v>21182</v>
          </cell>
          <cell r="G179">
            <v>-1873958.1</v>
          </cell>
        </row>
        <row r="180">
          <cell r="B180">
            <v>21183</v>
          </cell>
          <cell r="G180">
            <v>-48578.17</v>
          </cell>
        </row>
        <row r="181">
          <cell r="B181">
            <v>21184</v>
          </cell>
          <cell r="G181">
            <v>564455.93999999994</v>
          </cell>
        </row>
        <row r="182">
          <cell r="B182">
            <v>21185</v>
          </cell>
          <cell r="G182">
            <v>182947.16</v>
          </cell>
        </row>
        <row r="183">
          <cell r="B183">
            <v>21186</v>
          </cell>
          <cell r="G183">
            <v>0</v>
          </cell>
        </row>
        <row r="184">
          <cell r="B184">
            <v>21187</v>
          </cell>
          <cell r="G184">
            <v>0</v>
          </cell>
        </row>
        <row r="185">
          <cell r="B185">
            <v>21188</v>
          </cell>
          <cell r="G185">
            <v>0</v>
          </cell>
        </row>
        <row r="186">
          <cell r="B186">
            <v>21189</v>
          </cell>
          <cell r="G186">
            <v>-493208.75</v>
          </cell>
        </row>
        <row r="187">
          <cell r="B187">
            <v>211810</v>
          </cell>
          <cell r="G187">
            <v>-419150.23</v>
          </cell>
        </row>
        <row r="188">
          <cell r="B188">
            <v>211811</v>
          </cell>
          <cell r="G188">
            <v>-50268.54</v>
          </cell>
        </row>
        <row r="189">
          <cell r="B189">
            <v>211812</v>
          </cell>
          <cell r="G189">
            <v>-16082.18</v>
          </cell>
        </row>
        <row r="190">
          <cell r="B190">
            <v>211813</v>
          </cell>
          <cell r="G190">
            <v>-3959.24</v>
          </cell>
        </row>
        <row r="191">
          <cell r="B191">
            <v>211816</v>
          </cell>
          <cell r="G191">
            <v>0</v>
          </cell>
        </row>
        <row r="192">
          <cell r="B192">
            <v>2119</v>
          </cell>
          <cell r="G192">
            <v>-300000</v>
          </cell>
        </row>
        <row r="193">
          <cell r="B193">
            <v>211920</v>
          </cell>
          <cell r="G193">
            <v>-300000</v>
          </cell>
        </row>
        <row r="194">
          <cell r="B194">
            <v>21114</v>
          </cell>
          <cell r="G194">
            <v>-463.12</v>
          </cell>
        </row>
        <row r="195">
          <cell r="B195">
            <v>211145</v>
          </cell>
          <cell r="G195">
            <v>1687.01</v>
          </cell>
        </row>
        <row r="196">
          <cell r="B196">
            <v>211148</v>
          </cell>
          <cell r="G196">
            <v>-2150.13</v>
          </cell>
        </row>
        <row r="197">
          <cell r="B197">
            <v>21115</v>
          </cell>
          <cell r="G197">
            <v>-487864.27</v>
          </cell>
        </row>
        <row r="198">
          <cell r="B198">
            <v>211151</v>
          </cell>
          <cell r="G198">
            <v>-487864.27</v>
          </cell>
        </row>
        <row r="199">
          <cell r="B199">
            <v>21116</v>
          </cell>
          <cell r="G199">
            <v>-37540.53</v>
          </cell>
        </row>
        <row r="200">
          <cell r="B200">
            <v>211161</v>
          </cell>
          <cell r="G200">
            <v>0</v>
          </cell>
        </row>
        <row r="201">
          <cell r="B201">
            <v>211162</v>
          </cell>
          <cell r="G201">
            <v>-37540.53</v>
          </cell>
        </row>
        <row r="202">
          <cell r="B202">
            <v>21199</v>
          </cell>
          <cell r="G202">
            <v>0</v>
          </cell>
        </row>
        <row r="203">
          <cell r="B203">
            <v>21199999</v>
          </cell>
          <cell r="G203">
            <v>0</v>
          </cell>
        </row>
        <row r="204">
          <cell r="B204">
            <v>22</v>
          </cell>
          <cell r="G204">
            <v>642132.88</v>
          </cell>
        </row>
        <row r="205">
          <cell r="B205">
            <v>221</v>
          </cell>
          <cell r="G205">
            <v>642132.88</v>
          </cell>
        </row>
        <row r="206">
          <cell r="B206">
            <v>2215</v>
          </cell>
          <cell r="G206">
            <v>-146222.56</v>
          </cell>
        </row>
        <row r="207">
          <cell r="B207">
            <v>22151</v>
          </cell>
          <cell r="G207">
            <v>-40395.839999999997</v>
          </cell>
        </row>
        <row r="208">
          <cell r="B208">
            <v>22153</v>
          </cell>
          <cell r="G208">
            <v>-105826.72</v>
          </cell>
        </row>
        <row r="209">
          <cell r="B209">
            <v>2218</v>
          </cell>
          <cell r="G209">
            <v>788355.44</v>
          </cell>
        </row>
        <row r="210">
          <cell r="B210">
            <v>22181</v>
          </cell>
          <cell r="G210">
            <v>931356.66</v>
          </cell>
        </row>
        <row r="211">
          <cell r="B211">
            <v>22182</v>
          </cell>
          <cell r="G211">
            <v>-143001.22</v>
          </cell>
        </row>
        <row r="212">
          <cell r="B212" t="str">
            <v>PL</v>
          </cell>
          <cell r="G212">
            <v>-228528.29</v>
          </cell>
        </row>
        <row r="213">
          <cell r="B213">
            <v>241</v>
          </cell>
          <cell r="G213">
            <v>0</v>
          </cell>
        </row>
        <row r="214">
          <cell r="B214">
            <v>2411</v>
          </cell>
          <cell r="G214">
            <v>0</v>
          </cell>
        </row>
        <row r="215">
          <cell r="B215">
            <v>24111</v>
          </cell>
          <cell r="G215">
            <v>0</v>
          </cell>
        </row>
        <row r="216">
          <cell r="B216">
            <v>243</v>
          </cell>
          <cell r="G216">
            <v>-34.32</v>
          </cell>
        </row>
        <row r="217">
          <cell r="B217">
            <v>2431</v>
          </cell>
          <cell r="G217">
            <v>-34.32</v>
          </cell>
        </row>
        <row r="218">
          <cell r="B218">
            <v>24311</v>
          </cell>
          <cell r="G218">
            <v>-34.32</v>
          </cell>
        </row>
        <row r="219">
          <cell r="B219">
            <v>246</v>
          </cell>
          <cell r="G219">
            <v>134205.29999999999</v>
          </cell>
        </row>
        <row r="220">
          <cell r="B220">
            <v>2462</v>
          </cell>
          <cell r="G220">
            <v>0</v>
          </cell>
        </row>
        <row r="221">
          <cell r="B221">
            <v>24622</v>
          </cell>
          <cell r="G221">
            <v>0</v>
          </cell>
        </row>
        <row r="222">
          <cell r="B222">
            <v>24699</v>
          </cell>
          <cell r="G222">
            <v>134205.29999999999</v>
          </cell>
        </row>
        <row r="223">
          <cell r="B223">
            <v>246991</v>
          </cell>
          <cell r="G223">
            <v>134205.29999999999</v>
          </cell>
        </row>
        <row r="224">
          <cell r="B224">
            <v>247</v>
          </cell>
          <cell r="G224">
            <v>-362699.27</v>
          </cell>
        </row>
        <row r="225">
          <cell r="B225">
            <v>2471</v>
          </cell>
          <cell r="G225">
            <v>-362699.27</v>
          </cell>
        </row>
        <row r="226">
          <cell r="B226">
            <v>24711</v>
          </cell>
          <cell r="G226">
            <v>-362699.27</v>
          </cell>
        </row>
        <row r="227">
          <cell r="B227">
            <v>3</v>
          </cell>
          <cell r="G227">
            <v>-46694099.420000002</v>
          </cell>
        </row>
        <row r="228">
          <cell r="B228">
            <v>31</v>
          </cell>
          <cell r="G228">
            <v>-43261845.229999997</v>
          </cell>
        </row>
        <row r="229">
          <cell r="B229">
            <v>311</v>
          </cell>
          <cell r="G229">
            <v>-43261845.229999997</v>
          </cell>
        </row>
        <row r="230">
          <cell r="B230">
            <v>3111</v>
          </cell>
          <cell r="G230">
            <v>-43261845.229999997</v>
          </cell>
        </row>
        <row r="231">
          <cell r="B231">
            <v>31111</v>
          </cell>
          <cell r="G231">
            <v>-43261845.229999997</v>
          </cell>
        </row>
        <row r="232">
          <cell r="B232">
            <v>33</v>
          </cell>
          <cell r="G232">
            <v>-3432254.19</v>
          </cell>
        </row>
        <row r="233">
          <cell r="B233">
            <v>331</v>
          </cell>
          <cell r="G233">
            <v>-285814.05</v>
          </cell>
        </row>
        <row r="234">
          <cell r="B234">
            <v>3311</v>
          </cell>
          <cell r="G234">
            <v>-285814.05</v>
          </cell>
        </row>
        <row r="235">
          <cell r="B235">
            <v>33115</v>
          </cell>
          <cell r="G235">
            <v>-90374.68</v>
          </cell>
        </row>
        <row r="236">
          <cell r="B236">
            <v>33116</v>
          </cell>
          <cell r="G236">
            <v>-108856.27</v>
          </cell>
        </row>
        <row r="237">
          <cell r="B237">
            <v>33117</v>
          </cell>
          <cell r="G237">
            <v>-86583.1</v>
          </cell>
        </row>
        <row r="238">
          <cell r="B238">
            <v>332</v>
          </cell>
          <cell r="G238">
            <v>-3146440.14</v>
          </cell>
        </row>
        <row r="239">
          <cell r="B239">
            <v>3321</v>
          </cell>
          <cell r="G239">
            <v>-3146440.14</v>
          </cell>
        </row>
        <row r="240">
          <cell r="B240">
            <v>33212</v>
          </cell>
          <cell r="G240">
            <v>-3146440.14</v>
          </cell>
        </row>
        <row r="241">
          <cell r="B241">
            <v>339</v>
          </cell>
          <cell r="G241">
            <v>0</v>
          </cell>
        </row>
        <row r="242">
          <cell r="B242">
            <v>33999</v>
          </cell>
          <cell r="G242">
            <v>0</v>
          </cell>
        </row>
        <row r="243">
          <cell r="B243">
            <v>339991</v>
          </cell>
          <cell r="G243">
            <v>0</v>
          </cell>
        </row>
        <row r="244">
          <cell r="B244">
            <v>4</v>
          </cell>
          <cell r="G244">
            <v>46828304.719999999</v>
          </cell>
        </row>
        <row r="245">
          <cell r="B245">
            <v>41</v>
          </cell>
          <cell r="G245">
            <v>29569943.16</v>
          </cell>
        </row>
        <row r="246">
          <cell r="B246">
            <v>411</v>
          </cell>
          <cell r="G246">
            <v>24961577.77</v>
          </cell>
        </row>
        <row r="247">
          <cell r="B247">
            <v>4111</v>
          </cell>
          <cell r="G247">
            <v>16938145.789999999</v>
          </cell>
        </row>
        <row r="248">
          <cell r="B248">
            <v>41111</v>
          </cell>
          <cell r="G248">
            <v>13867578.199999999</v>
          </cell>
        </row>
        <row r="249">
          <cell r="B249">
            <v>41117</v>
          </cell>
          <cell r="G249">
            <v>1420133.57</v>
          </cell>
        </row>
        <row r="250">
          <cell r="B250">
            <v>41118</v>
          </cell>
          <cell r="G250">
            <v>292100.43</v>
          </cell>
        </row>
        <row r="251">
          <cell r="B251">
            <v>41119</v>
          </cell>
          <cell r="G251">
            <v>1290240.07</v>
          </cell>
        </row>
        <row r="252">
          <cell r="B252">
            <v>411113</v>
          </cell>
          <cell r="G252">
            <v>29316.959999999999</v>
          </cell>
        </row>
        <row r="253">
          <cell r="B253">
            <v>411114</v>
          </cell>
          <cell r="G253">
            <v>38776.559999999998</v>
          </cell>
        </row>
        <row r="254">
          <cell r="B254">
            <v>4112</v>
          </cell>
          <cell r="G254">
            <v>5232773.1900000004</v>
          </cell>
        </row>
        <row r="255">
          <cell r="B255">
            <v>41121</v>
          </cell>
          <cell r="G255">
            <v>3278862.39</v>
          </cell>
        </row>
        <row r="256">
          <cell r="B256">
            <v>41122</v>
          </cell>
          <cell r="G256">
            <v>1167793.93</v>
          </cell>
        </row>
        <row r="257">
          <cell r="B257">
            <v>41124</v>
          </cell>
          <cell r="G257">
            <v>290056.45</v>
          </cell>
        </row>
        <row r="258">
          <cell r="B258">
            <v>41125</v>
          </cell>
          <cell r="G258">
            <v>282904.92</v>
          </cell>
        </row>
        <row r="259">
          <cell r="B259">
            <v>41126</v>
          </cell>
          <cell r="G259">
            <v>103323.61</v>
          </cell>
        </row>
        <row r="260">
          <cell r="B260">
            <v>41127</v>
          </cell>
          <cell r="G260">
            <v>109831.89</v>
          </cell>
        </row>
        <row r="261">
          <cell r="B261">
            <v>4113</v>
          </cell>
          <cell r="G261">
            <v>2790658.79</v>
          </cell>
        </row>
        <row r="262">
          <cell r="B262">
            <v>41131</v>
          </cell>
          <cell r="G262">
            <v>1019976.22</v>
          </cell>
        </row>
        <row r="263">
          <cell r="B263">
            <v>41132</v>
          </cell>
          <cell r="G263">
            <v>932612.24</v>
          </cell>
        </row>
        <row r="264">
          <cell r="B264">
            <v>41133</v>
          </cell>
          <cell r="G264">
            <v>0</v>
          </cell>
        </row>
        <row r="265">
          <cell r="B265">
            <v>41135</v>
          </cell>
          <cell r="G265">
            <v>243929.3</v>
          </cell>
        </row>
        <row r="266">
          <cell r="B266">
            <v>41136</v>
          </cell>
          <cell r="G266">
            <v>573659.98</v>
          </cell>
        </row>
        <row r="267">
          <cell r="B267">
            <v>411310</v>
          </cell>
          <cell r="G267">
            <v>5528.62</v>
          </cell>
        </row>
        <row r="268">
          <cell r="B268">
            <v>411311</v>
          </cell>
          <cell r="G268">
            <v>14952.43</v>
          </cell>
        </row>
        <row r="269">
          <cell r="B269">
            <v>413</v>
          </cell>
          <cell r="G269">
            <v>2599315.9900000002</v>
          </cell>
        </row>
        <row r="270">
          <cell r="B270">
            <v>4131</v>
          </cell>
          <cell r="G270">
            <v>2599315.9900000002</v>
          </cell>
        </row>
        <row r="271">
          <cell r="B271">
            <v>41311</v>
          </cell>
          <cell r="G271">
            <v>137680.16</v>
          </cell>
        </row>
        <row r="272">
          <cell r="B272">
            <v>41312</v>
          </cell>
          <cell r="G272">
            <v>259172.42</v>
          </cell>
        </row>
        <row r="273">
          <cell r="B273">
            <v>41315</v>
          </cell>
          <cell r="G273">
            <v>240633.09</v>
          </cell>
        </row>
        <row r="274">
          <cell r="B274">
            <v>413114</v>
          </cell>
          <cell r="G274">
            <v>1832149.12</v>
          </cell>
        </row>
        <row r="275">
          <cell r="B275">
            <v>413117</v>
          </cell>
          <cell r="G275">
            <v>128507.15</v>
          </cell>
        </row>
        <row r="276">
          <cell r="B276">
            <v>4131997</v>
          </cell>
          <cell r="G276">
            <v>1174.05</v>
          </cell>
        </row>
        <row r="277">
          <cell r="B277">
            <v>414</v>
          </cell>
          <cell r="G277">
            <v>99931.55</v>
          </cell>
        </row>
        <row r="278">
          <cell r="B278">
            <v>4141</v>
          </cell>
          <cell r="G278">
            <v>99931.55</v>
          </cell>
        </row>
        <row r="279">
          <cell r="B279">
            <v>41412</v>
          </cell>
          <cell r="G279">
            <v>84930.59</v>
          </cell>
        </row>
        <row r="280">
          <cell r="B280">
            <v>41418</v>
          </cell>
          <cell r="G280">
            <v>15000.96</v>
          </cell>
        </row>
        <row r="281">
          <cell r="B281">
            <v>416</v>
          </cell>
          <cell r="G281">
            <v>1909117.85</v>
          </cell>
        </row>
        <row r="282">
          <cell r="B282">
            <v>4161</v>
          </cell>
          <cell r="G282">
            <v>648184.54</v>
          </cell>
        </row>
        <row r="283">
          <cell r="B283">
            <v>41614</v>
          </cell>
          <cell r="G283">
            <v>148995.85999999999</v>
          </cell>
        </row>
        <row r="284">
          <cell r="B284">
            <v>41616</v>
          </cell>
          <cell r="G284">
            <v>5608.67</v>
          </cell>
        </row>
        <row r="285">
          <cell r="B285">
            <v>416112</v>
          </cell>
          <cell r="G285">
            <v>1060.1099999999999</v>
          </cell>
        </row>
        <row r="286">
          <cell r="B286">
            <v>416114</v>
          </cell>
          <cell r="G286">
            <v>143665.70000000001</v>
          </cell>
        </row>
        <row r="287">
          <cell r="B287">
            <v>416115</v>
          </cell>
          <cell r="G287">
            <v>91417.16</v>
          </cell>
        </row>
        <row r="288">
          <cell r="B288">
            <v>416116</v>
          </cell>
          <cell r="G288">
            <v>257437.04</v>
          </cell>
        </row>
        <row r="289">
          <cell r="B289">
            <v>4162</v>
          </cell>
          <cell r="G289">
            <v>1260933.31</v>
          </cell>
        </row>
        <row r="290">
          <cell r="B290">
            <v>41621</v>
          </cell>
          <cell r="G290">
            <v>172264.29</v>
          </cell>
        </row>
        <row r="291">
          <cell r="B291">
            <v>41624</v>
          </cell>
          <cell r="G291">
            <v>344362.09</v>
          </cell>
        </row>
        <row r="292">
          <cell r="B292">
            <v>41626</v>
          </cell>
          <cell r="G292">
            <v>72367.44</v>
          </cell>
        </row>
        <row r="293">
          <cell r="B293">
            <v>41627</v>
          </cell>
          <cell r="G293">
            <v>417022.32</v>
          </cell>
        </row>
        <row r="294">
          <cell r="B294">
            <v>416210</v>
          </cell>
          <cell r="G294">
            <v>66264</v>
          </cell>
        </row>
        <row r="295">
          <cell r="B295">
            <v>416220</v>
          </cell>
          <cell r="G295">
            <v>188653.17</v>
          </cell>
        </row>
        <row r="296">
          <cell r="B296">
            <v>42</v>
          </cell>
          <cell r="G296">
            <v>17258361.559999999</v>
          </cell>
        </row>
        <row r="297">
          <cell r="B297">
            <v>421</v>
          </cell>
          <cell r="G297">
            <v>11699486.33</v>
          </cell>
        </row>
        <row r="298">
          <cell r="B298">
            <v>4211</v>
          </cell>
          <cell r="G298">
            <v>8055428.2000000002</v>
          </cell>
        </row>
        <row r="299">
          <cell r="B299">
            <v>42111</v>
          </cell>
          <cell r="G299">
            <v>6561727.1399999997</v>
          </cell>
        </row>
        <row r="300">
          <cell r="B300">
            <v>42117</v>
          </cell>
          <cell r="G300">
            <v>756674.52</v>
          </cell>
        </row>
        <row r="301">
          <cell r="B301">
            <v>42118</v>
          </cell>
          <cell r="G301">
            <v>119448.54</v>
          </cell>
        </row>
        <row r="302">
          <cell r="B302">
            <v>42119</v>
          </cell>
          <cell r="G302">
            <v>589719.13</v>
          </cell>
        </row>
        <row r="303">
          <cell r="B303">
            <v>421114</v>
          </cell>
          <cell r="G303">
            <v>27858.87</v>
          </cell>
        </row>
        <row r="304">
          <cell r="B304">
            <v>4212</v>
          </cell>
          <cell r="G304">
            <v>2396270.25</v>
          </cell>
        </row>
        <row r="305">
          <cell r="B305">
            <v>42121</v>
          </cell>
          <cell r="G305">
            <v>1444830.36</v>
          </cell>
        </row>
        <row r="306">
          <cell r="B306">
            <v>42122</v>
          </cell>
          <cell r="G306">
            <v>519542.83</v>
          </cell>
        </row>
        <row r="307">
          <cell r="B307">
            <v>42124</v>
          </cell>
          <cell r="G307">
            <v>130442.88</v>
          </cell>
        </row>
        <row r="308">
          <cell r="B308">
            <v>42125</v>
          </cell>
          <cell r="G308">
            <v>196134.45</v>
          </cell>
        </row>
        <row r="309">
          <cell r="B309">
            <v>42126</v>
          </cell>
          <cell r="G309">
            <v>77523.899999999994</v>
          </cell>
        </row>
        <row r="310">
          <cell r="B310">
            <v>42127</v>
          </cell>
          <cell r="G310">
            <v>27795.83</v>
          </cell>
        </row>
        <row r="311">
          <cell r="B311">
            <v>4213</v>
          </cell>
          <cell r="G311">
            <v>1247787.8799999999</v>
          </cell>
        </row>
        <row r="312">
          <cell r="B312">
            <v>42131</v>
          </cell>
          <cell r="G312">
            <v>443295.12</v>
          </cell>
        </row>
        <row r="313">
          <cell r="B313">
            <v>42132</v>
          </cell>
          <cell r="G313">
            <v>385940.33</v>
          </cell>
        </row>
        <row r="314">
          <cell r="B314">
            <v>42133</v>
          </cell>
          <cell r="G314">
            <v>5513.92</v>
          </cell>
        </row>
        <row r="315">
          <cell r="B315">
            <v>42134</v>
          </cell>
          <cell r="G315">
            <v>66240.960000000006</v>
          </cell>
        </row>
        <row r="316">
          <cell r="B316">
            <v>42135</v>
          </cell>
          <cell r="G316">
            <v>68189.490000000005</v>
          </cell>
        </row>
        <row r="317">
          <cell r="B317">
            <v>42136</v>
          </cell>
          <cell r="G317">
            <v>251228.94</v>
          </cell>
        </row>
        <row r="318">
          <cell r="B318">
            <v>421310</v>
          </cell>
          <cell r="G318">
            <v>2120.39</v>
          </cell>
        </row>
        <row r="319">
          <cell r="B319">
            <v>421311</v>
          </cell>
          <cell r="G319">
            <v>25258.73</v>
          </cell>
        </row>
        <row r="320">
          <cell r="B320">
            <v>422</v>
          </cell>
          <cell r="G320">
            <v>16418.47</v>
          </cell>
        </row>
        <row r="321">
          <cell r="B321">
            <v>4221</v>
          </cell>
          <cell r="G321">
            <v>16418.47</v>
          </cell>
        </row>
        <row r="322">
          <cell r="B322">
            <v>42211</v>
          </cell>
          <cell r="G322">
            <v>16418.47</v>
          </cell>
        </row>
        <row r="323">
          <cell r="B323">
            <v>423</v>
          </cell>
          <cell r="G323">
            <v>2070237.21</v>
          </cell>
        </row>
        <row r="324">
          <cell r="B324">
            <v>4231</v>
          </cell>
          <cell r="G324">
            <v>2070237.21</v>
          </cell>
        </row>
        <row r="325">
          <cell r="B325">
            <v>42312</v>
          </cell>
          <cell r="G325">
            <v>353633.99</v>
          </cell>
        </row>
        <row r="326">
          <cell r="B326">
            <v>42313</v>
          </cell>
          <cell r="G326">
            <v>136565.04</v>
          </cell>
        </row>
        <row r="327">
          <cell r="B327">
            <v>42315</v>
          </cell>
          <cell r="G327">
            <v>115290.48</v>
          </cell>
        </row>
        <row r="328">
          <cell r="B328">
            <v>42316</v>
          </cell>
          <cell r="G328">
            <v>1043</v>
          </cell>
        </row>
        <row r="329">
          <cell r="B329">
            <v>42317</v>
          </cell>
          <cell r="G329">
            <v>123302.49</v>
          </cell>
        </row>
        <row r="330">
          <cell r="B330">
            <v>42318</v>
          </cell>
          <cell r="G330">
            <v>60307.32</v>
          </cell>
        </row>
        <row r="331">
          <cell r="B331">
            <v>423113</v>
          </cell>
          <cell r="G331">
            <v>43278.41</v>
          </cell>
        </row>
        <row r="332">
          <cell r="B332">
            <v>423114</v>
          </cell>
          <cell r="G332">
            <v>998930.75</v>
          </cell>
        </row>
        <row r="333">
          <cell r="B333">
            <v>423115</v>
          </cell>
          <cell r="G333">
            <v>14400</v>
          </cell>
        </row>
        <row r="334">
          <cell r="B334">
            <v>423117</v>
          </cell>
          <cell r="G334">
            <v>135288.34</v>
          </cell>
        </row>
        <row r="335">
          <cell r="B335">
            <v>423118</v>
          </cell>
          <cell r="G335">
            <v>84015.15</v>
          </cell>
        </row>
        <row r="336">
          <cell r="B336">
            <v>423119</v>
          </cell>
          <cell r="G336">
            <v>4182.24</v>
          </cell>
        </row>
        <row r="337">
          <cell r="B337">
            <v>424</v>
          </cell>
          <cell r="G337">
            <v>340239.81</v>
          </cell>
        </row>
        <row r="338">
          <cell r="B338">
            <v>4241</v>
          </cell>
          <cell r="G338">
            <v>340239.81</v>
          </cell>
        </row>
        <row r="339">
          <cell r="B339">
            <v>42412</v>
          </cell>
          <cell r="G339">
            <v>35146.58</v>
          </cell>
        </row>
        <row r="340">
          <cell r="B340">
            <v>42415</v>
          </cell>
          <cell r="G340">
            <v>53774.06</v>
          </cell>
        </row>
        <row r="341">
          <cell r="B341">
            <v>42416</v>
          </cell>
          <cell r="G341">
            <v>250562.01</v>
          </cell>
        </row>
        <row r="342">
          <cell r="B342">
            <v>424112</v>
          </cell>
          <cell r="G342">
            <v>757.16</v>
          </cell>
        </row>
        <row r="343">
          <cell r="B343">
            <v>426</v>
          </cell>
          <cell r="G343">
            <v>2805215.43</v>
          </cell>
        </row>
        <row r="344">
          <cell r="B344">
            <v>4261</v>
          </cell>
          <cell r="G344">
            <v>1633802.99</v>
          </cell>
        </row>
        <row r="345">
          <cell r="B345">
            <v>42613</v>
          </cell>
          <cell r="G345">
            <v>17868.900000000001</v>
          </cell>
        </row>
        <row r="346">
          <cell r="B346">
            <v>42614</v>
          </cell>
          <cell r="G346">
            <v>61658.54</v>
          </cell>
        </row>
        <row r="347">
          <cell r="B347">
            <v>42616</v>
          </cell>
          <cell r="G347">
            <v>1814.68</v>
          </cell>
        </row>
        <row r="348">
          <cell r="B348">
            <v>42617</v>
          </cell>
          <cell r="G348">
            <v>1023.51</v>
          </cell>
        </row>
        <row r="349">
          <cell r="B349">
            <v>426111</v>
          </cell>
          <cell r="G349">
            <v>601316.32999999996</v>
          </cell>
        </row>
        <row r="350">
          <cell r="B350">
            <v>426112</v>
          </cell>
          <cell r="G350">
            <v>7771.09</v>
          </cell>
        </row>
        <row r="351">
          <cell r="B351">
            <v>426114</v>
          </cell>
          <cell r="G351">
            <v>59451.34</v>
          </cell>
        </row>
        <row r="352">
          <cell r="B352">
            <v>426116</v>
          </cell>
          <cell r="G352">
            <v>106534.46</v>
          </cell>
        </row>
        <row r="353">
          <cell r="B353">
            <v>426117</v>
          </cell>
          <cell r="G353">
            <v>37541.99</v>
          </cell>
        </row>
        <row r="354">
          <cell r="B354">
            <v>426118</v>
          </cell>
          <cell r="G354">
            <v>738822.15</v>
          </cell>
        </row>
        <row r="355">
          <cell r="B355">
            <v>4262</v>
          </cell>
          <cell r="G355">
            <v>1171412.44</v>
          </cell>
        </row>
        <row r="356">
          <cell r="B356">
            <v>42621</v>
          </cell>
          <cell r="G356">
            <v>60917.46</v>
          </cell>
        </row>
        <row r="357">
          <cell r="B357">
            <v>42622</v>
          </cell>
          <cell r="G357">
            <v>111893.46</v>
          </cell>
        </row>
        <row r="358">
          <cell r="B358">
            <v>42624</v>
          </cell>
          <cell r="G358">
            <v>100239.03999999999</v>
          </cell>
        </row>
        <row r="359">
          <cell r="B359">
            <v>42626</v>
          </cell>
          <cell r="G359">
            <v>34952</v>
          </cell>
        </row>
        <row r="360">
          <cell r="B360">
            <v>42627</v>
          </cell>
          <cell r="G360">
            <v>644824.27</v>
          </cell>
        </row>
        <row r="361">
          <cell r="B361">
            <v>42629</v>
          </cell>
          <cell r="G361">
            <v>1000</v>
          </cell>
        </row>
        <row r="362">
          <cell r="B362">
            <v>426213</v>
          </cell>
          <cell r="G362">
            <v>56490</v>
          </cell>
        </row>
        <row r="363">
          <cell r="B363">
            <v>426214</v>
          </cell>
          <cell r="G363">
            <v>36187.74</v>
          </cell>
        </row>
        <row r="364">
          <cell r="B364">
            <v>426215</v>
          </cell>
          <cell r="G364">
            <v>13561.64</v>
          </cell>
        </row>
        <row r="365">
          <cell r="B365">
            <v>426220</v>
          </cell>
          <cell r="G365">
            <v>111346.83</v>
          </cell>
        </row>
        <row r="366">
          <cell r="B366">
            <v>427</v>
          </cell>
          <cell r="G366">
            <v>326764.31</v>
          </cell>
        </row>
        <row r="367">
          <cell r="B367">
            <v>42701</v>
          </cell>
          <cell r="G367">
            <v>326764.31</v>
          </cell>
        </row>
        <row r="368">
          <cell r="B368">
            <v>42720</v>
          </cell>
          <cell r="G368">
            <v>146222.56</v>
          </cell>
        </row>
        <row r="369">
          <cell r="B369">
            <v>427122</v>
          </cell>
          <cell r="G369">
            <v>180541.75</v>
          </cell>
        </row>
        <row r="370">
          <cell r="B370">
            <v>429</v>
          </cell>
          <cell r="G370">
            <v>0</v>
          </cell>
        </row>
        <row r="371">
          <cell r="B371">
            <v>4299</v>
          </cell>
          <cell r="G371">
            <v>0</v>
          </cell>
        </row>
        <row r="372">
          <cell r="B372">
            <v>42994</v>
          </cell>
          <cell r="G372">
            <v>0</v>
          </cell>
        </row>
        <row r="373">
          <cell r="B373">
            <v>5</v>
          </cell>
          <cell r="G373">
            <v>-134205.29999999999</v>
          </cell>
        </row>
        <row r="374">
          <cell r="B374">
            <v>51</v>
          </cell>
          <cell r="G374">
            <v>-134205.29999999999</v>
          </cell>
        </row>
        <row r="375">
          <cell r="B375">
            <v>511</v>
          </cell>
          <cell r="G375">
            <v>10055292.970000001</v>
          </cell>
        </row>
        <row r="376">
          <cell r="B376">
            <v>5111</v>
          </cell>
          <cell r="G376">
            <v>6094618.3300000001</v>
          </cell>
        </row>
        <row r="377">
          <cell r="B377">
            <v>5112</v>
          </cell>
          <cell r="G377">
            <v>3960674.64</v>
          </cell>
        </row>
        <row r="378">
          <cell r="B378">
            <v>512</v>
          </cell>
          <cell r="G378">
            <v>-10189498.27</v>
          </cell>
        </row>
        <row r="379">
          <cell r="B379">
            <v>5123</v>
          </cell>
          <cell r="G379">
            <v>-10189498.27</v>
          </cell>
        </row>
      </sheetData>
      <sheetData sheetId="15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82706096.079999998</v>
          </cell>
        </row>
        <row r="9">
          <cell r="B9">
            <v>11</v>
          </cell>
          <cell r="H9">
            <v>54071108.609999999</v>
          </cell>
        </row>
        <row r="10">
          <cell r="B10">
            <v>111</v>
          </cell>
          <cell r="H10">
            <v>44516806.909999996</v>
          </cell>
        </row>
        <row r="11">
          <cell r="B11">
            <v>1112</v>
          </cell>
          <cell r="H11">
            <v>44516806.909999996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7061430.6900000004</v>
          </cell>
        </row>
        <row r="14">
          <cell r="B14" t="str">
            <v>BBR</v>
          </cell>
          <cell r="H14">
            <v>37455376.219999999</v>
          </cell>
        </row>
        <row r="15">
          <cell r="B15">
            <v>112</v>
          </cell>
          <cell r="H15">
            <v>1743830.14</v>
          </cell>
        </row>
        <row r="16">
          <cell r="B16">
            <v>1123</v>
          </cell>
          <cell r="H16">
            <v>1109966.21</v>
          </cell>
        </row>
        <row r="17">
          <cell r="B17">
            <v>112310</v>
          </cell>
          <cell r="H17">
            <v>598.16</v>
          </cell>
        </row>
        <row r="18">
          <cell r="B18">
            <v>112316</v>
          </cell>
          <cell r="H18">
            <v>178629.72</v>
          </cell>
        </row>
        <row r="19">
          <cell r="B19">
            <v>112317</v>
          </cell>
          <cell r="H19">
            <v>66625.72</v>
          </cell>
        </row>
        <row r="20">
          <cell r="B20">
            <v>112340</v>
          </cell>
          <cell r="H20">
            <v>645456.96</v>
          </cell>
        </row>
        <row r="21">
          <cell r="B21">
            <v>112341</v>
          </cell>
          <cell r="H21">
            <v>218655.65</v>
          </cell>
        </row>
        <row r="22">
          <cell r="B22">
            <v>1124</v>
          </cell>
          <cell r="H22">
            <v>633731.94999999995</v>
          </cell>
        </row>
        <row r="23">
          <cell r="B23">
            <v>11241</v>
          </cell>
          <cell r="H23">
            <v>633731.94999999995</v>
          </cell>
        </row>
        <row r="24">
          <cell r="B24">
            <v>11242</v>
          </cell>
          <cell r="H24">
            <v>0</v>
          </cell>
        </row>
        <row r="25">
          <cell r="B25">
            <v>112424</v>
          </cell>
          <cell r="H25">
            <v>0</v>
          </cell>
        </row>
        <row r="26">
          <cell r="B26">
            <v>112425</v>
          </cell>
          <cell r="H26">
            <v>0</v>
          </cell>
        </row>
        <row r="27">
          <cell r="B27">
            <v>11299</v>
          </cell>
          <cell r="H27">
            <v>131.97999999999999</v>
          </cell>
        </row>
        <row r="28">
          <cell r="B28">
            <v>112995</v>
          </cell>
          <cell r="H28">
            <v>0</v>
          </cell>
        </row>
        <row r="29">
          <cell r="B29">
            <v>11299999</v>
          </cell>
          <cell r="H29">
            <v>131.97999999999999</v>
          </cell>
        </row>
        <row r="30">
          <cell r="B30">
            <v>113</v>
          </cell>
          <cell r="H30">
            <v>7810471.5599999996</v>
          </cell>
        </row>
        <row r="31">
          <cell r="B31">
            <v>1131</v>
          </cell>
          <cell r="H31">
            <v>7810471.5599999996</v>
          </cell>
        </row>
        <row r="32">
          <cell r="B32">
            <v>11311</v>
          </cell>
          <cell r="H32">
            <v>51835.62</v>
          </cell>
        </row>
        <row r="33">
          <cell r="B33">
            <v>11312</v>
          </cell>
          <cell r="H33">
            <v>3176189.69</v>
          </cell>
        </row>
        <row r="34">
          <cell r="B34">
            <v>11313</v>
          </cell>
          <cell r="H34">
            <v>133795.22</v>
          </cell>
        </row>
        <row r="35">
          <cell r="B35">
            <v>11315</v>
          </cell>
          <cell r="H35">
            <v>0</v>
          </cell>
        </row>
        <row r="36">
          <cell r="B36">
            <v>11316</v>
          </cell>
          <cell r="H36">
            <v>4448651.03</v>
          </cell>
        </row>
        <row r="37">
          <cell r="B37">
            <v>12</v>
          </cell>
          <cell r="H37">
            <v>28634987.469999999</v>
          </cell>
        </row>
        <row r="38">
          <cell r="B38">
            <v>121</v>
          </cell>
          <cell r="H38">
            <v>8282805.1600000001</v>
          </cell>
        </row>
        <row r="39">
          <cell r="B39">
            <v>1213</v>
          </cell>
          <cell r="H39">
            <v>3011177.53</v>
          </cell>
        </row>
        <row r="40">
          <cell r="B40">
            <v>12131</v>
          </cell>
          <cell r="H40">
            <v>27577.84</v>
          </cell>
        </row>
        <row r="41">
          <cell r="B41">
            <v>12134</v>
          </cell>
          <cell r="H41">
            <v>4640.58</v>
          </cell>
        </row>
        <row r="42">
          <cell r="B42">
            <v>12135</v>
          </cell>
          <cell r="H42">
            <v>180372.61</v>
          </cell>
        </row>
        <row r="43">
          <cell r="B43">
            <v>12139</v>
          </cell>
          <cell r="H43">
            <v>1928.93</v>
          </cell>
        </row>
        <row r="44">
          <cell r="B44">
            <v>121311</v>
          </cell>
          <cell r="H44">
            <v>4584.03</v>
          </cell>
        </row>
        <row r="45">
          <cell r="B45">
            <v>121312</v>
          </cell>
          <cell r="H45">
            <v>313.44</v>
          </cell>
        </row>
        <row r="46">
          <cell r="B46">
            <v>121313</v>
          </cell>
          <cell r="H46">
            <v>231103.73</v>
          </cell>
        </row>
        <row r="47">
          <cell r="B47">
            <v>121315</v>
          </cell>
          <cell r="H47">
            <v>142724.78</v>
          </cell>
        </row>
        <row r="48">
          <cell r="B48">
            <v>121316</v>
          </cell>
          <cell r="H48">
            <v>1110789.21</v>
          </cell>
        </row>
        <row r="49">
          <cell r="B49">
            <v>121317</v>
          </cell>
          <cell r="H49">
            <v>2300.8000000000002</v>
          </cell>
        </row>
        <row r="50">
          <cell r="B50">
            <v>121318</v>
          </cell>
          <cell r="H50">
            <v>889604.17</v>
          </cell>
        </row>
        <row r="51">
          <cell r="B51">
            <v>121319</v>
          </cell>
          <cell r="H51">
            <v>415237.41</v>
          </cell>
        </row>
        <row r="52">
          <cell r="B52">
            <v>1217</v>
          </cell>
          <cell r="H52">
            <v>130.6</v>
          </cell>
        </row>
        <row r="53">
          <cell r="B53">
            <v>12171</v>
          </cell>
          <cell r="H53">
            <v>130.6</v>
          </cell>
        </row>
        <row r="54">
          <cell r="B54">
            <v>1218</v>
          </cell>
          <cell r="H54">
            <v>5271497.03</v>
          </cell>
        </row>
        <row r="55">
          <cell r="B55">
            <v>12181</v>
          </cell>
          <cell r="H55">
            <v>4497185.2300000004</v>
          </cell>
        </row>
        <row r="56">
          <cell r="B56">
            <v>12182</v>
          </cell>
          <cell r="H56">
            <v>590437.81999999995</v>
          </cell>
        </row>
        <row r="57">
          <cell r="B57">
            <v>12183</v>
          </cell>
          <cell r="H57">
            <v>183873.98</v>
          </cell>
        </row>
        <row r="58">
          <cell r="B58">
            <v>123</v>
          </cell>
          <cell r="H58">
            <v>5869439.0899999999</v>
          </cell>
        </row>
        <row r="59">
          <cell r="B59">
            <v>1231</v>
          </cell>
          <cell r="H59">
            <v>20947921.289999999</v>
          </cell>
        </row>
        <row r="60">
          <cell r="B60">
            <v>12313</v>
          </cell>
          <cell r="H60">
            <v>2714019.03</v>
          </cell>
        </row>
        <row r="61">
          <cell r="B61">
            <v>12314</v>
          </cell>
          <cell r="H61">
            <v>858582.21</v>
          </cell>
        </row>
        <row r="62">
          <cell r="B62">
            <v>12315</v>
          </cell>
          <cell r="H62">
            <v>14611838.67</v>
          </cell>
        </row>
        <row r="63">
          <cell r="B63">
            <v>12317</v>
          </cell>
          <cell r="H63">
            <v>2763481.38</v>
          </cell>
        </row>
        <row r="64">
          <cell r="B64">
            <v>12398</v>
          </cell>
          <cell r="H64">
            <v>-15078482.199999999</v>
          </cell>
        </row>
        <row r="65">
          <cell r="B65">
            <v>123982</v>
          </cell>
          <cell r="H65">
            <v>-1218290.7</v>
          </cell>
        </row>
        <row r="66">
          <cell r="B66">
            <v>123983</v>
          </cell>
          <cell r="H66">
            <v>-773011.78</v>
          </cell>
        </row>
        <row r="67">
          <cell r="B67">
            <v>123984</v>
          </cell>
          <cell r="H67">
            <v>-10982883.859999999</v>
          </cell>
        </row>
        <row r="68">
          <cell r="B68">
            <v>123986</v>
          </cell>
          <cell r="H68">
            <v>-2104295.86</v>
          </cell>
        </row>
        <row r="69">
          <cell r="B69">
            <v>124</v>
          </cell>
          <cell r="H69">
            <v>1183944.53</v>
          </cell>
        </row>
        <row r="70">
          <cell r="B70">
            <v>1241</v>
          </cell>
          <cell r="H70">
            <v>13586005.869999999</v>
          </cell>
        </row>
        <row r="71">
          <cell r="B71">
            <v>124101</v>
          </cell>
          <cell r="H71">
            <v>13586005.869999999</v>
          </cell>
        </row>
        <row r="72">
          <cell r="B72">
            <v>12498</v>
          </cell>
          <cell r="H72">
            <v>-12402061.34</v>
          </cell>
        </row>
        <row r="73">
          <cell r="B73">
            <v>1242</v>
          </cell>
          <cell r="H73">
            <v>-12402061.34</v>
          </cell>
        </row>
        <row r="74">
          <cell r="B74">
            <v>125</v>
          </cell>
          <cell r="H74">
            <v>13298798.689999999</v>
          </cell>
        </row>
        <row r="75">
          <cell r="B75">
            <v>1251</v>
          </cell>
          <cell r="H75">
            <v>13298798.689999999</v>
          </cell>
        </row>
        <row r="76">
          <cell r="B76">
            <v>12511</v>
          </cell>
          <cell r="H76">
            <v>24551214.710000001</v>
          </cell>
        </row>
        <row r="77">
          <cell r="B77">
            <v>12512</v>
          </cell>
          <cell r="H77">
            <v>-11252416.02</v>
          </cell>
        </row>
        <row r="78">
          <cell r="B78">
            <v>2</v>
          </cell>
          <cell r="H78">
            <v>-82706096.079999998</v>
          </cell>
        </row>
        <row r="79">
          <cell r="B79">
            <v>21</v>
          </cell>
          <cell r="H79">
            <v>-33627711.43</v>
          </cell>
        </row>
        <row r="80">
          <cell r="B80">
            <v>211</v>
          </cell>
          <cell r="H80">
            <v>-33627711.43</v>
          </cell>
        </row>
        <row r="81">
          <cell r="B81">
            <v>2114</v>
          </cell>
          <cell r="H81">
            <v>-196023.64</v>
          </cell>
        </row>
        <row r="82">
          <cell r="B82">
            <v>60444400000000</v>
          </cell>
          <cell r="H82">
            <v>0</v>
          </cell>
        </row>
        <row r="83">
          <cell r="B83">
            <v>57143000000000</v>
          </cell>
          <cell r="H83">
            <v>0</v>
          </cell>
        </row>
        <row r="84">
          <cell r="B84">
            <v>34028300000000</v>
          </cell>
          <cell r="H84">
            <v>0</v>
          </cell>
        </row>
        <row r="85">
          <cell r="B85" t="str">
            <v>33641663/0001-44</v>
          </cell>
          <cell r="H85">
            <v>-987.62</v>
          </cell>
        </row>
        <row r="86">
          <cell r="B86" t="str">
            <v>69034668/0001-56</v>
          </cell>
          <cell r="H86">
            <v>0</v>
          </cell>
        </row>
        <row r="87">
          <cell r="B87" t="str">
            <v>67393181/0001-34</v>
          </cell>
          <cell r="H87">
            <v>0</v>
          </cell>
        </row>
        <row r="88">
          <cell r="B88" t="str">
            <v>61797924/0007-40</v>
          </cell>
          <cell r="H88">
            <v>0</v>
          </cell>
        </row>
        <row r="89">
          <cell r="B89" t="str">
            <v>71208516/0001-74</v>
          </cell>
          <cell r="H89">
            <v>0</v>
          </cell>
        </row>
        <row r="90">
          <cell r="B90">
            <v>33634300000000</v>
          </cell>
          <cell r="H90">
            <v>0</v>
          </cell>
        </row>
        <row r="91">
          <cell r="B91" t="str">
            <v>53113791/0001-22</v>
          </cell>
          <cell r="H91">
            <v>0</v>
          </cell>
        </row>
        <row r="92">
          <cell r="B92">
            <v>32578400000000</v>
          </cell>
          <cell r="H92">
            <v>0</v>
          </cell>
        </row>
        <row r="93">
          <cell r="B93" t="str">
            <v>08794730/0001-13</v>
          </cell>
          <cell r="H93">
            <v>0</v>
          </cell>
        </row>
        <row r="94">
          <cell r="B94" t="str">
            <v>86781069/0001-15</v>
          </cell>
          <cell r="H94">
            <v>0</v>
          </cell>
        </row>
        <row r="95">
          <cell r="B95" t="str">
            <v>05344234/0001-70</v>
          </cell>
          <cell r="H95">
            <v>0</v>
          </cell>
        </row>
        <row r="96">
          <cell r="B96">
            <v>3017430000000</v>
          </cell>
          <cell r="H96">
            <v>0</v>
          </cell>
        </row>
        <row r="97">
          <cell r="B97">
            <v>3535900000000</v>
          </cell>
          <cell r="H97">
            <v>-86150</v>
          </cell>
        </row>
        <row r="98">
          <cell r="B98">
            <v>2247350000000</v>
          </cell>
          <cell r="H98">
            <v>0</v>
          </cell>
        </row>
        <row r="99">
          <cell r="B99">
            <v>8896750000000</v>
          </cell>
          <cell r="H99">
            <v>0</v>
          </cell>
        </row>
        <row r="100">
          <cell r="B100">
            <v>23458500000000</v>
          </cell>
          <cell r="H100">
            <v>0</v>
          </cell>
        </row>
        <row r="101">
          <cell r="B101">
            <v>14031100000000</v>
          </cell>
          <cell r="H101">
            <v>0</v>
          </cell>
        </row>
        <row r="102">
          <cell r="B102">
            <v>62070100000000</v>
          </cell>
          <cell r="H102">
            <v>0</v>
          </cell>
        </row>
        <row r="103">
          <cell r="B103">
            <v>1082330000000</v>
          </cell>
          <cell r="H103">
            <v>0</v>
          </cell>
        </row>
        <row r="104">
          <cell r="B104">
            <v>11522000000000</v>
          </cell>
          <cell r="H104">
            <v>0</v>
          </cell>
        </row>
        <row r="105">
          <cell r="B105">
            <v>15610500000000</v>
          </cell>
          <cell r="H105">
            <v>0</v>
          </cell>
        </row>
        <row r="106">
          <cell r="B106">
            <v>2081860000000</v>
          </cell>
          <cell r="H106">
            <v>0</v>
          </cell>
        </row>
        <row r="107">
          <cell r="B107">
            <v>7718940000000</v>
          </cell>
          <cell r="H107">
            <v>0</v>
          </cell>
        </row>
        <row r="108">
          <cell r="B108">
            <v>9079570000000</v>
          </cell>
          <cell r="H108">
            <v>0</v>
          </cell>
        </row>
        <row r="109">
          <cell r="B109">
            <v>19088600000000</v>
          </cell>
          <cell r="H109">
            <v>0</v>
          </cell>
        </row>
        <row r="110">
          <cell r="B110">
            <v>34036200000000</v>
          </cell>
          <cell r="H110">
            <v>-18933.43</v>
          </cell>
        </row>
        <row r="111">
          <cell r="B111">
            <v>36813600000000</v>
          </cell>
          <cell r="H111">
            <v>0</v>
          </cell>
        </row>
        <row r="112">
          <cell r="B112">
            <v>191477000000</v>
          </cell>
          <cell r="H112">
            <v>-33777</v>
          </cell>
        </row>
        <row r="113">
          <cell r="B113">
            <v>34977900000000</v>
          </cell>
          <cell r="H113">
            <v>0</v>
          </cell>
        </row>
        <row r="114">
          <cell r="B114">
            <v>8789660000000</v>
          </cell>
          <cell r="H114">
            <v>0</v>
          </cell>
        </row>
        <row r="115">
          <cell r="B115">
            <v>25131900000000</v>
          </cell>
          <cell r="H115">
            <v>0</v>
          </cell>
        </row>
        <row r="116">
          <cell r="B116">
            <v>33198300000000</v>
          </cell>
          <cell r="H116">
            <v>0</v>
          </cell>
        </row>
        <row r="117">
          <cell r="B117">
            <v>28712100000000</v>
          </cell>
          <cell r="H117">
            <v>0</v>
          </cell>
        </row>
        <row r="118">
          <cell r="B118">
            <v>12499500000000</v>
          </cell>
          <cell r="H118">
            <v>0</v>
          </cell>
        </row>
        <row r="119">
          <cell r="B119">
            <v>7843950000000</v>
          </cell>
          <cell r="H119">
            <v>0</v>
          </cell>
        </row>
        <row r="120">
          <cell r="B120">
            <v>72061000000000</v>
          </cell>
          <cell r="H120">
            <v>0</v>
          </cell>
        </row>
        <row r="121">
          <cell r="B121">
            <v>38056400000000</v>
          </cell>
          <cell r="H121">
            <v>0</v>
          </cell>
        </row>
        <row r="122">
          <cell r="B122">
            <v>43213800000000</v>
          </cell>
          <cell r="H122">
            <v>0</v>
          </cell>
        </row>
        <row r="123">
          <cell r="B123" t="str">
            <v>01707536/000104</v>
          </cell>
          <cell r="H123">
            <v>0</v>
          </cell>
        </row>
        <row r="124">
          <cell r="B124">
            <v>32681700000000</v>
          </cell>
          <cell r="H124">
            <v>0</v>
          </cell>
        </row>
        <row r="125">
          <cell r="B125">
            <v>8401150000000</v>
          </cell>
          <cell r="H125">
            <v>0</v>
          </cell>
        </row>
        <row r="126">
          <cell r="B126">
            <v>27553300000000</v>
          </cell>
          <cell r="H126">
            <v>0</v>
          </cell>
        </row>
        <row r="127">
          <cell r="B127">
            <v>13016900000000</v>
          </cell>
          <cell r="H127">
            <v>0</v>
          </cell>
        </row>
        <row r="128">
          <cell r="B128">
            <v>5630090000000</v>
          </cell>
          <cell r="H128">
            <v>0</v>
          </cell>
        </row>
        <row r="129">
          <cell r="B129">
            <v>2114998</v>
          </cell>
          <cell r="H129">
            <v>0</v>
          </cell>
        </row>
        <row r="130">
          <cell r="B130">
            <v>8210270000000</v>
          </cell>
          <cell r="H130">
            <v>0</v>
          </cell>
        </row>
        <row r="131">
          <cell r="B131">
            <v>19485900000000</v>
          </cell>
          <cell r="H131">
            <v>0</v>
          </cell>
        </row>
        <row r="132">
          <cell r="B132">
            <v>37381900000000</v>
          </cell>
          <cell r="H132">
            <v>-4070.62</v>
          </cell>
        </row>
        <row r="133">
          <cell r="B133">
            <v>12782100000000</v>
          </cell>
          <cell r="H133">
            <v>0</v>
          </cell>
        </row>
        <row r="134">
          <cell r="B134">
            <v>42112700000000</v>
          </cell>
          <cell r="H134">
            <v>0</v>
          </cell>
        </row>
        <row r="135">
          <cell r="B135">
            <v>24185200000000</v>
          </cell>
          <cell r="H135">
            <v>0</v>
          </cell>
        </row>
        <row r="136">
          <cell r="B136">
            <v>5824180000000</v>
          </cell>
          <cell r="H136">
            <v>0</v>
          </cell>
        </row>
        <row r="137">
          <cell r="B137">
            <v>69112500000000</v>
          </cell>
          <cell r="H137">
            <v>0</v>
          </cell>
        </row>
        <row r="138">
          <cell r="B138">
            <v>16647700000000</v>
          </cell>
          <cell r="H138">
            <v>0</v>
          </cell>
        </row>
        <row r="139">
          <cell r="B139">
            <v>5342580000000</v>
          </cell>
          <cell r="H139">
            <v>0</v>
          </cell>
        </row>
        <row r="140">
          <cell r="B140">
            <v>4067190000000</v>
          </cell>
          <cell r="H140">
            <v>0</v>
          </cell>
        </row>
        <row r="141">
          <cell r="B141">
            <v>4842770000000</v>
          </cell>
          <cell r="H141">
            <v>0</v>
          </cell>
        </row>
        <row r="142">
          <cell r="B142">
            <v>32493600000000</v>
          </cell>
          <cell r="H142">
            <v>0</v>
          </cell>
        </row>
        <row r="143">
          <cell r="B143">
            <v>8808150000000</v>
          </cell>
          <cell r="H143">
            <v>0</v>
          </cell>
        </row>
        <row r="144">
          <cell r="B144">
            <v>26391300000000</v>
          </cell>
          <cell r="H144">
            <v>0</v>
          </cell>
        </row>
        <row r="145">
          <cell r="B145">
            <v>32908200000000</v>
          </cell>
          <cell r="H145">
            <v>0</v>
          </cell>
        </row>
        <row r="146">
          <cell r="B146">
            <v>28000129</v>
          </cell>
          <cell r="H146">
            <v>0</v>
          </cell>
        </row>
        <row r="147">
          <cell r="B147">
            <v>34466800000000</v>
          </cell>
          <cell r="H147">
            <v>0</v>
          </cell>
        </row>
        <row r="148">
          <cell r="B148">
            <v>29419200000000</v>
          </cell>
          <cell r="H148">
            <v>0</v>
          </cell>
        </row>
        <row r="149">
          <cell r="B149">
            <v>61825700000000</v>
          </cell>
          <cell r="H149">
            <v>-1242.28</v>
          </cell>
        </row>
        <row r="150">
          <cell r="B150">
            <v>17178200000000</v>
          </cell>
          <cell r="H150">
            <v>0</v>
          </cell>
        </row>
        <row r="151">
          <cell r="B151">
            <v>49422000000000</v>
          </cell>
          <cell r="H151">
            <v>0</v>
          </cell>
        </row>
        <row r="152">
          <cell r="B152">
            <v>42422300000000</v>
          </cell>
          <cell r="H152">
            <v>-38469.870000000003</v>
          </cell>
        </row>
        <row r="153">
          <cell r="B153">
            <v>48707800000000</v>
          </cell>
          <cell r="H153">
            <v>0</v>
          </cell>
        </row>
        <row r="154">
          <cell r="B154">
            <v>7708130000000</v>
          </cell>
          <cell r="H154">
            <v>0</v>
          </cell>
        </row>
        <row r="155">
          <cell r="B155">
            <v>33683100000000</v>
          </cell>
          <cell r="H155">
            <v>0</v>
          </cell>
        </row>
        <row r="156">
          <cell r="B156" t="str">
            <v>50974018/0001-62</v>
          </cell>
          <cell r="H156">
            <v>0</v>
          </cell>
        </row>
        <row r="157">
          <cell r="B157">
            <v>57929000000000</v>
          </cell>
          <cell r="H157">
            <v>0</v>
          </cell>
        </row>
        <row r="158">
          <cell r="B158">
            <v>9305980000000</v>
          </cell>
          <cell r="H158">
            <v>0</v>
          </cell>
        </row>
        <row r="159">
          <cell r="B159">
            <v>33372300000000</v>
          </cell>
          <cell r="H159">
            <v>0</v>
          </cell>
        </row>
        <row r="160">
          <cell r="B160">
            <v>52551700000000</v>
          </cell>
          <cell r="H160">
            <v>0</v>
          </cell>
        </row>
        <row r="161">
          <cell r="B161">
            <v>58567900000000</v>
          </cell>
          <cell r="H161">
            <v>-5169.26</v>
          </cell>
        </row>
        <row r="162">
          <cell r="B162">
            <v>2298310000000</v>
          </cell>
          <cell r="H162">
            <v>0</v>
          </cell>
        </row>
        <row r="163">
          <cell r="B163">
            <v>641556000000</v>
          </cell>
          <cell r="H163">
            <v>0</v>
          </cell>
        </row>
        <row r="164">
          <cell r="B164">
            <v>60975100000000</v>
          </cell>
          <cell r="H164">
            <v>0</v>
          </cell>
        </row>
        <row r="165">
          <cell r="B165">
            <v>42092300000000</v>
          </cell>
          <cell r="H165">
            <v>0</v>
          </cell>
        </row>
        <row r="166">
          <cell r="B166">
            <v>4615450000000</v>
          </cell>
          <cell r="H166">
            <v>0</v>
          </cell>
        </row>
        <row r="167">
          <cell r="B167">
            <v>53813100000000</v>
          </cell>
          <cell r="H167">
            <v>0</v>
          </cell>
        </row>
        <row r="168">
          <cell r="B168">
            <v>26722200000000</v>
          </cell>
          <cell r="H168">
            <v>0</v>
          </cell>
        </row>
        <row r="169">
          <cell r="B169">
            <v>42270100000000</v>
          </cell>
          <cell r="H169">
            <v>0</v>
          </cell>
        </row>
        <row r="170">
          <cell r="B170">
            <v>15664800000000</v>
          </cell>
          <cell r="H170">
            <v>0</v>
          </cell>
        </row>
        <row r="171">
          <cell r="B171">
            <v>26082500000000</v>
          </cell>
          <cell r="H171">
            <v>0</v>
          </cell>
        </row>
        <row r="172">
          <cell r="B172">
            <v>13242900000000</v>
          </cell>
          <cell r="H172">
            <v>0</v>
          </cell>
        </row>
        <row r="173">
          <cell r="B173">
            <v>12215200000000</v>
          </cell>
          <cell r="H173">
            <v>0</v>
          </cell>
        </row>
        <row r="174">
          <cell r="B174">
            <v>2092330000000</v>
          </cell>
          <cell r="H174">
            <v>0</v>
          </cell>
        </row>
        <row r="175">
          <cell r="B175">
            <v>45878300000000</v>
          </cell>
          <cell r="H175">
            <v>0</v>
          </cell>
        </row>
        <row r="176">
          <cell r="B176">
            <v>42124500000000</v>
          </cell>
          <cell r="H176">
            <v>0</v>
          </cell>
        </row>
        <row r="177">
          <cell r="B177">
            <v>19759600000000</v>
          </cell>
          <cell r="H177">
            <v>0</v>
          </cell>
        </row>
        <row r="178">
          <cell r="B178">
            <v>12623000000000</v>
          </cell>
          <cell r="H178">
            <v>0</v>
          </cell>
        </row>
        <row r="179">
          <cell r="B179">
            <v>29018300000000</v>
          </cell>
          <cell r="H179">
            <v>0</v>
          </cell>
        </row>
        <row r="180">
          <cell r="B180">
            <v>57115300000000</v>
          </cell>
          <cell r="H180">
            <v>-7223.56</v>
          </cell>
        </row>
        <row r="181">
          <cell r="B181">
            <v>2116</v>
          </cell>
          <cell r="H181">
            <v>-2324.48</v>
          </cell>
        </row>
        <row r="182">
          <cell r="B182">
            <v>21162</v>
          </cell>
          <cell r="H182">
            <v>-324.93</v>
          </cell>
        </row>
        <row r="183">
          <cell r="B183">
            <v>21163</v>
          </cell>
          <cell r="H183">
            <v>-1999.55</v>
          </cell>
        </row>
        <row r="184">
          <cell r="B184">
            <v>2117</v>
          </cell>
          <cell r="H184">
            <v>-5286840.07</v>
          </cell>
        </row>
        <row r="185">
          <cell r="B185">
            <v>561</v>
          </cell>
          <cell r="H185">
            <v>-4654579.18</v>
          </cell>
        </row>
        <row r="186">
          <cell r="B186" t="str">
            <v>INSS</v>
          </cell>
          <cell r="H186">
            <v>-30142.53</v>
          </cell>
        </row>
        <row r="187">
          <cell r="B187">
            <v>6147</v>
          </cell>
          <cell r="H187">
            <v>-6810.62</v>
          </cell>
        </row>
        <row r="188">
          <cell r="B188">
            <v>6190</v>
          </cell>
          <cell r="H188">
            <v>-593170.11</v>
          </cell>
        </row>
        <row r="189">
          <cell r="B189">
            <v>6175</v>
          </cell>
          <cell r="H189">
            <v>-2137.63</v>
          </cell>
        </row>
        <row r="190">
          <cell r="B190">
            <v>2118</v>
          </cell>
          <cell r="H190">
            <v>-25016330.170000002</v>
          </cell>
        </row>
        <row r="191">
          <cell r="B191">
            <v>21181</v>
          </cell>
          <cell r="H191">
            <v>-6920314.8300000001</v>
          </cell>
        </row>
        <row r="192">
          <cell r="B192">
            <v>21182</v>
          </cell>
          <cell r="H192">
            <v>0</v>
          </cell>
        </row>
        <row r="193">
          <cell r="B193">
            <v>21183</v>
          </cell>
          <cell r="H193">
            <v>-11188044.08</v>
          </cell>
        </row>
        <row r="194">
          <cell r="B194">
            <v>21184</v>
          </cell>
          <cell r="H194">
            <v>-2681211.7799999998</v>
          </cell>
        </row>
        <row r="195">
          <cell r="B195">
            <v>21185</v>
          </cell>
          <cell r="H195">
            <v>-821757.75</v>
          </cell>
        </row>
        <row r="196">
          <cell r="B196">
            <v>21186</v>
          </cell>
          <cell r="H196">
            <v>0</v>
          </cell>
        </row>
        <row r="197">
          <cell r="B197">
            <v>21187</v>
          </cell>
          <cell r="H197">
            <v>0</v>
          </cell>
        </row>
        <row r="198">
          <cell r="B198">
            <v>21189</v>
          </cell>
          <cell r="H198">
            <v>0</v>
          </cell>
        </row>
        <row r="199">
          <cell r="B199">
            <v>211810</v>
          </cell>
          <cell r="H199">
            <v>0</v>
          </cell>
        </row>
        <row r="200">
          <cell r="B200">
            <v>211811</v>
          </cell>
          <cell r="H200">
            <v>0</v>
          </cell>
        </row>
        <row r="201">
          <cell r="B201">
            <v>211812</v>
          </cell>
          <cell r="H201">
            <v>-2509885.46</v>
          </cell>
        </row>
        <row r="202">
          <cell r="B202">
            <v>211813</v>
          </cell>
          <cell r="H202">
            <v>-895116.27</v>
          </cell>
        </row>
        <row r="203">
          <cell r="B203">
            <v>211814</v>
          </cell>
          <cell r="H203">
            <v>0</v>
          </cell>
        </row>
        <row r="204">
          <cell r="B204">
            <v>211815</v>
          </cell>
          <cell r="H204">
            <v>0</v>
          </cell>
        </row>
        <row r="205">
          <cell r="B205">
            <v>211816</v>
          </cell>
          <cell r="H205">
            <v>0</v>
          </cell>
        </row>
        <row r="206">
          <cell r="B206">
            <v>21114</v>
          </cell>
          <cell r="H206">
            <v>-67194.98</v>
          </cell>
        </row>
        <row r="207">
          <cell r="B207">
            <v>211145</v>
          </cell>
          <cell r="H207">
            <v>-32702.46</v>
          </cell>
        </row>
        <row r="208">
          <cell r="B208">
            <v>211148</v>
          </cell>
          <cell r="H208">
            <v>-34492.519999999997</v>
          </cell>
        </row>
        <row r="209">
          <cell r="B209">
            <v>21115</v>
          </cell>
          <cell r="H209">
            <v>0</v>
          </cell>
        </row>
        <row r="210">
          <cell r="B210">
            <v>211151</v>
          </cell>
          <cell r="H210">
            <v>0</v>
          </cell>
        </row>
        <row r="211">
          <cell r="B211">
            <v>21116</v>
          </cell>
          <cell r="H211">
            <v>-3058998.09</v>
          </cell>
        </row>
        <row r="212">
          <cell r="B212">
            <v>211161</v>
          </cell>
          <cell r="H212">
            <v>-3725426.64</v>
          </cell>
        </row>
        <row r="213">
          <cell r="B213">
            <v>211162</v>
          </cell>
          <cell r="H213">
            <v>666428.55000000005</v>
          </cell>
        </row>
        <row r="214">
          <cell r="B214">
            <v>22</v>
          </cell>
          <cell r="H214">
            <v>-24409733.289999999</v>
          </cell>
        </row>
        <row r="215">
          <cell r="B215">
            <v>221</v>
          </cell>
          <cell r="H215">
            <v>-24409733.289999999</v>
          </cell>
        </row>
        <row r="216">
          <cell r="B216">
            <v>2215</v>
          </cell>
          <cell r="H216">
            <v>-12447634.85</v>
          </cell>
        </row>
        <row r="217">
          <cell r="B217">
            <v>22151</v>
          </cell>
          <cell r="H217">
            <v>-4497554.43</v>
          </cell>
        </row>
        <row r="218">
          <cell r="B218">
            <v>22153</v>
          </cell>
          <cell r="H218">
            <v>-7950080.4199999999</v>
          </cell>
        </row>
        <row r="219">
          <cell r="B219">
            <v>2218</v>
          </cell>
          <cell r="H219">
            <v>-11962098.439999999</v>
          </cell>
        </row>
        <row r="220">
          <cell r="B220">
            <v>22181</v>
          </cell>
          <cell r="H220">
            <v>-13038993.24</v>
          </cell>
        </row>
        <row r="221">
          <cell r="B221">
            <v>22182</v>
          </cell>
          <cell r="H221">
            <v>1076894.8</v>
          </cell>
        </row>
        <row r="222">
          <cell r="B222" t="str">
            <v>PL</v>
          </cell>
          <cell r="H222">
            <v>-24668651.359999999</v>
          </cell>
        </row>
        <row r="223">
          <cell r="B223">
            <v>241</v>
          </cell>
          <cell r="H223">
            <v>-34443159.609999999</v>
          </cell>
        </row>
        <row r="224">
          <cell r="B224">
            <v>2411</v>
          </cell>
          <cell r="H224">
            <v>-34443159.609999999</v>
          </cell>
        </row>
        <row r="225">
          <cell r="B225">
            <v>24111</v>
          </cell>
          <cell r="H225">
            <v>-34443159.609999999</v>
          </cell>
        </row>
        <row r="226">
          <cell r="B226">
            <v>243</v>
          </cell>
          <cell r="H226">
            <v>63.28</v>
          </cell>
        </row>
        <row r="227">
          <cell r="B227">
            <v>2431</v>
          </cell>
          <cell r="H227">
            <v>63.28</v>
          </cell>
        </row>
        <row r="228">
          <cell r="B228">
            <v>24311</v>
          </cell>
          <cell r="H228">
            <v>63.28</v>
          </cell>
        </row>
        <row r="229">
          <cell r="B229">
            <v>246</v>
          </cell>
          <cell r="H229">
            <v>11485019.369999999</v>
          </cell>
        </row>
        <row r="230">
          <cell r="B230">
            <v>2462</v>
          </cell>
          <cell r="H230">
            <v>2833698.9</v>
          </cell>
        </row>
        <row r="231">
          <cell r="B231">
            <v>24622</v>
          </cell>
          <cell r="H231">
            <v>2833698.9</v>
          </cell>
        </row>
        <row r="232">
          <cell r="B232">
            <v>24699</v>
          </cell>
          <cell r="H232">
            <v>8651320.4700000007</v>
          </cell>
        </row>
        <row r="233">
          <cell r="B233">
            <v>246991</v>
          </cell>
          <cell r="H233">
            <v>8651320.4700000007</v>
          </cell>
        </row>
        <row r="234">
          <cell r="B234">
            <v>247</v>
          </cell>
          <cell r="H234">
            <v>-1710574.4</v>
          </cell>
        </row>
        <row r="235">
          <cell r="B235">
            <v>2471</v>
          </cell>
          <cell r="H235">
            <v>-1710574.4</v>
          </cell>
        </row>
        <row r="236">
          <cell r="B236">
            <v>24711</v>
          </cell>
          <cell r="H236">
            <v>-1710574.4</v>
          </cell>
        </row>
        <row r="237">
          <cell r="B237">
            <v>3</v>
          </cell>
          <cell r="H237">
            <v>-178274328.27000001</v>
          </cell>
        </row>
        <row r="238">
          <cell r="B238">
            <v>31</v>
          </cell>
          <cell r="H238">
            <v>-176455040.91</v>
          </cell>
        </row>
        <row r="239">
          <cell r="B239">
            <v>311</v>
          </cell>
          <cell r="H239">
            <v>-176455040.91</v>
          </cell>
        </row>
        <row r="240">
          <cell r="B240">
            <v>3111</v>
          </cell>
          <cell r="H240">
            <v>-176455040.91</v>
          </cell>
        </row>
        <row r="241">
          <cell r="B241">
            <v>31111</v>
          </cell>
          <cell r="H241">
            <v>-176455040.91</v>
          </cell>
        </row>
        <row r="242">
          <cell r="B242">
            <v>33</v>
          </cell>
          <cell r="H242">
            <v>-1819287.36</v>
          </cell>
        </row>
        <row r="243">
          <cell r="B243">
            <v>331</v>
          </cell>
          <cell r="H243">
            <v>-626591.07999999996</v>
          </cell>
        </row>
        <row r="244">
          <cell r="B244">
            <v>3311</v>
          </cell>
          <cell r="H244">
            <v>-626591.07999999996</v>
          </cell>
        </row>
        <row r="245">
          <cell r="B245">
            <v>33115</v>
          </cell>
          <cell r="H245">
            <v>-261669.32</v>
          </cell>
        </row>
        <row r="246">
          <cell r="B246">
            <v>33116</v>
          </cell>
          <cell r="H246">
            <v>-364921.76</v>
          </cell>
        </row>
        <row r="247">
          <cell r="B247">
            <v>336</v>
          </cell>
          <cell r="H247">
            <v>-1031696.28</v>
          </cell>
        </row>
        <row r="248">
          <cell r="B248">
            <v>3361</v>
          </cell>
          <cell r="H248">
            <v>-1031696.28</v>
          </cell>
        </row>
        <row r="249">
          <cell r="B249">
            <v>33611</v>
          </cell>
          <cell r="H249">
            <v>-1031696.28</v>
          </cell>
        </row>
        <row r="250">
          <cell r="B250">
            <v>339</v>
          </cell>
          <cell r="H250">
            <v>-161000</v>
          </cell>
        </row>
        <row r="251">
          <cell r="B251">
            <v>33910</v>
          </cell>
          <cell r="H251">
            <v>-161000</v>
          </cell>
        </row>
        <row r="252">
          <cell r="B252">
            <v>339101</v>
          </cell>
          <cell r="H252">
            <v>-161000</v>
          </cell>
        </row>
        <row r="253">
          <cell r="B253">
            <v>4</v>
          </cell>
          <cell r="H253">
            <v>186925648.74000001</v>
          </cell>
        </row>
        <row r="254">
          <cell r="B254">
            <v>41</v>
          </cell>
          <cell r="H254">
            <v>114963483.26000001</v>
          </cell>
        </row>
        <row r="255">
          <cell r="B255">
            <v>411</v>
          </cell>
          <cell r="H255">
            <v>100168916.33</v>
          </cell>
        </row>
        <row r="256">
          <cell r="B256">
            <v>4111</v>
          </cell>
          <cell r="H256">
            <v>67990323.340000004</v>
          </cell>
        </row>
        <row r="257">
          <cell r="B257">
            <v>41111</v>
          </cell>
          <cell r="H257">
            <v>55184490.189999998</v>
          </cell>
        </row>
        <row r="258">
          <cell r="B258">
            <v>41117</v>
          </cell>
          <cell r="H258">
            <v>6419072.7300000004</v>
          </cell>
        </row>
        <row r="259">
          <cell r="B259">
            <v>41118</v>
          </cell>
          <cell r="H259">
            <v>623714.81000000006</v>
          </cell>
        </row>
        <row r="260">
          <cell r="B260">
            <v>41119</v>
          </cell>
          <cell r="H260">
            <v>5340387.16</v>
          </cell>
        </row>
        <row r="261">
          <cell r="B261">
            <v>411111</v>
          </cell>
          <cell r="H261">
            <v>267070.71000000002</v>
          </cell>
        </row>
        <row r="262">
          <cell r="B262">
            <v>411113</v>
          </cell>
          <cell r="H262">
            <v>28259.5</v>
          </cell>
        </row>
        <row r="263">
          <cell r="B263">
            <v>411114</v>
          </cell>
          <cell r="H263">
            <v>127328.24</v>
          </cell>
        </row>
        <row r="264">
          <cell r="B264">
            <v>4112</v>
          </cell>
          <cell r="H264">
            <v>21196397.949999999</v>
          </cell>
        </row>
        <row r="265">
          <cell r="B265">
            <v>41121</v>
          </cell>
          <cell r="H265">
            <v>12934384.439999999</v>
          </cell>
        </row>
        <row r="266">
          <cell r="B266">
            <v>41122</v>
          </cell>
          <cell r="H266">
            <v>4579920.93</v>
          </cell>
        </row>
        <row r="267">
          <cell r="B267">
            <v>41124</v>
          </cell>
          <cell r="H267">
            <v>1151574.52</v>
          </cell>
        </row>
        <row r="268">
          <cell r="B268">
            <v>41125</v>
          </cell>
          <cell r="H268">
            <v>1579285.22</v>
          </cell>
        </row>
        <row r="269">
          <cell r="B269">
            <v>41126</v>
          </cell>
          <cell r="H269">
            <v>539958.61</v>
          </cell>
        </row>
        <row r="270">
          <cell r="B270">
            <v>41127</v>
          </cell>
          <cell r="H270">
            <v>411274.23</v>
          </cell>
        </row>
        <row r="271">
          <cell r="B271">
            <v>4113</v>
          </cell>
          <cell r="H271">
            <v>10982195.039999999</v>
          </cell>
        </row>
        <row r="272">
          <cell r="B272">
            <v>41131</v>
          </cell>
          <cell r="H272">
            <v>4345708.38</v>
          </cell>
        </row>
        <row r="273">
          <cell r="B273">
            <v>41132</v>
          </cell>
          <cell r="H273">
            <v>3611079.06</v>
          </cell>
        </row>
        <row r="274">
          <cell r="B274">
            <v>41133</v>
          </cell>
          <cell r="H274">
            <v>0</v>
          </cell>
        </row>
        <row r="275">
          <cell r="B275">
            <v>41135</v>
          </cell>
          <cell r="H275">
            <v>845190.01</v>
          </cell>
        </row>
        <row r="276">
          <cell r="B276">
            <v>41136</v>
          </cell>
          <cell r="H276">
            <v>2122138.48</v>
          </cell>
        </row>
        <row r="277">
          <cell r="B277">
            <v>411310</v>
          </cell>
          <cell r="H277">
            <v>24365.22</v>
          </cell>
        </row>
        <row r="278">
          <cell r="B278">
            <v>411311</v>
          </cell>
          <cell r="H278">
            <v>33713.89</v>
          </cell>
        </row>
        <row r="279">
          <cell r="B279">
            <v>413</v>
          </cell>
          <cell r="H279">
            <v>7770796.8700000001</v>
          </cell>
        </row>
        <row r="280">
          <cell r="B280">
            <v>4131</v>
          </cell>
          <cell r="H280">
            <v>7770796.8700000001</v>
          </cell>
        </row>
        <row r="281">
          <cell r="B281">
            <v>41311</v>
          </cell>
          <cell r="H281">
            <v>579561.32999999996</v>
          </cell>
        </row>
        <row r="282">
          <cell r="B282">
            <v>41312</v>
          </cell>
          <cell r="H282">
            <v>1085480.1499999999</v>
          </cell>
        </row>
        <row r="283">
          <cell r="B283">
            <v>41315</v>
          </cell>
          <cell r="H283">
            <v>1643861.56</v>
          </cell>
        </row>
        <row r="284">
          <cell r="B284">
            <v>41316</v>
          </cell>
          <cell r="H284">
            <v>6875</v>
          </cell>
        </row>
        <row r="285">
          <cell r="B285">
            <v>413114</v>
          </cell>
          <cell r="H285">
            <v>3850317.97</v>
          </cell>
        </row>
        <row r="286">
          <cell r="B286">
            <v>413117</v>
          </cell>
          <cell r="H286">
            <v>587466.76</v>
          </cell>
        </row>
        <row r="287">
          <cell r="B287">
            <v>4131997</v>
          </cell>
          <cell r="H287">
            <v>17234.099999999999</v>
          </cell>
        </row>
        <row r="288">
          <cell r="B288">
            <v>414</v>
          </cell>
          <cell r="H288">
            <v>367872.37</v>
          </cell>
        </row>
        <row r="289">
          <cell r="B289">
            <v>4141</v>
          </cell>
          <cell r="H289">
            <v>367872.37</v>
          </cell>
        </row>
        <row r="290">
          <cell r="B290">
            <v>41412</v>
          </cell>
          <cell r="H290">
            <v>354722.97</v>
          </cell>
        </row>
        <row r="291">
          <cell r="B291">
            <v>41418</v>
          </cell>
          <cell r="H291">
            <v>13149.4</v>
          </cell>
        </row>
        <row r="292">
          <cell r="B292">
            <v>416</v>
          </cell>
          <cell r="H292">
            <v>6655897.6900000004</v>
          </cell>
        </row>
        <row r="293">
          <cell r="B293">
            <v>4161</v>
          </cell>
          <cell r="H293">
            <v>2704139.78</v>
          </cell>
        </row>
        <row r="294">
          <cell r="B294">
            <v>41614</v>
          </cell>
          <cell r="H294">
            <v>697175.79</v>
          </cell>
        </row>
        <row r="295">
          <cell r="B295">
            <v>41616</v>
          </cell>
          <cell r="H295">
            <v>26331.040000000001</v>
          </cell>
        </row>
        <row r="296">
          <cell r="B296">
            <v>416112</v>
          </cell>
          <cell r="H296">
            <v>4240.4399999999996</v>
          </cell>
        </row>
        <row r="297">
          <cell r="B297">
            <v>416114</v>
          </cell>
          <cell r="H297">
            <v>623924.53</v>
          </cell>
        </row>
        <row r="298">
          <cell r="B298">
            <v>416115</v>
          </cell>
          <cell r="H298">
            <v>377071.17</v>
          </cell>
        </row>
        <row r="299">
          <cell r="B299">
            <v>416116</v>
          </cell>
          <cell r="H299">
            <v>975396.81</v>
          </cell>
        </row>
        <row r="300">
          <cell r="B300">
            <v>4162</v>
          </cell>
          <cell r="H300">
            <v>3951757.91</v>
          </cell>
        </row>
        <row r="301">
          <cell r="B301">
            <v>41621</v>
          </cell>
          <cell r="H301">
            <v>755285.57</v>
          </cell>
        </row>
        <row r="302">
          <cell r="B302">
            <v>41624</v>
          </cell>
          <cell r="H302">
            <v>667301.78</v>
          </cell>
        </row>
        <row r="303">
          <cell r="B303">
            <v>41626</v>
          </cell>
          <cell r="H303">
            <v>600753.31000000006</v>
          </cell>
        </row>
        <row r="304">
          <cell r="B304">
            <v>41627</v>
          </cell>
          <cell r="H304">
            <v>1446039.07</v>
          </cell>
        </row>
        <row r="305">
          <cell r="B305">
            <v>416210</v>
          </cell>
          <cell r="H305">
            <v>338062.19</v>
          </cell>
        </row>
        <row r="306">
          <cell r="B306">
            <v>416220</v>
          </cell>
          <cell r="H306">
            <v>144315.99</v>
          </cell>
        </row>
        <row r="307">
          <cell r="B307">
            <v>42</v>
          </cell>
          <cell r="H307">
            <v>71962165.480000004</v>
          </cell>
        </row>
        <row r="308">
          <cell r="B308">
            <v>421</v>
          </cell>
          <cell r="H308">
            <v>46140533.119999997</v>
          </cell>
        </row>
        <row r="309">
          <cell r="B309">
            <v>4211</v>
          </cell>
          <cell r="H309">
            <v>31767453.079999998</v>
          </cell>
        </row>
        <row r="310">
          <cell r="B310">
            <v>42111</v>
          </cell>
          <cell r="H310">
            <v>25770692.100000001</v>
          </cell>
        </row>
        <row r="311">
          <cell r="B311">
            <v>42117</v>
          </cell>
          <cell r="H311">
            <v>3542160.49</v>
          </cell>
        </row>
        <row r="312">
          <cell r="B312">
            <v>42118</v>
          </cell>
          <cell r="H312">
            <v>221763.05</v>
          </cell>
        </row>
        <row r="313">
          <cell r="B313">
            <v>42119</v>
          </cell>
          <cell r="H313">
            <v>2142018.08</v>
          </cell>
        </row>
        <row r="314">
          <cell r="B314">
            <v>421112</v>
          </cell>
          <cell r="H314">
            <v>7201.32</v>
          </cell>
        </row>
        <row r="315">
          <cell r="B315">
            <v>421114</v>
          </cell>
          <cell r="H315">
            <v>83618.039999999994</v>
          </cell>
        </row>
        <row r="316">
          <cell r="B316">
            <v>4212</v>
          </cell>
          <cell r="H316">
            <v>9298952.5999999996</v>
          </cell>
        </row>
        <row r="317">
          <cell r="B317">
            <v>42121</v>
          </cell>
          <cell r="H317">
            <v>5653934.9900000002</v>
          </cell>
        </row>
        <row r="318">
          <cell r="B318">
            <v>42122</v>
          </cell>
          <cell r="H318">
            <v>2039827.94</v>
          </cell>
        </row>
        <row r="319">
          <cell r="B319">
            <v>42124</v>
          </cell>
          <cell r="H319">
            <v>510834.93</v>
          </cell>
        </row>
        <row r="320">
          <cell r="B320">
            <v>42125</v>
          </cell>
          <cell r="H320">
            <v>688739.18</v>
          </cell>
        </row>
        <row r="321">
          <cell r="B321">
            <v>42126</v>
          </cell>
          <cell r="H321">
            <v>221593.64</v>
          </cell>
        </row>
        <row r="322">
          <cell r="B322">
            <v>42127</v>
          </cell>
          <cell r="H322">
            <v>184021.92</v>
          </cell>
        </row>
        <row r="323">
          <cell r="B323">
            <v>4213</v>
          </cell>
          <cell r="H323">
            <v>5074127.4400000004</v>
          </cell>
        </row>
        <row r="324">
          <cell r="B324">
            <v>42131</v>
          </cell>
          <cell r="H324">
            <v>1832742.54</v>
          </cell>
        </row>
        <row r="325">
          <cell r="B325">
            <v>42132</v>
          </cell>
          <cell r="H325">
            <v>1595085.01</v>
          </cell>
        </row>
        <row r="326">
          <cell r="B326">
            <v>42133</v>
          </cell>
          <cell r="H326">
            <v>33841.78</v>
          </cell>
        </row>
        <row r="327">
          <cell r="B327">
            <v>42134</v>
          </cell>
          <cell r="H327">
            <v>239706.93</v>
          </cell>
        </row>
        <row r="328">
          <cell r="B328">
            <v>42135</v>
          </cell>
          <cell r="H328">
            <v>258521.98</v>
          </cell>
        </row>
        <row r="329">
          <cell r="B329">
            <v>42136</v>
          </cell>
          <cell r="H329">
            <v>971634.64</v>
          </cell>
        </row>
        <row r="330">
          <cell r="B330">
            <v>421310</v>
          </cell>
          <cell r="H330">
            <v>8121.84</v>
          </cell>
        </row>
        <row r="331">
          <cell r="B331">
            <v>421311</v>
          </cell>
          <cell r="H331">
            <v>134472.72</v>
          </cell>
        </row>
        <row r="332">
          <cell r="B332">
            <v>422</v>
          </cell>
          <cell r="H332">
            <v>164029.09</v>
          </cell>
        </row>
        <row r="333">
          <cell r="B333">
            <v>4221</v>
          </cell>
          <cell r="H333">
            <v>164029.09</v>
          </cell>
        </row>
        <row r="334">
          <cell r="B334">
            <v>42211</v>
          </cell>
          <cell r="H334">
            <v>164029.09</v>
          </cell>
        </row>
        <row r="335">
          <cell r="B335">
            <v>423</v>
          </cell>
          <cell r="H335">
            <v>10279939.42</v>
          </cell>
        </row>
        <row r="336">
          <cell r="B336">
            <v>4231</v>
          </cell>
          <cell r="H336">
            <v>10279939.42</v>
          </cell>
        </row>
        <row r="337">
          <cell r="B337">
            <v>42311</v>
          </cell>
          <cell r="H337">
            <v>915333.6</v>
          </cell>
        </row>
        <row r="338">
          <cell r="B338">
            <v>42312</v>
          </cell>
          <cell r="H338">
            <v>1679190.58</v>
          </cell>
        </row>
        <row r="339">
          <cell r="B339">
            <v>42313</v>
          </cell>
          <cell r="H339">
            <v>861630.11</v>
          </cell>
        </row>
        <row r="340">
          <cell r="B340">
            <v>42315</v>
          </cell>
          <cell r="H340">
            <v>874623.02</v>
          </cell>
        </row>
        <row r="341">
          <cell r="B341">
            <v>42316</v>
          </cell>
          <cell r="H341">
            <v>10999.42</v>
          </cell>
        </row>
        <row r="342">
          <cell r="B342">
            <v>42317</v>
          </cell>
          <cell r="H342">
            <v>706607.11</v>
          </cell>
        </row>
        <row r="343">
          <cell r="B343">
            <v>42318</v>
          </cell>
          <cell r="H343">
            <v>283571.21000000002</v>
          </cell>
        </row>
        <row r="344">
          <cell r="B344">
            <v>423113</v>
          </cell>
          <cell r="H344">
            <v>238954.56</v>
          </cell>
        </row>
        <row r="345">
          <cell r="B345">
            <v>423114</v>
          </cell>
          <cell r="H345">
            <v>3752671.62</v>
          </cell>
        </row>
        <row r="346">
          <cell r="B346">
            <v>423115</v>
          </cell>
          <cell r="H346">
            <v>33600</v>
          </cell>
        </row>
        <row r="347">
          <cell r="B347">
            <v>423117</v>
          </cell>
          <cell r="H347">
            <v>482449.69</v>
          </cell>
        </row>
        <row r="348">
          <cell r="B348">
            <v>423118</v>
          </cell>
          <cell r="H348">
            <v>387527.79</v>
          </cell>
        </row>
        <row r="349">
          <cell r="B349">
            <v>423119</v>
          </cell>
          <cell r="H349">
            <v>52780.71</v>
          </cell>
        </row>
        <row r="350">
          <cell r="B350">
            <v>424</v>
          </cell>
          <cell r="H350">
            <v>203997.62</v>
          </cell>
        </row>
        <row r="351">
          <cell r="B351">
            <v>4241</v>
          </cell>
          <cell r="H351">
            <v>203997.62</v>
          </cell>
        </row>
        <row r="352">
          <cell r="B352">
            <v>42412</v>
          </cell>
          <cell r="H352">
            <v>146794.03</v>
          </cell>
        </row>
        <row r="353">
          <cell r="B353">
            <v>42415</v>
          </cell>
          <cell r="H353">
            <v>6729.36</v>
          </cell>
        </row>
        <row r="354">
          <cell r="B354">
            <v>42416</v>
          </cell>
          <cell r="H354">
            <v>37299.660000000003</v>
          </cell>
        </row>
        <row r="355">
          <cell r="B355">
            <v>424112</v>
          </cell>
          <cell r="H355">
            <v>13174.57</v>
          </cell>
        </row>
        <row r="356">
          <cell r="B356">
            <v>425</v>
          </cell>
          <cell r="H356">
            <v>487674.19</v>
          </cell>
        </row>
        <row r="357">
          <cell r="B357">
            <v>4254</v>
          </cell>
          <cell r="H357">
            <v>487674.19</v>
          </cell>
        </row>
        <row r="358">
          <cell r="B358">
            <v>42541</v>
          </cell>
          <cell r="H358">
            <v>487674.19</v>
          </cell>
        </row>
        <row r="359">
          <cell r="B359">
            <v>426</v>
          </cell>
          <cell r="H359">
            <v>10480518.380000001</v>
          </cell>
        </row>
        <row r="360">
          <cell r="B360">
            <v>4261</v>
          </cell>
          <cell r="H360">
            <v>6972922.0899999999</v>
          </cell>
        </row>
        <row r="361">
          <cell r="B361">
            <v>42613</v>
          </cell>
          <cell r="H361">
            <v>59294.07</v>
          </cell>
        </row>
        <row r="362">
          <cell r="B362">
            <v>42614</v>
          </cell>
          <cell r="H362">
            <v>288510.3</v>
          </cell>
        </row>
        <row r="363">
          <cell r="B363">
            <v>42616</v>
          </cell>
          <cell r="H363">
            <v>10915.6</v>
          </cell>
        </row>
        <row r="364">
          <cell r="B364">
            <v>42617</v>
          </cell>
          <cell r="H364">
            <v>1038.25</v>
          </cell>
        </row>
        <row r="365">
          <cell r="B365">
            <v>426111</v>
          </cell>
          <cell r="H365">
            <v>2884172.81</v>
          </cell>
        </row>
        <row r="366">
          <cell r="B366">
            <v>426112</v>
          </cell>
          <cell r="H366">
            <v>46944.47</v>
          </cell>
        </row>
        <row r="367">
          <cell r="B367">
            <v>426114</v>
          </cell>
          <cell r="H367">
            <v>245091.82</v>
          </cell>
        </row>
        <row r="368">
          <cell r="B368">
            <v>426116</v>
          </cell>
          <cell r="H368">
            <v>403645.76</v>
          </cell>
        </row>
        <row r="369">
          <cell r="B369">
            <v>426117</v>
          </cell>
          <cell r="H369">
            <v>159268.75</v>
          </cell>
        </row>
        <row r="370">
          <cell r="B370">
            <v>426118</v>
          </cell>
          <cell r="H370">
            <v>2874040.26</v>
          </cell>
        </row>
        <row r="371">
          <cell r="B371">
            <v>4262</v>
          </cell>
          <cell r="H371">
            <v>3507596.29</v>
          </cell>
        </row>
        <row r="372">
          <cell r="B372">
            <v>42621</v>
          </cell>
          <cell r="H372">
            <v>274641.90000000002</v>
          </cell>
        </row>
        <row r="373">
          <cell r="B373">
            <v>42622</v>
          </cell>
          <cell r="H373">
            <v>460568.18</v>
          </cell>
        </row>
        <row r="374">
          <cell r="B374">
            <v>42624</v>
          </cell>
          <cell r="H374">
            <v>826083.3</v>
          </cell>
        </row>
        <row r="375">
          <cell r="B375">
            <v>42625</v>
          </cell>
          <cell r="H375">
            <v>9759.91</v>
          </cell>
        </row>
        <row r="376">
          <cell r="B376">
            <v>42626</v>
          </cell>
          <cell r="H376">
            <v>265601.95</v>
          </cell>
        </row>
        <row r="377">
          <cell r="B377">
            <v>42627</v>
          </cell>
          <cell r="H377">
            <v>1180440.03</v>
          </cell>
        </row>
        <row r="378">
          <cell r="B378">
            <v>42629</v>
          </cell>
          <cell r="H378">
            <v>3594.9</v>
          </cell>
        </row>
        <row r="379">
          <cell r="B379">
            <v>426210</v>
          </cell>
          <cell r="H379">
            <v>80244.17</v>
          </cell>
        </row>
        <row r="380">
          <cell r="B380">
            <v>426214</v>
          </cell>
          <cell r="H380">
            <v>143083.62</v>
          </cell>
        </row>
        <row r="381">
          <cell r="B381">
            <v>426215</v>
          </cell>
          <cell r="H381">
            <v>186617.2</v>
          </cell>
        </row>
        <row r="382">
          <cell r="B382">
            <v>426220</v>
          </cell>
          <cell r="H382">
            <v>76961.13</v>
          </cell>
        </row>
        <row r="383">
          <cell r="B383">
            <v>427</v>
          </cell>
          <cell r="H383">
            <v>4205473.66</v>
          </cell>
        </row>
        <row r="384">
          <cell r="B384">
            <v>42701</v>
          </cell>
          <cell r="H384">
            <v>4205473.66</v>
          </cell>
        </row>
        <row r="385">
          <cell r="B385">
            <v>42711</v>
          </cell>
          <cell r="H385">
            <v>10.84</v>
          </cell>
        </row>
        <row r="386">
          <cell r="B386">
            <v>42720</v>
          </cell>
          <cell r="H386">
            <v>3414243.37</v>
          </cell>
        </row>
        <row r="387">
          <cell r="B387">
            <v>427122</v>
          </cell>
          <cell r="H387">
            <v>791219.45</v>
          </cell>
        </row>
        <row r="388">
          <cell r="B388">
            <v>5</v>
          </cell>
          <cell r="H388">
            <v>-8651320.4700000007</v>
          </cell>
        </row>
        <row r="389">
          <cell r="B389">
            <v>51</v>
          </cell>
          <cell r="H389">
            <v>-8651320.4700000007</v>
          </cell>
        </row>
        <row r="390">
          <cell r="B390">
            <v>511</v>
          </cell>
          <cell r="H390">
            <v>5901370.9400000004</v>
          </cell>
        </row>
        <row r="391">
          <cell r="B391">
            <v>5111</v>
          </cell>
          <cell r="H391">
            <v>799991.65</v>
          </cell>
        </row>
        <row r="392">
          <cell r="B392">
            <v>5116</v>
          </cell>
          <cell r="H392">
            <v>1016806.37</v>
          </cell>
        </row>
        <row r="393">
          <cell r="B393">
            <v>51111</v>
          </cell>
          <cell r="H393">
            <v>4084572.92</v>
          </cell>
        </row>
        <row r="394">
          <cell r="B394">
            <v>512</v>
          </cell>
          <cell r="H394">
            <v>-14552691.41</v>
          </cell>
        </row>
        <row r="395">
          <cell r="B395">
            <v>5122</v>
          </cell>
          <cell r="H395">
            <v>-44677.79</v>
          </cell>
        </row>
        <row r="396">
          <cell r="B396">
            <v>5123</v>
          </cell>
          <cell r="H396">
            <v>-1381461.08</v>
          </cell>
        </row>
        <row r="397">
          <cell r="B397">
            <v>5124</v>
          </cell>
          <cell r="H397">
            <v>-171067.17</v>
          </cell>
        </row>
        <row r="398">
          <cell r="B398">
            <v>5125</v>
          </cell>
          <cell r="H398">
            <v>-896189.93</v>
          </cell>
        </row>
        <row r="399">
          <cell r="B399">
            <v>5127</v>
          </cell>
          <cell r="H399">
            <v>-1268603.3799999999</v>
          </cell>
        </row>
        <row r="400">
          <cell r="B400">
            <v>5128</v>
          </cell>
          <cell r="H400">
            <v>-722464.7</v>
          </cell>
        </row>
        <row r="401">
          <cell r="B401">
            <v>5129</v>
          </cell>
          <cell r="H401">
            <v>-1997811.76</v>
          </cell>
        </row>
        <row r="402">
          <cell r="B402">
            <v>51210</v>
          </cell>
          <cell r="H402">
            <v>-814259.04</v>
          </cell>
        </row>
        <row r="403">
          <cell r="B403">
            <v>51212</v>
          </cell>
          <cell r="H403">
            <v>-7256156.5599999996</v>
          </cell>
        </row>
        <row r="404">
          <cell r="B404">
            <v>4281</v>
          </cell>
          <cell r="H404">
            <v>0</v>
          </cell>
        </row>
        <row r="405">
          <cell r="B405">
            <v>42811</v>
          </cell>
          <cell r="H405">
            <v>0</v>
          </cell>
        </row>
        <row r="406">
          <cell r="B406">
            <v>429</v>
          </cell>
          <cell r="H406">
            <v>0</v>
          </cell>
        </row>
        <row r="407">
          <cell r="B407">
            <v>4299</v>
          </cell>
          <cell r="H407">
            <v>0</v>
          </cell>
        </row>
        <row r="408">
          <cell r="B408">
            <v>42994</v>
          </cell>
          <cell r="H408">
            <v>0</v>
          </cell>
        </row>
        <row r="409">
          <cell r="B409">
            <v>5</v>
          </cell>
          <cell r="H409">
            <v>0</v>
          </cell>
        </row>
        <row r="410">
          <cell r="B410">
            <v>51</v>
          </cell>
          <cell r="H410">
            <v>0</v>
          </cell>
        </row>
        <row r="411">
          <cell r="B411">
            <v>511</v>
          </cell>
          <cell r="H411">
            <v>0</v>
          </cell>
        </row>
        <row r="412">
          <cell r="B412">
            <v>5111</v>
          </cell>
          <cell r="H412">
            <v>0</v>
          </cell>
        </row>
        <row r="413">
          <cell r="B413">
            <v>5112</v>
          </cell>
          <cell r="H413">
            <v>0</v>
          </cell>
        </row>
        <row r="414">
          <cell r="B414">
            <v>5113</v>
          </cell>
          <cell r="H414">
            <v>0</v>
          </cell>
        </row>
        <row r="415">
          <cell r="B415">
            <v>5114</v>
          </cell>
          <cell r="H415">
            <v>0</v>
          </cell>
        </row>
        <row r="416">
          <cell r="B416">
            <v>5116</v>
          </cell>
          <cell r="H416">
            <v>0</v>
          </cell>
        </row>
        <row r="417">
          <cell r="B417">
            <v>5117</v>
          </cell>
          <cell r="H417">
            <v>0</v>
          </cell>
        </row>
        <row r="418">
          <cell r="B418">
            <v>51110</v>
          </cell>
          <cell r="H418">
            <v>0</v>
          </cell>
        </row>
        <row r="419">
          <cell r="B419">
            <v>51111</v>
          </cell>
          <cell r="H419">
            <v>0</v>
          </cell>
        </row>
        <row r="420">
          <cell r="B420">
            <v>512</v>
          </cell>
          <cell r="H420">
            <v>0</v>
          </cell>
        </row>
        <row r="421">
          <cell r="B421">
            <v>5125</v>
          </cell>
          <cell r="H421">
            <v>0</v>
          </cell>
        </row>
        <row r="422">
          <cell r="B422">
            <v>5128</v>
          </cell>
          <cell r="H422">
            <v>0</v>
          </cell>
        </row>
        <row r="423">
          <cell r="B423">
            <v>5129</v>
          </cell>
          <cell r="H423">
            <v>0</v>
          </cell>
        </row>
        <row r="424">
          <cell r="B424">
            <v>51212</v>
          </cell>
          <cell r="H424">
            <v>0</v>
          </cell>
        </row>
        <row r="425">
          <cell r="B425">
            <v>6</v>
          </cell>
          <cell r="H425">
            <v>0</v>
          </cell>
        </row>
        <row r="426">
          <cell r="B426">
            <v>61</v>
          </cell>
          <cell r="H426">
            <v>0</v>
          </cell>
        </row>
      </sheetData>
      <sheetData sheetId="16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93876788.980000004</v>
          </cell>
        </row>
        <row r="9">
          <cell r="B9">
            <v>11</v>
          </cell>
          <cell r="H9">
            <v>65059752.600000001</v>
          </cell>
        </row>
        <row r="10">
          <cell r="B10">
            <v>111</v>
          </cell>
          <cell r="H10">
            <v>54711300.520000003</v>
          </cell>
        </row>
        <row r="11">
          <cell r="B11">
            <v>1112</v>
          </cell>
          <cell r="H11">
            <v>54711300.520000003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16519696.35</v>
          </cell>
        </row>
        <row r="14">
          <cell r="B14" t="str">
            <v>BBR</v>
          </cell>
          <cell r="H14">
            <v>38191604.170000002</v>
          </cell>
        </row>
        <row r="15">
          <cell r="B15">
            <v>112</v>
          </cell>
          <cell r="H15">
            <v>4739194.66</v>
          </cell>
        </row>
        <row r="16">
          <cell r="B16">
            <v>1123</v>
          </cell>
          <cell r="H16">
            <v>1100669.25</v>
          </cell>
        </row>
        <row r="17">
          <cell r="B17">
            <v>112310</v>
          </cell>
          <cell r="H17">
            <v>591.91999999999996</v>
          </cell>
        </row>
        <row r="18">
          <cell r="B18">
            <v>112316</v>
          </cell>
          <cell r="H18">
            <v>178629.72</v>
          </cell>
        </row>
        <row r="19">
          <cell r="B19">
            <v>112317</v>
          </cell>
          <cell r="H19">
            <v>66625.72</v>
          </cell>
        </row>
        <row r="20">
          <cell r="B20">
            <v>112334</v>
          </cell>
          <cell r="H20">
            <v>0</v>
          </cell>
        </row>
        <row r="21">
          <cell r="B21">
            <v>112340</v>
          </cell>
          <cell r="H21">
            <v>638517.17000000004</v>
          </cell>
        </row>
        <row r="22">
          <cell r="B22">
            <v>112341</v>
          </cell>
          <cell r="H22">
            <v>216304.72</v>
          </cell>
        </row>
        <row r="23">
          <cell r="B23">
            <v>1124</v>
          </cell>
          <cell r="H23">
            <v>3638393.43</v>
          </cell>
        </row>
        <row r="24">
          <cell r="B24">
            <v>11241</v>
          </cell>
          <cell r="H24">
            <v>139245.71</v>
          </cell>
        </row>
        <row r="25">
          <cell r="B25">
            <v>11242</v>
          </cell>
          <cell r="H25">
            <v>3499147.72</v>
          </cell>
        </row>
        <row r="26">
          <cell r="B26">
            <v>112424</v>
          </cell>
          <cell r="H26">
            <v>0</v>
          </cell>
        </row>
        <row r="27">
          <cell r="B27">
            <v>112425</v>
          </cell>
          <cell r="H27">
            <v>0</v>
          </cell>
        </row>
        <row r="28">
          <cell r="B28">
            <v>11299</v>
          </cell>
          <cell r="H28">
            <v>131.97999999999999</v>
          </cell>
        </row>
        <row r="29">
          <cell r="B29">
            <v>112995</v>
          </cell>
          <cell r="H29">
            <v>0</v>
          </cell>
        </row>
        <row r="30">
          <cell r="B30">
            <v>11299999</v>
          </cell>
          <cell r="H30">
            <v>131.97999999999999</v>
          </cell>
        </row>
        <row r="31">
          <cell r="B31">
            <v>113</v>
          </cell>
          <cell r="H31">
            <v>5609257.4199999999</v>
          </cell>
        </row>
        <row r="32">
          <cell r="B32">
            <v>1131</v>
          </cell>
          <cell r="H32">
            <v>5609257.4199999999</v>
          </cell>
        </row>
        <row r="33">
          <cell r="B33">
            <v>11311</v>
          </cell>
          <cell r="H33">
            <v>5332.92</v>
          </cell>
        </row>
        <row r="34">
          <cell r="B34">
            <v>11312</v>
          </cell>
          <cell r="H34">
            <v>4374381.37</v>
          </cell>
        </row>
        <row r="35">
          <cell r="B35">
            <v>11313</v>
          </cell>
          <cell r="H35">
            <v>1709.85</v>
          </cell>
        </row>
        <row r="36">
          <cell r="B36">
            <v>11315</v>
          </cell>
          <cell r="H36">
            <v>42594.58</v>
          </cell>
        </row>
        <row r="37">
          <cell r="B37">
            <v>11316</v>
          </cell>
          <cell r="H37">
            <v>1185238.7</v>
          </cell>
        </row>
        <row r="38">
          <cell r="B38">
            <v>1131999</v>
          </cell>
          <cell r="H38">
            <v>0</v>
          </cell>
        </row>
        <row r="39">
          <cell r="B39">
            <v>12</v>
          </cell>
          <cell r="H39">
            <v>28817036.379999999</v>
          </cell>
        </row>
        <row r="40">
          <cell r="B40">
            <v>121</v>
          </cell>
          <cell r="H40">
            <v>8258110.8300000001</v>
          </cell>
        </row>
        <row r="41">
          <cell r="B41">
            <v>1213</v>
          </cell>
          <cell r="H41">
            <v>2999107.95</v>
          </cell>
        </row>
        <row r="42">
          <cell r="B42">
            <v>12131</v>
          </cell>
          <cell r="H42">
            <v>27366.71</v>
          </cell>
        </row>
        <row r="43">
          <cell r="B43">
            <v>12134</v>
          </cell>
          <cell r="H43">
            <v>4640.58</v>
          </cell>
        </row>
        <row r="44">
          <cell r="B44">
            <v>12135</v>
          </cell>
          <cell r="H44">
            <v>178935.42</v>
          </cell>
        </row>
        <row r="45">
          <cell r="B45">
            <v>12139</v>
          </cell>
          <cell r="H45">
            <v>1913.48</v>
          </cell>
        </row>
        <row r="46">
          <cell r="B46">
            <v>121311</v>
          </cell>
          <cell r="H46">
            <v>4542.53</v>
          </cell>
        </row>
        <row r="47">
          <cell r="B47">
            <v>121312</v>
          </cell>
          <cell r="H47">
            <v>310.93</v>
          </cell>
        </row>
        <row r="48">
          <cell r="B48">
            <v>121313</v>
          </cell>
          <cell r="H48">
            <v>229197.27</v>
          </cell>
        </row>
        <row r="49">
          <cell r="B49">
            <v>121315</v>
          </cell>
          <cell r="H49">
            <v>157307.75</v>
          </cell>
        </row>
        <row r="50">
          <cell r="B50">
            <v>121316</v>
          </cell>
          <cell r="H50">
            <v>1100542.6599999999</v>
          </cell>
        </row>
        <row r="51">
          <cell r="B51">
            <v>121317</v>
          </cell>
          <cell r="H51">
            <v>2280.5</v>
          </cell>
        </row>
        <row r="52">
          <cell r="B52">
            <v>121318</v>
          </cell>
          <cell r="H52">
            <v>880923.06</v>
          </cell>
        </row>
        <row r="53">
          <cell r="B53">
            <v>121319</v>
          </cell>
          <cell r="H53">
            <v>411147.06</v>
          </cell>
        </row>
        <row r="54">
          <cell r="B54">
            <v>1217</v>
          </cell>
          <cell r="H54">
            <v>133.24</v>
          </cell>
        </row>
        <row r="55">
          <cell r="B55">
            <v>12171</v>
          </cell>
          <cell r="H55">
            <v>133.24</v>
          </cell>
        </row>
        <row r="56">
          <cell r="B56">
            <v>1218</v>
          </cell>
          <cell r="H56">
            <v>5258869.6399999997</v>
          </cell>
        </row>
        <row r="57">
          <cell r="B57">
            <v>12181</v>
          </cell>
          <cell r="H57">
            <v>4488813.9400000004</v>
          </cell>
        </row>
        <row r="58">
          <cell r="B58">
            <v>12182</v>
          </cell>
          <cell r="H58">
            <v>586512.1</v>
          </cell>
        </row>
        <row r="59">
          <cell r="B59">
            <v>12183</v>
          </cell>
          <cell r="H59">
            <v>183543.6</v>
          </cell>
        </row>
        <row r="60">
          <cell r="B60">
            <v>123</v>
          </cell>
          <cell r="H60">
            <v>5759056.0700000003</v>
          </cell>
        </row>
        <row r="61">
          <cell r="B61">
            <v>1231</v>
          </cell>
          <cell r="H61">
            <v>20671550.289999999</v>
          </cell>
        </row>
        <row r="62">
          <cell r="B62">
            <v>12313</v>
          </cell>
          <cell r="H62">
            <v>2565049.0299999998</v>
          </cell>
        </row>
        <row r="63">
          <cell r="B63">
            <v>12314</v>
          </cell>
          <cell r="H63">
            <v>858582.21</v>
          </cell>
        </row>
        <row r="64">
          <cell r="B64">
            <v>12315</v>
          </cell>
          <cell r="H64">
            <v>14484437.67</v>
          </cell>
        </row>
        <row r="65">
          <cell r="B65">
            <v>12317</v>
          </cell>
          <cell r="H65">
            <v>2763481.38</v>
          </cell>
        </row>
        <row r="66">
          <cell r="B66">
            <v>12398</v>
          </cell>
          <cell r="H66">
            <v>-14912494.220000001</v>
          </cell>
        </row>
        <row r="67">
          <cell r="B67">
            <v>123982</v>
          </cell>
          <cell r="H67">
            <v>-1195798.02</v>
          </cell>
        </row>
        <row r="68">
          <cell r="B68">
            <v>123983</v>
          </cell>
          <cell r="H68">
            <v>-771639.84</v>
          </cell>
        </row>
        <row r="69">
          <cell r="B69">
            <v>123984</v>
          </cell>
          <cell r="H69">
            <v>-10849080.07</v>
          </cell>
        </row>
        <row r="70">
          <cell r="B70">
            <v>123986</v>
          </cell>
          <cell r="H70">
            <v>-2095976.29</v>
          </cell>
        </row>
        <row r="71">
          <cell r="B71">
            <v>124</v>
          </cell>
          <cell r="H71">
            <v>1254796.74</v>
          </cell>
        </row>
        <row r="72">
          <cell r="B72">
            <v>1241</v>
          </cell>
          <cell r="H72">
            <v>13586005.869999999</v>
          </cell>
        </row>
        <row r="73">
          <cell r="B73">
            <v>124101</v>
          </cell>
          <cell r="H73">
            <v>13586005.869999999</v>
          </cell>
        </row>
        <row r="74">
          <cell r="B74">
            <v>12498</v>
          </cell>
          <cell r="H74">
            <v>-12331209.130000001</v>
          </cell>
        </row>
        <row r="75">
          <cell r="B75">
            <v>1242</v>
          </cell>
          <cell r="H75">
            <v>-12331209.130000001</v>
          </cell>
        </row>
        <row r="76">
          <cell r="B76">
            <v>125</v>
          </cell>
          <cell r="H76">
            <v>13545072.74</v>
          </cell>
        </row>
        <row r="77">
          <cell r="B77">
            <v>1251</v>
          </cell>
          <cell r="H77">
            <v>13545072.74</v>
          </cell>
        </row>
        <row r="78">
          <cell r="B78">
            <v>12511</v>
          </cell>
          <cell r="H78">
            <v>24551214.710000001</v>
          </cell>
        </row>
        <row r="79">
          <cell r="B79">
            <v>12512</v>
          </cell>
          <cell r="H79">
            <v>-11006141.970000001</v>
          </cell>
        </row>
        <row r="80">
          <cell r="B80">
            <v>2</v>
          </cell>
          <cell r="H80">
            <v>-93876788.980000004</v>
          </cell>
        </row>
        <row r="81">
          <cell r="B81">
            <v>21</v>
          </cell>
          <cell r="H81">
            <v>-40111114.159999996</v>
          </cell>
        </row>
        <row r="82">
          <cell r="B82">
            <v>211</v>
          </cell>
          <cell r="H82">
            <v>-40111114.159999996</v>
          </cell>
        </row>
        <row r="83">
          <cell r="B83">
            <v>2114</v>
          </cell>
          <cell r="H83">
            <v>-3824250.46</v>
          </cell>
        </row>
        <row r="84">
          <cell r="B84">
            <v>60444400000000</v>
          </cell>
          <cell r="H84">
            <v>-30000</v>
          </cell>
        </row>
        <row r="85">
          <cell r="B85">
            <v>57143000000000</v>
          </cell>
          <cell r="H85">
            <v>0</v>
          </cell>
        </row>
        <row r="86">
          <cell r="B86">
            <v>34028300000000</v>
          </cell>
          <cell r="H86">
            <v>0</v>
          </cell>
        </row>
        <row r="87">
          <cell r="B87" t="str">
            <v>33641663/0001-44</v>
          </cell>
          <cell r="H87">
            <v>0</v>
          </cell>
        </row>
        <row r="88">
          <cell r="B88" t="str">
            <v>69034668/0001-56</v>
          </cell>
          <cell r="H88">
            <v>-429997.67</v>
          </cell>
        </row>
        <row r="89">
          <cell r="B89" t="str">
            <v>67393181/0001-34</v>
          </cell>
          <cell r="H89">
            <v>-79955.009999999995</v>
          </cell>
        </row>
        <row r="90">
          <cell r="B90" t="str">
            <v>07604035/0001-89</v>
          </cell>
          <cell r="H90">
            <v>0</v>
          </cell>
        </row>
        <row r="91">
          <cell r="B91" t="str">
            <v>71208516/0001-74</v>
          </cell>
          <cell r="H91">
            <v>0</v>
          </cell>
        </row>
        <row r="92">
          <cell r="B92" t="str">
            <v>65649154/0001-54</v>
          </cell>
          <cell r="H92">
            <v>0</v>
          </cell>
        </row>
        <row r="93">
          <cell r="B93">
            <v>33634300000000</v>
          </cell>
          <cell r="H93">
            <v>0</v>
          </cell>
        </row>
        <row r="94">
          <cell r="B94">
            <v>30033800000000</v>
          </cell>
          <cell r="H94">
            <v>0</v>
          </cell>
        </row>
        <row r="95">
          <cell r="B95" t="str">
            <v>53113791/0001-22</v>
          </cell>
          <cell r="H95">
            <v>0</v>
          </cell>
        </row>
        <row r="96">
          <cell r="B96" t="str">
            <v>42288886/0001-60</v>
          </cell>
          <cell r="H96">
            <v>0</v>
          </cell>
        </row>
        <row r="97">
          <cell r="B97">
            <v>32578400000000</v>
          </cell>
          <cell r="H97">
            <v>0</v>
          </cell>
        </row>
        <row r="98">
          <cell r="B98" t="str">
            <v>08794730/0001-13</v>
          </cell>
          <cell r="H98">
            <v>0</v>
          </cell>
        </row>
        <row r="99">
          <cell r="B99" t="str">
            <v>86781069/0001-15</v>
          </cell>
          <cell r="H99">
            <v>-19242</v>
          </cell>
        </row>
        <row r="100">
          <cell r="B100" t="str">
            <v>06012731/0001-33</v>
          </cell>
          <cell r="H100">
            <v>0</v>
          </cell>
        </row>
        <row r="101">
          <cell r="B101" t="str">
            <v>05344234/0001-70</v>
          </cell>
          <cell r="H101">
            <v>0</v>
          </cell>
        </row>
        <row r="102">
          <cell r="B102">
            <v>33754500000000</v>
          </cell>
          <cell r="H102">
            <v>0</v>
          </cell>
        </row>
        <row r="103">
          <cell r="B103">
            <v>3017430000000</v>
          </cell>
          <cell r="H103">
            <v>-10232.15</v>
          </cell>
        </row>
        <row r="104">
          <cell r="B104">
            <v>9676510000000</v>
          </cell>
          <cell r="H104">
            <v>0</v>
          </cell>
        </row>
        <row r="105">
          <cell r="B105">
            <v>2247350000000</v>
          </cell>
          <cell r="H105">
            <v>-4750</v>
          </cell>
        </row>
        <row r="106">
          <cell r="B106">
            <v>42356800000000</v>
          </cell>
          <cell r="H106">
            <v>0</v>
          </cell>
        </row>
        <row r="107">
          <cell r="B107">
            <v>8896750000000</v>
          </cell>
          <cell r="H107">
            <v>-2822483.88</v>
          </cell>
        </row>
        <row r="108">
          <cell r="B108">
            <v>23458500000000</v>
          </cell>
          <cell r="H108">
            <v>0</v>
          </cell>
        </row>
        <row r="109">
          <cell r="B109">
            <v>14031100000000</v>
          </cell>
          <cell r="H109">
            <v>0</v>
          </cell>
        </row>
        <row r="110">
          <cell r="B110">
            <v>74336600000000</v>
          </cell>
          <cell r="H110">
            <v>0</v>
          </cell>
        </row>
        <row r="111">
          <cell r="B111">
            <v>28066300000000</v>
          </cell>
          <cell r="H111">
            <v>0</v>
          </cell>
        </row>
        <row r="112">
          <cell r="B112">
            <v>29775800000000</v>
          </cell>
          <cell r="H112">
            <v>0</v>
          </cell>
        </row>
        <row r="113">
          <cell r="B113">
            <v>2081860000000</v>
          </cell>
          <cell r="H113">
            <v>0</v>
          </cell>
        </row>
        <row r="114">
          <cell r="B114">
            <v>7718940000000</v>
          </cell>
          <cell r="H114">
            <v>0</v>
          </cell>
        </row>
        <row r="115">
          <cell r="B115">
            <v>9079570000000</v>
          </cell>
          <cell r="H115">
            <v>0</v>
          </cell>
        </row>
        <row r="116">
          <cell r="B116">
            <v>19088600000000</v>
          </cell>
          <cell r="H116">
            <v>-90000</v>
          </cell>
        </row>
        <row r="117">
          <cell r="B117">
            <v>10242700000000</v>
          </cell>
          <cell r="H117">
            <v>0</v>
          </cell>
        </row>
        <row r="118">
          <cell r="B118">
            <v>34036200000000</v>
          </cell>
          <cell r="H118">
            <v>-120000</v>
          </cell>
        </row>
        <row r="119">
          <cell r="B119">
            <v>36813600000000</v>
          </cell>
          <cell r="H119">
            <v>-20151.490000000002</v>
          </cell>
        </row>
        <row r="120">
          <cell r="B120">
            <v>191477000000</v>
          </cell>
          <cell r="H120">
            <v>-36288</v>
          </cell>
        </row>
        <row r="121">
          <cell r="B121">
            <v>34977900000000</v>
          </cell>
          <cell r="H121">
            <v>0</v>
          </cell>
        </row>
        <row r="122">
          <cell r="B122">
            <v>25131900000000</v>
          </cell>
          <cell r="H122">
            <v>0</v>
          </cell>
        </row>
        <row r="123">
          <cell r="B123">
            <v>33198300000000</v>
          </cell>
          <cell r="H123">
            <v>0</v>
          </cell>
        </row>
        <row r="124">
          <cell r="B124">
            <v>28712100000000</v>
          </cell>
          <cell r="H124">
            <v>-4500</v>
          </cell>
        </row>
        <row r="125">
          <cell r="B125">
            <v>12499500000000</v>
          </cell>
          <cell r="H125">
            <v>0</v>
          </cell>
        </row>
        <row r="126">
          <cell r="B126">
            <v>7843950000000</v>
          </cell>
          <cell r="H126">
            <v>0</v>
          </cell>
        </row>
        <row r="127">
          <cell r="B127">
            <v>38056400000000</v>
          </cell>
          <cell r="H127">
            <v>0</v>
          </cell>
        </row>
        <row r="128">
          <cell r="B128" t="str">
            <v>01707536/000104</v>
          </cell>
          <cell r="H128">
            <v>0</v>
          </cell>
        </row>
        <row r="129">
          <cell r="B129">
            <v>32681700000000</v>
          </cell>
          <cell r="H129">
            <v>0</v>
          </cell>
        </row>
        <row r="130">
          <cell r="B130">
            <v>27553300000000</v>
          </cell>
          <cell r="H130">
            <v>0</v>
          </cell>
        </row>
        <row r="131">
          <cell r="B131">
            <v>5933910000000</v>
          </cell>
          <cell r="H131">
            <v>0</v>
          </cell>
        </row>
        <row r="132">
          <cell r="B132">
            <v>5630090000000</v>
          </cell>
          <cell r="H132">
            <v>0</v>
          </cell>
        </row>
        <row r="133">
          <cell r="B133">
            <v>2114998</v>
          </cell>
          <cell r="H133">
            <v>0</v>
          </cell>
        </row>
        <row r="134">
          <cell r="B134">
            <v>38458400000000</v>
          </cell>
          <cell r="H134">
            <v>0</v>
          </cell>
        </row>
        <row r="135">
          <cell r="B135">
            <v>8210270000000</v>
          </cell>
          <cell r="H135">
            <v>0</v>
          </cell>
        </row>
        <row r="136">
          <cell r="B136">
            <v>37381900000000</v>
          </cell>
          <cell r="H136">
            <v>-4070.62</v>
          </cell>
        </row>
        <row r="137">
          <cell r="B137">
            <v>12782100000000</v>
          </cell>
          <cell r="H137">
            <v>0</v>
          </cell>
        </row>
        <row r="138">
          <cell r="B138">
            <v>772864000000</v>
          </cell>
          <cell r="H138">
            <v>0</v>
          </cell>
        </row>
        <row r="139">
          <cell r="B139">
            <v>69112500000000</v>
          </cell>
          <cell r="H139">
            <v>-723.42</v>
          </cell>
        </row>
        <row r="140">
          <cell r="B140">
            <v>16647700000000</v>
          </cell>
          <cell r="H140">
            <v>-503.11</v>
          </cell>
        </row>
        <row r="141">
          <cell r="B141">
            <v>5342580000000</v>
          </cell>
          <cell r="H141">
            <v>0</v>
          </cell>
        </row>
        <row r="142">
          <cell r="B142">
            <v>4842770000000</v>
          </cell>
          <cell r="H142">
            <v>0</v>
          </cell>
        </row>
        <row r="143">
          <cell r="B143">
            <v>32493600000000</v>
          </cell>
          <cell r="H143">
            <v>0</v>
          </cell>
        </row>
        <row r="144">
          <cell r="B144">
            <v>8808150000000</v>
          </cell>
          <cell r="H144">
            <v>-690.94</v>
          </cell>
        </row>
        <row r="145">
          <cell r="B145">
            <v>26391300000000</v>
          </cell>
          <cell r="H145">
            <v>0</v>
          </cell>
        </row>
        <row r="146">
          <cell r="B146">
            <v>28000129</v>
          </cell>
          <cell r="H146">
            <v>-1333.12</v>
          </cell>
        </row>
        <row r="147">
          <cell r="B147">
            <v>4567270000000</v>
          </cell>
          <cell r="H147">
            <v>0</v>
          </cell>
        </row>
        <row r="148">
          <cell r="B148">
            <v>61825700000000</v>
          </cell>
          <cell r="H148">
            <v>-2444.4899999999998</v>
          </cell>
        </row>
        <row r="149">
          <cell r="B149">
            <v>26344400000000</v>
          </cell>
          <cell r="H149">
            <v>0</v>
          </cell>
        </row>
        <row r="150">
          <cell r="B150">
            <v>17178200000000</v>
          </cell>
          <cell r="H150">
            <v>-290</v>
          </cell>
        </row>
        <row r="151">
          <cell r="B151">
            <v>30040100000000</v>
          </cell>
          <cell r="H151">
            <v>0</v>
          </cell>
        </row>
        <row r="152">
          <cell r="B152">
            <v>13789800000000</v>
          </cell>
          <cell r="H152">
            <v>0</v>
          </cell>
        </row>
        <row r="153">
          <cell r="B153">
            <v>42422300000000</v>
          </cell>
          <cell r="H153">
            <v>0</v>
          </cell>
        </row>
        <row r="154">
          <cell r="B154">
            <v>48707800000000</v>
          </cell>
          <cell r="H154">
            <v>0</v>
          </cell>
        </row>
        <row r="155">
          <cell r="B155">
            <v>7708130000000</v>
          </cell>
          <cell r="H155">
            <v>-4800</v>
          </cell>
        </row>
        <row r="156">
          <cell r="B156" t="str">
            <v>50974018/0001-62</v>
          </cell>
          <cell r="H156">
            <v>0</v>
          </cell>
        </row>
        <row r="157">
          <cell r="B157">
            <v>57929000000000</v>
          </cell>
          <cell r="H157">
            <v>0</v>
          </cell>
        </row>
        <row r="158">
          <cell r="B158">
            <v>52281400000000</v>
          </cell>
          <cell r="H158">
            <v>0</v>
          </cell>
        </row>
        <row r="159">
          <cell r="B159">
            <v>7112530000000</v>
          </cell>
          <cell r="H159">
            <v>0</v>
          </cell>
        </row>
        <row r="160">
          <cell r="B160">
            <v>33372300000000</v>
          </cell>
          <cell r="H160">
            <v>0</v>
          </cell>
        </row>
        <row r="161">
          <cell r="B161">
            <v>25249900000000</v>
          </cell>
          <cell r="H161">
            <v>0</v>
          </cell>
        </row>
        <row r="162">
          <cell r="B162">
            <v>16915200000000</v>
          </cell>
          <cell r="H162">
            <v>0</v>
          </cell>
        </row>
        <row r="163">
          <cell r="B163">
            <v>9494320000000</v>
          </cell>
          <cell r="H163">
            <v>0</v>
          </cell>
        </row>
        <row r="164">
          <cell r="B164">
            <v>52551700000000</v>
          </cell>
          <cell r="H164">
            <v>-5346</v>
          </cell>
        </row>
        <row r="165">
          <cell r="B165">
            <v>53940200000000</v>
          </cell>
          <cell r="H165">
            <v>0</v>
          </cell>
        </row>
        <row r="166">
          <cell r="B166">
            <v>58567900000000</v>
          </cell>
          <cell r="H166">
            <v>0</v>
          </cell>
        </row>
        <row r="167">
          <cell r="B167">
            <v>50258600000000</v>
          </cell>
          <cell r="H167">
            <v>0</v>
          </cell>
        </row>
        <row r="168">
          <cell r="B168">
            <v>51341100000000</v>
          </cell>
          <cell r="H168">
            <v>0</v>
          </cell>
        </row>
        <row r="169">
          <cell r="B169">
            <v>4338230000000</v>
          </cell>
          <cell r="H169">
            <v>0</v>
          </cell>
        </row>
        <row r="170">
          <cell r="B170">
            <v>28733100000000</v>
          </cell>
          <cell r="H170">
            <v>0</v>
          </cell>
        </row>
        <row r="171">
          <cell r="B171">
            <v>32249200000000</v>
          </cell>
          <cell r="H171">
            <v>0</v>
          </cell>
        </row>
        <row r="172">
          <cell r="B172">
            <v>2298310000000</v>
          </cell>
          <cell r="H172">
            <v>-1320</v>
          </cell>
        </row>
        <row r="173">
          <cell r="B173">
            <v>641556000000</v>
          </cell>
          <cell r="H173">
            <v>-100000</v>
          </cell>
        </row>
        <row r="174">
          <cell r="B174">
            <v>60975100000000</v>
          </cell>
          <cell r="H174">
            <v>-35128.559999999998</v>
          </cell>
        </row>
        <row r="175">
          <cell r="B175">
            <v>2116</v>
          </cell>
          <cell r="H175">
            <v>-15994.74</v>
          </cell>
        </row>
        <row r="176">
          <cell r="B176">
            <v>21162</v>
          </cell>
          <cell r="H176">
            <v>-2810.58</v>
          </cell>
        </row>
        <row r="177">
          <cell r="B177">
            <v>21163</v>
          </cell>
          <cell r="H177">
            <v>-13184.16</v>
          </cell>
        </row>
        <row r="178">
          <cell r="B178">
            <v>2117</v>
          </cell>
          <cell r="H178">
            <v>-2766190.47</v>
          </cell>
        </row>
        <row r="179">
          <cell r="B179">
            <v>561</v>
          </cell>
          <cell r="H179">
            <v>-2650081.31</v>
          </cell>
        </row>
        <row r="180">
          <cell r="B180" t="str">
            <v>INSS</v>
          </cell>
          <cell r="H180">
            <v>-15628.11</v>
          </cell>
        </row>
        <row r="181">
          <cell r="B181">
            <v>6147</v>
          </cell>
          <cell r="H181">
            <v>-7250.33</v>
          </cell>
        </row>
        <row r="182">
          <cell r="B182">
            <v>6190</v>
          </cell>
          <cell r="H182">
            <v>-92172.12</v>
          </cell>
        </row>
        <row r="183">
          <cell r="B183">
            <v>6175</v>
          </cell>
          <cell r="H183">
            <v>-1058.5999999999999</v>
          </cell>
        </row>
        <row r="184">
          <cell r="B184">
            <v>2118</v>
          </cell>
          <cell r="H184">
            <v>-29924861.510000002</v>
          </cell>
        </row>
        <row r="185">
          <cell r="B185">
            <v>21181</v>
          </cell>
          <cell r="H185">
            <v>-4920717.93</v>
          </cell>
        </row>
        <row r="186">
          <cell r="B186">
            <v>21182</v>
          </cell>
          <cell r="H186">
            <v>-6362114.5899999999</v>
          </cell>
        </row>
        <row r="187">
          <cell r="B187">
            <v>21183</v>
          </cell>
          <cell r="H187">
            <v>-10364675.109999999</v>
          </cell>
        </row>
        <row r="188">
          <cell r="B188">
            <v>21184</v>
          </cell>
          <cell r="H188">
            <v>-2014112.01</v>
          </cell>
        </row>
        <row r="189">
          <cell r="B189">
            <v>21185</v>
          </cell>
          <cell r="H189">
            <v>-593385.22</v>
          </cell>
        </row>
        <row r="190">
          <cell r="B190">
            <v>21186</v>
          </cell>
          <cell r="H190">
            <v>0</v>
          </cell>
        </row>
        <row r="191">
          <cell r="B191">
            <v>21187</v>
          </cell>
          <cell r="H191">
            <v>-25009.759999999998</v>
          </cell>
        </row>
        <row r="192">
          <cell r="B192">
            <v>21188</v>
          </cell>
          <cell r="H192">
            <v>0</v>
          </cell>
        </row>
        <row r="193">
          <cell r="B193">
            <v>21189</v>
          </cell>
          <cell r="H193">
            <v>-470730.17</v>
          </cell>
        </row>
        <row r="194">
          <cell r="B194">
            <v>211810</v>
          </cell>
          <cell r="H194">
            <v>-1420716.96</v>
          </cell>
        </row>
        <row r="195">
          <cell r="B195">
            <v>211811</v>
          </cell>
          <cell r="H195">
            <v>-233414.84</v>
          </cell>
        </row>
        <row r="196">
          <cell r="B196">
            <v>211812</v>
          </cell>
          <cell r="H196">
            <v>-2325977.61</v>
          </cell>
        </row>
        <row r="197">
          <cell r="B197">
            <v>211813</v>
          </cell>
          <cell r="H197">
            <v>-829545.6</v>
          </cell>
        </row>
        <row r="198">
          <cell r="B198">
            <v>211814</v>
          </cell>
          <cell r="H198">
            <v>-101263.64</v>
          </cell>
        </row>
        <row r="199">
          <cell r="B199">
            <v>211815</v>
          </cell>
          <cell r="H199">
            <v>-15051.81</v>
          </cell>
        </row>
        <row r="200">
          <cell r="B200">
            <v>211816</v>
          </cell>
          <cell r="H200">
            <v>-248146.26</v>
          </cell>
        </row>
        <row r="201">
          <cell r="B201">
            <v>21114</v>
          </cell>
          <cell r="H201">
            <v>-67194.98</v>
          </cell>
        </row>
        <row r="202">
          <cell r="B202">
            <v>211145</v>
          </cell>
          <cell r="H202">
            <v>-32702.46</v>
          </cell>
        </row>
        <row r="203">
          <cell r="B203">
            <v>211148</v>
          </cell>
          <cell r="H203">
            <v>-34492.519999999997</v>
          </cell>
        </row>
        <row r="204">
          <cell r="B204">
            <v>21115</v>
          </cell>
          <cell r="H204">
            <v>-466036</v>
          </cell>
        </row>
        <row r="205">
          <cell r="B205">
            <v>211151</v>
          </cell>
          <cell r="H205">
            <v>-466036</v>
          </cell>
        </row>
        <row r="206">
          <cell r="B206">
            <v>21116</v>
          </cell>
          <cell r="H206">
            <v>-3046586</v>
          </cell>
        </row>
        <row r="207">
          <cell r="B207">
            <v>211161</v>
          </cell>
          <cell r="H207">
            <v>-3725426.64</v>
          </cell>
        </row>
        <row r="208">
          <cell r="B208">
            <v>211162</v>
          </cell>
          <cell r="H208">
            <v>678840.64</v>
          </cell>
        </row>
        <row r="209">
          <cell r="B209">
            <v>22</v>
          </cell>
          <cell r="H209">
            <v>-22057644.620000001</v>
          </cell>
        </row>
        <row r="210">
          <cell r="B210">
            <v>221</v>
          </cell>
          <cell r="H210">
            <v>-22057644.620000001</v>
          </cell>
        </row>
        <row r="211">
          <cell r="B211">
            <v>2215</v>
          </cell>
          <cell r="H211">
            <v>-9834890.6899999995</v>
          </cell>
        </row>
        <row r="212">
          <cell r="B212">
            <v>22151</v>
          </cell>
          <cell r="H212">
            <v>-2083048.8</v>
          </cell>
        </row>
        <row r="213">
          <cell r="B213">
            <v>22153</v>
          </cell>
          <cell r="H213">
            <v>-7751841.8899999997</v>
          </cell>
        </row>
        <row r="214">
          <cell r="B214">
            <v>2218</v>
          </cell>
          <cell r="H214">
            <v>-12222753.93</v>
          </cell>
        </row>
        <row r="215">
          <cell r="B215">
            <v>22181</v>
          </cell>
          <cell r="H215">
            <v>-13349445.460000001</v>
          </cell>
        </row>
        <row r="216">
          <cell r="B216">
            <v>22182</v>
          </cell>
          <cell r="H216">
            <v>1126691.53</v>
          </cell>
        </row>
        <row r="217">
          <cell r="B217" t="str">
            <v>PL</v>
          </cell>
          <cell r="H217">
            <v>-31708030.199999999</v>
          </cell>
        </row>
        <row r="218">
          <cell r="B218">
            <v>241</v>
          </cell>
          <cell r="H218">
            <v>-34443159.609999999</v>
          </cell>
        </row>
        <row r="219">
          <cell r="B219">
            <v>2411</v>
          </cell>
          <cell r="H219">
            <v>-34443159.609999999</v>
          </cell>
        </row>
        <row r="220">
          <cell r="B220">
            <v>24111</v>
          </cell>
          <cell r="H220">
            <v>-34443159.609999999</v>
          </cell>
        </row>
        <row r="221">
          <cell r="B221">
            <v>243</v>
          </cell>
          <cell r="H221">
            <v>60.64</v>
          </cell>
        </row>
        <row r="222">
          <cell r="B222">
            <v>2431</v>
          </cell>
          <cell r="H222">
            <v>60.64</v>
          </cell>
        </row>
        <row r="223">
          <cell r="B223">
            <v>24311</v>
          </cell>
          <cell r="H223">
            <v>60.64</v>
          </cell>
        </row>
        <row r="224">
          <cell r="B224">
            <v>246</v>
          </cell>
          <cell r="H224">
            <v>4228862.8099999996</v>
          </cell>
        </row>
        <row r="225">
          <cell r="B225">
            <v>2462</v>
          </cell>
          <cell r="H225">
            <v>2833698.9</v>
          </cell>
        </row>
        <row r="226">
          <cell r="B226">
            <v>24622</v>
          </cell>
          <cell r="H226">
            <v>2833698.9</v>
          </cell>
        </row>
        <row r="227">
          <cell r="B227">
            <v>24699</v>
          </cell>
          <cell r="H227">
            <v>1395163.91</v>
          </cell>
        </row>
        <row r="228">
          <cell r="B228">
            <v>246991</v>
          </cell>
          <cell r="H228">
            <v>1395163.91</v>
          </cell>
        </row>
        <row r="229">
          <cell r="B229">
            <v>247</v>
          </cell>
          <cell r="H229">
            <v>-1493794.04</v>
          </cell>
        </row>
        <row r="230">
          <cell r="B230">
            <v>2471</v>
          </cell>
          <cell r="H230">
            <v>-1493794.04</v>
          </cell>
        </row>
        <row r="231">
          <cell r="B231">
            <v>24711</v>
          </cell>
          <cell r="H231">
            <v>-1493794.04</v>
          </cell>
        </row>
        <row r="232">
          <cell r="B232">
            <v>3</v>
          </cell>
          <cell r="H232">
            <v>-160188305.08000001</v>
          </cell>
        </row>
        <row r="233">
          <cell r="B233">
            <v>31</v>
          </cell>
          <cell r="H233">
            <v>-158826622.12</v>
          </cell>
        </row>
        <row r="234">
          <cell r="B234">
            <v>311</v>
          </cell>
          <cell r="H234">
            <v>-158826622.12</v>
          </cell>
        </row>
        <row r="235">
          <cell r="B235">
            <v>3111</v>
          </cell>
          <cell r="H235">
            <v>-158826622.12</v>
          </cell>
        </row>
        <row r="236">
          <cell r="B236">
            <v>31111</v>
          </cell>
          <cell r="H236">
            <v>-158826622.12</v>
          </cell>
        </row>
        <row r="237">
          <cell r="B237">
            <v>33</v>
          </cell>
          <cell r="H237">
            <v>-1361682.96</v>
          </cell>
        </row>
        <row r="238">
          <cell r="B238">
            <v>331</v>
          </cell>
          <cell r="H238">
            <v>-576602.41</v>
          </cell>
        </row>
        <row r="239">
          <cell r="B239">
            <v>3311</v>
          </cell>
          <cell r="H239">
            <v>-576602.41</v>
          </cell>
        </row>
        <row r="240">
          <cell r="B240">
            <v>33115</v>
          </cell>
          <cell r="H240">
            <v>-249041.93</v>
          </cell>
        </row>
        <row r="241">
          <cell r="B241">
            <v>33116</v>
          </cell>
          <cell r="H241">
            <v>-327560.48</v>
          </cell>
        </row>
        <row r="242">
          <cell r="B242">
            <v>336</v>
          </cell>
          <cell r="H242">
            <v>-624080.55000000005</v>
          </cell>
        </row>
        <row r="243">
          <cell r="B243">
            <v>3361</v>
          </cell>
          <cell r="H243">
            <v>-624080.55000000005</v>
          </cell>
        </row>
        <row r="244">
          <cell r="B244">
            <v>33611</v>
          </cell>
          <cell r="H244">
            <v>-624080.55000000005</v>
          </cell>
        </row>
        <row r="245">
          <cell r="B245">
            <v>339</v>
          </cell>
          <cell r="H245">
            <v>-161000</v>
          </cell>
        </row>
        <row r="246">
          <cell r="B246">
            <v>33910</v>
          </cell>
          <cell r="H246">
            <v>-161000</v>
          </cell>
        </row>
        <row r="247">
          <cell r="B247">
            <v>339101</v>
          </cell>
          <cell r="H247">
            <v>-161000</v>
          </cell>
        </row>
        <row r="248">
          <cell r="B248">
            <v>4</v>
          </cell>
          <cell r="H248">
            <v>161583468.99000001</v>
          </cell>
        </row>
        <row r="249">
          <cell r="B249">
            <v>41</v>
          </cell>
          <cell r="H249">
            <v>100898350</v>
          </cell>
        </row>
        <row r="250">
          <cell r="B250">
            <v>411</v>
          </cell>
          <cell r="H250">
            <v>88242723.25</v>
          </cell>
        </row>
        <row r="251">
          <cell r="B251">
            <v>4111</v>
          </cell>
          <cell r="H251">
            <v>59918499.700000003</v>
          </cell>
        </row>
        <row r="252">
          <cell r="B252">
            <v>41111</v>
          </cell>
          <cell r="H252">
            <v>48917656.329999998</v>
          </cell>
        </row>
        <row r="253">
          <cell r="B253">
            <v>41117</v>
          </cell>
          <cell r="H253">
            <v>5512286.9400000004</v>
          </cell>
        </row>
        <row r="254">
          <cell r="B254">
            <v>41118</v>
          </cell>
          <cell r="H254">
            <v>582755.30000000005</v>
          </cell>
        </row>
        <row r="255">
          <cell r="B255">
            <v>41119</v>
          </cell>
          <cell r="H255">
            <v>4517895.01</v>
          </cell>
        </row>
        <row r="256">
          <cell r="B256">
            <v>411111</v>
          </cell>
          <cell r="H256">
            <v>243793.36</v>
          </cell>
        </row>
        <row r="257">
          <cell r="B257">
            <v>411113</v>
          </cell>
          <cell r="H257">
            <v>27115.23</v>
          </cell>
        </row>
        <row r="258">
          <cell r="B258">
            <v>411114</v>
          </cell>
          <cell r="H258">
            <v>116997.53</v>
          </cell>
        </row>
        <row r="259">
          <cell r="B259">
            <v>4112</v>
          </cell>
          <cell r="H259">
            <v>18773367.050000001</v>
          </cell>
        </row>
        <row r="260">
          <cell r="B260">
            <v>41121</v>
          </cell>
          <cell r="H260">
            <v>11469709.439999999</v>
          </cell>
        </row>
        <row r="261">
          <cell r="B261">
            <v>41122</v>
          </cell>
          <cell r="H261">
            <v>4061249.6</v>
          </cell>
        </row>
        <row r="262">
          <cell r="B262">
            <v>41124</v>
          </cell>
          <cell r="H262">
            <v>1013615.7</v>
          </cell>
        </row>
        <row r="263">
          <cell r="B263">
            <v>41125</v>
          </cell>
          <cell r="H263">
            <v>1399946.51</v>
          </cell>
        </row>
        <row r="264">
          <cell r="B264">
            <v>41126</v>
          </cell>
          <cell r="H264">
            <v>466762.42</v>
          </cell>
        </row>
        <row r="265">
          <cell r="B265">
            <v>41127</v>
          </cell>
          <cell r="H265">
            <v>362083.38</v>
          </cell>
        </row>
        <row r="266">
          <cell r="B266">
            <v>4113</v>
          </cell>
          <cell r="H266">
            <v>9550856.5</v>
          </cell>
        </row>
        <row r="267">
          <cell r="B267">
            <v>41131</v>
          </cell>
          <cell r="H267">
            <v>3529622.47</v>
          </cell>
        </row>
        <row r="268">
          <cell r="B268">
            <v>41132</v>
          </cell>
          <cell r="H268">
            <v>3306714.14</v>
          </cell>
        </row>
        <row r="269">
          <cell r="B269">
            <v>41133</v>
          </cell>
          <cell r="H269">
            <v>0</v>
          </cell>
        </row>
        <row r="270">
          <cell r="B270">
            <v>41135</v>
          </cell>
          <cell r="H270">
            <v>716144.03</v>
          </cell>
        </row>
        <row r="271">
          <cell r="B271">
            <v>41136</v>
          </cell>
          <cell r="H271">
            <v>1943455.33</v>
          </cell>
        </row>
        <row r="272">
          <cell r="B272">
            <v>411310</v>
          </cell>
          <cell r="H272">
            <v>22881.89</v>
          </cell>
        </row>
        <row r="273">
          <cell r="B273">
            <v>411311</v>
          </cell>
          <cell r="H273">
            <v>32038.639999999999</v>
          </cell>
        </row>
        <row r="274">
          <cell r="B274">
            <v>413</v>
          </cell>
          <cell r="H274">
            <v>6113711.1500000004</v>
          </cell>
        </row>
        <row r="275">
          <cell r="B275">
            <v>4131</v>
          </cell>
          <cell r="H275">
            <v>6113711.1500000004</v>
          </cell>
        </row>
        <row r="276">
          <cell r="B276">
            <v>41311</v>
          </cell>
          <cell r="H276">
            <v>385950.49</v>
          </cell>
        </row>
        <row r="277">
          <cell r="B277">
            <v>41312</v>
          </cell>
          <cell r="H277">
            <v>956145.97</v>
          </cell>
        </row>
        <row r="278">
          <cell r="B278">
            <v>41315</v>
          </cell>
          <cell r="H278">
            <v>1250566.55</v>
          </cell>
        </row>
        <row r="279">
          <cell r="B279">
            <v>41316</v>
          </cell>
          <cell r="H279">
            <v>6875</v>
          </cell>
        </row>
        <row r="280">
          <cell r="B280">
            <v>413114</v>
          </cell>
          <cell r="H280">
            <v>2968288.75</v>
          </cell>
        </row>
        <row r="281">
          <cell r="B281">
            <v>413117</v>
          </cell>
          <cell r="H281">
            <v>532925.31000000006</v>
          </cell>
        </row>
        <row r="282">
          <cell r="B282">
            <v>4131997</v>
          </cell>
          <cell r="H282">
            <v>12959.08</v>
          </cell>
        </row>
        <row r="283">
          <cell r="B283">
            <v>414</v>
          </cell>
          <cell r="H283">
            <v>337745.23</v>
          </cell>
        </row>
        <row r="284">
          <cell r="B284">
            <v>4141</v>
          </cell>
          <cell r="H284">
            <v>337745.23</v>
          </cell>
        </row>
        <row r="285">
          <cell r="B285">
            <v>41412</v>
          </cell>
          <cell r="H285">
            <v>324595.83</v>
          </cell>
        </row>
        <row r="286">
          <cell r="B286">
            <v>41418</v>
          </cell>
          <cell r="H286">
            <v>13149.4</v>
          </cell>
        </row>
        <row r="287">
          <cell r="B287">
            <v>416</v>
          </cell>
          <cell r="H287">
            <v>6204170.3700000001</v>
          </cell>
        </row>
        <row r="288">
          <cell r="B288">
            <v>4161</v>
          </cell>
          <cell r="H288">
            <v>2487344.73</v>
          </cell>
        </row>
        <row r="289">
          <cell r="B289">
            <v>41614</v>
          </cell>
          <cell r="H289">
            <v>667399.24</v>
          </cell>
        </row>
        <row r="290">
          <cell r="B290">
            <v>41616</v>
          </cell>
          <cell r="H290">
            <v>22087.279999999999</v>
          </cell>
        </row>
        <row r="291">
          <cell r="B291">
            <v>416112</v>
          </cell>
          <cell r="H291">
            <v>3887.07</v>
          </cell>
        </row>
        <row r="292">
          <cell r="B292">
            <v>416114</v>
          </cell>
          <cell r="H292">
            <v>568753.66</v>
          </cell>
        </row>
        <row r="293">
          <cell r="B293">
            <v>416115</v>
          </cell>
          <cell r="H293">
            <v>330378.44</v>
          </cell>
        </row>
        <row r="294">
          <cell r="B294">
            <v>416116</v>
          </cell>
          <cell r="H294">
            <v>894839.04</v>
          </cell>
        </row>
        <row r="295">
          <cell r="B295">
            <v>4162</v>
          </cell>
          <cell r="H295">
            <v>3716825.64</v>
          </cell>
        </row>
        <row r="296">
          <cell r="B296">
            <v>41621</v>
          </cell>
          <cell r="H296">
            <v>792852.83</v>
          </cell>
        </row>
        <row r="297">
          <cell r="B297">
            <v>41624</v>
          </cell>
          <cell r="H297">
            <v>494279.18</v>
          </cell>
        </row>
        <row r="298">
          <cell r="B298">
            <v>41626</v>
          </cell>
          <cell r="H298">
            <v>541406.71</v>
          </cell>
        </row>
        <row r="299">
          <cell r="B299">
            <v>41627</v>
          </cell>
          <cell r="H299">
            <v>1590069.06</v>
          </cell>
        </row>
        <row r="300">
          <cell r="B300">
            <v>416210</v>
          </cell>
          <cell r="H300">
            <v>298217.86</v>
          </cell>
        </row>
        <row r="301">
          <cell r="B301">
            <v>42</v>
          </cell>
          <cell r="H301">
            <v>60685118.990000002</v>
          </cell>
        </row>
        <row r="302">
          <cell r="B302">
            <v>421</v>
          </cell>
          <cell r="H302">
            <v>41010457.850000001</v>
          </cell>
        </row>
        <row r="303">
          <cell r="B303">
            <v>4211</v>
          </cell>
          <cell r="H303">
            <v>28381665.850000001</v>
          </cell>
        </row>
        <row r="304">
          <cell r="B304">
            <v>42111</v>
          </cell>
          <cell r="H304">
            <v>22887187.73</v>
          </cell>
        </row>
        <row r="305">
          <cell r="B305">
            <v>42117</v>
          </cell>
          <cell r="H305">
            <v>3155990.35</v>
          </cell>
        </row>
        <row r="306">
          <cell r="B306">
            <v>42118</v>
          </cell>
          <cell r="H306">
            <v>207398.01</v>
          </cell>
        </row>
        <row r="307">
          <cell r="B307">
            <v>42119</v>
          </cell>
          <cell r="H307">
            <v>2049848.28</v>
          </cell>
        </row>
        <row r="308">
          <cell r="B308">
            <v>421112</v>
          </cell>
          <cell r="H308">
            <v>6909.73</v>
          </cell>
        </row>
        <row r="309">
          <cell r="B309">
            <v>421114</v>
          </cell>
          <cell r="H309">
            <v>74331.75</v>
          </cell>
        </row>
        <row r="310">
          <cell r="B310">
            <v>4212</v>
          </cell>
          <cell r="H310">
            <v>8206426.8700000001</v>
          </cell>
        </row>
        <row r="311">
          <cell r="B311">
            <v>42121</v>
          </cell>
          <cell r="H311">
            <v>5012967.5199999996</v>
          </cell>
        </row>
        <row r="312">
          <cell r="B312">
            <v>42122</v>
          </cell>
          <cell r="H312">
            <v>1811114.45</v>
          </cell>
        </row>
        <row r="313">
          <cell r="B313">
            <v>42124</v>
          </cell>
          <cell r="H313">
            <v>451777.11</v>
          </cell>
        </row>
        <row r="314">
          <cell r="B314">
            <v>42125</v>
          </cell>
          <cell r="H314">
            <v>578323.78</v>
          </cell>
        </row>
        <row r="315">
          <cell r="B315">
            <v>42126</v>
          </cell>
          <cell r="H315">
            <v>191455.21</v>
          </cell>
        </row>
        <row r="316">
          <cell r="B316">
            <v>42127</v>
          </cell>
          <cell r="H316">
            <v>160788.79999999999</v>
          </cell>
        </row>
        <row r="317">
          <cell r="B317">
            <v>4213</v>
          </cell>
          <cell r="H317">
            <v>4422365.13</v>
          </cell>
        </row>
        <row r="318">
          <cell r="B318">
            <v>42131</v>
          </cell>
          <cell r="H318">
            <v>1478512.49</v>
          </cell>
        </row>
        <row r="319">
          <cell r="B319">
            <v>42132</v>
          </cell>
          <cell r="H319">
            <v>1468304.43</v>
          </cell>
        </row>
        <row r="320">
          <cell r="B320">
            <v>42133</v>
          </cell>
          <cell r="H320">
            <v>32883.360000000001</v>
          </cell>
        </row>
        <row r="321">
          <cell r="B321">
            <v>42134</v>
          </cell>
          <cell r="H321">
            <v>218272.63</v>
          </cell>
        </row>
        <row r="322">
          <cell r="B322">
            <v>42135</v>
          </cell>
          <cell r="H322">
            <v>221491.41</v>
          </cell>
        </row>
        <row r="323">
          <cell r="B323">
            <v>42136</v>
          </cell>
          <cell r="H323">
            <v>880711.2</v>
          </cell>
        </row>
        <row r="324">
          <cell r="B324">
            <v>421310</v>
          </cell>
          <cell r="H324">
            <v>7576.16</v>
          </cell>
        </row>
        <row r="325">
          <cell r="B325">
            <v>421311</v>
          </cell>
          <cell r="H325">
            <v>114613.45</v>
          </cell>
        </row>
        <row r="326">
          <cell r="B326">
            <v>422</v>
          </cell>
          <cell r="H326">
            <v>90397.11</v>
          </cell>
        </row>
        <row r="327">
          <cell r="B327">
            <v>4221</v>
          </cell>
          <cell r="H327">
            <v>90397.11</v>
          </cell>
        </row>
        <row r="328">
          <cell r="B328">
            <v>42211</v>
          </cell>
          <cell r="H328">
            <v>90397.11</v>
          </cell>
        </row>
        <row r="329">
          <cell r="B329">
            <v>423</v>
          </cell>
          <cell r="H329">
            <v>8581891.4000000004</v>
          </cell>
        </row>
        <row r="330">
          <cell r="B330">
            <v>4231</v>
          </cell>
          <cell r="H330">
            <v>8581891.4000000004</v>
          </cell>
        </row>
        <row r="331">
          <cell r="B331">
            <v>42311</v>
          </cell>
          <cell r="H331">
            <v>666563.6</v>
          </cell>
        </row>
        <row r="332">
          <cell r="B332">
            <v>42312</v>
          </cell>
          <cell r="H332">
            <v>1465472.5</v>
          </cell>
        </row>
        <row r="333">
          <cell r="B333">
            <v>42313</v>
          </cell>
          <cell r="H333">
            <v>697262.27</v>
          </cell>
        </row>
        <row r="334">
          <cell r="B334">
            <v>42315</v>
          </cell>
          <cell r="H334">
            <v>635309.16</v>
          </cell>
        </row>
        <row r="335">
          <cell r="B335">
            <v>42316</v>
          </cell>
          <cell r="H335">
            <v>3049.42</v>
          </cell>
        </row>
        <row r="336">
          <cell r="B336">
            <v>42317</v>
          </cell>
          <cell r="H336">
            <v>592596.28</v>
          </cell>
        </row>
        <row r="337">
          <cell r="B337">
            <v>42318</v>
          </cell>
          <cell r="H337">
            <v>260226.34</v>
          </cell>
        </row>
        <row r="338">
          <cell r="B338">
            <v>423113</v>
          </cell>
          <cell r="H338">
            <v>199403.29</v>
          </cell>
        </row>
        <row r="339">
          <cell r="B339">
            <v>423114</v>
          </cell>
          <cell r="H339">
            <v>3254648.06</v>
          </cell>
        </row>
        <row r="340">
          <cell r="B340">
            <v>423115</v>
          </cell>
          <cell r="H340">
            <v>28800</v>
          </cell>
        </row>
        <row r="341">
          <cell r="B341">
            <v>423117</v>
          </cell>
          <cell r="H341">
            <v>437644.24</v>
          </cell>
        </row>
        <row r="342">
          <cell r="B342">
            <v>423118</v>
          </cell>
          <cell r="H342">
            <v>300767.23</v>
          </cell>
        </row>
        <row r="343">
          <cell r="B343">
            <v>423119</v>
          </cell>
          <cell r="H343">
            <v>40149.01</v>
          </cell>
        </row>
        <row r="344">
          <cell r="B344">
            <v>424</v>
          </cell>
          <cell r="H344">
            <v>188513.57</v>
          </cell>
        </row>
        <row r="345">
          <cell r="B345">
            <v>4241</v>
          </cell>
          <cell r="H345">
            <v>188513.57</v>
          </cell>
        </row>
        <row r="346">
          <cell r="B346">
            <v>42412</v>
          </cell>
          <cell r="H346">
            <v>134326.59</v>
          </cell>
        </row>
        <row r="347">
          <cell r="B347">
            <v>42415</v>
          </cell>
          <cell r="H347">
            <v>6404.43</v>
          </cell>
        </row>
        <row r="348">
          <cell r="B348">
            <v>42416</v>
          </cell>
          <cell r="H348">
            <v>35300.11</v>
          </cell>
        </row>
        <row r="349">
          <cell r="B349">
            <v>424112</v>
          </cell>
          <cell r="H349">
            <v>12482.44</v>
          </cell>
        </row>
        <row r="350">
          <cell r="B350">
            <v>425</v>
          </cell>
          <cell r="H350">
            <v>374532.11</v>
          </cell>
        </row>
        <row r="351">
          <cell r="B351">
            <v>4254</v>
          </cell>
          <cell r="H351">
            <v>374532.11</v>
          </cell>
        </row>
        <row r="352">
          <cell r="B352">
            <v>42541</v>
          </cell>
          <cell r="H352">
            <v>374532.11</v>
          </cell>
        </row>
        <row r="353">
          <cell r="B353">
            <v>426</v>
          </cell>
          <cell r="H353">
            <v>9203279.9199999999</v>
          </cell>
        </row>
        <row r="354">
          <cell r="B354">
            <v>4261</v>
          </cell>
          <cell r="H354">
            <v>6373837.2400000002</v>
          </cell>
        </row>
        <row r="355">
          <cell r="B355">
            <v>42613</v>
          </cell>
          <cell r="H355">
            <v>39474.26</v>
          </cell>
        </row>
        <row r="356">
          <cell r="B356">
            <v>42614</v>
          </cell>
          <cell r="H356">
            <v>276187.95</v>
          </cell>
        </row>
        <row r="357">
          <cell r="B357">
            <v>42616</v>
          </cell>
          <cell r="H357">
            <v>9159.3799999999992</v>
          </cell>
        </row>
        <row r="358">
          <cell r="B358">
            <v>42617</v>
          </cell>
          <cell r="H358">
            <v>999.33</v>
          </cell>
        </row>
        <row r="359">
          <cell r="B359">
            <v>426111</v>
          </cell>
          <cell r="H359">
            <v>2647332.62</v>
          </cell>
        </row>
        <row r="360">
          <cell r="B360">
            <v>426112</v>
          </cell>
          <cell r="H360">
            <v>40404.25</v>
          </cell>
        </row>
        <row r="361">
          <cell r="B361">
            <v>426114</v>
          </cell>
          <cell r="H361">
            <v>222259.17</v>
          </cell>
        </row>
        <row r="362">
          <cell r="B362">
            <v>426116</v>
          </cell>
          <cell r="H362">
            <v>370308.76</v>
          </cell>
        </row>
        <row r="363">
          <cell r="B363">
            <v>426117</v>
          </cell>
          <cell r="H363">
            <v>139945.31</v>
          </cell>
        </row>
        <row r="364">
          <cell r="B364">
            <v>426118</v>
          </cell>
          <cell r="H364">
            <v>2627766.21</v>
          </cell>
        </row>
        <row r="365">
          <cell r="B365">
            <v>4262</v>
          </cell>
          <cell r="H365">
            <v>2829442.68</v>
          </cell>
        </row>
        <row r="366">
          <cell r="B366">
            <v>42621</v>
          </cell>
          <cell r="H366">
            <v>311135.27</v>
          </cell>
        </row>
        <row r="367">
          <cell r="B367">
            <v>42622</v>
          </cell>
          <cell r="H367">
            <v>425173.46</v>
          </cell>
        </row>
        <row r="368">
          <cell r="B368">
            <v>42624</v>
          </cell>
          <cell r="H368">
            <v>449345.06</v>
          </cell>
        </row>
        <row r="369">
          <cell r="B369">
            <v>42625</v>
          </cell>
          <cell r="H369">
            <v>9759.91</v>
          </cell>
        </row>
        <row r="370">
          <cell r="B370">
            <v>42626</v>
          </cell>
          <cell r="H370">
            <v>250760.95</v>
          </cell>
        </row>
        <row r="371">
          <cell r="B371">
            <v>42627</v>
          </cell>
          <cell r="H371">
            <v>1015079.55</v>
          </cell>
        </row>
        <row r="372">
          <cell r="B372">
            <v>42629</v>
          </cell>
          <cell r="H372">
            <v>3594.9</v>
          </cell>
        </row>
        <row r="373">
          <cell r="B373">
            <v>426210</v>
          </cell>
          <cell r="H373">
            <v>55452.639999999999</v>
          </cell>
        </row>
        <row r="374">
          <cell r="B374">
            <v>426214</v>
          </cell>
          <cell r="H374">
            <v>131021.04</v>
          </cell>
        </row>
        <row r="375">
          <cell r="B375">
            <v>426215</v>
          </cell>
          <cell r="H375">
            <v>178119.9</v>
          </cell>
        </row>
        <row r="376">
          <cell r="B376">
            <v>427</v>
          </cell>
          <cell r="H376">
            <v>1236047.03</v>
          </cell>
        </row>
        <row r="377">
          <cell r="B377">
            <v>42701</v>
          </cell>
          <cell r="H377">
            <v>1236047.03</v>
          </cell>
        </row>
        <row r="378">
          <cell r="B378">
            <v>42711</v>
          </cell>
          <cell r="H378">
            <v>10.84</v>
          </cell>
        </row>
        <row r="379">
          <cell r="B379">
            <v>42720</v>
          </cell>
          <cell r="H379">
            <v>507025.56</v>
          </cell>
        </row>
        <row r="380">
          <cell r="B380">
            <v>427122</v>
          </cell>
          <cell r="H380">
            <v>729010.63</v>
          </cell>
        </row>
        <row r="381">
          <cell r="B381">
            <v>5</v>
          </cell>
          <cell r="H381">
            <v>-1395163.91</v>
          </cell>
        </row>
        <row r="382">
          <cell r="B382">
            <v>51</v>
          </cell>
          <cell r="H382">
            <v>-1395163.91</v>
          </cell>
        </row>
        <row r="383">
          <cell r="B383">
            <v>511</v>
          </cell>
          <cell r="H383">
            <v>5901370.9400000004</v>
          </cell>
        </row>
        <row r="384">
          <cell r="B384">
            <v>5111</v>
          </cell>
          <cell r="H384">
            <v>799991.65</v>
          </cell>
        </row>
        <row r="385">
          <cell r="B385">
            <v>5116</v>
          </cell>
          <cell r="H385">
            <v>1016806.37</v>
          </cell>
        </row>
        <row r="386">
          <cell r="B386">
            <v>51111</v>
          </cell>
          <cell r="H386">
            <v>4084572.92</v>
          </cell>
        </row>
        <row r="387">
          <cell r="B387">
            <v>512</v>
          </cell>
          <cell r="H387">
            <v>-7296534.8499999996</v>
          </cell>
        </row>
        <row r="388">
          <cell r="B388">
            <v>5122</v>
          </cell>
          <cell r="H388">
            <v>-44677.79</v>
          </cell>
        </row>
        <row r="389">
          <cell r="B389">
            <v>5123</v>
          </cell>
          <cell r="H389">
            <v>-1381461.08</v>
          </cell>
        </row>
        <row r="390">
          <cell r="B390">
            <v>5124</v>
          </cell>
          <cell r="H390">
            <v>-171067.17</v>
          </cell>
        </row>
        <row r="391">
          <cell r="B391">
            <v>5125</v>
          </cell>
          <cell r="H391">
            <v>-896189.93</v>
          </cell>
        </row>
        <row r="392">
          <cell r="B392">
            <v>5127</v>
          </cell>
          <cell r="H392">
            <v>-1268603.3799999999</v>
          </cell>
        </row>
        <row r="393">
          <cell r="B393">
            <v>5128</v>
          </cell>
          <cell r="H393">
            <v>-722464.7</v>
          </cell>
        </row>
        <row r="394">
          <cell r="B394">
            <v>5129</v>
          </cell>
          <cell r="H394">
            <v>-1997811.76</v>
          </cell>
        </row>
        <row r="395">
          <cell r="B395">
            <v>51210</v>
          </cell>
          <cell r="H395">
            <v>-814259.04</v>
          </cell>
        </row>
      </sheetData>
      <sheetData sheetId="17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86074827.730000004</v>
          </cell>
        </row>
        <row r="9">
          <cell r="B9">
            <v>11</v>
          </cell>
          <cell r="H9">
            <v>56862743.030000001</v>
          </cell>
        </row>
        <row r="10">
          <cell r="B10">
            <v>111</v>
          </cell>
          <cell r="H10">
            <v>49376835.140000001</v>
          </cell>
        </row>
        <row r="11">
          <cell r="B11">
            <v>1112</v>
          </cell>
          <cell r="H11">
            <v>49376835.140000001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10668026.57</v>
          </cell>
        </row>
        <row r="14">
          <cell r="B14" t="str">
            <v>BBR</v>
          </cell>
          <cell r="H14">
            <v>38708808.57</v>
          </cell>
        </row>
        <row r="15">
          <cell r="B15">
            <v>112</v>
          </cell>
          <cell r="H15">
            <v>4640866.51</v>
          </cell>
        </row>
        <row r="16">
          <cell r="B16">
            <v>1123</v>
          </cell>
          <cell r="H16">
            <v>1093490.29</v>
          </cell>
        </row>
        <row r="17">
          <cell r="B17">
            <v>112310</v>
          </cell>
          <cell r="H17">
            <v>586.54999999999995</v>
          </cell>
        </row>
        <row r="18">
          <cell r="B18">
            <v>112316</v>
          </cell>
          <cell r="H18">
            <v>178629.72</v>
          </cell>
        </row>
        <row r="19">
          <cell r="B19">
            <v>112317</v>
          </cell>
          <cell r="H19">
            <v>66625.72</v>
          </cell>
        </row>
        <row r="20">
          <cell r="B20">
            <v>112334</v>
          </cell>
          <cell r="H20">
            <v>822.52</v>
          </cell>
        </row>
        <row r="21">
          <cell r="B21">
            <v>112340</v>
          </cell>
          <cell r="H21">
            <v>632544.4</v>
          </cell>
        </row>
        <row r="22">
          <cell r="B22">
            <v>112341</v>
          </cell>
          <cell r="H22">
            <v>214281.38</v>
          </cell>
        </row>
        <row r="23">
          <cell r="B23">
            <v>1124</v>
          </cell>
          <cell r="H23">
            <v>3547244.24</v>
          </cell>
        </row>
        <row r="24">
          <cell r="B24">
            <v>11241</v>
          </cell>
          <cell r="H24">
            <v>182521.18</v>
          </cell>
        </row>
        <row r="25">
          <cell r="B25">
            <v>11242</v>
          </cell>
          <cell r="H25">
            <v>3364723.06</v>
          </cell>
        </row>
        <row r="26">
          <cell r="B26">
            <v>112424</v>
          </cell>
          <cell r="H26">
            <v>0</v>
          </cell>
        </row>
        <row r="27">
          <cell r="B27">
            <v>112425</v>
          </cell>
          <cell r="H27">
            <v>0</v>
          </cell>
        </row>
        <row r="28">
          <cell r="B28">
            <v>11299</v>
          </cell>
          <cell r="H28">
            <v>131.97999999999999</v>
          </cell>
        </row>
        <row r="29">
          <cell r="B29">
            <v>112995</v>
          </cell>
          <cell r="H29">
            <v>0</v>
          </cell>
        </row>
        <row r="30">
          <cell r="B30">
            <v>11299999</v>
          </cell>
          <cell r="H30">
            <v>131.97999999999999</v>
          </cell>
        </row>
        <row r="31">
          <cell r="B31">
            <v>113</v>
          </cell>
          <cell r="H31">
            <v>2845041.38</v>
          </cell>
        </row>
        <row r="32">
          <cell r="B32">
            <v>1131</v>
          </cell>
          <cell r="H32">
            <v>2845041.38</v>
          </cell>
        </row>
        <row r="33">
          <cell r="B33">
            <v>11311</v>
          </cell>
          <cell r="H33">
            <v>21331.71</v>
          </cell>
        </row>
        <row r="34">
          <cell r="B34">
            <v>11312</v>
          </cell>
          <cell r="H34">
            <v>1300256.6299999999</v>
          </cell>
        </row>
        <row r="35">
          <cell r="B35">
            <v>11313</v>
          </cell>
          <cell r="H35">
            <v>11075.65</v>
          </cell>
        </row>
        <row r="36">
          <cell r="B36">
            <v>11315</v>
          </cell>
          <cell r="H36">
            <v>83815.149999999994</v>
          </cell>
        </row>
        <row r="37">
          <cell r="B37">
            <v>11316</v>
          </cell>
          <cell r="H37">
            <v>1406758.41</v>
          </cell>
        </row>
        <row r="38">
          <cell r="B38">
            <v>1131999</v>
          </cell>
          <cell r="H38">
            <v>21803.83</v>
          </cell>
        </row>
        <row r="39">
          <cell r="B39">
            <v>12</v>
          </cell>
          <cell r="H39">
            <v>29212084.699999999</v>
          </cell>
        </row>
        <row r="40">
          <cell r="B40">
            <v>121</v>
          </cell>
          <cell r="H40">
            <v>8220611.9199999999</v>
          </cell>
        </row>
        <row r="41">
          <cell r="B41">
            <v>1213</v>
          </cell>
          <cell r="H41">
            <v>2974954.24</v>
          </cell>
        </row>
        <row r="42">
          <cell r="B42">
            <v>12131</v>
          </cell>
          <cell r="H42">
            <v>27185</v>
          </cell>
        </row>
        <row r="43">
          <cell r="B43">
            <v>12134</v>
          </cell>
          <cell r="H43">
            <v>4640.58</v>
          </cell>
        </row>
        <row r="44">
          <cell r="B44">
            <v>12135</v>
          </cell>
          <cell r="H44">
            <v>177698.5</v>
          </cell>
        </row>
        <row r="45">
          <cell r="B45">
            <v>12139</v>
          </cell>
          <cell r="H45">
            <v>1900.18</v>
          </cell>
        </row>
        <row r="46">
          <cell r="B46">
            <v>121311</v>
          </cell>
          <cell r="H46">
            <v>4506.8100000000004</v>
          </cell>
        </row>
        <row r="47">
          <cell r="B47">
            <v>121312</v>
          </cell>
          <cell r="H47">
            <v>308.77</v>
          </cell>
        </row>
        <row r="48">
          <cell r="B48">
            <v>121313</v>
          </cell>
          <cell r="H48">
            <v>227556.46</v>
          </cell>
        </row>
        <row r="49">
          <cell r="B49">
            <v>121315</v>
          </cell>
          <cell r="H49">
            <v>156092.71</v>
          </cell>
        </row>
        <row r="50">
          <cell r="B50">
            <v>121316</v>
          </cell>
          <cell r="H50">
            <v>1091723.9099999999</v>
          </cell>
        </row>
        <row r="51">
          <cell r="B51">
            <v>121317</v>
          </cell>
          <cell r="H51">
            <v>2263.0300000000002</v>
          </cell>
        </row>
        <row r="52">
          <cell r="B52">
            <v>121318</v>
          </cell>
          <cell r="H52">
            <v>873451.61</v>
          </cell>
        </row>
        <row r="53">
          <cell r="B53">
            <v>121319</v>
          </cell>
          <cell r="H53">
            <v>407626.68</v>
          </cell>
        </row>
        <row r="54">
          <cell r="B54">
            <v>1217</v>
          </cell>
          <cell r="H54">
            <v>133.24</v>
          </cell>
        </row>
        <row r="55">
          <cell r="B55">
            <v>12171</v>
          </cell>
          <cell r="H55">
            <v>133.24</v>
          </cell>
        </row>
        <row r="56">
          <cell r="B56">
            <v>1218</v>
          </cell>
          <cell r="H56">
            <v>5245524.4400000004</v>
          </cell>
        </row>
        <row r="57">
          <cell r="B57">
            <v>12181</v>
          </cell>
          <cell r="H57">
            <v>4478893.07</v>
          </cell>
        </row>
        <row r="58">
          <cell r="B58">
            <v>12182</v>
          </cell>
          <cell r="H58">
            <v>582579.79</v>
          </cell>
        </row>
        <row r="59">
          <cell r="B59">
            <v>12183</v>
          </cell>
          <cell r="H59">
            <v>184051.58</v>
          </cell>
        </row>
        <row r="60">
          <cell r="B60">
            <v>123</v>
          </cell>
          <cell r="H60">
            <v>5859395.1500000004</v>
          </cell>
        </row>
        <row r="61">
          <cell r="B61">
            <v>1231</v>
          </cell>
          <cell r="H61">
            <v>20608151.210000001</v>
          </cell>
        </row>
        <row r="62">
          <cell r="B62">
            <v>12313</v>
          </cell>
          <cell r="H62">
            <v>2565049.0299999998</v>
          </cell>
        </row>
        <row r="63">
          <cell r="B63">
            <v>12314</v>
          </cell>
          <cell r="H63">
            <v>823453.65</v>
          </cell>
        </row>
        <row r="64">
          <cell r="B64">
            <v>12315</v>
          </cell>
          <cell r="H64">
            <v>14456167.15</v>
          </cell>
        </row>
        <row r="65">
          <cell r="B65">
            <v>12317</v>
          </cell>
          <cell r="H65">
            <v>2763481.38</v>
          </cell>
        </row>
        <row r="66">
          <cell r="B66">
            <v>12398</v>
          </cell>
          <cell r="H66">
            <v>-14748756.060000001</v>
          </cell>
        </row>
        <row r="67">
          <cell r="B67">
            <v>123982</v>
          </cell>
          <cell r="H67">
            <v>-1174422.6200000001</v>
          </cell>
        </row>
        <row r="68">
          <cell r="B68">
            <v>123983</v>
          </cell>
          <cell r="H68">
            <v>-770346.3</v>
          </cell>
        </row>
        <row r="69">
          <cell r="B69">
            <v>123984</v>
          </cell>
          <cell r="H69">
            <v>-10716330.42</v>
          </cell>
        </row>
        <row r="70">
          <cell r="B70">
            <v>123986</v>
          </cell>
          <cell r="H70">
            <v>-2087656.72</v>
          </cell>
        </row>
        <row r="71">
          <cell r="B71">
            <v>124</v>
          </cell>
          <cell r="H71">
            <v>1340730.8400000001</v>
          </cell>
        </row>
        <row r="72">
          <cell r="B72">
            <v>1241</v>
          </cell>
          <cell r="H72">
            <v>13586005.869999999</v>
          </cell>
        </row>
        <row r="73">
          <cell r="B73">
            <v>124101</v>
          </cell>
          <cell r="H73">
            <v>13586005.869999999</v>
          </cell>
        </row>
        <row r="74">
          <cell r="B74">
            <v>12498</v>
          </cell>
          <cell r="H74">
            <v>-12245275.029999999</v>
          </cell>
        </row>
        <row r="75">
          <cell r="B75">
            <v>1242</v>
          </cell>
          <cell r="H75">
            <v>-12245275.029999999</v>
          </cell>
        </row>
        <row r="76">
          <cell r="B76">
            <v>125</v>
          </cell>
          <cell r="H76">
            <v>13791346.789999999</v>
          </cell>
        </row>
        <row r="77">
          <cell r="B77">
            <v>1251</v>
          </cell>
          <cell r="H77">
            <v>13791346.789999999</v>
          </cell>
        </row>
        <row r="78">
          <cell r="B78">
            <v>12511</v>
          </cell>
          <cell r="H78">
            <v>24551214.710000001</v>
          </cell>
        </row>
        <row r="79">
          <cell r="B79">
            <v>12512</v>
          </cell>
          <cell r="H79">
            <v>-10759867.92</v>
          </cell>
        </row>
        <row r="80">
          <cell r="B80">
            <v>2</v>
          </cell>
          <cell r="H80">
            <v>-86074827.730000004</v>
          </cell>
        </row>
        <row r="81">
          <cell r="B81">
            <v>21</v>
          </cell>
          <cell r="H81">
            <v>-36218398.479999997</v>
          </cell>
        </row>
        <row r="82">
          <cell r="B82">
            <v>211</v>
          </cell>
          <cell r="H82">
            <v>-36218398.479999997</v>
          </cell>
        </row>
        <row r="83">
          <cell r="B83">
            <v>2114</v>
          </cell>
          <cell r="H83">
            <v>-1514717.46</v>
          </cell>
        </row>
        <row r="84">
          <cell r="B84">
            <v>60444400000000</v>
          </cell>
          <cell r="H84">
            <v>-30000</v>
          </cell>
        </row>
        <row r="85">
          <cell r="B85">
            <v>57143000000000</v>
          </cell>
          <cell r="H85">
            <v>0</v>
          </cell>
        </row>
        <row r="86">
          <cell r="B86">
            <v>34028300000000</v>
          </cell>
          <cell r="H86">
            <v>0</v>
          </cell>
        </row>
        <row r="87">
          <cell r="B87" t="str">
            <v>33641663/0001-44</v>
          </cell>
          <cell r="H87">
            <v>-101246.84</v>
          </cell>
        </row>
        <row r="88">
          <cell r="B88" t="str">
            <v>09305983/0001-49</v>
          </cell>
          <cell r="H88">
            <v>0</v>
          </cell>
        </row>
        <row r="89">
          <cell r="B89" t="str">
            <v>69034668/0001-56</v>
          </cell>
          <cell r="H89">
            <v>-421807</v>
          </cell>
        </row>
        <row r="90">
          <cell r="B90" t="str">
            <v>67393181/0001-34</v>
          </cell>
          <cell r="H90">
            <v>0</v>
          </cell>
        </row>
        <row r="91">
          <cell r="B91" t="str">
            <v>07604035/0001-89</v>
          </cell>
          <cell r="H91">
            <v>0</v>
          </cell>
        </row>
        <row r="92">
          <cell r="B92" t="str">
            <v>71208516/0001-74</v>
          </cell>
          <cell r="H92">
            <v>0</v>
          </cell>
        </row>
        <row r="93">
          <cell r="B93">
            <v>33634300000000</v>
          </cell>
          <cell r="H93">
            <v>-31020</v>
          </cell>
        </row>
        <row r="94">
          <cell r="B94" t="str">
            <v>05983000/0001-72</v>
          </cell>
          <cell r="H94">
            <v>0</v>
          </cell>
        </row>
        <row r="95">
          <cell r="B95" t="str">
            <v>53113791/0001-22</v>
          </cell>
          <cell r="H95">
            <v>0</v>
          </cell>
        </row>
        <row r="96">
          <cell r="B96" t="str">
            <v>42288886/0001-60</v>
          </cell>
          <cell r="H96">
            <v>0</v>
          </cell>
        </row>
        <row r="97">
          <cell r="B97" t="str">
            <v>60215282/0001-76</v>
          </cell>
          <cell r="H97">
            <v>0</v>
          </cell>
        </row>
        <row r="98">
          <cell r="B98">
            <v>32578400000000</v>
          </cell>
          <cell r="H98">
            <v>0</v>
          </cell>
        </row>
        <row r="99">
          <cell r="B99" t="str">
            <v>08794730/0001-13</v>
          </cell>
          <cell r="H99">
            <v>0</v>
          </cell>
        </row>
        <row r="100">
          <cell r="B100" t="str">
            <v>62916366/0001-62</v>
          </cell>
          <cell r="H100">
            <v>0</v>
          </cell>
        </row>
        <row r="101">
          <cell r="B101" t="str">
            <v>05344234/0001-70</v>
          </cell>
          <cell r="H101">
            <v>0</v>
          </cell>
        </row>
        <row r="102">
          <cell r="B102">
            <v>33754500000000</v>
          </cell>
          <cell r="H102">
            <v>-50151.7</v>
          </cell>
        </row>
        <row r="103">
          <cell r="B103">
            <v>3017430000000</v>
          </cell>
          <cell r="H103">
            <v>-21300</v>
          </cell>
        </row>
        <row r="104">
          <cell r="B104">
            <v>10499000000000</v>
          </cell>
          <cell r="H104">
            <v>0</v>
          </cell>
        </row>
        <row r="105">
          <cell r="B105">
            <v>23458500000000</v>
          </cell>
          <cell r="H105">
            <v>0</v>
          </cell>
        </row>
        <row r="106">
          <cell r="B106">
            <v>29969200000000</v>
          </cell>
          <cell r="H106">
            <v>0</v>
          </cell>
        </row>
        <row r="107">
          <cell r="B107">
            <v>14031100000000</v>
          </cell>
          <cell r="H107">
            <v>0</v>
          </cell>
        </row>
        <row r="108">
          <cell r="B108">
            <v>1082330000000</v>
          </cell>
          <cell r="H108">
            <v>0</v>
          </cell>
        </row>
        <row r="109">
          <cell r="B109">
            <v>11825800000000</v>
          </cell>
          <cell r="H109">
            <v>0</v>
          </cell>
        </row>
        <row r="110">
          <cell r="B110">
            <v>2081860000000</v>
          </cell>
          <cell r="H110">
            <v>0</v>
          </cell>
        </row>
        <row r="111">
          <cell r="B111">
            <v>3364280000000</v>
          </cell>
          <cell r="H111">
            <v>0</v>
          </cell>
        </row>
        <row r="112">
          <cell r="B112">
            <v>7718940000000</v>
          </cell>
          <cell r="H112">
            <v>0</v>
          </cell>
        </row>
        <row r="113">
          <cell r="B113">
            <v>9079570000000</v>
          </cell>
          <cell r="H113">
            <v>0</v>
          </cell>
        </row>
        <row r="114">
          <cell r="B114">
            <v>39545600000000</v>
          </cell>
          <cell r="H114">
            <v>0</v>
          </cell>
        </row>
        <row r="115">
          <cell r="B115">
            <v>19088600000000</v>
          </cell>
          <cell r="H115">
            <v>-135926.60999999999</v>
          </cell>
        </row>
        <row r="116">
          <cell r="B116">
            <v>10242700000000</v>
          </cell>
          <cell r="H116">
            <v>-19780</v>
          </cell>
        </row>
        <row r="117">
          <cell r="B117">
            <v>34036200000000</v>
          </cell>
          <cell r="H117">
            <v>-120000</v>
          </cell>
        </row>
        <row r="118">
          <cell r="B118">
            <v>36813600000000</v>
          </cell>
          <cell r="H118">
            <v>-19321.509999999998</v>
          </cell>
        </row>
        <row r="119">
          <cell r="B119">
            <v>191477000000</v>
          </cell>
          <cell r="H119">
            <v>-36288</v>
          </cell>
        </row>
        <row r="120">
          <cell r="B120">
            <v>34977900000000</v>
          </cell>
          <cell r="H120">
            <v>0</v>
          </cell>
        </row>
        <row r="121">
          <cell r="B121">
            <v>33198300000000</v>
          </cell>
          <cell r="H121">
            <v>0</v>
          </cell>
        </row>
        <row r="122">
          <cell r="B122">
            <v>28712100000000</v>
          </cell>
          <cell r="H122">
            <v>0</v>
          </cell>
        </row>
        <row r="123">
          <cell r="B123">
            <v>12499500000000</v>
          </cell>
          <cell r="H123">
            <v>0</v>
          </cell>
        </row>
        <row r="124">
          <cell r="B124">
            <v>7843950000000</v>
          </cell>
          <cell r="H124">
            <v>0</v>
          </cell>
        </row>
        <row r="125">
          <cell r="B125">
            <v>38056400000000</v>
          </cell>
          <cell r="H125">
            <v>0</v>
          </cell>
        </row>
        <row r="126">
          <cell r="B126" t="str">
            <v>01707536/000104</v>
          </cell>
          <cell r="H126">
            <v>0</v>
          </cell>
        </row>
        <row r="127">
          <cell r="B127">
            <v>32681700000000</v>
          </cell>
          <cell r="H127">
            <v>0</v>
          </cell>
        </row>
        <row r="128">
          <cell r="B128">
            <v>8401150000000</v>
          </cell>
          <cell r="H128">
            <v>0</v>
          </cell>
        </row>
        <row r="129">
          <cell r="B129">
            <v>27553300000000</v>
          </cell>
          <cell r="H129">
            <v>0</v>
          </cell>
        </row>
        <row r="130">
          <cell r="B130">
            <v>5933910000000</v>
          </cell>
          <cell r="H130">
            <v>-22583</v>
          </cell>
        </row>
        <row r="131">
          <cell r="B131">
            <v>5630090000000</v>
          </cell>
          <cell r="H131">
            <v>0</v>
          </cell>
        </row>
        <row r="132">
          <cell r="B132">
            <v>12654500000000</v>
          </cell>
          <cell r="H132">
            <v>0</v>
          </cell>
        </row>
        <row r="133">
          <cell r="B133">
            <v>38458400000000</v>
          </cell>
          <cell r="H133">
            <v>-4448</v>
          </cell>
        </row>
        <row r="134">
          <cell r="B134">
            <v>8210270000000</v>
          </cell>
          <cell r="H134">
            <v>0</v>
          </cell>
        </row>
        <row r="135">
          <cell r="B135">
            <v>2445480000000</v>
          </cell>
          <cell r="H135">
            <v>0</v>
          </cell>
        </row>
        <row r="136">
          <cell r="B136">
            <v>37381900000000</v>
          </cell>
          <cell r="H136">
            <v>-4070.62</v>
          </cell>
        </row>
        <row r="137">
          <cell r="B137">
            <v>12782100000000</v>
          </cell>
          <cell r="H137">
            <v>0</v>
          </cell>
        </row>
        <row r="138">
          <cell r="B138">
            <v>69112500000000</v>
          </cell>
          <cell r="H138">
            <v>-687.5</v>
          </cell>
        </row>
        <row r="139">
          <cell r="B139">
            <v>16647700000000</v>
          </cell>
          <cell r="H139">
            <v>0</v>
          </cell>
        </row>
        <row r="140">
          <cell r="B140">
            <v>5342580000000</v>
          </cell>
          <cell r="H140">
            <v>0</v>
          </cell>
        </row>
        <row r="141">
          <cell r="B141">
            <v>4842770000000</v>
          </cell>
          <cell r="H141">
            <v>0</v>
          </cell>
        </row>
        <row r="142">
          <cell r="B142">
            <v>32493600000000</v>
          </cell>
          <cell r="H142">
            <v>-137200</v>
          </cell>
        </row>
        <row r="143">
          <cell r="B143">
            <v>8808150000000</v>
          </cell>
          <cell r="H143">
            <v>-285139.53999999998</v>
          </cell>
        </row>
        <row r="144">
          <cell r="B144">
            <v>26391300000000</v>
          </cell>
          <cell r="H144">
            <v>-2172</v>
          </cell>
        </row>
        <row r="145">
          <cell r="B145">
            <v>32908200000000</v>
          </cell>
          <cell r="H145">
            <v>0</v>
          </cell>
        </row>
        <row r="146">
          <cell r="B146">
            <v>49434500000000</v>
          </cell>
          <cell r="H146">
            <v>0</v>
          </cell>
        </row>
        <row r="147">
          <cell r="B147">
            <v>28000129</v>
          </cell>
          <cell r="H147">
            <v>-1333.12</v>
          </cell>
        </row>
        <row r="148">
          <cell r="B148">
            <v>4567270000000</v>
          </cell>
          <cell r="H148">
            <v>0</v>
          </cell>
        </row>
        <row r="149">
          <cell r="B149">
            <v>67350800000000</v>
          </cell>
          <cell r="H149">
            <v>0</v>
          </cell>
        </row>
        <row r="150">
          <cell r="B150">
            <v>61825700000000</v>
          </cell>
          <cell r="H150">
            <v>-2444.5</v>
          </cell>
        </row>
        <row r="151">
          <cell r="B151">
            <v>26344400000000</v>
          </cell>
          <cell r="H151">
            <v>0</v>
          </cell>
        </row>
        <row r="152">
          <cell r="B152">
            <v>17178200000000</v>
          </cell>
          <cell r="H152">
            <v>0</v>
          </cell>
        </row>
        <row r="153">
          <cell r="B153">
            <v>30040100000000</v>
          </cell>
          <cell r="H153">
            <v>-11750</v>
          </cell>
        </row>
        <row r="154">
          <cell r="B154">
            <v>13789800000000</v>
          </cell>
          <cell r="H154">
            <v>0</v>
          </cell>
        </row>
        <row r="155">
          <cell r="B155">
            <v>46947500000000</v>
          </cell>
          <cell r="H155">
            <v>0</v>
          </cell>
        </row>
        <row r="156">
          <cell r="B156">
            <v>42422300000000</v>
          </cell>
          <cell r="H156">
            <v>0</v>
          </cell>
        </row>
        <row r="157">
          <cell r="B157">
            <v>48707800000000</v>
          </cell>
          <cell r="H157">
            <v>0</v>
          </cell>
        </row>
        <row r="158">
          <cell r="B158">
            <v>7708130000000</v>
          </cell>
          <cell r="H158">
            <v>0</v>
          </cell>
        </row>
        <row r="159">
          <cell r="B159" t="str">
            <v>50974018/0001-62</v>
          </cell>
          <cell r="H159">
            <v>-1630.83</v>
          </cell>
        </row>
        <row r="160">
          <cell r="B160">
            <v>57929000000000</v>
          </cell>
          <cell r="H160">
            <v>0</v>
          </cell>
        </row>
        <row r="161">
          <cell r="B161">
            <v>35147800000000</v>
          </cell>
          <cell r="H161">
            <v>0</v>
          </cell>
        </row>
        <row r="162">
          <cell r="B162">
            <v>26506700000000</v>
          </cell>
          <cell r="H162">
            <v>0</v>
          </cell>
        </row>
        <row r="163">
          <cell r="B163">
            <v>28927500000000</v>
          </cell>
          <cell r="H163">
            <v>0</v>
          </cell>
        </row>
        <row r="164">
          <cell r="B164">
            <v>11625800000000</v>
          </cell>
          <cell r="H164">
            <v>0</v>
          </cell>
        </row>
        <row r="165">
          <cell r="B165">
            <v>52281400000000</v>
          </cell>
          <cell r="H165">
            <v>-5211</v>
          </cell>
        </row>
        <row r="166">
          <cell r="B166">
            <v>7112530000000</v>
          </cell>
          <cell r="H166">
            <v>-18001.2</v>
          </cell>
        </row>
        <row r="167">
          <cell r="B167">
            <v>33372300000000</v>
          </cell>
          <cell r="H167">
            <v>-3732.49</v>
          </cell>
        </row>
        <row r="168">
          <cell r="B168">
            <v>25249900000000</v>
          </cell>
          <cell r="H168">
            <v>-810</v>
          </cell>
        </row>
        <row r="169">
          <cell r="B169">
            <v>16915200000000</v>
          </cell>
          <cell r="H169">
            <v>-11390</v>
          </cell>
        </row>
        <row r="170">
          <cell r="B170">
            <v>9494320000000</v>
          </cell>
          <cell r="H170">
            <v>-240</v>
          </cell>
        </row>
        <row r="171">
          <cell r="B171">
            <v>52551700000000</v>
          </cell>
          <cell r="H171">
            <v>-10692</v>
          </cell>
        </row>
        <row r="172">
          <cell r="B172">
            <v>53940200000000</v>
          </cell>
          <cell r="H172">
            <v>-4340</v>
          </cell>
        </row>
        <row r="173">
          <cell r="B173">
            <v>2116</v>
          </cell>
          <cell r="H173">
            <v>0</v>
          </cell>
        </row>
        <row r="174">
          <cell r="B174">
            <v>21162</v>
          </cell>
          <cell r="H174">
            <v>0</v>
          </cell>
        </row>
        <row r="175">
          <cell r="B175">
            <v>21163</v>
          </cell>
          <cell r="H175">
            <v>0</v>
          </cell>
        </row>
        <row r="176">
          <cell r="B176">
            <v>2117</v>
          </cell>
          <cell r="H176">
            <v>-2726627.3</v>
          </cell>
        </row>
        <row r="177">
          <cell r="B177">
            <v>561</v>
          </cell>
          <cell r="H177">
            <v>-2628676.67</v>
          </cell>
        </row>
        <row r="178">
          <cell r="B178" t="str">
            <v>INSS</v>
          </cell>
          <cell r="H178">
            <v>-17455.849999999999</v>
          </cell>
        </row>
        <row r="179">
          <cell r="B179">
            <v>6147</v>
          </cell>
          <cell r="H179">
            <v>-3181.54</v>
          </cell>
        </row>
        <row r="180">
          <cell r="B180">
            <v>6190</v>
          </cell>
          <cell r="H180">
            <v>-76252.62</v>
          </cell>
        </row>
        <row r="181">
          <cell r="B181">
            <v>6175</v>
          </cell>
          <cell r="H181">
            <v>-1060.6199999999999</v>
          </cell>
        </row>
        <row r="182">
          <cell r="B182">
            <v>2118</v>
          </cell>
          <cell r="H182">
            <v>-28409774.649999999</v>
          </cell>
        </row>
        <row r="183">
          <cell r="B183">
            <v>21181</v>
          </cell>
          <cell r="H183">
            <v>-4756115.79</v>
          </cell>
        </row>
        <row r="184">
          <cell r="B184">
            <v>21182</v>
          </cell>
          <cell r="H184">
            <v>-5769193.8099999996</v>
          </cell>
        </row>
        <row r="185">
          <cell r="B185">
            <v>21183</v>
          </cell>
          <cell r="H185">
            <v>-10155313.890000001</v>
          </cell>
        </row>
        <row r="186">
          <cell r="B186">
            <v>21184</v>
          </cell>
          <cell r="H186">
            <v>-2031613.47</v>
          </cell>
        </row>
        <row r="187">
          <cell r="B187">
            <v>21185</v>
          </cell>
          <cell r="H187">
            <v>-589631.89</v>
          </cell>
        </row>
        <row r="188">
          <cell r="B188">
            <v>21186</v>
          </cell>
          <cell r="H188">
            <v>0</v>
          </cell>
        </row>
        <row r="189">
          <cell r="B189">
            <v>21187</v>
          </cell>
          <cell r="H189">
            <v>0</v>
          </cell>
        </row>
        <row r="190">
          <cell r="B190">
            <v>21188</v>
          </cell>
          <cell r="H190">
            <v>-67251.38</v>
          </cell>
        </row>
        <row r="191">
          <cell r="B191">
            <v>21189</v>
          </cell>
          <cell r="H191">
            <v>-470870.6</v>
          </cell>
        </row>
        <row r="192">
          <cell r="B192">
            <v>211810</v>
          </cell>
          <cell r="H192">
            <v>-1288364.08</v>
          </cell>
        </row>
        <row r="193">
          <cell r="B193">
            <v>211811</v>
          </cell>
          <cell r="H193">
            <v>-191583.62</v>
          </cell>
        </row>
        <row r="194">
          <cell r="B194">
            <v>211812</v>
          </cell>
          <cell r="H194">
            <v>-2277571.2400000002</v>
          </cell>
        </row>
        <row r="195">
          <cell r="B195">
            <v>211813</v>
          </cell>
          <cell r="H195">
            <v>-812264.88</v>
          </cell>
        </row>
        <row r="196">
          <cell r="B196">
            <v>211816</v>
          </cell>
          <cell r="H196">
            <v>0</v>
          </cell>
        </row>
        <row r="197">
          <cell r="B197">
            <v>21114</v>
          </cell>
          <cell r="H197">
            <v>-67194.98</v>
          </cell>
        </row>
        <row r="198">
          <cell r="B198">
            <v>211145</v>
          </cell>
          <cell r="H198">
            <v>-32702.46</v>
          </cell>
        </row>
        <row r="199">
          <cell r="B199">
            <v>211148</v>
          </cell>
          <cell r="H199">
            <v>-34492.519999999997</v>
          </cell>
        </row>
        <row r="200">
          <cell r="B200">
            <v>21115</v>
          </cell>
          <cell r="H200">
            <v>-465859.82</v>
          </cell>
        </row>
        <row r="201">
          <cell r="B201">
            <v>211151</v>
          </cell>
          <cell r="H201">
            <v>-465859.82</v>
          </cell>
        </row>
        <row r="202">
          <cell r="B202">
            <v>21116</v>
          </cell>
          <cell r="H202">
            <v>-3034224.27</v>
          </cell>
        </row>
        <row r="203">
          <cell r="B203">
            <v>211161</v>
          </cell>
          <cell r="H203">
            <v>-3725426.64</v>
          </cell>
        </row>
        <row r="204">
          <cell r="B204">
            <v>211162</v>
          </cell>
          <cell r="H204">
            <v>691202.37</v>
          </cell>
        </row>
        <row r="205">
          <cell r="B205">
            <v>22</v>
          </cell>
          <cell r="H205">
            <v>-22317242.489999998</v>
          </cell>
        </row>
        <row r="206">
          <cell r="B206">
            <v>221</v>
          </cell>
          <cell r="H206">
            <v>-22317242.489999998</v>
          </cell>
        </row>
        <row r="207">
          <cell r="B207">
            <v>2215</v>
          </cell>
          <cell r="H207">
            <v>-9834890.6899999995</v>
          </cell>
        </row>
        <row r="208">
          <cell r="B208">
            <v>22151</v>
          </cell>
          <cell r="H208">
            <v>-2083048.8</v>
          </cell>
        </row>
        <row r="209">
          <cell r="B209">
            <v>22153</v>
          </cell>
          <cell r="H209">
            <v>-7751841.8899999997</v>
          </cell>
        </row>
        <row r="210">
          <cell r="B210">
            <v>2218</v>
          </cell>
          <cell r="H210">
            <v>-12482351.800000001</v>
          </cell>
        </row>
        <row r="211">
          <cell r="B211">
            <v>22181</v>
          </cell>
          <cell r="H211">
            <v>-13659897.68</v>
          </cell>
        </row>
        <row r="212">
          <cell r="B212">
            <v>22182</v>
          </cell>
          <cell r="H212">
            <v>1177545.8799999999</v>
          </cell>
        </row>
        <row r="213">
          <cell r="B213" t="str">
            <v>PL</v>
          </cell>
          <cell r="H213">
            <v>-27539186.760000002</v>
          </cell>
        </row>
        <row r="214">
          <cell r="B214">
            <v>241</v>
          </cell>
          <cell r="H214">
            <v>-34443159.609999999</v>
          </cell>
        </row>
        <row r="215">
          <cell r="B215">
            <v>2411</v>
          </cell>
          <cell r="H215">
            <v>-34443159.609999999</v>
          </cell>
        </row>
        <row r="216">
          <cell r="B216">
            <v>24111</v>
          </cell>
          <cell r="H216">
            <v>-34443159.609999999</v>
          </cell>
        </row>
        <row r="217">
          <cell r="B217">
            <v>243</v>
          </cell>
          <cell r="H217">
            <v>60.64</v>
          </cell>
        </row>
        <row r="218">
          <cell r="B218">
            <v>2431</v>
          </cell>
          <cell r="H218">
            <v>60.64</v>
          </cell>
        </row>
        <row r="219">
          <cell r="B219">
            <v>24311</v>
          </cell>
          <cell r="H219">
            <v>60.64</v>
          </cell>
        </row>
        <row r="220">
          <cell r="B220">
            <v>246</v>
          </cell>
          <cell r="H220">
            <v>8313435.7300000004</v>
          </cell>
        </row>
        <row r="221">
          <cell r="B221">
            <v>2462</v>
          </cell>
          <cell r="H221">
            <v>2833698.9</v>
          </cell>
        </row>
        <row r="222">
          <cell r="B222">
            <v>24622</v>
          </cell>
          <cell r="H222">
            <v>2833698.9</v>
          </cell>
        </row>
        <row r="223">
          <cell r="B223">
            <v>24699</v>
          </cell>
          <cell r="H223">
            <v>5479736.8300000001</v>
          </cell>
        </row>
        <row r="224">
          <cell r="B224">
            <v>246991</v>
          </cell>
          <cell r="H224">
            <v>5479736.8300000001</v>
          </cell>
        </row>
        <row r="225">
          <cell r="B225">
            <v>247</v>
          </cell>
          <cell r="H225">
            <v>-1409523.52</v>
          </cell>
        </row>
        <row r="226">
          <cell r="B226">
            <v>2471</v>
          </cell>
          <cell r="H226">
            <v>-1409523.52</v>
          </cell>
        </row>
        <row r="227">
          <cell r="B227">
            <v>24711</v>
          </cell>
          <cell r="H227">
            <v>-1409523.52</v>
          </cell>
        </row>
        <row r="228">
          <cell r="B228">
            <v>3</v>
          </cell>
          <cell r="H228">
            <v>-140935926.84</v>
          </cell>
        </row>
        <row r="229">
          <cell r="B229">
            <v>31</v>
          </cell>
          <cell r="H229">
            <v>-139758947.90000001</v>
          </cell>
        </row>
        <row r="230">
          <cell r="B230">
            <v>311</v>
          </cell>
          <cell r="H230">
            <v>-139758947.90000001</v>
          </cell>
        </row>
        <row r="231">
          <cell r="B231">
            <v>3111</v>
          </cell>
          <cell r="H231">
            <v>-139758947.90000001</v>
          </cell>
        </row>
        <row r="232">
          <cell r="B232">
            <v>31111</v>
          </cell>
          <cell r="H232">
            <v>-139758947.90000001</v>
          </cell>
        </row>
        <row r="233">
          <cell r="B233">
            <v>33</v>
          </cell>
          <cell r="H233">
            <v>-1176978.94</v>
          </cell>
        </row>
        <row r="234">
          <cell r="B234">
            <v>331</v>
          </cell>
          <cell r="H234">
            <v>-552898.39</v>
          </cell>
        </row>
        <row r="235">
          <cell r="B235">
            <v>3311</v>
          </cell>
          <cell r="H235">
            <v>-552898.39</v>
          </cell>
        </row>
        <row r="236">
          <cell r="B236">
            <v>33115</v>
          </cell>
          <cell r="H236">
            <v>-249041.93</v>
          </cell>
        </row>
        <row r="237">
          <cell r="B237">
            <v>33116</v>
          </cell>
          <cell r="H237">
            <v>-303856.46000000002</v>
          </cell>
        </row>
        <row r="238">
          <cell r="B238">
            <v>336</v>
          </cell>
          <cell r="H238">
            <v>-624080.55000000005</v>
          </cell>
        </row>
        <row r="239">
          <cell r="B239">
            <v>3361</v>
          </cell>
          <cell r="H239">
            <v>-624080.55000000005</v>
          </cell>
        </row>
        <row r="240">
          <cell r="B240">
            <v>33611</v>
          </cell>
          <cell r="H240">
            <v>-624080.55000000005</v>
          </cell>
        </row>
        <row r="241">
          <cell r="B241">
            <v>4</v>
          </cell>
          <cell r="H241">
            <v>146415663.66999999</v>
          </cell>
        </row>
        <row r="242">
          <cell r="B242">
            <v>41</v>
          </cell>
          <cell r="H242">
            <v>91477445.790000007</v>
          </cell>
        </row>
        <row r="243">
          <cell r="B243">
            <v>411</v>
          </cell>
          <cell r="H243">
            <v>80154343.299999997</v>
          </cell>
        </row>
        <row r="244">
          <cell r="B244">
            <v>4111</v>
          </cell>
          <cell r="H244">
            <v>54439377.420000002</v>
          </cell>
        </row>
        <row r="245">
          <cell r="B245">
            <v>41111</v>
          </cell>
          <cell r="H245">
            <v>44272320.07</v>
          </cell>
        </row>
        <row r="246">
          <cell r="B246">
            <v>41117</v>
          </cell>
          <cell r="H246">
            <v>5142530.1399999997</v>
          </cell>
        </row>
        <row r="247">
          <cell r="B247">
            <v>41118</v>
          </cell>
          <cell r="H247">
            <v>563612</v>
          </cell>
        </row>
        <row r="248">
          <cell r="B248">
            <v>41119</v>
          </cell>
          <cell r="H248">
            <v>4112645.82</v>
          </cell>
        </row>
        <row r="249">
          <cell r="B249">
            <v>411111</v>
          </cell>
          <cell r="H249">
            <v>214941.03</v>
          </cell>
        </row>
        <row r="250">
          <cell r="B250">
            <v>411113</v>
          </cell>
          <cell r="H250">
            <v>27115.23</v>
          </cell>
        </row>
        <row r="251">
          <cell r="B251">
            <v>411114</v>
          </cell>
          <cell r="H251">
            <v>106213.13</v>
          </cell>
        </row>
        <row r="252">
          <cell r="B252">
            <v>4112</v>
          </cell>
          <cell r="H252">
            <v>17038076.879999999</v>
          </cell>
        </row>
        <row r="253">
          <cell r="B253">
            <v>41121</v>
          </cell>
          <cell r="H253">
            <v>10399603.359999999</v>
          </cell>
        </row>
        <row r="254">
          <cell r="B254">
            <v>41122</v>
          </cell>
          <cell r="H254">
            <v>3678176.39</v>
          </cell>
        </row>
        <row r="255">
          <cell r="B255">
            <v>41124</v>
          </cell>
          <cell r="H255">
            <v>922691.54</v>
          </cell>
        </row>
        <row r="256">
          <cell r="B256">
            <v>41125</v>
          </cell>
          <cell r="H256">
            <v>1282910.24</v>
          </cell>
        </row>
        <row r="257">
          <cell r="B257">
            <v>41126</v>
          </cell>
          <cell r="H257">
            <v>425031.96</v>
          </cell>
        </row>
        <row r="258">
          <cell r="B258">
            <v>41127</v>
          </cell>
          <cell r="H258">
            <v>329663.39</v>
          </cell>
        </row>
        <row r="259">
          <cell r="B259">
            <v>4113</v>
          </cell>
          <cell r="H259">
            <v>8676889</v>
          </cell>
        </row>
        <row r="260">
          <cell r="B260">
            <v>41131</v>
          </cell>
          <cell r="H260">
            <v>3207702.53</v>
          </cell>
        </row>
        <row r="261">
          <cell r="B261">
            <v>41132</v>
          </cell>
          <cell r="H261">
            <v>3006550</v>
          </cell>
        </row>
        <row r="262">
          <cell r="B262">
            <v>41133</v>
          </cell>
          <cell r="H262">
            <v>0</v>
          </cell>
        </row>
        <row r="263">
          <cell r="B263">
            <v>41135</v>
          </cell>
          <cell r="H263">
            <v>649698.89</v>
          </cell>
        </row>
        <row r="264">
          <cell r="B264">
            <v>41136</v>
          </cell>
          <cell r="H264">
            <v>1762893.48</v>
          </cell>
        </row>
        <row r="265">
          <cell r="B265">
            <v>411310</v>
          </cell>
          <cell r="H265">
            <v>20937.43</v>
          </cell>
        </row>
        <row r="266">
          <cell r="B266">
            <v>411311</v>
          </cell>
          <cell r="H266">
            <v>29106.67</v>
          </cell>
        </row>
        <row r="267">
          <cell r="B267">
            <v>413</v>
          </cell>
          <cell r="H267">
            <v>5604038.4800000004</v>
          </cell>
        </row>
        <row r="268">
          <cell r="B268">
            <v>4131</v>
          </cell>
          <cell r="H268">
            <v>5604038.4800000004</v>
          </cell>
        </row>
        <row r="269">
          <cell r="B269">
            <v>41311</v>
          </cell>
          <cell r="H269">
            <v>373139.72</v>
          </cell>
        </row>
        <row r="270">
          <cell r="B270">
            <v>41312</v>
          </cell>
          <cell r="H270">
            <v>857509.63</v>
          </cell>
        </row>
        <row r="271">
          <cell r="B271">
            <v>41315</v>
          </cell>
          <cell r="H271">
            <v>1010811.54</v>
          </cell>
        </row>
        <row r="272">
          <cell r="B272">
            <v>41316</v>
          </cell>
          <cell r="H272">
            <v>6875</v>
          </cell>
        </row>
        <row r="273">
          <cell r="B273">
            <v>413114</v>
          </cell>
          <cell r="H273">
            <v>2863633.49</v>
          </cell>
        </row>
        <row r="274">
          <cell r="B274">
            <v>413117</v>
          </cell>
          <cell r="H274">
            <v>479110.02</v>
          </cell>
        </row>
        <row r="275">
          <cell r="B275">
            <v>4131997</v>
          </cell>
          <cell r="H275">
            <v>12959.08</v>
          </cell>
        </row>
        <row r="276">
          <cell r="B276">
            <v>414</v>
          </cell>
          <cell r="H276">
            <v>308589.92</v>
          </cell>
        </row>
        <row r="277">
          <cell r="B277">
            <v>4141</v>
          </cell>
          <cell r="H277">
            <v>308589.92</v>
          </cell>
        </row>
        <row r="278">
          <cell r="B278">
            <v>41412</v>
          </cell>
          <cell r="H278">
            <v>295440.52</v>
          </cell>
        </row>
        <row r="279">
          <cell r="B279">
            <v>41418</v>
          </cell>
          <cell r="H279">
            <v>13149.4</v>
          </cell>
        </row>
        <row r="280">
          <cell r="B280">
            <v>416</v>
          </cell>
          <cell r="H280">
            <v>5410474.0899999999</v>
          </cell>
        </row>
        <row r="281">
          <cell r="B281">
            <v>4161</v>
          </cell>
          <cell r="H281">
            <v>2257842.94</v>
          </cell>
        </row>
        <row r="282">
          <cell r="B282">
            <v>41614</v>
          </cell>
          <cell r="H282">
            <v>608721.48</v>
          </cell>
        </row>
        <row r="283">
          <cell r="B283">
            <v>41616</v>
          </cell>
          <cell r="H283">
            <v>19965.400000000001</v>
          </cell>
        </row>
        <row r="284">
          <cell r="B284">
            <v>416112</v>
          </cell>
          <cell r="H284">
            <v>3533.7</v>
          </cell>
        </row>
        <row r="285">
          <cell r="B285">
            <v>416114</v>
          </cell>
          <cell r="H285">
            <v>516307.05</v>
          </cell>
        </row>
        <row r="286">
          <cell r="B286">
            <v>416115</v>
          </cell>
          <cell r="H286">
            <v>296274.23</v>
          </cell>
        </row>
        <row r="287">
          <cell r="B287">
            <v>416116</v>
          </cell>
          <cell r="H287">
            <v>813041.08</v>
          </cell>
        </row>
        <row r="288">
          <cell r="B288">
            <v>4162</v>
          </cell>
          <cell r="H288">
            <v>3152631.15</v>
          </cell>
        </row>
        <row r="289">
          <cell r="B289">
            <v>41621</v>
          </cell>
          <cell r="H289">
            <v>714814.83</v>
          </cell>
        </row>
        <row r="290">
          <cell r="B290">
            <v>41624</v>
          </cell>
          <cell r="H290">
            <v>494008.04</v>
          </cell>
        </row>
        <row r="291">
          <cell r="B291">
            <v>41626</v>
          </cell>
          <cell r="H291">
            <v>490743.22</v>
          </cell>
        </row>
        <row r="292">
          <cell r="B292">
            <v>41627</v>
          </cell>
          <cell r="H292">
            <v>1154847.2</v>
          </cell>
        </row>
        <row r="293">
          <cell r="B293">
            <v>416210</v>
          </cell>
          <cell r="H293">
            <v>298217.86</v>
          </cell>
        </row>
        <row r="294">
          <cell r="B294">
            <v>42</v>
          </cell>
          <cell r="H294">
            <v>54938217.880000003</v>
          </cell>
        </row>
        <row r="295">
          <cell r="B295">
            <v>421</v>
          </cell>
          <cell r="H295">
            <v>37281841.93</v>
          </cell>
        </row>
        <row r="296">
          <cell r="B296">
            <v>4211</v>
          </cell>
          <cell r="H296">
            <v>25785047.52</v>
          </cell>
        </row>
        <row r="297">
          <cell r="B297">
            <v>42111</v>
          </cell>
          <cell r="H297">
            <v>20737756.16</v>
          </cell>
        </row>
        <row r="298">
          <cell r="B298">
            <v>42117</v>
          </cell>
          <cell r="H298">
            <v>2935198.77</v>
          </cell>
        </row>
        <row r="299">
          <cell r="B299">
            <v>42118</v>
          </cell>
          <cell r="H299">
            <v>177960.71</v>
          </cell>
        </row>
        <row r="300">
          <cell r="B300">
            <v>42119</v>
          </cell>
          <cell r="H300">
            <v>1862176.69</v>
          </cell>
        </row>
        <row r="301">
          <cell r="B301">
            <v>421112</v>
          </cell>
          <cell r="H301">
            <v>6909.73</v>
          </cell>
        </row>
        <row r="302">
          <cell r="B302">
            <v>421114</v>
          </cell>
          <cell r="H302">
            <v>65045.46</v>
          </cell>
        </row>
        <row r="303">
          <cell r="B303">
            <v>4212</v>
          </cell>
          <cell r="H303">
            <v>7471772.3899999997</v>
          </cell>
        </row>
        <row r="304">
          <cell r="B304">
            <v>42121</v>
          </cell>
          <cell r="H304">
            <v>4528226.6399999997</v>
          </cell>
        </row>
        <row r="305">
          <cell r="B305">
            <v>42122</v>
          </cell>
          <cell r="H305">
            <v>1640546.98</v>
          </cell>
        </row>
        <row r="306">
          <cell r="B306">
            <v>42124</v>
          </cell>
          <cell r="H306">
            <v>410348.39</v>
          </cell>
        </row>
        <row r="307">
          <cell r="B307">
            <v>42125</v>
          </cell>
          <cell r="H307">
            <v>561306.49</v>
          </cell>
        </row>
        <row r="308">
          <cell r="B308">
            <v>42126</v>
          </cell>
          <cell r="H308">
            <v>185343.29</v>
          </cell>
        </row>
        <row r="309">
          <cell r="B309">
            <v>42127</v>
          </cell>
          <cell r="H309">
            <v>146000.6</v>
          </cell>
        </row>
        <row r="310">
          <cell r="B310">
            <v>4213</v>
          </cell>
          <cell r="H310">
            <v>4025022.02</v>
          </cell>
        </row>
        <row r="311">
          <cell r="B311">
            <v>42131</v>
          </cell>
          <cell r="H311">
            <v>1334396.43</v>
          </cell>
        </row>
        <row r="312">
          <cell r="B312">
            <v>42132</v>
          </cell>
          <cell r="H312">
            <v>1344088.34</v>
          </cell>
        </row>
        <row r="313">
          <cell r="B313">
            <v>42133</v>
          </cell>
          <cell r="H313">
            <v>30314.26</v>
          </cell>
        </row>
        <row r="314">
          <cell r="B314">
            <v>42134</v>
          </cell>
          <cell r="H314">
            <v>201003.29</v>
          </cell>
        </row>
        <row r="315">
          <cell r="B315">
            <v>42135</v>
          </cell>
          <cell r="H315">
            <v>202788.11</v>
          </cell>
        </row>
        <row r="316">
          <cell r="B316">
            <v>42136</v>
          </cell>
          <cell r="H316">
            <v>801692.35</v>
          </cell>
        </row>
        <row r="317">
          <cell r="B317">
            <v>421310</v>
          </cell>
          <cell r="H317">
            <v>6874.62</v>
          </cell>
        </row>
        <row r="318">
          <cell r="B318">
            <v>421311</v>
          </cell>
          <cell r="H318">
            <v>103864.62</v>
          </cell>
        </row>
        <row r="319">
          <cell r="B319">
            <v>422</v>
          </cell>
          <cell r="H319">
            <v>101253.35</v>
          </cell>
        </row>
        <row r="320">
          <cell r="B320">
            <v>4221</v>
          </cell>
          <cell r="H320">
            <v>101253.35</v>
          </cell>
        </row>
        <row r="321">
          <cell r="B321">
            <v>42211</v>
          </cell>
          <cell r="H321">
            <v>101253.35</v>
          </cell>
        </row>
        <row r="322">
          <cell r="B322">
            <v>423</v>
          </cell>
          <cell r="H322">
            <v>7508175.1699999999</v>
          </cell>
        </row>
        <row r="323">
          <cell r="B323">
            <v>4231</v>
          </cell>
          <cell r="H323">
            <v>7508175.1699999999</v>
          </cell>
        </row>
        <row r="324">
          <cell r="B324">
            <v>42311</v>
          </cell>
          <cell r="H324">
            <v>566563.6</v>
          </cell>
        </row>
        <row r="325">
          <cell r="B325">
            <v>42312</v>
          </cell>
          <cell r="H325">
            <v>1307066.1299999999</v>
          </cell>
        </row>
        <row r="326">
          <cell r="B326">
            <v>42313</v>
          </cell>
          <cell r="H326">
            <v>629814.41</v>
          </cell>
        </row>
        <row r="327">
          <cell r="B327">
            <v>42315</v>
          </cell>
          <cell r="H327">
            <v>414911.16</v>
          </cell>
        </row>
        <row r="328">
          <cell r="B328">
            <v>42316</v>
          </cell>
          <cell r="H328">
            <v>3049.42</v>
          </cell>
        </row>
        <row r="329">
          <cell r="B329">
            <v>42317</v>
          </cell>
          <cell r="H329">
            <v>478398.05</v>
          </cell>
        </row>
        <row r="330">
          <cell r="B330">
            <v>42318</v>
          </cell>
          <cell r="H330">
            <v>237162.06</v>
          </cell>
        </row>
        <row r="331">
          <cell r="B331">
            <v>423113</v>
          </cell>
          <cell r="H331">
            <v>179455.64</v>
          </cell>
        </row>
        <row r="332">
          <cell r="B332">
            <v>423114</v>
          </cell>
          <cell r="H332">
            <v>2943444.67</v>
          </cell>
        </row>
        <row r="333">
          <cell r="B333">
            <v>423115</v>
          </cell>
          <cell r="H333">
            <v>24000</v>
          </cell>
        </row>
        <row r="334">
          <cell r="B334">
            <v>423117</v>
          </cell>
          <cell r="H334">
            <v>393435.32</v>
          </cell>
        </row>
        <row r="335">
          <cell r="B335">
            <v>423118</v>
          </cell>
          <cell r="H335">
            <v>295022.12</v>
          </cell>
        </row>
        <row r="336">
          <cell r="B336">
            <v>423119</v>
          </cell>
          <cell r="H336">
            <v>35852.589999999997</v>
          </cell>
        </row>
        <row r="337">
          <cell r="B337">
            <v>424</v>
          </cell>
          <cell r="H337">
            <v>160453.57</v>
          </cell>
        </row>
        <row r="338">
          <cell r="B338">
            <v>4241</v>
          </cell>
          <cell r="H338">
            <v>160453.57</v>
          </cell>
        </row>
        <row r="339">
          <cell r="B339">
            <v>42412</v>
          </cell>
          <cell r="H339">
            <v>122261.33</v>
          </cell>
        </row>
        <row r="340">
          <cell r="B340">
            <v>42415</v>
          </cell>
          <cell r="H340">
            <v>3593.85</v>
          </cell>
        </row>
        <row r="341">
          <cell r="B341">
            <v>42416</v>
          </cell>
          <cell r="H341">
            <v>22115.95</v>
          </cell>
        </row>
        <row r="342">
          <cell r="B342">
            <v>424112</v>
          </cell>
          <cell r="H342">
            <v>12482.44</v>
          </cell>
        </row>
        <row r="343">
          <cell r="B343">
            <v>425</v>
          </cell>
          <cell r="H343">
            <v>374532.11</v>
          </cell>
        </row>
        <row r="344">
          <cell r="B344">
            <v>4254</v>
          </cell>
          <cell r="H344">
            <v>374532.11</v>
          </cell>
        </row>
        <row r="345">
          <cell r="B345">
            <v>42541</v>
          </cell>
          <cell r="H345">
            <v>374532.11</v>
          </cell>
        </row>
        <row r="346">
          <cell r="B346">
            <v>426</v>
          </cell>
          <cell r="H346">
            <v>8339130.7999999998</v>
          </cell>
        </row>
        <row r="347">
          <cell r="B347">
            <v>4261</v>
          </cell>
          <cell r="H347">
            <v>5776405.3600000003</v>
          </cell>
        </row>
        <row r="348">
          <cell r="B348">
            <v>42613</v>
          </cell>
          <cell r="H348">
            <v>37814.449999999997</v>
          </cell>
        </row>
        <row r="349">
          <cell r="B349">
            <v>42614</v>
          </cell>
          <cell r="H349">
            <v>251905.5</v>
          </cell>
        </row>
        <row r="350">
          <cell r="B350">
            <v>42616</v>
          </cell>
          <cell r="H350">
            <v>8281.27</v>
          </cell>
        </row>
        <row r="351">
          <cell r="B351">
            <v>42617</v>
          </cell>
          <cell r="H351">
            <v>960.41</v>
          </cell>
        </row>
        <row r="352">
          <cell r="B352">
            <v>426111</v>
          </cell>
          <cell r="H352">
            <v>2396396.66</v>
          </cell>
        </row>
        <row r="353">
          <cell r="B353">
            <v>426112</v>
          </cell>
          <cell r="H353">
            <v>36708.97</v>
          </cell>
        </row>
        <row r="354">
          <cell r="B354">
            <v>426114</v>
          </cell>
          <cell r="H354">
            <v>200555.34</v>
          </cell>
        </row>
        <row r="355">
          <cell r="B355">
            <v>426116</v>
          </cell>
          <cell r="H355">
            <v>336458.54</v>
          </cell>
        </row>
        <row r="356">
          <cell r="B356">
            <v>426117</v>
          </cell>
          <cell r="H356">
            <v>125832.06</v>
          </cell>
        </row>
        <row r="357">
          <cell r="B357">
            <v>426118</v>
          </cell>
          <cell r="H357">
            <v>2381492.16</v>
          </cell>
        </row>
        <row r="358">
          <cell r="B358">
            <v>4262</v>
          </cell>
          <cell r="H358">
            <v>2562725.44</v>
          </cell>
        </row>
        <row r="359">
          <cell r="B359">
            <v>42621</v>
          </cell>
          <cell r="H359">
            <v>280820.43</v>
          </cell>
        </row>
        <row r="360">
          <cell r="B360">
            <v>42622</v>
          </cell>
          <cell r="H360">
            <v>389084.28</v>
          </cell>
        </row>
        <row r="361">
          <cell r="B361">
            <v>42624</v>
          </cell>
          <cell r="H361">
            <v>448925.26</v>
          </cell>
        </row>
        <row r="362">
          <cell r="B362">
            <v>42625</v>
          </cell>
          <cell r="H362">
            <v>9759.91</v>
          </cell>
        </row>
        <row r="363">
          <cell r="B363">
            <v>42626</v>
          </cell>
          <cell r="H363">
            <v>229543.82</v>
          </cell>
        </row>
        <row r="364">
          <cell r="B364">
            <v>42627</v>
          </cell>
          <cell r="H364">
            <v>864464.63</v>
          </cell>
        </row>
        <row r="365">
          <cell r="B365">
            <v>42629</v>
          </cell>
          <cell r="H365">
            <v>3594.9</v>
          </cell>
        </row>
        <row r="366">
          <cell r="B366">
            <v>426210</v>
          </cell>
          <cell r="H366">
            <v>55452.639999999999</v>
          </cell>
        </row>
        <row r="367">
          <cell r="B367">
            <v>426214</v>
          </cell>
          <cell r="H367">
            <v>118958.46</v>
          </cell>
        </row>
        <row r="368">
          <cell r="B368">
            <v>426215</v>
          </cell>
          <cell r="H368">
            <v>162121.10999999999</v>
          </cell>
        </row>
        <row r="369">
          <cell r="B369">
            <v>427</v>
          </cell>
          <cell r="H369">
            <v>1172830.95</v>
          </cell>
        </row>
        <row r="370">
          <cell r="B370">
            <v>42701</v>
          </cell>
          <cell r="H370">
            <v>1172830.95</v>
          </cell>
        </row>
        <row r="371">
          <cell r="B371">
            <v>42711</v>
          </cell>
          <cell r="H371">
            <v>10.84</v>
          </cell>
        </row>
        <row r="372">
          <cell r="B372">
            <v>42720</v>
          </cell>
          <cell r="H372">
            <v>507025.56</v>
          </cell>
        </row>
        <row r="373">
          <cell r="B373">
            <v>427122</v>
          </cell>
          <cell r="H373">
            <v>665794.55000000005</v>
          </cell>
        </row>
        <row r="374">
          <cell r="B374">
            <v>5</v>
          </cell>
          <cell r="H374">
            <v>-5479736.8300000001</v>
          </cell>
        </row>
        <row r="375">
          <cell r="B375">
            <v>51</v>
          </cell>
          <cell r="H375">
            <v>-5479736.8300000001</v>
          </cell>
        </row>
        <row r="376">
          <cell r="B376">
            <v>511</v>
          </cell>
          <cell r="H376">
            <v>1816798.02</v>
          </cell>
        </row>
        <row r="377">
          <cell r="B377">
            <v>5111</v>
          </cell>
          <cell r="H377">
            <v>799991.65</v>
          </cell>
        </row>
        <row r="378">
          <cell r="B378">
            <v>5116</v>
          </cell>
          <cell r="H378">
            <v>1016806.37</v>
          </cell>
        </row>
        <row r="379">
          <cell r="B379">
            <v>512</v>
          </cell>
          <cell r="H379">
            <v>-7296534.8499999996</v>
          </cell>
        </row>
        <row r="380">
          <cell r="B380">
            <v>5122</v>
          </cell>
          <cell r="H380">
            <v>-44677.79</v>
          </cell>
        </row>
        <row r="381">
          <cell r="B381">
            <v>5123</v>
          </cell>
          <cell r="H381">
            <v>-1381461.08</v>
          </cell>
        </row>
        <row r="382">
          <cell r="B382">
            <v>5124</v>
          </cell>
          <cell r="H382">
            <v>-171067.17</v>
          </cell>
        </row>
        <row r="383">
          <cell r="B383">
            <v>5125</v>
          </cell>
          <cell r="H383">
            <v>-896189.93</v>
          </cell>
        </row>
        <row r="384">
          <cell r="B384">
            <v>5127</v>
          </cell>
          <cell r="H384">
            <v>-1268603.3799999999</v>
          </cell>
        </row>
        <row r="385">
          <cell r="B385">
            <v>5128</v>
          </cell>
          <cell r="H385">
            <v>-722464.7</v>
          </cell>
        </row>
        <row r="386">
          <cell r="B386">
            <v>5129</v>
          </cell>
          <cell r="H386">
            <v>-1997811.76</v>
          </cell>
        </row>
        <row r="387">
          <cell r="B387">
            <v>51210</v>
          </cell>
          <cell r="H387">
            <v>-814259.04</v>
          </cell>
        </row>
      </sheetData>
      <sheetData sheetId="18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85907726.959999993</v>
          </cell>
        </row>
        <row r="9">
          <cell r="B9">
            <v>11</v>
          </cell>
          <cell r="H9">
            <v>56244452.799999997</v>
          </cell>
        </row>
        <row r="10">
          <cell r="B10">
            <v>111</v>
          </cell>
          <cell r="H10">
            <v>48134630.57</v>
          </cell>
        </row>
        <row r="11">
          <cell r="B11">
            <v>1112</v>
          </cell>
          <cell r="H11">
            <v>48134630.57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9410361.7799999993</v>
          </cell>
        </row>
        <row r="14">
          <cell r="B14" t="str">
            <v>BBR</v>
          </cell>
          <cell r="H14">
            <v>38724268.789999999</v>
          </cell>
        </row>
        <row r="15">
          <cell r="B15">
            <v>112</v>
          </cell>
          <cell r="H15">
            <v>4739165.03</v>
          </cell>
        </row>
        <row r="16">
          <cell r="B16">
            <v>1123</v>
          </cell>
          <cell r="H16">
            <v>1083726.55</v>
          </cell>
        </row>
        <row r="17">
          <cell r="B17">
            <v>112310</v>
          </cell>
          <cell r="H17">
            <v>580</v>
          </cell>
        </row>
        <row r="18">
          <cell r="B18">
            <v>112316</v>
          </cell>
          <cell r="H18">
            <v>178629.72</v>
          </cell>
        </row>
        <row r="19">
          <cell r="B19">
            <v>112317</v>
          </cell>
          <cell r="H19">
            <v>66625.72</v>
          </cell>
        </row>
        <row r="20">
          <cell r="B20">
            <v>112334</v>
          </cell>
          <cell r="H20">
            <v>812.97</v>
          </cell>
        </row>
        <row r="21">
          <cell r="B21">
            <v>112340</v>
          </cell>
          <cell r="H21">
            <v>625263.31000000006</v>
          </cell>
        </row>
        <row r="22">
          <cell r="B22">
            <v>112341</v>
          </cell>
          <cell r="H22">
            <v>211814.83</v>
          </cell>
        </row>
        <row r="23">
          <cell r="B23">
            <v>1124</v>
          </cell>
          <cell r="H23">
            <v>3655306.5</v>
          </cell>
        </row>
        <row r="24">
          <cell r="B24">
            <v>11241</v>
          </cell>
          <cell r="H24">
            <v>241614.43</v>
          </cell>
        </row>
        <row r="25">
          <cell r="B25">
            <v>11242</v>
          </cell>
          <cell r="H25">
            <v>3413692.07</v>
          </cell>
        </row>
        <row r="26">
          <cell r="B26">
            <v>112424</v>
          </cell>
          <cell r="H26">
            <v>0</v>
          </cell>
        </row>
        <row r="27">
          <cell r="B27">
            <v>112425</v>
          </cell>
          <cell r="H27">
            <v>0</v>
          </cell>
        </row>
        <row r="28">
          <cell r="B28">
            <v>11299</v>
          </cell>
          <cell r="H28">
            <v>131.97999999999999</v>
          </cell>
        </row>
        <row r="29">
          <cell r="B29">
            <v>112995</v>
          </cell>
          <cell r="H29">
            <v>0</v>
          </cell>
        </row>
        <row r="30">
          <cell r="B30">
            <v>11299999</v>
          </cell>
          <cell r="H30">
            <v>131.97999999999999</v>
          </cell>
        </row>
        <row r="31">
          <cell r="B31">
            <v>113</v>
          </cell>
          <cell r="H31">
            <v>3370657.2</v>
          </cell>
        </row>
        <row r="32">
          <cell r="B32">
            <v>1131</v>
          </cell>
          <cell r="H32">
            <v>3370657.2</v>
          </cell>
        </row>
        <row r="33">
          <cell r="B33">
            <v>11311</v>
          </cell>
          <cell r="H33">
            <v>37863.800000000003</v>
          </cell>
        </row>
        <row r="34">
          <cell r="B34">
            <v>11312</v>
          </cell>
          <cell r="H34">
            <v>1348639.69</v>
          </cell>
        </row>
        <row r="35">
          <cell r="B35">
            <v>11313</v>
          </cell>
          <cell r="H35">
            <v>24361.05</v>
          </cell>
        </row>
        <row r="36">
          <cell r="B36">
            <v>11315</v>
          </cell>
          <cell r="H36">
            <v>126409.75</v>
          </cell>
        </row>
        <row r="37">
          <cell r="B37">
            <v>11316</v>
          </cell>
          <cell r="H37">
            <v>1757943.41</v>
          </cell>
        </row>
        <row r="38">
          <cell r="B38">
            <v>1131999</v>
          </cell>
          <cell r="H38">
            <v>75439.5</v>
          </cell>
        </row>
        <row r="39">
          <cell r="B39">
            <v>12</v>
          </cell>
          <cell r="H39">
            <v>29663274.16</v>
          </cell>
        </row>
        <row r="40">
          <cell r="B40">
            <v>121</v>
          </cell>
          <cell r="H40">
            <v>8183641</v>
          </cell>
        </row>
        <row r="41">
          <cell r="B41">
            <v>1213</v>
          </cell>
          <cell r="H41">
            <v>2945509.73</v>
          </cell>
        </row>
        <row r="42">
          <cell r="B42">
            <v>12131</v>
          </cell>
          <cell r="H42">
            <v>26963.49</v>
          </cell>
        </row>
        <row r="43">
          <cell r="B43">
            <v>12134</v>
          </cell>
          <cell r="H43">
            <v>4640.58</v>
          </cell>
        </row>
        <row r="44">
          <cell r="B44">
            <v>12135</v>
          </cell>
          <cell r="H44">
            <v>176190.63</v>
          </cell>
        </row>
        <row r="45">
          <cell r="B45">
            <v>12139</v>
          </cell>
          <cell r="H45">
            <v>1883.97</v>
          </cell>
        </row>
        <row r="46">
          <cell r="B46">
            <v>121311</v>
          </cell>
          <cell r="H46">
            <v>4463.2700000000004</v>
          </cell>
        </row>
        <row r="47">
          <cell r="B47">
            <v>121312</v>
          </cell>
          <cell r="H47">
            <v>306.14</v>
          </cell>
        </row>
        <row r="48">
          <cell r="B48">
            <v>121313</v>
          </cell>
          <cell r="H48">
            <v>225556.24</v>
          </cell>
        </row>
        <row r="49">
          <cell r="B49">
            <v>121315</v>
          </cell>
          <cell r="H49">
            <v>154611.51</v>
          </cell>
        </row>
        <row r="50">
          <cell r="B50">
            <v>121316</v>
          </cell>
          <cell r="H50">
            <v>1080973.43</v>
          </cell>
        </row>
        <row r="51">
          <cell r="B51">
            <v>121317</v>
          </cell>
          <cell r="H51">
            <v>2241.7399999999998</v>
          </cell>
        </row>
        <row r="52">
          <cell r="B52">
            <v>121318</v>
          </cell>
          <cell r="H52">
            <v>864343.56</v>
          </cell>
        </row>
        <row r="53">
          <cell r="B53">
            <v>121319</v>
          </cell>
          <cell r="H53">
            <v>403335.17</v>
          </cell>
        </row>
        <row r="54">
          <cell r="B54">
            <v>1217</v>
          </cell>
          <cell r="H54">
            <v>133.24</v>
          </cell>
        </row>
        <row r="55">
          <cell r="B55">
            <v>12171</v>
          </cell>
          <cell r="H55">
            <v>133.24</v>
          </cell>
        </row>
        <row r="56">
          <cell r="B56">
            <v>1218</v>
          </cell>
          <cell r="H56">
            <v>5237998.03</v>
          </cell>
        </row>
        <row r="57">
          <cell r="B57">
            <v>12181</v>
          </cell>
          <cell r="H57">
            <v>4468972.2</v>
          </cell>
        </row>
        <row r="58">
          <cell r="B58">
            <v>12182</v>
          </cell>
          <cell r="H58">
            <v>586649.77</v>
          </cell>
        </row>
        <row r="59">
          <cell r="B59">
            <v>12183</v>
          </cell>
          <cell r="H59">
            <v>182376.06</v>
          </cell>
        </row>
        <row r="60">
          <cell r="B60">
            <v>123</v>
          </cell>
          <cell r="H60">
            <v>6015347.3799999999</v>
          </cell>
        </row>
        <row r="61">
          <cell r="B61">
            <v>1231</v>
          </cell>
          <cell r="H61">
            <v>20645374.690000001</v>
          </cell>
        </row>
        <row r="62">
          <cell r="B62">
            <v>12313</v>
          </cell>
          <cell r="H62">
            <v>2565049.0299999998</v>
          </cell>
        </row>
        <row r="63">
          <cell r="B63">
            <v>12314</v>
          </cell>
          <cell r="H63">
            <v>823453.65</v>
          </cell>
        </row>
        <row r="64">
          <cell r="B64">
            <v>12315</v>
          </cell>
          <cell r="H64">
            <v>14457459</v>
          </cell>
        </row>
        <row r="65">
          <cell r="B65">
            <v>12317</v>
          </cell>
          <cell r="H65">
            <v>2799413.01</v>
          </cell>
        </row>
        <row r="66">
          <cell r="B66">
            <v>12398</v>
          </cell>
          <cell r="H66">
            <v>-14630027.310000001</v>
          </cell>
        </row>
        <row r="67">
          <cell r="B67">
            <v>123982</v>
          </cell>
          <cell r="H67">
            <v>-1153047.22</v>
          </cell>
        </row>
        <row r="68">
          <cell r="B68">
            <v>123983</v>
          </cell>
          <cell r="H68">
            <v>-769169.88</v>
          </cell>
        </row>
        <row r="69">
          <cell r="B69">
            <v>123984</v>
          </cell>
          <cell r="H69">
            <v>-10592541.43</v>
          </cell>
        </row>
        <row r="70">
          <cell r="B70">
            <v>123986</v>
          </cell>
          <cell r="H70">
            <v>-2115268.7799999998</v>
          </cell>
        </row>
        <row r="71">
          <cell r="B71">
            <v>124</v>
          </cell>
          <cell r="H71">
            <v>1426664.94</v>
          </cell>
        </row>
        <row r="72">
          <cell r="B72">
            <v>1241</v>
          </cell>
          <cell r="H72">
            <v>13586005.869999999</v>
          </cell>
        </row>
        <row r="73">
          <cell r="B73">
            <v>124101</v>
          </cell>
          <cell r="H73">
            <v>13586005.869999999</v>
          </cell>
        </row>
        <row r="74">
          <cell r="B74">
            <v>12498</v>
          </cell>
          <cell r="H74">
            <v>-12159340.93</v>
          </cell>
        </row>
        <row r="75">
          <cell r="B75">
            <v>1242</v>
          </cell>
          <cell r="H75">
            <v>-12159340.93</v>
          </cell>
        </row>
        <row r="76">
          <cell r="B76">
            <v>125</v>
          </cell>
          <cell r="H76">
            <v>14037620.84</v>
          </cell>
        </row>
        <row r="77">
          <cell r="B77">
            <v>1251</v>
          </cell>
          <cell r="H77">
            <v>14037620.84</v>
          </cell>
        </row>
        <row r="78">
          <cell r="B78">
            <v>12511</v>
          </cell>
          <cell r="H78">
            <v>24551214.710000001</v>
          </cell>
        </row>
        <row r="79">
          <cell r="B79">
            <v>12512</v>
          </cell>
          <cell r="H79">
            <v>-10513593.869999999</v>
          </cell>
        </row>
        <row r="80">
          <cell r="B80">
            <v>2</v>
          </cell>
          <cell r="H80">
            <v>-85907726.959999993</v>
          </cell>
        </row>
        <row r="81">
          <cell r="B81">
            <v>21</v>
          </cell>
          <cell r="H81">
            <v>-34978494.140000001</v>
          </cell>
        </row>
        <row r="82">
          <cell r="B82">
            <v>211</v>
          </cell>
          <cell r="H82">
            <v>-34978494.140000001</v>
          </cell>
        </row>
        <row r="83">
          <cell r="B83">
            <v>2114</v>
          </cell>
          <cell r="H83">
            <v>-1105931.07</v>
          </cell>
        </row>
        <row r="84">
          <cell r="B84">
            <v>60444400000000</v>
          </cell>
          <cell r="H84">
            <v>-30000</v>
          </cell>
        </row>
        <row r="85">
          <cell r="B85">
            <v>57143000000000</v>
          </cell>
          <cell r="H85">
            <v>0</v>
          </cell>
        </row>
        <row r="86">
          <cell r="B86">
            <v>34028300000000</v>
          </cell>
          <cell r="H86">
            <v>0</v>
          </cell>
        </row>
        <row r="87">
          <cell r="B87" t="str">
            <v>33641663/0001-44</v>
          </cell>
          <cell r="H87">
            <v>0</v>
          </cell>
        </row>
        <row r="88">
          <cell r="B88" t="str">
            <v>09305983/0001-49</v>
          </cell>
          <cell r="H88">
            <v>0</v>
          </cell>
        </row>
        <row r="89">
          <cell r="B89" t="str">
            <v>69034668/0001-56</v>
          </cell>
          <cell r="H89">
            <v>-423201.78</v>
          </cell>
        </row>
        <row r="90">
          <cell r="B90" t="str">
            <v>67393181/0001-34</v>
          </cell>
          <cell r="H90">
            <v>-11294.88</v>
          </cell>
        </row>
        <row r="91">
          <cell r="B91" t="str">
            <v>07604035/0001-89</v>
          </cell>
          <cell r="H91">
            <v>-5162</v>
          </cell>
        </row>
        <row r="92">
          <cell r="B92" t="str">
            <v>71208516/0001-74</v>
          </cell>
          <cell r="H92">
            <v>-1171.53</v>
          </cell>
        </row>
        <row r="93">
          <cell r="B93" t="str">
            <v>42334193/0001-67</v>
          </cell>
          <cell r="H93">
            <v>0</v>
          </cell>
        </row>
        <row r="94">
          <cell r="B94" t="str">
            <v>53113791/0001-22</v>
          </cell>
          <cell r="H94">
            <v>0</v>
          </cell>
        </row>
        <row r="95">
          <cell r="B95">
            <v>32578400000000</v>
          </cell>
          <cell r="H95">
            <v>0</v>
          </cell>
        </row>
        <row r="96">
          <cell r="B96" t="str">
            <v>08794730/0001-13</v>
          </cell>
          <cell r="H96">
            <v>0</v>
          </cell>
        </row>
        <row r="97">
          <cell r="B97" t="str">
            <v>05344234/0001-70</v>
          </cell>
          <cell r="H97">
            <v>0</v>
          </cell>
        </row>
        <row r="98">
          <cell r="B98">
            <v>33754500000000</v>
          </cell>
          <cell r="H98">
            <v>-100303.4</v>
          </cell>
        </row>
        <row r="99">
          <cell r="B99">
            <v>3017430000000</v>
          </cell>
          <cell r="H99">
            <v>-56000</v>
          </cell>
        </row>
        <row r="100">
          <cell r="B100" t="str">
            <v>24602524/0001-10</v>
          </cell>
          <cell r="H100">
            <v>0</v>
          </cell>
        </row>
        <row r="101">
          <cell r="B101">
            <v>3598920000000</v>
          </cell>
          <cell r="H101">
            <v>0</v>
          </cell>
        </row>
        <row r="102">
          <cell r="B102">
            <v>14031100000000</v>
          </cell>
          <cell r="H102">
            <v>0</v>
          </cell>
        </row>
        <row r="103">
          <cell r="B103">
            <v>11825800000000</v>
          </cell>
          <cell r="H103">
            <v>-203.2</v>
          </cell>
        </row>
        <row r="104">
          <cell r="B104">
            <v>74336600000000</v>
          </cell>
          <cell r="H104">
            <v>0</v>
          </cell>
        </row>
        <row r="105">
          <cell r="B105">
            <v>2081860000000</v>
          </cell>
          <cell r="H105">
            <v>0</v>
          </cell>
        </row>
        <row r="106">
          <cell r="B106">
            <v>7718940000000</v>
          </cell>
          <cell r="H106">
            <v>0</v>
          </cell>
        </row>
        <row r="107">
          <cell r="B107">
            <v>9079570000000</v>
          </cell>
          <cell r="H107">
            <v>0</v>
          </cell>
        </row>
        <row r="108">
          <cell r="B108">
            <v>54207700000000</v>
          </cell>
          <cell r="H108">
            <v>0</v>
          </cell>
        </row>
        <row r="109">
          <cell r="B109">
            <v>19088600000000</v>
          </cell>
          <cell r="H109">
            <v>-90000</v>
          </cell>
        </row>
        <row r="110">
          <cell r="B110">
            <v>398099000000</v>
          </cell>
          <cell r="H110">
            <v>0</v>
          </cell>
        </row>
        <row r="111">
          <cell r="B111">
            <v>34036200000000</v>
          </cell>
          <cell r="H111">
            <v>-120000</v>
          </cell>
        </row>
        <row r="112">
          <cell r="B112">
            <v>36813600000000</v>
          </cell>
          <cell r="H112">
            <v>-19321.509999999998</v>
          </cell>
        </row>
        <row r="113">
          <cell r="B113">
            <v>191477000000</v>
          </cell>
          <cell r="H113">
            <v>-36288</v>
          </cell>
        </row>
        <row r="114">
          <cell r="B114">
            <v>34977900000000</v>
          </cell>
          <cell r="H114">
            <v>0</v>
          </cell>
        </row>
        <row r="115">
          <cell r="B115">
            <v>33198300000000</v>
          </cell>
          <cell r="H115">
            <v>0</v>
          </cell>
        </row>
        <row r="116">
          <cell r="B116">
            <v>28712100000000</v>
          </cell>
          <cell r="H116">
            <v>0</v>
          </cell>
        </row>
        <row r="117">
          <cell r="B117">
            <v>12499500000000</v>
          </cell>
          <cell r="H117">
            <v>0</v>
          </cell>
        </row>
        <row r="118">
          <cell r="B118">
            <v>7843950000000</v>
          </cell>
          <cell r="H118">
            <v>0</v>
          </cell>
        </row>
        <row r="119">
          <cell r="B119">
            <v>72061000000000</v>
          </cell>
          <cell r="H119">
            <v>0</v>
          </cell>
        </row>
        <row r="120">
          <cell r="B120">
            <v>38056400000000</v>
          </cell>
          <cell r="H120">
            <v>0</v>
          </cell>
        </row>
        <row r="121">
          <cell r="B121" t="str">
            <v>01707536/000104</v>
          </cell>
          <cell r="H121">
            <v>0</v>
          </cell>
        </row>
        <row r="122">
          <cell r="B122">
            <v>8401150000000</v>
          </cell>
          <cell r="H122">
            <v>-137834.14000000001</v>
          </cell>
        </row>
        <row r="123">
          <cell r="B123">
            <v>27553300000000</v>
          </cell>
          <cell r="H123">
            <v>0</v>
          </cell>
        </row>
        <row r="124">
          <cell r="B124">
            <v>5630090000000</v>
          </cell>
          <cell r="H124">
            <v>0</v>
          </cell>
        </row>
        <row r="125">
          <cell r="B125">
            <v>2114998</v>
          </cell>
          <cell r="H125">
            <v>0</v>
          </cell>
        </row>
        <row r="126">
          <cell r="B126">
            <v>8210270000000</v>
          </cell>
          <cell r="H126">
            <v>0</v>
          </cell>
        </row>
        <row r="127">
          <cell r="B127">
            <v>2445480000000</v>
          </cell>
          <cell r="H127">
            <v>-19250</v>
          </cell>
        </row>
        <row r="128">
          <cell r="B128">
            <v>37381900000000</v>
          </cell>
          <cell r="H128">
            <v>-4070.62</v>
          </cell>
        </row>
        <row r="129">
          <cell r="B129">
            <v>12782100000000</v>
          </cell>
          <cell r="H129">
            <v>0</v>
          </cell>
        </row>
        <row r="130">
          <cell r="B130">
            <v>24185200000000</v>
          </cell>
          <cell r="H130">
            <v>0</v>
          </cell>
        </row>
        <row r="131">
          <cell r="B131">
            <v>9183500000000</v>
          </cell>
          <cell r="H131">
            <v>0</v>
          </cell>
        </row>
        <row r="132">
          <cell r="B132">
            <v>69112500000000</v>
          </cell>
          <cell r="H132">
            <v>0</v>
          </cell>
        </row>
        <row r="133">
          <cell r="B133">
            <v>29532300000000</v>
          </cell>
          <cell r="H133">
            <v>0</v>
          </cell>
        </row>
        <row r="134">
          <cell r="B134">
            <v>16647700000000</v>
          </cell>
          <cell r="H134">
            <v>0</v>
          </cell>
        </row>
        <row r="135">
          <cell r="B135">
            <v>5342580000000</v>
          </cell>
          <cell r="H135">
            <v>0</v>
          </cell>
        </row>
        <row r="136">
          <cell r="B136">
            <v>4842770000000</v>
          </cell>
          <cell r="H136">
            <v>0</v>
          </cell>
        </row>
        <row r="137">
          <cell r="B137">
            <v>32493600000000</v>
          </cell>
          <cell r="H137">
            <v>0</v>
          </cell>
        </row>
        <row r="138">
          <cell r="B138">
            <v>8808150000000</v>
          </cell>
          <cell r="H138">
            <v>0</v>
          </cell>
        </row>
        <row r="139">
          <cell r="B139">
            <v>26391300000000</v>
          </cell>
          <cell r="H139">
            <v>-2172</v>
          </cell>
        </row>
        <row r="140">
          <cell r="B140">
            <v>28000129</v>
          </cell>
          <cell r="H140">
            <v>-1333.12</v>
          </cell>
        </row>
        <row r="141">
          <cell r="B141">
            <v>4567270000000</v>
          </cell>
          <cell r="H141">
            <v>-5260.6</v>
          </cell>
        </row>
        <row r="142">
          <cell r="B142">
            <v>29971300000000</v>
          </cell>
          <cell r="H142">
            <v>0</v>
          </cell>
        </row>
        <row r="143">
          <cell r="B143">
            <v>8947040000000</v>
          </cell>
          <cell r="H143">
            <v>0</v>
          </cell>
        </row>
        <row r="144">
          <cell r="B144">
            <v>61825700000000</v>
          </cell>
          <cell r="H144">
            <v>-1262.1199999999999</v>
          </cell>
        </row>
        <row r="145">
          <cell r="B145">
            <v>26344400000000</v>
          </cell>
          <cell r="H145">
            <v>-664.67</v>
          </cell>
        </row>
        <row r="146">
          <cell r="B146">
            <v>17178200000000</v>
          </cell>
          <cell r="H146">
            <v>0</v>
          </cell>
        </row>
        <row r="147">
          <cell r="B147">
            <v>30040100000000</v>
          </cell>
          <cell r="H147">
            <v>-11750</v>
          </cell>
        </row>
        <row r="148">
          <cell r="B148">
            <v>13789800000000</v>
          </cell>
          <cell r="H148">
            <v>0</v>
          </cell>
        </row>
        <row r="149">
          <cell r="B149">
            <v>48859400000000</v>
          </cell>
          <cell r="H149">
            <v>0</v>
          </cell>
        </row>
        <row r="150">
          <cell r="B150">
            <v>46947500000000</v>
          </cell>
          <cell r="H150">
            <v>-2700</v>
          </cell>
        </row>
        <row r="151">
          <cell r="B151">
            <v>48707800000000</v>
          </cell>
          <cell r="H151">
            <v>0</v>
          </cell>
        </row>
        <row r="152">
          <cell r="B152">
            <v>7708130000000</v>
          </cell>
          <cell r="H152">
            <v>-4800</v>
          </cell>
        </row>
        <row r="153">
          <cell r="B153" t="str">
            <v>50974018/0001-62</v>
          </cell>
          <cell r="H153">
            <v>-21887.5</v>
          </cell>
        </row>
        <row r="154">
          <cell r="B154" t="str">
            <v>15595641/0001-03</v>
          </cell>
          <cell r="H154">
            <v>0</v>
          </cell>
        </row>
        <row r="155">
          <cell r="B155">
            <v>57929000000000</v>
          </cell>
          <cell r="H155">
            <v>0</v>
          </cell>
        </row>
        <row r="156">
          <cell r="B156">
            <v>35147800000000</v>
          </cell>
          <cell r="H156">
            <v>0</v>
          </cell>
        </row>
        <row r="157">
          <cell r="B157">
            <v>24415300000000</v>
          </cell>
          <cell r="H157">
            <v>0</v>
          </cell>
        </row>
        <row r="158">
          <cell r="B158">
            <v>36864400000000</v>
          </cell>
          <cell r="H158">
            <v>0</v>
          </cell>
        </row>
        <row r="159">
          <cell r="B159">
            <v>46875300000000</v>
          </cell>
          <cell r="H159">
            <v>0</v>
          </cell>
        </row>
        <row r="160">
          <cell r="B160">
            <v>5487380000000</v>
          </cell>
          <cell r="H160">
            <v>0</v>
          </cell>
        </row>
        <row r="161">
          <cell r="B161">
            <v>31244200000000</v>
          </cell>
          <cell r="H161">
            <v>0</v>
          </cell>
        </row>
        <row r="162">
          <cell r="B162">
            <v>2116</v>
          </cell>
          <cell r="H162">
            <v>-1770.19</v>
          </cell>
        </row>
        <row r="163">
          <cell r="B163">
            <v>21162</v>
          </cell>
          <cell r="H163">
            <v>-247.45</v>
          </cell>
        </row>
        <row r="164">
          <cell r="B164">
            <v>21163</v>
          </cell>
          <cell r="H164">
            <v>-1522.74</v>
          </cell>
        </row>
        <row r="165">
          <cell r="B165">
            <v>2117</v>
          </cell>
          <cell r="H165">
            <v>-2788967.91</v>
          </cell>
        </row>
        <row r="166">
          <cell r="B166">
            <v>561</v>
          </cell>
          <cell r="H166">
            <v>-2660646.12</v>
          </cell>
        </row>
        <row r="167">
          <cell r="B167" t="str">
            <v>INSS</v>
          </cell>
          <cell r="H167">
            <v>-16306.72</v>
          </cell>
        </row>
        <row r="168">
          <cell r="B168">
            <v>6147</v>
          </cell>
          <cell r="H168">
            <v>-37834.660000000003</v>
          </cell>
        </row>
        <row r="169">
          <cell r="B169">
            <v>6190</v>
          </cell>
          <cell r="H169">
            <v>-73153.42</v>
          </cell>
        </row>
        <row r="170">
          <cell r="B170">
            <v>6175</v>
          </cell>
          <cell r="H170">
            <v>-1026.99</v>
          </cell>
        </row>
        <row r="171">
          <cell r="B171">
            <v>2118</v>
          </cell>
          <cell r="H171">
            <v>-27526766.059999999</v>
          </cell>
        </row>
        <row r="172">
          <cell r="B172">
            <v>21181</v>
          </cell>
          <cell r="H172">
            <v>-4752409.63</v>
          </cell>
        </row>
        <row r="173">
          <cell r="B173">
            <v>21182</v>
          </cell>
          <cell r="H173">
            <v>-5249856.55</v>
          </cell>
        </row>
        <row r="174">
          <cell r="B174">
            <v>21183</v>
          </cell>
          <cell r="H174">
            <v>-10083754.41</v>
          </cell>
        </row>
        <row r="175">
          <cell r="B175">
            <v>21184</v>
          </cell>
          <cell r="H175">
            <v>-1996554.23</v>
          </cell>
        </row>
        <row r="176">
          <cell r="B176">
            <v>21185</v>
          </cell>
          <cell r="H176">
            <v>-587373.98</v>
          </cell>
        </row>
        <row r="177">
          <cell r="B177">
            <v>21186</v>
          </cell>
          <cell r="H177">
            <v>0</v>
          </cell>
        </row>
        <row r="178">
          <cell r="B178">
            <v>21187</v>
          </cell>
          <cell r="H178">
            <v>0</v>
          </cell>
        </row>
        <row r="179">
          <cell r="B179">
            <v>21188</v>
          </cell>
          <cell r="H179">
            <v>0</v>
          </cell>
        </row>
        <row r="180">
          <cell r="B180">
            <v>21189</v>
          </cell>
          <cell r="H180">
            <v>-470730.65</v>
          </cell>
        </row>
        <row r="181">
          <cell r="B181">
            <v>211810</v>
          </cell>
          <cell r="H181">
            <v>-1172508.3700000001</v>
          </cell>
        </row>
        <row r="182">
          <cell r="B182">
            <v>211811</v>
          </cell>
          <cell r="H182">
            <v>-146345.01</v>
          </cell>
        </row>
        <row r="183">
          <cell r="B183">
            <v>211812</v>
          </cell>
          <cell r="H183">
            <v>-2260925.9500000002</v>
          </cell>
        </row>
        <row r="184">
          <cell r="B184">
            <v>211813</v>
          </cell>
          <cell r="H184">
            <v>-806307.28</v>
          </cell>
        </row>
        <row r="185">
          <cell r="B185">
            <v>211816</v>
          </cell>
          <cell r="H185">
            <v>0</v>
          </cell>
        </row>
        <row r="186">
          <cell r="B186">
            <v>21114</v>
          </cell>
          <cell r="H186">
            <v>-67194.98</v>
          </cell>
        </row>
        <row r="187">
          <cell r="B187">
            <v>211145</v>
          </cell>
          <cell r="H187">
            <v>-32702.46</v>
          </cell>
        </row>
        <row r="188">
          <cell r="B188">
            <v>211148</v>
          </cell>
          <cell r="H188">
            <v>-34492.519999999997</v>
          </cell>
        </row>
        <row r="189">
          <cell r="B189">
            <v>21115</v>
          </cell>
          <cell r="H189">
            <v>-465951.23</v>
          </cell>
        </row>
        <row r="190">
          <cell r="B190">
            <v>211151</v>
          </cell>
          <cell r="H190">
            <v>-465951.23</v>
          </cell>
        </row>
        <row r="191">
          <cell r="B191">
            <v>21116</v>
          </cell>
          <cell r="H191">
            <v>-3021912.7</v>
          </cell>
        </row>
        <row r="192">
          <cell r="B192">
            <v>211161</v>
          </cell>
          <cell r="H192">
            <v>-3725426.64</v>
          </cell>
        </row>
        <row r="193">
          <cell r="B193">
            <v>211162</v>
          </cell>
          <cell r="H193">
            <v>703513.94</v>
          </cell>
        </row>
        <row r="194">
          <cell r="B194">
            <v>22</v>
          </cell>
          <cell r="H194">
            <v>-22575787.02</v>
          </cell>
        </row>
        <row r="195">
          <cell r="B195">
            <v>221</v>
          </cell>
          <cell r="H195">
            <v>-22575787.02</v>
          </cell>
        </row>
        <row r="196">
          <cell r="B196">
            <v>2215</v>
          </cell>
          <cell r="H196">
            <v>-9834890.6899999995</v>
          </cell>
        </row>
        <row r="197">
          <cell r="B197">
            <v>22151</v>
          </cell>
          <cell r="H197">
            <v>-2083048.8</v>
          </cell>
        </row>
        <row r="198">
          <cell r="B198">
            <v>22153</v>
          </cell>
          <cell r="H198">
            <v>-7751841.8899999997</v>
          </cell>
        </row>
        <row r="199">
          <cell r="B199">
            <v>2218</v>
          </cell>
          <cell r="H199">
            <v>-12740896.33</v>
          </cell>
        </row>
        <row r="200">
          <cell r="B200">
            <v>22181</v>
          </cell>
          <cell r="H200">
            <v>-13970349.9</v>
          </cell>
        </row>
        <row r="201">
          <cell r="B201">
            <v>22182</v>
          </cell>
          <cell r="H201">
            <v>1229453.57</v>
          </cell>
        </row>
        <row r="202">
          <cell r="B202" t="str">
            <v>PL</v>
          </cell>
          <cell r="H202">
            <v>-28353445.800000001</v>
          </cell>
        </row>
        <row r="203">
          <cell r="B203">
            <v>241</v>
          </cell>
          <cell r="H203">
            <v>-34443159.609999999</v>
          </cell>
        </row>
        <row r="204">
          <cell r="B204">
            <v>2411</v>
          </cell>
          <cell r="H204">
            <v>-34443159.609999999</v>
          </cell>
        </row>
        <row r="205">
          <cell r="B205">
            <v>24111</v>
          </cell>
          <cell r="H205">
            <v>-34443159.609999999</v>
          </cell>
        </row>
        <row r="206">
          <cell r="B206">
            <v>243</v>
          </cell>
          <cell r="H206">
            <v>60.64</v>
          </cell>
        </row>
        <row r="207">
          <cell r="B207">
            <v>2431</v>
          </cell>
          <cell r="H207">
            <v>60.64</v>
          </cell>
        </row>
        <row r="208">
          <cell r="B208">
            <v>24311</v>
          </cell>
          <cell r="H208">
            <v>60.64</v>
          </cell>
        </row>
        <row r="209">
          <cell r="B209">
            <v>246</v>
          </cell>
          <cell r="H209">
            <v>7499176.6900000004</v>
          </cell>
        </row>
        <row r="210">
          <cell r="B210">
            <v>2462</v>
          </cell>
          <cell r="H210">
            <v>2833698.9</v>
          </cell>
        </row>
        <row r="211">
          <cell r="B211">
            <v>24622</v>
          </cell>
          <cell r="H211">
            <v>2833698.9</v>
          </cell>
        </row>
        <row r="212">
          <cell r="B212">
            <v>24699</v>
          </cell>
          <cell r="H212">
            <v>4665477.79</v>
          </cell>
        </row>
        <row r="213">
          <cell r="B213">
            <v>246991</v>
          </cell>
          <cell r="H213">
            <v>4665477.79</v>
          </cell>
        </row>
        <row r="214">
          <cell r="B214">
            <v>247</v>
          </cell>
          <cell r="H214">
            <v>-1409523.52</v>
          </cell>
        </row>
        <row r="215">
          <cell r="B215">
            <v>2471</v>
          </cell>
          <cell r="H215">
            <v>-1409523.52</v>
          </cell>
        </row>
        <row r="216">
          <cell r="B216">
            <v>24711</v>
          </cell>
          <cell r="H216">
            <v>-1409523.52</v>
          </cell>
        </row>
        <row r="217">
          <cell r="B217">
            <v>3</v>
          </cell>
          <cell r="H217">
            <v>-126423162.04000001</v>
          </cell>
        </row>
        <row r="218">
          <cell r="B218">
            <v>31</v>
          </cell>
          <cell r="H218">
            <v>-125246183.09999999</v>
          </cell>
        </row>
        <row r="219">
          <cell r="B219">
            <v>311</v>
          </cell>
          <cell r="H219">
            <v>-125246183.09999999</v>
          </cell>
        </row>
        <row r="220">
          <cell r="B220">
            <v>3111</v>
          </cell>
          <cell r="H220">
            <v>-125246183.09999999</v>
          </cell>
        </row>
        <row r="221">
          <cell r="B221">
            <v>31111</v>
          </cell>
          <cell r="H221">
            <v>-125246183.09999999</v>
          </cell>
        </row>
        <row r="222">
          <cell r="B222">
            <v>33</v>
          </cell>
          <cell r="H222">
            <v>-1176978.94</v>
          </cell>
        </row>
        <row r="223">
          <cell r="B223">
            <v>331</v>
          </cell>
          <cell r="H223">
            <v>-552898.39</v>
          </cell>
        </row>
        <row r="224">
          <cell r="B224">
            <v>3311</v>
          </cell>
          <cell r="H224">
            <v>-552898.39</v>
          </cell>
        </row>
        <row r="225">
          <cell r="B225">
            <v>33115</v>
          </cell>
          <cell r="H225">
            <v>-249041.93</v>
          </cell>
        </row>
        <row r="226">
          <cell r="B226">
            <v>33116</v>
          </cell>
          <cell r="H226">
            <v>-303856.46000000002</v>
          </cell>
        </row>
        <row r="227">
          <cell r="B227">
            <v>336</v>
          </cell>
          <cell r="H227">
            <v>-624080.55000000005</v>
          </cell>
        </row>
        <row r="228">
          <cell r="B228">
            <v>3361</v>
          </cell>
          <cell r="H228">
            <v>-624080.55000000005</v>
          </cell>
        </row>
        <row r="229">
          <cell r="B229">
            <v>33611</v>
          </cell>
          <cell r="H229">
            <v>-624080.55000000005</v>
          </cell>
        </row>
        <row r="230">
          <cell r="B230">
            <v>4</v>
          </cell>
          <cell r="H230">
            <v>131088639.83</v>
          </cell>
        </row>
        <row r="231">
          <cell r="B231">
            <v>41</v>
          </cell>
          <cell r="H231">
            <v>81942525.980000004</v>
          </cell>
        </row>
        <row r="232">
          <cell r="B232">
            <v>411</v>
          </cell>
          <cell r="H232">
            <v>72193967.939999998</v>
          </cell>
        </row>
        <row r="233">
          <cell r="B233">
            <v>4111</v>
          </cell>
          <cell r="H233">
            <v>49043328.57</v>
          </cell>
        </row>
        <row r="234">
          <cell r="B234">
            <v>41111</v>
          </cell>
          <cell r="H234">
            <v>39759227.770000003</v>
          </cell>
        </row>
        <row r="235">
          <cell r="B235">
            <v>41117</v>
          </cell>
          <cell r="H235">
            <v>4745830.72</v>
          </cell>
        </row>
        <row r="236">
          <cell r="B236">
            <v>41118</v>
          </cell>
          <cell r="H236">
            <v>551069.67000000004</v>
          </cell>
        </row>
        <row r="237">
          <cell r="B237">
            <v>41119</v>
          </cell>
          <cell r="H237">
            <v>3699915.4</v>
          </cell>
        </row>
        <row r="238">
          <cell r="B238">
            <v>411111</v>
          </cell>
          <cell r="H238">
            <v>173936.35</v>
          </cell>
        </row>
        <row r="239">
          <cell r="B239">
            <v>411113</v>
          </cell>
          <cell r="H239">
            <v>17919.93</v>
          </cell>
        </row>
        <row r="240">
          <cell r="B240">
            <v>411114</v>
          </cell>
          <cell r="H240">
            <v>95428.73</v>
          </cell>
        </row>
        <row r="241">
          <cell r="B241">
            <v>4112</v>
          </cell>
          <cell r="H241">
            <v>15347427.390000001</v>
          </cell>
        </row>
        <row r="242">
          <cell r="B242">
            <v>41121</v>
          </cell>
          <cell r="H242">
            <v>9348184.0999999996</v>
          </cell>
        </row>
        <row r="243">
          <cell r="B243">
            <v>41122</v>
          </cell>
          <cell r="H243">
            <v>3301586.28</v>
          </cell>
        </row>
        <row r="244">
          <cell r="B244">
            <v>41124</v>
          </cell>
          <cell r="H244">
            <v>830087.82</v>
          </cell>
        </row>
        <row r="245">
          <cell r="B245">
            <v>41125</v>
          </cell>
          <cell r="H245">
            <v>1181906.3999999999</v>
          </cell>
        </row>
        <row r="246">
          <cell r="B246">
            <v>41126</v>
          </cell>
          <cell r="H246">
            <v>389018.02</v>
          </cell>
        </row>
        <row r="247">
          <cell r="B247">
            <v>41127</v>
          </cell>
          <cell r="H247">
            <v>296644.77</v>
          </cell>
        </row>
        <row r="248">
          <cell r="B248">
            <v>4113</v>
          </cell>
          <cell r="H248">
            <v>7803211.9800000004</v>
          </cell>
        </row>
        <row r="249">
          <cell r="B249">
            <v>41131</v>
          </cell>
          <cell r="H249">
            <v>2883277.19</v>
          </cell>
        </row>
        <row r="250">
          <cell r="B250">
            <v>41132</v>
          </cell>
          <cell r="H250">
            <v>2707670.16</v>
          </cell>
        </row>
        <row r="251">
          <cell r="B251">
            <v>41133</v>
          </cell>
          <cell r="H251">
            <v>0</v>
          </cell>
        </row>
        <row r="252">
          <cell r="B252">
            <v>41135</v>
          </cell>
          <cell r="H252">
            <v>582270.94999999995</v>
          </cell>
        </row>
        <row r="253">
          <cell r="B253">
            <v>41136</v>
          </cell>
          <cell r="H253">
            <v>1583699.19</v>
          </cell>
        </row>
        <row r="254">
          <cell r="B254">
            <v>411310</v>
          </cell>
          <cell r="H254">
            <v>19171.29</v>
          </cell>
        </row>
        <row r="255">
          <cell r="B255">
            <v>411311</v>
          </cell>
          <cell r="H255">
            <v>27123.200000000001</v>
          </cell>
        </row>
        <row r="256">
          <cell r="B256">
            <v>413</v>
          </cell>
          <cell r="H256">
            <v>4874318.97</v>
          </cell>
        </row>
        <row r="257">
          <cell r="B257">
            <v>4131</v>
          </cell>
          <cell r="H257">
            <v>4874318.97</v>
          </cell>
        </row>
        <row r="258">
          <cell r="B258">
            <v>41311</v>
          </cell>
          <cell r="H258">
            <v>360328.95</v>
          </cell>
        </row>
        <row r="259">
          <cell r="B259">
            <v>41312</v>
          </cell>
          <cell r="H259">
            <v>762204.29</v>
          </cell>
        </row>
        <row r="260">
          <cell r="B260">
            <v>41315</v>
          </cell>
          <cell r="H260">
            <v>556388.63</v>
          </cell>
        </row>
        <row r="261">
          <cell r="B261">
            <v>41316</v>
          </cell>
          <cell r="H261">
            <v>6875</v>
          </cell>
        </row>
        <row r="262">
          <cell r="B262">
            <v>413114</v>
          </cell>
          <cell r="H262">
            <v>2753070.28</v>
          </cell>
        </row>
        <row r="263">
          <cell r="B263">
            <v>413117</v>
          </cell>
          <cell r="H263">
            <v>425308.4</v>
          </cell>
        </row>
        <row r="264">
          <cell r="B264">
            <v>4131997</v>
          </cell>
          <cell r="H264">
            <v>10143.42</v>
          </cell>
        </row>
        <row r="265">
          <cell r="B265">
            <v>414</v>
          </cell>
          <cell r="H265">
            <v>278462.76</v>
          </cell>
        </row>
        <row r="266">
          <cell r="B266">
            <v>4141</v>
          </cell>
          <cell r="H266">
            <v>278462.76</v>
          </cell>
        </row>
        <row r="267">
          <cell r="B267">
            <v>41412</v>
          </cell>
          <cell r="H267">
            <v>265313.36</v>
          </cell>
        </row>
        <row r="268">
          <cell r="B268">
            <v>41418</v>
          </cell>
          <cell r="H268">
            <v>13149.4</v>
          </cell>
        </row>
        <row r="269">
          <cell r="B269">
            <v>416</v>
          </cell>
          <cell r="H269">
            <v>4595776.3099999996</v>
          </cell>
        </row>
        <row r="270">
          <cell r="B270">
            <v>4161</v>
          </cell>
          <cell r="H270">
            <v>2013453.27</v>
          </cell>
        </row>
        <row r="271">
          <cell r="B271">
            <v>41614</v>
          </cell>
          <cell r="H271">
            <v>555124.63</v>
          </cell>
        </row>
        <row r="272">
          <cell r="B272">
            <v>41616</v>
          </cell>
          <cell r="H272">
            <v>18671.05</v>
          </cell>
        </row>
        <row r="273">
          <cell r="B273">
            <v>416112</v>
          </cell>
          <cell r="H273">
            <v>3180.33</v>
          </cell>
        </row>
        <row r="274">
          <cell r="B274">
            <v>416114</v>
          </cell>
          <cell r="H274">
            <v>416392.33</v>
          </cell>
        </row>
        <row r="275">
          <cell r="B275">
            <v>416115</v>
          </cell>
          <cell r="H275">
            <v>275867.90000000002</v>
          </cell>
        </row>
        <row r="276">
          <cell r="B276">
            <v>416116</v>
          </cell>
          <cell r="H276">
            <v>744217.03</v>
          </cell>
        </row>
        <row r="277">
          <cell r="B277">
            <v>4162</v>
          </cell>
          <cell r="H277">
            <v>2582323.04</v>
          </cell>
        </row>
        <row r="278">
          <cell r="B278">
            <v>41621</v>
          </cell>
          <cell r="H278">
            <v>636776.82999999996</v>
          </cell>
        </row>
        <row r="279">
          <cell r="B279">
            <v>41624</v>
          </cell>
          <cell r="H279">
            <v>415896.01</v>
          </cell>
        </row>
        <row r="280">
          <cell r="B280">
            <v>41626</v>
          </cell>
          <cell r="H280">
            <v>287222.92</v>
          </cell>
        </row>
        <row r="281">
          <cell r="B281">
            <v>41627</v>
          </cell>
          <cell r="H281">
            <v>1026490.23</v>
          </cell>
        </row>
        <row r="282">
          <cell r="B282">
            <v>416210</v>
          </cell>
          <cell r="H282">
            <v>215937.05</v>
          </cell>
        </row>
        <row r="283">
          <cell r="B283">
            <v>42</v>
          </cell>
          <cell r="H283">
            <v>49146113.850000001</v>
          </cell>
        </row>
        <row r="284">
          <cell r="B284">
            <v>421</v>
          </cell>
          <cell r="H284">
            <v>33604934.93</v>
          </cell>
        </row>
        <row r="285">
          <cell r="B285">
            <v>4211</v>
          </cell>
          <cell r="H285">
            <v>23221162.370000001</v>
          </cell>
        </row>
        <row r="286">
          <cell r="B286">
            <v>42111</v>
          </cell>
          <cell r="H286">
            <v>18618084.43</v>
          </cell>
        </row>
        <row r="287">
          <cell r="B287">
            <v>42117</v>
          </cell>
          <cell r="H287">
            <v>2700317.96</v>
          </cell>
        </row>
        <row r="288">
          <cell r="B288">
            <v>42118</v>
          </cell>
          <cell r="H288">
            <v>167474.15</v>
          </cell>
        </row>
        <row r="289">
          <cell r="B289">
            <v>42119</v>
          </cell>
          <cell r="H289">
            <v>1673954.89</v>
          </cell>
        </row>
        <row r="290">
          <cell r="B290">
            <v>421114</v>
          </cell>
          <cell r="H290">
            <v>61330.94</v>
          </cell>
        </row>
        <row r="291">
          <cell r="B291">
            <v>4212</v>
          </cell>
          <cell r="H291">
            <v>6753075.71</v>
          </cell>
        </row>
        <row r="292">
          <cell r="B292">
            <v>42121</v>
          </cell>
          <cell r="H292">
            <v>4078654.44</v>
          </cell>
        </row>
        <row r="293">
          <cell r="B293">
            <v>42122</v>
          </cell>
          <cell r="H293">
            <v>1471732.33</v>
          </cell>
        </row>
        <row r="294">
          <cell r="B294">
            <v>42124</v>
          </cell>
          <cell r="H294">
            <v>368784.75</v>
          </cell>
        </row>
        <row r="295">
          <cell r="B295">
            <v>42125</v>
          </cell>
          <cell r="H295">
            <v>528951.07999999996</v>
          </cell>
        </row>
        <row r="296">
          <cell r="B296">
            <v>42126</v>
          </cell>
          <cell r="H296">
            <v>173784.18</v>
          </cell>
        </row>
        <row r="297">
          <cell r="B297">
            <v>42127</v>
          </cell>
          <cell r="H297">
            <v>131168.93</v>
          </cell>
        </row>
        <row r="298">
          <cell r="B298">
            <v>4213</v>
          </cell>
          <cell r="H298">
            <v>3630696.85</v>
          </cell>
        </row>
        <row r="299">
          <cell r="B299">
            <v>42131</v>
          </cell>
          <cell r="H299">
            <v>1192961.95</v>
          </cell>
        </row>
        <row r="300">
          <cell r="B300">
            <v>42132</v>
          </cell>
          <cell r="H300">
            <v>1220403.72</v>
          </cell>
        </row>
        <row r="301">
          <cell r="B301">
            <v>42133</v>
          </cell>
          <cell r="H301">
            <v>26896.07</v>
          </cell>
        </row>
        <row r="302">
          <cell r="B302">
            <v>42134</v>
          </cell>
          <cell r="H302">
            <v>183733.95</v>
          </cell>
        </row>
        <row r="303">
          <cell r="B303">
            <v>42135</v>
          </cell>
          <cell r="H303">
            <v>184084.81</v>
          </cell>
        </row>
        <row r="304">
          <cell r="B304">
            <v>42136</v>
          </cell>
          <cell r="H304">
            <v>722834.29</v>
          </cell>
        </row>
        <row r="305">
          <cell r="B305">
            <v>421310</v>
          </cell>
          <cell r="H305">
            <v>6273.75</v>
          </cell>
        </row>
        <row r="306">
          <cell r="B306">
            <v>421311</v>
          </cell>
          <cell r="H306">
            <v>93508.31</v>
          </cell>
        </row>
        <row r="307">
          <cell r="B307">
            <v>422</v>
          </cell>
          <cell r="H307">
            <v>82919.509999999995</v>
          </cell>
        </row>
        <row r="308">
          <cell r="B308">
            <v>4221</v>
          </cell>
          <cell r="H308">
            <v>82919.509999999995</v>
          </cell>
        </row>
        <row r="309">
          <cell r="B309">
            <v>42211</v>
          </cell>
          <cell r="H309">
            <v>82919.509999999995</v>
          </cell>
        </row>
        <row r="310">
          <cell r="B310">
            <v>423</v>
          </cell>
          <cell r="H310">
            <v>6604547.4800000004</v>
          </cell>
        </row>
        <row r="311">
          <cell r="B311">
            <v>4231</v>
          </cell>
          <cell r="H311">
            <v>6604547.4800000004</v>
          </cell>
        </row>
        <row r="312">
          <cell r="B312">
            <v>42311</v>
          </cell>
          <cell r="H312">
            <v>532533.6</v>
          </cell>
        </row>
        <row r="313">
          <cell r="B313">
            <v>42312</v>
          </cell>
          <cell r="H313">
            <v>1152239.5</v>
          </cell>
        </row>
        <row r="314">
          <cell r="B314">
            <v>42313</v>
          </cell>
          <cell r="H314">
            <v>564223.24</v>
          </cell>
        </row>
        <row r="315">
          <cell r="B315">
            <v>42315</v>
          </cell>
          <cell r="H315">
            <v>290602.11</v>
          </cell>
        </row>
        <row r="316">
          <cell r="B316">
            <v>42316</v>
          </cell>
          <cell r="H316">
            <v>3049.42</v>
          </cell>
        </row>
        <row r="317">
          <cell r="B317">
            <v>42317</v>
          </cell>
          <cell r="H317">
            <v>373507.62</v>
          </cell>
        </row>
        <row r="318">
          <cell r="B318">
            <v>42318</v>
          </cell>
          <cell r="H318">
            <v>215282.29</v>
          </cell>
        </row>
        <row r="319">
          <cell r="B319">
            <v>423113</v>
          </cell>
          <cell r="H319">
            <v>159793.91</v>
          </cell>
        </row>
        <row r="320">
          <cell r="B320">
            <v>423114</v>
          </cell>
          <cell r="H320">
            <v>2624930.08</v>
          </cell>
        </row>
        <row r="321">
          <cell r="B321">
            <v>423115</v>
          </cell>
          <cell r="H321">
            <v>19200</v>
          </cell>
        </row>
        <row r="322">
          <cell r="B322">
            <v>423117</v>
          </cell>
          <cell r="H322">
            <v>349237.64</v>
          </cell>
        </row>
        <row r="323">
          <cell r="B323">
            <v>423118</v>
          </cell>
          <cell r="H323">
            <v>288203.7</v>
          </cell>
        </row>
        <row r="324">
          <cell r="B324">
            <v>423119</v>
          </cell>
          <cell r="H324">
            <v>31744.37</v>
          </cell>
        </row>
        <row r="325">
          <cell r="B325">
            <v>424</v>
          </cell>
          <cell r="H325">
            <v>147986.13</v>
          </cell>
        </row>
        <row r="326">
          <cell r="B326">
            <v>4241</v>
          </cell>
          <cell r="H326">
            <v>147986.13</v>
          </cell>
        </row>
        <row r="327">
          <cell r="B327">
            <v>42412</v>
          </cell>
          <cell r="H327">
            <v>109793.89</v>
          </cell>
        </row>
        <row r="328">
          <cell r="B328">
            <v>42415</v>
          </cell>
          <cell r="H328">
            <v>3593.85</v>
          </cell>
        </row>
        <row r="329">
          <cell r="B329">
            <v>42416</v>
          </cell>
          <cell r="H329">
            <v>22115.95</v>
          </cell>
        </row>
        <row r="330">
          <cell r="B330">
            <v>424112</v>
          </cell>
          <cell r="H330">
            <v>12482.44</v>
          </cell>
        </row>
        <row r="331">
          <cell r="B331">
            <v>425</v>
          </cell>
          <cell r="H331">
            <v>374532.11</v>
          </cell>
        </row>
        <row r="332">
          <cell r="B332">
            <v>4254</v>
          </cell>
          <cell r="H332">
            <v>374532.11</v>
          </cell>
        </row>
        <row r="333">
          <cell r="B333">
            <v>42541</v>
          </cell>
          <cell r="H333">
            <v>374532.11</v>
          </cell>
        </row>
        <row r="334">
          <cell r="B334">
            <v>426</v>
          </cell>
          <cell r="H334">
            <v>7222582</v>
          </cell>
        </row>
        <row r="335">
          <cell r="B335">
            <v>4261</v>
          </cell>
          <cell r="H335">
            <v>5195068.57</v>
          </cell>
        </row>
        <row r="336">
          <cell r="B336">
            <v>42613</v>
          </cell>
          <cell r="H336">
            <v>36154.639999999999</v>
          </cell>
        </row>
        <row r="337">
          <cell r="B337">
            <v>42614</v>
          </cell>
          <cell r="H337">
            <v>229725.67</v>
          </cell>
        </row>
        <row r="338">
          <cell r="B338">
            <v>42616</v>
          </cell>
          <cell r="H338">
            <v>7745.62</v>
          </cell>
        </row>
        <row r="339">
          <cell r="B339">
            <v>42617</v>
          </cell>
          <cell r="H339">
            <v>921.49</v>
          </cell>
        </row>
        <row r="340">
          <cell r="B340">
            <v>426111</v>
          </cell>
          <cell r="H340">
            <v>2154510.33</v>
          </cell>
        </row>
        <row r="341">
          <cell r="B341">
            <v>426112</v>
          </cell>
          <cell r="H341">
            <v>35560.32</v>
          </cell>
        </row>
        <row r="342">
          <cell r="B342">
            <v>426114</v>
          </cell>
          <cell r="H342">
            <v>173728.91</v>
          </cell>
        </row>
        <row r="343">
          <cell r="B343">
            <v>426116</v>
          </cell>
          <cell r="H343">
            <v>307977.28000000003</v>
          </cell>
        </row>
        <row r="344">
          <cell r="B344">
            <v>426117</v>
          </cell>
          <cell r="H344">
            <v>113526.2</v>
          </cell>
        </row>
        <row r="345">
          <cell r="B345">
            <v>426118</v>
          </cell>
          <cell r="H345">
            <v>2135218.11</v>
          </cell>
        </row>
        <row r="346">
          <cell r="B346">
            <v>4262</v>
          </cell>
          <cell r="H346">
            <v>2027513.43</v>
          </cell>
        </row>
        <row r="347">
          <cell r="B347">
            <v>42621</v>
          </cell>
          <cell r="H347">
            <v>250505.59</v>
          </cell>
        </row>
        <row r="348">
          <cell r="B348">
            <v>42622</v>
          </cell>
          <cell r="H348">
            <v>350308.18</v>
          </cell>
        </row>
        <row r="349">
          <cell r="B349">
            <v>42624</v>
          </cell>
          <cell r="H349">
            <v>241897.75</v>
          </cell>
        </row>
        <row r="350">
          <cell r="B350">
            <v>42625</v>
          </cell>
          <cell r="H350">
            <v>9759.91</v>
          </cell>
        </row>
        <row r="351">
          <cell r="B351">
            <v>42626</v>
          </cell>
          <cell r="H351">
            <v>139468.6</v>
          </cell>
        </row>
        <row r="352">
          <cell r="B352">
            <v>42627</v>
          </cell>
          <cell r="H352">
            <v>724040.96</v>
          </cell>
        </row>
        <row r="353">
          <cell r="B353">
            <v>42629</v>
          </cell>
          <cell r="H353">
            <v>3594.9</v>
          </cell>
        </row>
        <row r="354">
          <cell r="B354">
            <v>426210</v>
          </cell>
          <cell r="H354">
            <v>55452.639999999999</v>
          </cell>
        </row>
        <row r="355">
          <cell r="B355">
            <v>426214</v>
          </cell>
          <cell r="H355">
            <v>106895.88</v>
          </cell>
        </row>
        <row r="356">
          <cell r="B356">
            <v>426215</v>
          </cell>
          <cell r="H356">
            <v>145589.01999999999</v>
          </cell>
        </row>
        <row r="357">
          <cell r="B357">
            <v>427</v>
          </cell>
          <cell r="H357">
            <v>1108611.69</v>
          </cell>
        </row>
        <row r="358">
          <cell r="B358">
            <v>42701</v>
          </cell>
          <cell r="H358">
            <v>1108611.69</v>
          </cell>
        </row>
        <row r="359">
          <cell r="B359">
            <v>42711</v>
          </cell>
          <cell r="H359">
            <v>10.84</v>
          </cell>
        </row>
        <row r="360">
          <cell r="B360">
            <v>42720</v>
          </cell>
          <cell r="H360">
            <v>507025.56</v>
          </cell>
        </row>
        <row r="361">
          <cell r="B361">
            <v>427122</v>
          </cell>
          <cell r="H361">
            <v>601575.29</v>
          </cell>
        </row>
        <row r="362">
          <cell r="B362">
            <v>5</v>
          </cell>
          <cell r="H362">
            <v>-4665477.79</v>
          </cell>
        </row>
        <row r="363">
          <cell r="B363">
            <v>51</v>
          </cell>
          <cell r="H363">
            <v>-4665477.79</v>
          </cell>
        </row>
        <row r="364">
          <cell r="B364">
            <v>511</v>
          </cell>
          <cell r="H364">
            <v>1816798.02</v>
          </cell>
        </row>
        <row r="365">
          <cell r="B365">
            <v>5111</v>
          </cell>
          <cell r="H365">
            <v>799991.65</v>
          </cell>
        </row>
        <row r="366">
          <cell r="B366">
            <v>5116</v>
          </cell>
          <cell r="H366">
            <v>1016806.37</v>
          </cell>
        </row>
        <row r="367">
          <cell r="B367">
            <v>512</v>
          </cell>
          <cell r="H367">
            <v>-6482275.8099999996</v>
          </cell>
        </row>
        <row r="368">
          <cell r="B368">
            <v>5122</v>
          </cell>
          <cell r="H368">
            <v>-44677.79</v>
          </cell>
        </row>
        <row r="369">
          <cell r="B369">
            <v>5123</v>
          </cell>
          <cell r="H369">
            <v>-1381461.08</v>
          </cell>
        </row>
        <row r="370">
          <cell r="B370">
            <v>5124</v>
          </cell>
          <cell r="H370">
            <v>-171067.17</v>
          </cell>
        </row>
        <row r="371">
          <cell r="B371">
            <v>5125</v>
          </cell>
          <cell r="H371">
            <v>-896189.93</v>
          </cell>
        </row>
        <row r="372">
          <cell r="B372">
            <v>5127</v>
          </cell>
          <cell r="H372">
            <v>-1268603.3799999999</v>
          </cell>
        </row>
        <row r="373">
          <cell r="B373">
            <v>5128</v>
          </cell>
          <cell r="H373">
            <v>-722464.7</v>
          </cell>
        </row>
        <row r="374">
          <cell r="B374">
            <v>5129</v>
          </cell>
          <cell r="H374">
            <v>-1997811.76</v>
          </cell>
        </row>
      </sheetData>
      <sheetData sheetId="19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87020371.810000002</v>
          </cell>
        </row>
        <row r="9">
          <cell r="B9">
            <v>11</v>
          </cell>
          <cell r="H9">
            <v>56834488.859999999</v>
          </cell>
        </row>
        <row r="10">
          <cell r="B10">
            <v>111</v>
          </cell>
          <cell r="H10">
            <v>48553475.979999997</v>
          </cell>
        </row>
        <row r="11">
          <cell r="B11">
            <v>1112</v>
          </cell>
          <cell r="H11">
            <v>48553475.979999997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10004046.84</v>
          </cell>
        </row>
        <row r="14">
          <cell r="B14" t="str">
            <v>BBR</v>
          </cell>
          <cell r="H14">
            <v>38549429.140000001</v>
          </cell>
        </row>
        <row r="15">
          <cell r="B15">
            <v>112</v>
          </cell>
          <cell r="H15">
            <v>4714571.3899999997</v>
          </cell>
        </row>
        <row r="16">
          <cell r="B16">
            <v>1123</v>
          </cell>
          <cell r="H16">
            <v>1074420.48</v>
          </cell>
        </row>
        <row r="17">
          <cell r="B17">
            <v>112310</v>
          </cell>
          <cell r="H17">
            <v>573.76</v>
          </cell>
        </row>
        <row r="18">
          <cell r="B18">
            <v>112316</v>
          </cell>
          <cell r="H18">
            <v>178629.72</v>
          </cell>
        </row>
        <row r="19">
          <cell r="B19">
            <v>112317</v>
          </cell>
          <cell r="H19">
            <v>66625.72</v>
          </cell>
        </row>
        <row r="20">
          <cell r="B20">
            <v>112334</v>
          </cell>
          <cell r="H20">
            <v>803.86</v>
          </cell>
        </row>
        <row r="21">
          <cell r="B21">
            <v>112340</v>
          </cell>
          <cell r="H21">
            <v>618323.52</v>
          </cell>
        </row>
        <row r="22">
          <cell r="B22">
            <v>112341</v>
          </cell>
          <cell r="H22">
            <v>209463.9</v>
          </cell>
        </row>
        <row r="23">
          <cell r="B23">
            <v>1124</v>
          </cell>
          <cell r="H23">
            <v>3640018.93</v>
          </cell>
        </row>
        <row r="24">
          <cell r="B24">
            <v>11241</v>
          </cell>
          <cell r="H24">
            <v>212507.4</v>
          </cell>
        </row>
        <row r="25">
          <cell r="B25">
            <v>11242</v>
          </cell>
          <cell r="H25">
            <v>3427511.53</v>
          </cell>
        </row>
        <row r="26">
          <cell r="B26">
            <v>112424</v>
          </cell>
          <cell r="H26">
            <v>0</v>
          </cell>
        </row>
        <row r="27">
          <cell r="B27">
            <v>112425</v>
          </cell>
          <cell r="H27">
            <v>0</v>
          </cell>
        </row>
        <row r="28">
          <cell r="B28">
            <v>11299</v>
          </cell>
          <cell r="H28">
            <v>131.97999999999999</v>
          </cell>
        </row>
        <row r="29">
          <cell r="B29">
            <v>112995</v>
          </cell>
          <cell r="H29">
            <v>0</v>
          </cell>
        </row>
        <row r="30">
          <cell r="B30">
            <v>11299999</v>
          </cell>
          <cell r="H30">
            <v>131.97999999999999</v>
          </cell>
        </row>
        <row r="31">
          <cell r="B31">
            <v>113</v>
          </cell>
          <cell r="H31">
            <v>3566441.49</v>
          </cell>
        </row>
        <row r="32">
          <cell r="B32">
            <v>1131</v>
          </cell>
          <cell r="H32">
            <v>3566441.49</v>
          </cell>
        </row>
        <row r="33">
          <cell r="B33">
            <v>11311</v>
          </cell>
          <cell r="H33">
            <v>53862.59</v>
          </cell>
        </row>
        <row r="34">
          <cell r="B34">
            <v>11312</v>
          </cell>
          <cell r="H34">
            <v>1212015.8899999999</v>
          </cell>
        </row>
        <row r="35">
          <cell r="B35">
            <v>11313</v>
          </cell>
          <cell r="H35">
            <v>37217.89</v>
          </cell>
        </row>
        <row r="36">
          <cell r="B36">
            <v>11315</v>
          </cell>
          <cell r="H36">
            <v>167630.32</v>
          </cell>
        </row>
        <row r="37">
          <cell r="B37">
            <v>11316</v>
          </cell>
          <cell r="H37">
            <v>2095714.8</v>
          </cell>
        </row>
        <row r="38">
          <cell r="B38">
            <v>12</v>
          </cell>
          <cell r="H38">
            <v>30185882.949999999</v>
          </cell>
        </row>
        <row r="39">
          <cell r="B39">
            <v>121</v>
          </cell>
          <cell r="H39">
            <v>8854806.75</v>
          </cell>
        </row>
        <row r="40">
          <cell r="B40">
            <v>1213</v>
          </cell>
          <cell r="H40">
            <v>2917445.41</v>
          </cell>
        </row>
        <row r="41">
          <cell r="B41">
            <v>12131</v>
          </cell>
          <cell r="H41">
            <v>26752.36</v>
          </cell>
        </row>
        <row r="42">
          <cell r="B42">
            <v>12134</v>
          </cell>
          <cell r="H42">
            <v>4640.58</v>
          </cell>
        </row>
        <row r="43">
          <cell r="B43">
            <v>12135</v>
          </cell>
          <cell r="H43">
            <v>174753.44</v>
          </cell>
        </row>
        <row r="44">
          <cell r="B44">
            <v>12139</v>
          </cell>
          <cell r="H44">
            <v>1868.52</v>
          </cell>
        </row>
        <row r="45">
          <cell r="B45">
            <v>121311</v>
          </cell>
          <cell r="H45">
            <v>4421.7700000000004</v>
          </cell>
        </row>
        <row r="46">
          <cell r="B46">
            <v>121312</v>
          </cell>
          <cell r="H46">
            <v>303.63</v>
          </cell>
        </row>
        <row r="47">
          <cell r="B47">
            <v>121313</v>
          </cell>
          <cell r="H47">
            <v>223649.78</v>
          </cell>
        </row>
        <row r="48">
          <cell r="B48">
            <v>121315</v>
          </cell>
          <cell r="H48">
            <v>153199.74</v>
          </cell>
        </row>
        <row r="49">
          <cell r="B49">
            <v>121316</v>
          </cell>
          <cell r="H49">
            <v>1070726.8799999999</v>
          </cell>
        </row>
        <row r="50">
          <cell r="B50">
            <v>121317</v>
          </cell>
          <cell r="H50">
            <v>2221.44</v>
          </cell>
        </row>
        <row r="51">
          <cell r="B51">
            <v>121318</v>
          </cell>
          <cell r="H51">
            <v>855662.45</v>
          </cell>
        </row>
        <row r="52">
          <cell r="B52">
            <v>121319</v>
          </cell>
          <cell r="H52">
            <v>399244.82</v>
          </cell>
        </row>
        <row r="53">
          <cell r="B53">
            <v>1217</v>
          </cell>
          <cell r="H53">
            <v>128.56</v>
          </cell>
        </row>
        <row r="54">
          <cell r="B54">
            <v>12171</v>
          </cell>
          <cell r="H54">
            <v>128.56</v>
          </cell>
        </row>
        <row r="55">
          <cell r="B55">
            <v>1218</v>
          </cell>
          <cell r="H55">
            <v>5937232.7800000003</v>
          </cell>
        </row>
        <row r="56">
          <cell r="B56">
            <v>12181</v>
          </cell>
          <cell r="H56">
            <v>4470065.6399999997</v>
          </cell>
        </row>
        <row r="57">
          <cell r="B57">
            <v>12182</v>
          </cell>
          <cell r="H57">
            <v>1284590.28</v>
          </cell>
        </row>
        <row r="58">
          <cell r="B58">
            <v>12183</v>
          </cell>
          <cell r="H58">
            <v>182576.86</v>
          </cell>
        </row>
        <row r="59">
          <cell r="B59">
            <v>123</v>
          </cell>
          <cell r="H59">
            <v>5534582.2699999996</v>
          </cell>
        </row>
        <row r="60">
          <cell r="B60">
            <v>1231</v>
          </cell>
          <cell r="H60">
            <v>19998174.690000001</v>
          </cell>
        </row>
        <row r="61">
          <cell r="B61">
            <v>12313</v>
          </cell>
          <cell r="H61">
            <v>2565049.0299999998</v>
          </cell>
        </row>
        <row r="62">
          <cell r="B62">
            <v>12314</v>
          </cell>
          <cell r="H62">
            <v>823453.65</v>
          </cell>
        </row>
        <row r="63">
          <cell r="B63">
            <v>12315</v>
          </cell>
          <cell r="H63">
            <v>13810259</v>
          </cell>
        </row>
        <row r="64">
          <cell r="B64">
            <v>12317</v>
          </cell>
          <cell r="H64">
            <v>2799413.01</v>
          </cell>
        </row>
        <row r="65">
          <cell r="B65">
            <v>12398</v>
          </cell>
          <cell r="H65">
            <v>-14463592.42</v>
          </cell>
        </row>
        <row r="66">
          <cell r="B66">
            <v>123982</v>
          </cell>
          <cell r="H66">
            <v>-1131671.82</v>
          </cell>
        </row>
        <row r="67">
          <cell r="B67">
            <v>123983</v>
          </cell>
          <cell r="H67">
            <v>-767993.46</v>
          </cell>
        </row>
        <row r="68">
          <cell r="B68">
            <v>123984</v>
          </cell>
          <cell r="H68">
            <v>-10456977.93</v>
          </cell>
        </row>
        <row r="69">
          <cell r="B69">
            <v>123986</v>
          </cell>
          <cell r="H69">
            <v>-2106949.21</v>
          </cell>
        </row>
        <row r="70">
          <cell r="B70">
            <v>124</v>
          </cell>
          <cell r="H70">
            <v>1512599.04</v>
          </cell>
        </row>
        <row r="71">
          <cell r="B71">
            <v>1241</v>
          </cell>
          <cell r="H71">
            <v>13586005.869999999</v>
          </cell>
        </row>
        <row r="72">
          <cell r="B72">
            <v>124101</v>
          </cell>
          <cell r="H72">
            <v>13586005.869999999</v>
          </cell>
        </row>
        <row r="73">
          <cell r="B73">
            <v>12498</v>
          </cell>
          <cell r="H73">
            <v>-12073406.83</v>
          </cell>
        </row>
        <row r="74">
          <cell r="B74">
            <v>1242</v>
          </cell>
          <cell r="H74">
            <v>-12073406.83</v>
          </cell>
        </row>
        <row r="75">
          <cell r="B75">
            <v>125</v>
          </cell>
          <cell r="H75">
            <v>14283894.890000001</v>
          </cell>
        </row>
        <row r="76">
          <cell r="B76">
            <v>1251</v>
          </cell>
          <cell r="H76">
            <v>14283894.890000001</v>
          </cell>
        </row>
        <row r="77">
          <cell r="B77">
            <v>12511</v>
          </cell>
          <cell r="H77">
            <v>24551214.710000001</v>
          </cell>
        </row>
        <row r="78">
          <cell r="B78">
            <v>12512</v>
          </cell>
          <cell r="H78">
            <v>-10267319.82</v>
          </cell>
        </row>
        <row r="79">
          <cell r="B79">
            <v>2</v>
          </cell>
          <cell r="H79">
            <v>-87020371.810000002</v>
          </cell>
        </row>
        <row r="80">
          <cell r="B80">
            <v>21</v>
          </cell>
          <cell r="H80">
            <v>-33597006.979999997</v>
          </cell>
        </row>
        <row r="81">
          <cell r="B81">
            <v>211</v>
          </cell>
          <cell r="H81">
            <v>-33597006.979999997</v>
          </cell>
        </row>
        <row r="82">
          <cell r="B82">
            <v>2114</v>
          </cell>
          <cell r="H82">
            <v>-847209.72</v>
          </cell>
        </row>
        <row r="83">
          <cell r="B83">
            <v>60444400000000</v>
          </cell>
          <cell r="H83">
            <v>-30000</v>
          </cell>
        </row>
        <row r="84">
          <cell r="B84">
            <v>57143000000000</v>
          </cell>
          <cell r="H84">
            <v>0</v>
          </cell>
        </row>
        <row r="85">
          <cell r="B85">
            <v>34028300000000</v>
          </cell>
          <cell r="H85">
            <v>0</v>
          </cell>
        </row>
        <row r="86">
          <cell r="B86" t="str">
            <v>69034668/0001-56</v>
          </cell>
          <cell r="H86">
            <v>-424917.56</v>
          </cell>
        </row>
        <row r="87">
          <cell r="B87" t="str">
            <v>71208516/0001-74</v>
          </cell>
          <cell r="H87">
            <v>0</v>
          </cell>
        </row>
        <row r="88">
          <cell r="B88">
            <v>30033800000000</v>
          </cell>
          <cell r="H88">
            <v>0</v>
          </cell>
        </row>
        <row r="89">
          <cell r="B89" t="str">
            <v>53113791/0001-22</v>
          </cell>
          <cell r="H89">
            <v>0</v>
          </cell>
        </row>
        <row r="90">
          <cell r="B90" t="str">
            <v>42288886/0001-60</v>
          </cell>
          <cell r="H90">
            <v>0</v>
          </cell>
        </row>
        <row r="91">
          <cell r="B91">
            <v>32578400000000</v>
          </cell>
          <cell r="H91">
            <v>0</v>
          </cell>
        </row>
        <row r="92">
          <cell r="B92" t="str">
            <v>08794730/0001-13</v>
          </cell>
          <cell r="H92">
            <v>0</v>
          </cell>
        </row>
        <row r="93">
          <cell r="B93" t="str">
            <v>09308557/0001-69</v>
          </cell>
          <cell r="H93">
            <v>0</v>
          </cell>
        </row>
        <row r="94">
          <cell r="B94" t="str">
            <v>08726836/0001-80</v>
          </cell>
          <cell r="H94">
            <v>0</v>
          </cell>
        </row>
        <row r="95">
          <cell r="B95" t="str">
            <v>05344234/0001-70</v>
          </cell>
          <cell r="H95">
            <v>0</v>
          </cell>
        </row>
        <row r="96">
          <cell r="B96">
            <v>33754500000000</v>
          </cell>
          <cell r="H96">
            <v>-100303.4</v>
          </cell>
        </row>
        <row r="97">
          <cell r="B97">
            <v>41769800000000</v>
          </cell>
          <cell r="H97">
            <v>0</v>
          </cell>
        </row>
        <row r="98">
          <cell r="B98">
            <v>3017430000000</v>
          </cell>
          <cell r="H98">
            <v>-665</v>
          </cell>
        </row>
        <row r="99">
          <cell r="B99" t="str">
            <v>24602524/0001-10</v>
          </cell>
          <cell r="H99">
            <v>-4941</v>
          </cell>
        </row>
        <row r="100">
          <cell r="B100">
            <v>24521900000000</v>
          </cell>
          <cell r="H100">
            <v>0</v>
          </cell>
        </row>
        <row r="101">
          <cell r="B101">
            <v>8071770000000</v>
          </cell>
          <cell r="H101">
            <v>0</v>
          </cell>
        </row>
        <row r="102">
          <cell r="B102">
            <v>23458500000000</v>
          </cell>
          <cell r="H102">
            <v>0</v>
          </cell>
        </row>
        <row r="103">
          <cell r="B103">
            <v>14031100000000</v>
          </cell>
          <cell r="H103">
            <v>0</v>
          </cell>
        </row>
        <row r="104">
          <cell r="B104">
            <v>2081860000000</v>
          </cell>
          <cell r="H104">
            <v>0</v>
          </cell>
        </row>
        <row r="105">
          <cell r="B105">
            <v>7718940000000</v>
          </cell>
          <cell r="H105">
            <v>0</v>
          </cell>
        </row>
        <row r="106">
          <cell r="B106">
            <v>9079570000000</v>
          </cell>
          <cell r="H106">
            <v>0</v>
          </cell>
        </row>
        <row r="107">
          <cell r="B107">
            <v>54207700000000</v>
          </cell>
          <cell r="H107">
            <v>-900</v>
          </cell>
        </row>
        <row r="108">
          <cell r="B108">
            <v>19088600000000</v>
          </cell>
          <cell r="H108">
            <v>-90000</v>
          </cell>
        </row>
        <row r="109">
          <cell r="B109">
            <v>34036200000000</v>
          </cell>
          <cell r="H109">
            <v>-120000.01</v>
          </cell>
        </row>
        <row r="110">
          <cell r="B110">
            <v>36813600000000</v>
          </cell>
          <cell r="H110">
            <v>-19321.509999999998</v>
          </cell>
        </row>
        <row r="111">
          <cell r="B111">
            <v>34977900000000</v>
          </cell>
          <cell r="H111">
            <v>0</v>
          </cell>
        </row>
        <row r="112">
          <cell r="B112">
            <v>33198300000000</v>
          </cell>
          <cell r="H112">
            <v>0</v>
          </cell>
        </row>
        <row r="113">
          <cell r="B113">
            <v>28712100000000</v>
          </cell>
          <cell r="H113">
            <v>-4500</v>
          </cell>
        </row>
        <row r="114">
          <cell r="B114">
            <v>12499500000000</v>
          </cell>
          <cell r="H114">
            <v>0</v>
          </cell>
        </row>
        <row r="115">
          <cell r="B115">
            <v>7843950000000</v>
          </cell>
          <cell r="H115">
            <v>0</v>
          </cell>
        </row>
        <row r="116">
          <cell r="B116">
            <v>38056400000000</v>
          </cell>
          <cell r="H116">
            <v>0</v>
          </cell>
        </row>
        <row r="117">
          <cell r="B117" t="str">
            <v>01707536/000104</v>
          </cell>
          <cell r="H117">
            <v>0</v>
          </cell>
        </row>
        <row r="118">
          <cell r="B118">
            <v>27553300000000</v>
          </cell>
          <cell r="H118">
            <v>0</v>
          </cell>
        </row>
        <row r="119">
          <cell r="B119">
            <v>5630090000000</v>
          </cell>
          <cell r="H119">
            <v>0</v>
          </cell>
        </row>
        <row r="120">
          <cell r="B120">
            <v>8210270000000</v>
          </cell>
          <cell r="H120">
            <v>0</v>
          </cell>
        </row>
        <row r="121">
          <cell r="B121">
            <v>37381900000000</v>
          </cell>
          <cell r="H121">
            <v>-4070.62</v>
          </cell>
        </row>
        <row r="122">
          <cell r="B122">
            <v>12782100000000</v>
          </cell>
          <cell r="H122">
            <v>0</v>
          </cell>
        </row>
        <row r="123">
          <cell r="B123">
            <v>24185200000000</v>
          </cell>
          <cell r="H123">
            <v>-7225</v>
          </cell>
        </row>
        <row r="124">
          <cell r="B124">
            <v>69112500000000</v>
          </cell>
          <cell r="H124">
            <v>0</v>
          </cell>
        </row>
        <row r="125">
          <cell r="B125">
            <v>16647700000000</v>
          </cell>
          <cell r="H125">
            <v>0</v>
          </cell>
        </row>
        <row r="126">
          <cell r="B126">
            <v>5342580000000</v>
          </cell>
          <cell r="H126">
            <v>0</v>
          </cell>
        </row>
        <row r="127">
          <cell r="B127">
            <v>4842770000000</v>
          </cell>
          <cell r="H127">
            <v>0</v>
          </cell>
        </row>
        <row r="128">
          <cell r="B128">
            <v>8808150000000</v>
          </cell>
          <cell r="H128">
            <v>0</v>
          </cell>
        </row>
        <row r="129">
          <cell r="B129">
            <v>26391300000000</v>
          </cell>
          <cell r="H129">
            <v>0</v>
          </cell>
        </row>
        <row r="130">
          <cell r="B130">
            <v>28000129</v>
          </cell>
          <cell r="H130">
            <v>-1333.12</v>
          </cell>
        </row>
        <row r="131">
          <cell r="B131">
            <v>61825700000000</v>
          </cell>
          <cell r="H131">
            <v>-1272.24</v>
          </cell>
        </row>
        <row r="132">
          <cell r="B132">
            <v>26344400000000</v>
          </cell>
          <cell r="H132">
            <v>-664.67</v>
          </cell>
        </row>
        <row r="133">
          <cell r="B133">
            <v>17178200000000</v>
          </cell>
          <cell r="H133">
            <v>-290</v>
          </cell>
        </row>
        <row r="134">
          <cell r="B134">
            <v>30040100000000</v>
          </cell>
          <cell r="H134">
            <v>0</v>
          </cell>
        </row>
        <row r="135">
          <cell r="B135">
            <v>48859400000000</v>
          </cell>
          <cell r="H135">
            <v>-13176.23</v>
          </cell>
        </row>
        <row r="136">
          <cell r="B136">
            <v>42422300000000</v>
          </cell>
          <cell r="H136">
            <v>0</v>
          </cell>
        </row>
        <row r="137">
          <cell r="B137">
            <v>48707800000000</v>
          </cell>
          <cell r="H137">
            <v>0</v>
          </cell>
        </row>
        <row r="138">
          <cell r="B138">
            <v>7708130000000</v>
          </cell>
          <cell r="H138">
            <v>-4800</v>
          </cell>
        </row>
        <row r="139">
          <cell r="B139">
            <v>5681340000000</v>
          </cell>
          <cell r="H139">
            <v>0</v>
          </cell>
        </row>
        <row r="140">
          <cell r="B140" t="str">
            <v>15595641/0001-03</v>
          </cell>
          <cell r="H140">
            <v>-2689.44</v>
          </cell>
        </row>
        <row r="141">
          <cell r="B141">
            <v>57929000000000</v>
          </cell>
          <cell r="H141">
            <v>0</v>
          </cell>
        </row>
        <row r="142">
          <cell r="B142">
            <v>97130200000000</v>
          </cell>
          <cell r="H142">
            <v>0</v>
          </cell>
        </row>
        <row r="143">
          <cell r="B143">
            <v>91421500000000</v>
          </cell>
          <cell r="H143">
            <v>0</v>
          </cell>
        </row>
        <row r="144">
          <cell r="B144">
            <v>48795500000000</v>
          </cell>
          <cell r="H144">
            <v>0</v>
          </cell>
        </row>
        <row r="145">
          <cell r="B145">
            <v>31885500000000</v>
          </cell>
          <cell r="H145">
            <v>0</v>
          </cell>
        </row>
        <row r="146">
          <cell r="B146">
            <v>35147800000000</v>
          </cell>
          <cell r="H146">
            <v>-1539.92</v>
          </cell>
        </row>
        <row r="147">
          <cell r="B147">
            <v>24415300000000</v>
          </cell>
          <cell r="H147">
            <v>-14600</v>
          </cell>
        </row>
        <row r="148">
          <cell r="B148">
            <v>2116</v>
          </cell>
          <cell r="H148">
            <v>-2774.2</v>
          </cell>
        </row>
        <row r="149">
          <cell r="B149">
            <v>21162</v>
          </cell>
          <cell r="H149">
            <v>-387.79</v>
          </cell>
        </row>
        <row r="150">
          <cell r="B150">
            <v>21163</v>
          </cell>
          <cell r="H150">
            <v>-2386.41</v>
          </cell>
        </row>
        <row r="151">
          <cell r="B151">
            <v>2117</v>
          </cell>
          <cell r="H151">
            <v>-2618775.27</v>
          </cell>
        </row>
        <row r="152">
          <cell r="B152">
            <v>561</v>
          </cell>
          <cell r="H152">
            <v>-2542401.35</v>
          </cell>
        </row>
        <row r="153">
          <cell r="B153" t="str">
            <v>INSS</v>
          </cell>
          <cell r="H153">
            <v>-14289.27</v>
          </cell>
        </row>
        <row r="154">
          <cell r="B154">
            <v>6147</v>
          </cell>
          <cell r="H154">
            <v>-9338.09</v>
          </cell>
        </row>
        <row r="155">
          <cell r="B155">
            <v>6190</v>
          </cell>
          <cell r="H155">
            <v>-52746.559999999998</v>
          </cell>
        </row>
        <row r="156">
          <cell r="B156">
            <v>2118</v>
          </cell>
          <cell r="H156">
            <v>-26581462.09</v>
          </cell>
        </row>
        <row r="157">
          <cell r="B157">
            <v>21181</v>
          </cell>
          <cell r="H157">
            <v>-4800758.59</v>
          </cell>
        </row>
        <row r="158">
          <cell r="B158">
            <v>21182</v>
          </cell>
          <cell r="H158">
            <v>-4666335.47</v>
          </cell>
        </row>
        <row r="159">
          <cell r="B159">
            <v>21183</v>
          </cell>
          <cell r="H159">
            <v>-9888299.9299999997</v>
          </cell>
        </row>
        <row r="160">
          <cell r="B160">
            <v>21184</v>
          </cell>
          <cell r="H160">
            <v>-2011517.33</v>
          </cell>
        </row>
        <row r="161">
          <cell r="B161">
            <v>21185</v>
          </cell>
          <cell r="H161">
            <v>-591273.53</v>
          </cell>
        </row>
        <row r="162">
          <cell r="B162">
            <v>21186</v>
          </cell>
          <cell r="H162">
            <v>0</v>
          </cell>
        </row>
        <row r="163">
          <cell r="B163">
            <v>21187</v>
          </cell>
          <cell r="H163">
            <v>0</v>
          </cell>
        </row>
        <row r="164">
          <cell r="B164">
            <v>21188</v>
          </cell>
          <cell r="H164">
            <v>0</v>
          </cell>
        </row>
        <row r="165">
          <cell r="B165">
            <v>21189</v>
          </cell>
          <cell r="H165">
            <v>-474950.42</v>
          </cell>
        </row>
        <row r="166">
          <cell r="B166">
            <v>211810</v>
          </cell>
          <cell r="H166">
            <v>-1042265.61</v>
          </cell>
        </row>
        <row r="167">
          <cell r="B167">
            <v>211811</v>
          </cell>
          <cell r="H167">
            <v>-98784.22</v>
          </cell>
        </row>
        <row r="168">
          <cell r="B168">
            <v>211812</v>
          </cell>
          <cell r="H168">
            <v>-2216744.5299999998</v>
          </cell>
        </row>
        <row r="169">
          <cell r="B169">
            <v>211813</v>
          </cell>
          <cell r="H169">
            <v>-790532.46</v>
          </cell>
        </row>
        <row r="170">
          <cell r="B170">
            <v>211816</v>
          </cell>
          <cell r="H170">
            <v>0</v>
          </cell>
        </row>
        <row r="171">
          <cell r="B171">
            <v>21114</v>
          </cell>
          <cell r="H171">
            <v>-67194.98</v>
          </cell>
        </row>
        <row r="172">
          <cell r="B172">
            <v>211145</v>
          </cell>
          <cell r="H172">
            <v>-32702.46</v>
          </cell>
        </row>
        <row r="173">
          <cell r="B173">
            <v>211148</v>
          </cell>
          <cell r="H173">
            <v>-34492.519999999997</v>
          </cell>
        </row>
        <row r="174">
          <cell r="B174">
            <v>21115</v>
          </cell>
          <cell r="H174">
            <v>-469939.64</v>
          </cell>
        </row>
        <row r="175">
          <cell r="B175">
            <v>211151</v>
          </cell>
          <cell r="H175">
            <v>-469939.64</v>
          </cell>
        </row>
        <row r="176">
          <cell r="B176">
            <v>21116</v>
          </cell>
          <cell r="H176">
            <v>-3009651.08</v>
          </cell>
        </row>
        <row r="177">
          <cell r="B177">
            <v>211161</v>
          </cell>
          <cell r="H177">
            <v>-3710135.39</v>
          </cell>
        </row>
        <row r="178">
          <cell r="B178">
            <v>211162</v>
          </cell>
          <cell r="H178">
            <v>700484.31</v>
          </cell>
        </row>
        <row r="179">
          <cell r="B179">
            <v>22</v>
          </cell>
          <cell r="H179">
            <v>-23663311.949999999</v>
          </cell>
        </row>
        <row r="180">
          <cell r="B180">
            <v>221</v>
          </cell>
          <cell r="H180">
            <v>-23663311.949999999</v>
          </cell>
        </row>
        <row r="181">
          <cell r="B181">
            <v>2215</v>
          </cell>
          <cell r="H181">
            <v>-10664920.15</v>
          </cell>
        </row>
        <row r="182">
          <cell r="B182">
            <v>22151</v>
          </cell>
          <cell r="H182">
            <v>-2997438.27</v>
          </cell>
        </row>
        <row r="183">
          <cell r="B183">
            <v>22153</v>
          </cell>
          <cell r="H183">
            <v>-7667481.8799999999</v>
          </cell>
        </row>
        <row r="184">
          <cell r="B184">
            <v>2218</v>
          </cell>
          <cell r="H184">
            <v>-12998391.800000001</v>
          </cell>
        </row>
        <row r="185">
          <cell r="B185">
            <v>22181</v>
          </cell>
          <cell r="H185">
            <v>-14296093.369999999</v>
          </cell>
        </row>
        <row r="186">
          <cell r="B186">
            <v>22182</v>
          </cell>
          <cell r="H186">
            <v>1297701.57</v>
          </cell>
        </row>
        <row r="187">
          <cell r="B187" t="str">
            <v>PL</v>
          </cell>
          <cell r="H187">
            <v>-29760052.879999999</v>
          </cell>
        </row>
        <row r="188">
          <cell r="B188">
            <v>241</v>
          </cell>
          <cell r="H188">
            <v>-34443159.609999999</v>
          </cell>
        </row>
        <row r="189">
          <cell r="B189">
            <v>2411</v>
          </cell>
          <cell r="H189">
            <v>-34443159.609999999</v>
          </cell>
        </row>
        <row r="190">
          <cell r="B190">
            <v>24111</v>
          </cell>
          <cell r="H190">
            <v>-34443159.609999999</v>
          </cell>
        </row>
        <row r="191">
          <cell r="B191">
            <v>243</v>
          </cell>
          <cell r="H191">
            <v>65.319999999999993</v>
          </cell>
        </row>
        <row r="192">
          <cell r="B192">
            <v>2431</v>
          </cell>
          <cell r="H192">
            <v>65.319999999999993</v>
          </cell>
        </row>
        <row r="193">
          <cell r="B193">
            <v>24311</v>
          </cell>
          <cell r="H193">
            <v>65.319999999999993</v>
          </cell>
        </row>
        <row r="194">
          <cell r="B194">
            <v>246</v>
          </cell>
          <cell r="H194">
            <v>5501364.9299999997</v>
          </cell>
        </row>
        <row r="195">
          <cell r="B195">
            <v>2462</v>
          </cell>
          <cell r="H195">
            <v>2833698.9</v>
          </cell>
        </row>
        <row r="196">
          <cell r="B196">
            <v>24622</v>
          </cell>
          <cell r="H196">
            <v>2833698.9</v>
          </cell>
        </row>
        <row r="197">
          <cell r="B197">
            <v>24699</v>
          </cell>
          <cell r="H197">
            <v>2667666.0299999998</v>
          </cell>
        </row>
        <row r="198">
          <cell r="B198">
            <v>246991</v>
          </cell>
          <cell r="H198">
            <v>2667666.0299999998</v>
          </cell>
        </row>
        <row r="199">
          <cell r="B199">
            <v>247</v>
          </cell>
          <cell r="H199">
            <v>-818323.52</v>
          </cell>
        </row>
        <row r="200">
          <cell r="B200">
            <v>2471</v>
          </cell>
          <cell r="H200">
            <v>-818323.52</v>
          </cell>
        </row>
        <row r="201">
          <cell r="B201">
            <v>24711</v>
          </cell>
          <cell r="H201">
            <v>-818323.52</v>
          </cell>
        </row>
        <row r="202">
          <cell r="B202">
            <v>3</v>
          </cell>
          <cell r="H202">
            <v>-112808286.84</v>
          </cell>
        </row>
        <row r="203">
          <cell r="B203">
            <v>31</v>
          </cell>
          <cell r="H203">
            <v>-111820414.91</v>
          </cell>
        </row>
        <row r="204">
          <cell r="B204">
            <v>311</v>
          </cell>
          <cell r="H204">
            <v>-111820414.91</v>
          </cell>
        </row>
        <row r="205">
          <cell r="B205">
            <v>3111</v>
          </cell>
          <cell r="H205">
            <v>-111820414.91</v>
          </cell>
        </row>
        <row r="206">
          <cell r="B206">
            <v>31111</v>
          </cell>
          <cell r="H206">
            <v>-111820414.91</v>
          </cell>
        </row>
        <row r="207">
          <cell r="B207">
            <v>33</v>
          </cell>
          <cell r="H207">
            <v>-987871.93</v>
          </cell>
        </row>
        <row r="208">
          <cell r="B208">
            <v>331</v>
          </cell>
          <cell r="H208">
            <v>-514829.92</v>
          </cell>
        </row>
        <row r="209">
          <cell r="B209">
            <v>3311</v>
          </cell>
          <cell r="H209">
            <v>-514829.92</v>
          </cell>
        </row>
        <row r="210">
          <cell r="B210">
            <v>33115</v>
          </cell>
          <cell r="H210">
            <v>-248343.85</v>
          </cell>
        </row>
        <row r="211">
          <cell r="B211">
            <v>33116</v>
          </cell>
          <cell r="H211">
            <v>-266486.07</v>
          </cell>
        </row>
        <row r="212">
          <cell r="B212">
            <v>336</v>
          </cell>
          <cell r="H212">
            <v>-473042.01</v>
          </cell>
        </row>
        <row r="213">
          <cell r="B213">
            <v>3361</v>
          </cell>
          <cell r="H213">
            <v>-473042.01</v>
          </cell>
        </row>
        <row r="214">
          <cell r="B214">
            <v>33611</v>
          </cell>
          <cell r="H214">
            <v>-473042.01</v>
          </cell>
        </row>
        <row r="215">
          <cell r="B215">
            <v>4</v>
          </cell>
          <cell r="H215">
            <v>115475952.87</v>
          </cell>
        </row>
        <row r="216">
          <cell r="B216">
            <v>41</v>
          </cell>
          <cell r="H216">
            <v>72680037.219999999</v>
          </cell>
        </row>
        <row r="217">
          <cell r="B217">
            <v>411</v>
          </cell>
          <cell r="H217">
            <v>63930651.670000002</v>
          </cell>
        </row>
        <row r="218">
          <cell r="B218">
            <v>4111</v>
          </cell>
          <cell r="H218">
            <v>43475979.700000003</v>
          </cell>
        </row>
        <row r="219">
          <cell r="B219">
            <v>41111</v>
          </cell>
          <cell r="H219">
            <v>35299374.020000003</v>
          </cell>
        </row>
        <row r="220">
          <cell r="B220">
            <v>41117</v>
          </cell>
          <cell r="H220">
            <v>4130448.48</v>
          </cell>
        </row>
        <row r="221">
          <cell r="B221">
            <v>41118</v>
          </cell>
          <cell r="H221">
            <v>506106.72</v>
          </cell>
        </row>
        <row r="222">
          <cell r="B222">
            <v>41119</v>
          </cell>
          <cell r="H222">
            <v>3290778.73</v>
          </cell>
        </row>
        <row r="223">
          <cell r="B223">
            <v>411111</v>
          </cell>
          <cell r="H223">
            <v>145084.01999999999</v>
          </cell>
        </row>
        <row r="224">
          <cell r="B224">
            <v>411113</v>
          </cell>
          <cell r="H224">
            <v>17919.93</v>
          </cell>
        </row>
        <row r="225">
          <cell r="B225">
            <v>411114</v>
          </cell>
          <cell r="H225">
            <v>86267.8</v>
          </cell>
        </row>
        <row r="226">
          <cell r="B226">
            <v>4112</v>
          </cell>
          <cell r="H226">
            <v>13523170.27</v>
          </cell>
        </row>
        <row r="227">
          <cell r="B227">
            <v>41121</v>
          </cell>
          <cell r="H227">
            <v>8168509.9800000004</v>
          </cell>
        </row>
        <row r="228">
          <cell r="B228">
            <v>41122</v>
          </cell>
          <cell r="H228">
            <v>2930142.68</v>
          </cell>
        </row>
        <row r="229">
          <cell r="B229">
            <v>41124</v>
          </cell>
          <cell r="H229">
            <v>738291.62</v>
          </cell>
        </row>
        <row r="230">
          <cell r="B230">
            <v>41125</v>
          </cell>
          <cell r="H230">
            <v>1072355.6599999999</v>
          </cell>
        </row>
        <row r="231">
          <cell r="B231">
            <v>41126</v>
          </cell>
          <cell r="H231">
            <v>349956.63</v>
          </cell>
        </row>
        <row r="232">
          <cell r="B232">
            <v>41127</v>
          </cell>
          <cell r="H232">
            <v>263913.7</v>
          </cell>
        </row>
        <row r="233">
          <cell r="B233">
            <v>4113</v>
          </cell>
          <cell r="H233">
            <v>6931501.7000000002</v>
          </cell>
        </row>
        <row r="234">
          <cell r="B234">
            <v>41131</v>
          </cell>
          <cell r="H234">
            <v>2559005.7599999998</v>
          </cell>
        </row>
        <row r="235">
          <cell r="B235">
            <v>41132</v>
          </cell>
          <cell r="H235">
            <v>2411023.27</v>
          </cell>
        </row>
        <row r="236">
          <cell r="B236">
            <v>41133</v>
          </cell>
          <cell r="H236">
            <v>0</v>
          </cell>
        </row>
        <row r="237">
          <cell r="B237">
            <v>41135</v>
          </cell>
          <cell r="H237">
            <v>514037.49</v>
          </cell>
        </row>
        <row r="238">
          <cell r="B238">
            <v>41136</v>
          </cell>
          <cell r="H238">
            <v>1404974.53</v>
          </cell>
        </row>
        <row r="239">
          <cell r="B239">
            <v>411310</v>
          </cell>
          <cell r="H239">
            <v>17320.919999999998</v>
          </cell>
        </row>
        <row r="240">
          <cell r="B240">
            <v>411311</v>
          </cell>
          <cell r="H240">
            <v>25139.73</v>
          </cell>
        </row>
        <row r="241">
          <cell r="B241">
            <v>413</v>
          </cell>
          <cell r="H241">
            <v>4460363.71</v>
          </cell>
        </row>
        <row r="242">
          <cell r="B242">
            <v>4131</v>
          </cell>
          <cell r="H242">
            <v>4460363.71</v>
          </cell>
        </row>
        <row r="243">
          <cell r="B243">
            <v>41311</v>
          </cell>
          <cell r="H243">
            <v>355330.45</v>
          </cell>
        </row>
        <row r="244">
          <cell r="B244">
            <v>41312</v>
          </cell>
          <cell r="H244">
            <v>649677.39</v>
          </cell>
        </row>
        <row r="245">
          <cell r="B245">
            <v>41315</v>
          </cell>
          <cell r="H245">
            <v>447935.63</v>
          </cell>
        </row>
        <row r="246">
          <cell r="B246">
            <v>41316</v>
          </cell>
          <cell r="H246">
            <v>6875</v>
          </cell>
        </row>
        <row r="247">
          <cell r="B247">
            <v>413114</v>
          </cell>
          <cell r="H247">
            <v>2619020.7999999998</v>
          </cell>
        </row>
        <row r="248">
          <cell r="B248">
            <v>413117</v>
          </cell>
          <cell r="H248">
            <v>371381.02</v>
          </cell>
        </row>
        <row r="249">
          <cell r="B249">
            <v>4131997</v>
          </cell>
          <cell r="H249">
            <v>10143.42</v>
          </cell>
        </row>
        <row r="250">
          <cell r="B250">
            <v>414</v>
          </cell>
          <cell r="H250">
            <v>249307.45</v>
          </cell>
        </row>
        <row r="251">
          <cell r="B251">
            <v>4141</v>
          </cell>
          <cell r="H251">
            <v>249307.45</v>
          </cell>
        </row>
        <row r="252">
          <cell r="B252">
            <v>41412</v>
          </cell>
          <cell r="H252">
            <v>236158.05</v>
          </cell>
        </row>
        <row r="253">
          <cell r="B253">
            <v>41418</v>
          </cell>
          <cell r="H253">
            <v>13149.4</v>
          </cell>
        </row>
        <row r="254">
          <cell r="B254">
            <v>416</v>
          </cell>
          <cell r="H254">
            <v>4039714.39</v>
          </cell>
        </row>
        <row r="255">
          <cell r="B255">
            <v>4161</v>
          </cell>
          <cell r="H255">
            <v>1796522.8</v>
          </cell>
        </row>
        <row r="256">
          <cell r="B256">
            <v>41614</v>
          </cell>
          <cell r="H256">
            <v>500747.93</v>
          </cell>
        </row>
        <row r="257">
          <cell r="B257">
            <v>41616</v>
          </cell>
          <cell r="H257">
            <v>16548.080000000002</v>
          </cell>
        </row>
        <row r="258">
          <cell r="B258">
            <v>416112</v>
          </cell>
          <cell r="H258">
            <v>2826.96</v>
          </cell>
        </row>
        <row r="259">
          <cell r="B259">
            <v>416114</v>
          </cell>
          <cell r="H259">
            <v>369961.59</v>
          </cell>
        </row>
        <row r="260">
          <cell r="B260">
            <v>416115</v>
          </cell>
          <cell r="H260">
            <v>243921.9</v>
          </cell>
        </row>
        <row r="261">
          <cell r="B261">
            <v>416116</v>
          </cell>
          <cell r="H261">
            <v>662516.34</v>
          </cell>
        </row>
        <row r="262">
          <cell r="B262">
            <v>4162</v>
          </cell>
          <cell r="H262">
            <v>2243191.59</v>
          </cell>
        </row>
        <row r="263">
          <cell r="B263">
            <v>41621</v>
          </cell>
          <cell r="H263">
            <v>558738.82999999996</v>
          </cell>
        </row>
        <row r="264">
          <cell r="B264">
            <v>41624</v>
          </cell>
          <cell r="H264">
            <v>347866.97</v>
          </cell>
        </row>
        <row r="265">
          <cell r="B265">
            <v>41626</v>
          </cell>
          <cell r="H265">
            <v>227464.34</v>
          </cell>
        </row>
        <row r="266">
          <cell r="B266">
            <v>41627</v>
          </cell>
          <cell r="H266">
            <v>959890.02</v>
          </cell>
        </row>
        <row r="267">
          <cell r="B267">
            <v>416210</v>
          </cell>
          <cell r="H267">
            <v>149231.43</v>
          </cell>
        </row>
        <row r="268">
          <cell r="B268">
            <v>42</v>
          </cell>
          <cell r="H268">
            <v>42795915.649999999</v>
          </cell>
        </row>
        <row r="269">
          <cell r="B269">
            <v>421</v>
          </cell>
          <cell r="H269">
            <v>29859580.800000001</v>
          </cell>
        </row>
        <row r="270">
          <cell r="B270">
            <v>4211</v>
          </cell>
          <cell r="H270">
            <v>20634077.489999998</v>
          </cell>
        </row>
        <row r="271">
          <cell r="B271">
            <v>42111</v>
          </cell>
          <cell r="H271">
            <v>16486276.27</v>
          </cell>
        </row>
        <row r="272">
          <cell r="B272">
            <v>42117</v>
          </cell>
          <cell r="H272">
            <v>2464012.35</v>
          </cell>
        </row>
        <row r="273">
          <cell r="B273">
            <v>42118</v>
          </cell>
          <cell r="H273">
            <v>148346.32</v>
          </cell>
        </row>
        <row r="274">
          <cell r="B274">
            <v>42119</v>
          </cell>
          <cell r="H274">
            <v>1479992.92</v>
          </cell>
        </row>
        <row r="275">
          <cell r="B275">
            <v>421114</v>
          </cell>
          <cell r="H275">
            <v>55449.63</v>
          </cell>
        </row>
        <row r="276">
          <cell r="B276">
            <v>4212</v>
          </cell>
          <cell r="H276">
            <v>5987256.3600000003</v>
          </cell>
        </row>
        <row r="277">
          <cell r="B277">
            <v>42121</v>
          </cell>
          <cell r="H277">
            <v>3627883.31</v>
          </cell>
        </row>
        <row r="278">
          <cell r="B278">
            <v>42122</v>
          </cell>
          <cell r="H278">
            <v>1302650.6100000001</v>
          </cell>
        </row>
        <row r="279">
          <cell r="B279">
            <v>42124</v>
          </cell>
          <cell r="H279">
            <v>325945.42</v>
          </cell>
        </row>
        <row r="280">
          <cell r="B280">
            <v>42125</v>
          </cell>
          <cell r="H280">
            <v>464215.72</v>
          </cell>
        </row>
        <row r="281">
          <cell r="B281">
            <v>42126</v>
          </cell>
          <cell r="H281">
            <v>150680.66</v>
          </cell>
        </row>
        <row r="282">
          <cell r="B282">
            <v>42127</v>
          </cell>
          <cell r="H282">
            <v>115880.64</v>
          </cell>
        </row>
        <row r="283">
          <cell r="B283">
            <v>4213</v>
          </cell>
          <cell r="H283">
            <v>3238246.95</v>
          </cell>
        </row>
        <row r="284">
          <cell r="B284">
            <v>42131</v>
          </cell>
          <cell r="H284">
            <v>1051282.1499999999</v>
          </cell>
        </row>
        <row r="285">
          <cell r="B285">
            <v>42132</v>
          </cell>
          <cell r="H285">
            <v>1097643.1599999999</v>
          </cell>
        </row>
        <row r="286">
          <cell r="B286">
            <v>42133</v>
          </cell>
          <cell r="H286">
            <v>24642.25</v>
          </cell>
        </row>
        <row r="287">
          <cell r="B287">
            <v>42134</v>
          </cell>
          <cell r="H287">
            <v>166464.60999999999</v>
          </cell>
        </row>
        <row r="288">
          <cell r="B288">
            <v>42135</v>
          </cell>
          <cell r="H288">
            <v>165381.51</v>
          </cell>
        </row>
        <row r="289">
          <cell r="B289">
            <v>42136</v>
          </cell>
          <cell r="H289">
            <v>644037.66</v>
          </cell>
        </row>
        <row r="290">
          <cell r="B290">
            <v>421310</v>
          </cell>
          <cell r="H290">
            <v>5643.61</v>
          </cell>
        </row>
        <row r="291">
          <cell r="B291">
            <v>421311</v>
          </cell>
          <cell r="H291">
            <v>83152</v>
          </cell>
        </row>
        <row r="292">
          <cell r="B292">
            <v>422</v>
          </cell>
          <cell r="H292">
            <v>76766.429999999993</v>
          </cell>
        </row>
        <row r="293">
          <cell r="B293">
            <v>4221</v>
          </cell>
          <cell r="H293">
            <v>76766.429999999993</v>
          </cell>
        </row>
        <row r="294">
          <cell r="B294">
            <v>42211</v>
          </cell>
          <cell r="H294">
            <v>76766.429999999993</v>
          </cell>
        </row>
        <row r="295">
          <cell r="B295">
            <v>423</v>
          </cell>
          <cell r="H295">
            <v>5465294.5599999996</v>
          </cell>
        </row>
        <row r="296">
          <cell r="B296">
            <v>4231</v>
          </cell>
          <cell r="H296">
            <v>5465294.5599999996</v>
          </cell>
        </row>
        <row r="297">
          <cell r="B297">
            <v>42311</v>
          </cell>
          <cell r="H297">
            <v>382949.46</v>
          </cell>
        </row>
        <row r="298">
          <cell r="B298">
            <v>42312</v>
          </cell>
          <cell r="H298">
            <v>1001103.81</v>
          </cell>
        </row>
        <row r="299">
          <cell r="B299">
            <v>42313</v>
          </cell>
          <cell r="H299">
            <v>533305.19999999995</v>
          </cell>
        </row>
        <row r="300">
          <cell r="B300">
            <v>42315</v>
          </cell>
          <cell r="H300">
            <v>199285.22</v>
          </cell>
        </row>
        <row r="301">
          <cell r="B301">
            <v>42316</v>
          </cell>
          <cell r="H301">
            <v>3049.42</v>
          </cell>
        </row>
        <row r="302">
          <cell r="B302">
            <v>42317</v>
          </cell>
          <cell r="H302">
            <v>361368.14</v>
          </cell>
        </row>
        <row r="303">
          <cell r="B303">
            <v>42318</v>
          </cell>
          <cell r="H303">
            <v>193402.52</v>
          </cell>
        </row>
        <row r="304">
          <cell r="B304">
            <v>423113</v>
          </cell>
          <cell r="H304">
            <v>140609.26</v>
          </cell>
        </row>
        <row r="305">
          <cell r="B305">
            <v>423114</v>
          </cell>
          <cell r="H305">
            <v>2304258.3199999998</v>
          </cell>
        </row>
        <row r="306">
          <cell r="B306">
            <v>423115</v>
          </cell>
          <cell r="H306">
            <v>14400</v>
          </cell>
        </row>
        <row r="307">
          <cell r="B307">
            <v>423117</v>
          </cell>
          <cell r="H307">
            <v>304936.64</v>
          </cell>
        </row>
        <row r="308">
          <cell r="B308">
            <v>423118</v>
          </cell>
          <cell r="H308">
            <v>3079.84</v>
          </cell>
        </row>
        <row r="309">
          <cell r="B309">
            <v>423119</v>
          </cell>
          <cell r="H309">
            <v>23546.73</v>
          </cell>
        </row>
        <row r="310">
          <cell r="B310">
            <v>424</v>
          </cell>
          <cell r="H310">
            <v>134150.68</v>
          </cell>
        </row>
        <row r="311">
          <cell r="B311">
            <v>4241</v>
          </cell>
          <cell r="H311">
            <v>134150.68</v>
          </cell>
        </row>
        <row r="312">
          <cell r="B312">
            <v>42412</v>
          </cell>
          <cell r="H312">
            <v>97728.63</v>
          </cell>
        </row>
        <row r="313">
          <cell r="B313">
            <v>42415</v>
          </cell>
          <cell r="H313">
            <v>3346.4</v>
          </cell>
        </row>
        <row r="314">
          <cell r="B314">
            <v>42416</v>
          </cell>
          <cell r="H314">
            <v>20593.21</v>
          </cell>
        </row>
        <row r="315">
          <cell r="B315">
            <v>424112</v>
          </cell>
          <cell r="H315">
            <v>12482.44</v>
          </cell>
        </row>
        <row r="316">
          <cell r="B316">
            <v>426</v>
          </cell>
          <cell r="H316">
            <v>6323682.2599999998</v>
          </cell>
        </row>
        <row r="317">
          <cell r="B317">
            <v>4261</v>
          </cell>
          <cell r="H317">
            <v>4600697.0199999996</v>
          </cell>
        </row>
        <row r="318">
          <cell r="B318">
            <v>42613</v>
          </cell>
          <cell r="H318">
            <v>34494.83</v>
          </cell>
        </row>
        <row r="319">
          <cell r="B319">
            <v>42614</v>
          </cell>
          <cell r="H319">
            <v>207223.12</v>
          </cell>
        </row>
        <row r="320">
          <cell r="B320">
            <v>42616</v>
          </cell>
          <cell r="H320">
            <v>6867.06</v>
          </cell>
        </row>
        <row r="321">
          <cell r="B321">
            <v>42617</v>
          </cell>
          <cell r="H321">
            <v>843.65</v>
          </cell>
        </row>
        <row r="322">
          <cell r="B322">
            <v>426111</v>
          </cell>
          <cell r="H322">
            <v>1902141.34</v>
          </cell>
        </row>
        <row r="323">
          <cell r="B323">
            <v>426112</v>
          </cell>
          <cell r="H323">
            <v>31250.84</v>
          </cell>
        </row>
        <row r="324">
          <cell r="B324">
            <v>426114</v>
          </cell>
          <cell r="H324">
            <v>154458.74</v>
          </cell>
        </row>
        <row r="325">
          <cell r="B325">
            <v>426116</v>
          </cell>
          <cell r="H325">
            <v>274167.31</v>
          </cell>
        </row>
        <row r="326">
          <cell r="B326">
            <v>426117</v>
          </cell>
          <cell r="H326">
            <v>100306.07</v>
          </cell>
        </row>
        <row r="327">
          <cell r="B327">
            <v>426118</v>
          </cell>
          <cell r="H327">
            <v>1888944.06</v>
          </cell>
        </row>
        <row r="328">
          <cell r="B328">
            <v>4262</v>
          </cell>
          <cell r="H328">
            <v>1722985.24</v>
          </cell>
        </row>
        <row r="329">
          <cell r="B329">
            <v>42621</v>
          </cell>
          <cell r="H329">
            <v>220190.75</v>
          </cell>
        </row>
        <row r="330">
          <cell r="B330">
            <v>42622</v>
          </cell>
          <cell r="H330">
            <v>314120.44</v>
          </cell>
        </row>
        <row r="331">
          <cell r="B331">
            <v>42624</v>
          </cell>
          <cell r="H331">
            <v>161354.16</v>
          </cell>
        </row>
        <row r="332">
          <cell r="B332">
            <v>42625</v>
          </cell>
          <cell r="H332">
            <v>9759.91</v>
          </cell>
        </row>
        <row r="333">
          <cell r="B333">
            <v>42626</v>
          </cell>
          <cell r="H333">
            <v>114320.72</v>
          </cell>
        </row>
        <row r="334">
          <cell r="B334">
            <v>42627</v>
          </cell>
          <cell r="H334">
            <v>631510.81999999995</v>
          </cell>
        </row>
        <row r="335">
          <cell r="B335">
            <v>42629</v>
          </cell>
          <cell r="H335">
            <v>3594.9</v>
          </cell>
        </row>
        <row r="336">
          <cell r="B336">
            <v>426210</v>
          </cell>
          <cell r="H336">
            <v>43710.01</v>
          </cell>
        </row>
        <row r="337">
          <cell r="B337">
            <v>426214</v>
          </cell>
          <cell r="H337">
            <v>94833.3</v>
          </cell>
        </row>
        <row r="338">
          <cell r="B338">
            <v>426215</v>
          </cell>
          <cell r="H338">
            <v>129590.23</v>
          </cell>
        </row>
        <row r="339">
          <cell r="B339">
            <v>427</v>
          </cell>
          <cell r="H339">
            <v>936440.92</v>
          </cell>
        </row>
        <row r="340">
          <cell r="B340">
            <v>42701</v>
          </cell>
          <cell r="H340">
            <v>936440.92</v>
          </cell>
        </row>
        <row r="341">
          <cell r="B341">
            <v>42711</v>
          </cell>
          <cell r="H341">
            <v>10.84</v>
          </cell>
        </row>
        <row r="342">
          <cell r="B342">
            <v>42720</v>
          </cell>
          <cell r="H342">
            <v>400073.16</v>
          </cell>
        </row>
        <row r="343">
          <cell r="B343">
            <v>427122</v>
          </cell>
          <cell r="H343">
            <v>536356.92000000004</v>
          </cell>
        </row>
        <row r="344">
          <cell r="B344">
            <v>5</v>
          </cell>
          <cell r="H344">
            <v>-2667666.0299999998</v>
          </cell>
        </row>
        <row r="345">
          <cell r="B345">
            <v>51</v>
          </cell>
          <cell r="H345">
            <v>-2667666.0299999998</v>
          </cell>
        </row>
        <row r="346">
          <cell r="B346">
            <v>511</v>
          </cell>
          <cell r="H346">
            <v>1816798.02</v>
          </cell>
        </row>
        <row r="347">
          <cell r="B347">
            <v>5111</v>
          </cell>
          <cell r="H347">
            <v>799991.65</v>
          </cell>
        </row>
        <row r="348">
          <cell r="B348">
            <v>5116</v>
          </cell>
          <cell r="H348">
            <v>1016806.37</v>
          </cell>
        </row>
        <row r="349">
          <cell r="B349">
            <v>512</v>
          </cell>
          <cell r="H349">
            <v>-4484464.05</v>
          </cell>
        </row>
        <row r="350">
          <cell r="B350">
            <v>5122</v>
          </cell>
          <cell r="H350">
            <v>-44677.79</v>
          </cell>
        </row>
        <row r="351">
          <cell r="B351">
            <v>5123</v>
          </cell>
          <cell r="H351">
            <v>-1381461.08</v>
          </cell>
        </row>
        <row r="352">
          <cell r="B352">
            <v>5124</v>
          </cell>
          <cell r="H352">
            <v>-171067.17</v>
          </cell>
        </row>
        <row r="353">
          <cell r="B353">
            <v>5125</v>
          </cell>
          <cell r="H353">
            <v>-896189.93</v>
          </cell>
        </row>
        <row r="354">
          <cell r="B354">
            <v>5127</v>
          </cell>
          <cell r="H354">
            <v>-1268603.3799999999</v>
          </cell>
        </row>
        <row r="355">
          <cell r="B355">
            <v>5128</v>
          </cell>
          <cell r="H355">
            <v>-722464.7</v>
          </cell>
        </row>
        <row r="356">
          <cell r="B356">
            <v>5127</v>
          </cell>
          <cell r="H356">
            <v>-1268603.3799999999</v>
          </cell>
        </row>
        <row r="357">
          <cell r="B357">
            <v>5125</v>
          </cell>
          <cell r="H357">
            <v>-896189.93</v>
          </cell>
        </row>
        <row r="358">
          <cell r="B358">
            <v>5127</v>
          </cell>
          <cell r="H358">
            <v>-1268603.3799999999</v>
          </cell>
        </row>
      </sheetData>
      <sheetData sheetId="20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87534472.650000006</v>
          </cell>
        </row>
        <row r="9">
          <cell r="B9">
            <v>11</v>
          </cell>
          <cell r="H9">
            <v>56914802.060000002</v>
          </cell>
        </row>
        <row r="10">
          <cell r="B10">
            <v>111</v>
          </cell>
          <cell r="H10">
            <v>48056385.350000001</v>
          </cell>
        </row>
        <row r="11">
          <cell r="B11">
            <v>1112</v>
          </cell>
          <cell r="H11">
            <v>48056385.350000001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9480388.6300000008</v>
          </cell>
        </row>
        <row r="14">
          <cell r="B14" t="str">
            <v>BBR</v>
          </cell>
          <cell r="H14">
            <v>38575996.719999999</v>
          </cell>
        </row>
        <row r="15">
          <cell r="B15">
            <v>112</v>
          </cell>
          <cell r="H15">
            <v>4722909.93</v>
          </cell>
        </row>
        <row r="16">
          <cell r="B16">
            <v>1123</v>
          </cell>
          <cell r="H16">
            <v>1065572.1000000001</v>
          </cell>
        </row>
        <row r="17">
          <cell r="B17">
            <v>112310</v>
          </cell>
          <cell r="H17">
            <v>567.83000000000004</v>
          </cell>
        </row>
        <row r="18">
          <cell r="B18">
            <v>112316</v>
          </cell>
          <cell r="H18">
            <v>178629.72</v>
          </cell>
        </row>
        <row r="19">
          <cell r="B19">
            <v>112317</v>
          </cell>
          <cell r="H19">
            <v>66625.72</v>
          </cell>
        </row>
        <row r="20">
          <cell r="B20">
            <v>112334</v>
          </cell>
          <cell r="H20">
            <v>795.2</v>
          </cell>
        </row>
        <row r="21">
          <cell r="B21">
            <v>112340</v>
          </cell>
          <cell r="H21">
            <v>611725.04</v>
          </cell>
        </row>
        <row r="22">
          <cell r="B22">
            <v>112341</v>
          </cell>
          <cell r="H22">
            <v>207228.59</v>
          </cell>
        </row>
        <row r="23">
          <cell r="B23">
            <v>1124</v>
          </cell>
          <cell r="H23">
            <v>3657205.85</v>
          </cell>
        </row>
        <row r="24">
          <cell r="B24">
            <v>11241</v>
          </cell>
          <cell r="H24">
            <v>200028.87</v>
          </cell>
        </row>
        <row r="25">
          <cell r="B25">
            <v>11242</v>
          </cell>
          <cell r="H25">
            <v>3457176.98</v>
          </cell>
        </row>
        <row r="26">
          <cell r="B26">
            <v>112424</v>
          </cell>
          <cell r="H26">
            <v>0</v>
          </cell>
        </row>
        <row r="27">
          <cell r="B27">
            <v>112425</v>
          </cell>
          <cell r="H27">
            <v>0</v>
          </cell>
        </row>
        <row r="28">
          <cell r="B28">
            <v>11299</v>
          </cell>
          <cell r="H28">
            <v>131.97999999999999</v>
          </cell>
        </row>
        <row r="29">
          <cell r="B29">
            <v>112995</v>
          </cell>
          <cell r="H29">
            <v>0</v>
          </cell>
        </row>
        <row r="30">
          <cell r="B30">
            <v>11299999</v>
          </cell>
          <cell r="H30">
            <v>131.97999999999999</v>
          </cell>
        </row>
        <row r="31">
          <cell r="B31">
            <v>113</v>
          </cell>
          <cell r="H31">
            <v>4135506.78</v>
          </cell>
        </row>
        <row r="32">
          <cell r="B32">
            <v>1131</v>
          </cell>
          <cell r="H32">
            <v>4135506.78</v>
          </cell>
        </row>
        <row r="33">
          <cell r="B33">
            <v>11311</v>
          </cell>
          <cell r="H33">
            <v>70394.679999999993</v>
          </cell>
        </row>
        <row r="34">
          <cell r="B34">
            <v>11312</v>
          </cell>
          <cell r="H34">
            <v>1347835.69</v>
          </cell>
        </row>
        <row r="35">
          <cell r="B35">
            <v>11313</v>
          </cell>
          <cell r="H35">
            <v>50503.29</v>
          </cell>
        </row>
        <row r="36">
          <cell r="B36">
            <v>11315</v>
          </cell>
          <cell r="H36">
            <v>210224.92</v>
          </cell>
        </row>
        <row r="37">
          <cell r="B37">
            <v>11316</v>
          </cell>
          <cell r="H37">
            <v>2456548.2000000002</v>
          </cell>
        </row>
        <row r="38">
          <cell r="B38">
            <v>12</v>
          </cell>
          <cell r="H38">
            <v>30619670.59</v>
          </cell>
        </row>
        <row r="39">
          <cell r="B39">
            <v>121</v>
          </cell>
          <cell r="H39">
            <v>8803994.9000000004</v>
          </cell>
        </row>
        <row r="40">
          <cell r="B40">
            <v>1213</v>
          </cell>
          <cell r="H40">
            <v>2890761.33</v>
          </cell>
        </row>
        <row r="41">
          <cell r="B41">
            <v>12131</v>
          </cell>
          <cell r="H41">
            <v>26551.62</v>
          </cell>
        </row>
        <row r="42">
          <cell r="B42">
            <v>12134</v>
          </cell>
          <cell r="H42">
            <v>4640.58</v>
          </cell>
        </row>
        <row r="43">
          <cell r="B43">
            <v>12135</v>
          </cell>
          <cell r="H43">
            <v>173386.94</v>
          </cell>
        </row>
        <row r="44">
          <cell r="B44">
            <v>12139</v>
          </cell>
          <cell r="H44">
            <v>1853.83</v>
          </cell>
        </row>
        <row r="45">
          <cell r="B45">
            <v>121311</v>
          </cell>
          <cell r="H45">
            <v>4382.3100000000004</v>
          </cell>
        </row>
        <row r="46">
          <cell r="B46">
            <v>121312</v>
          </cell>
          <cell r="H46">
            <v>301.24</v>
          </cell>
        </row>
        <row r="47">
          <cell r="B47">
            <v>121313</v>
          </cell>
          <cell r="H47">
            <v>221837.08</v>
          </cell>
        </row>
        <row r="48">
          <cell r="B48">
            <v>121315</v>
          </cell>
          <cell r="H48">
            <v>151857.41</v>
          </cell>
        </row>
        <row r="49">
          <cell r="B49">
            <v>121316</v>
          </cell>
          <cell r="H49">
            <v>1060984.26</v>
          </cell>
        </row>
        <row r="50">
          <cell r="B50">
            <v>121317</v>
          </cell>
          <cell r="H50">
            <v>2202.14</v>
          </cell>
        </row>
        <row r="51">
          <cell r="B51">
            <v>121318</v>
          </cell>
          <cell r="H51">
            <v>847408.28</v>
          </cell>
        </row>
        <row r="52">
          <cell r="B52">
            <v>121319</v>
          </cell>
          <cell r="H52">
            <v>395355.64</v>
          </cell>
        </row>
        <row r="53">
          <cell r="B53">
            <v>1217</v>
          </cell>
          <cell r="H53">
            <v>128.56</v>
          </cell>
        </row>
        <row r="54">
          <cell r="B54">
            <v>12171</v>
          </cell>
          <cell r="H54">
            <v>128.56</v>
          </cell>
        </row>
        <row r="55">
          <cell r="B55">
            <v>1218</v>
          </cell>
          <cell r="H55">
            <v>5913105.0099999998</v>
          </cell>
        </row>
        <row r="56">
          <cell r="B56">
            <v>12181</v>
          </cell>
          <cell r="H56">
            <v>4454637.6100000003</v>
          </cell>
        </row>
        <row r="57">
          <cell r="B57">
            <v>12182</v>
          </cell>
          <cell r="H57">
            <v>1275965.48</v>
          </cell>
        </row>
        <row r="58">
          <cell r="B58">
            <v>12183</v>
          </cell>
          <cell r="H58">
            <v>182501.92</v>
          </cell>
        </row>
        <row r="59">
          <cell r="B59">
            <v>123</v>
          </cell>
          <cell r="H59">
            <v>5686973.6100000003</v>
          </cell>
        </row>
        <row r="60">
          <cell r="B60">
            <v>1231</v>
          </cell>
          <cell r="H60">
            <v>19998174.690000001</v>
          </cell>
        </row>
        <row r="61">
          <cell r="B61">
            <v>12313</v>
          </cell>
          <cell r="H61">
            <v>2565049.0299999998</v>
          </cell>
        </row>
        <row r="62">
          <cell r="B62">
            <v>12314</v>
          </cell>
          <cell r="H62">
            <v>823453.65</v>
          </cell>
        </row>
        <row r="63">
          <cell r="B63">
            <v>12315</v>
          </cell>
          <cell r="H63">
            <v>13810259</v>
          </cell>
        </row>
        <row r="64">
          <cell r="B64">
            <v>12317</v>
          </cell>
          <cell r="H64">
            <v>2799413.01</v>
          </cell>
        </row>
        <row r="65">
          <cell r="B65">
            <v>12398</v>
          </cell>
          <cell r="H65">
            <v>-14311201.08</v>
          </cell>
        </row>
        <row r="66">
          <cell r="B66">
            <v>123982</v>
          </cell>
          <cell r="H66">
            <v>-1110296.42</v>
          </cell>
        </row>
        <row r="67">
          <cell r="B67">
            <v>123983</v>
          </cell>
          <cell r="H67">
            <v>-766817.04</v>
          </cell>
        </row>
        <row r="68">
          <cell r="B68">
            <v>123984</v>
          </cell>
          <cell r="H68">
            <v>-10335457.98</v>
          </cell>
        </row>
        <row r="69">
          <cell r="B69">
            <v>123986</v>
          </cell>
          <cell r="H69">
            <v>-2098629.64</v>
          </cell>
        </row>
        <row r="70">
          <cell r="B70">
            <v>124</v>
          </cell>
          <cell r="H70">
            <v>1598533.14</v>
          </cell>
        </row>
        <row r="71">
          <cell r="B71">
            <v>1241</v>
          </cell>
          <cell r="H71">
            <v>13586005.869999999</v>
          </cell>
        </row>
        <row r="72">
          <cell r="B72">
            <v>124101</v>
          </cell>
          <cell r="H72">
            <v>13586005.869999999</v>
          </cell>
        </row>
        <row r="73">
          <cell r="B73">
            <v>12498</v>
          </cell>
          <cell r="H73">
            <v>-11987472.73</v>
          </cell>
        </row>
        <row r="74">
          <cell r="B74">
            <v>1242</v>
          </cell>
          <cell r="H74">
            <v>-11987472.73</v>
          </cell>
        </row>
        <row r="75">
          <cell r="B75">
            <v>125</v>
          </cell>
          <cell r="H75">
            <v>14530168.939999999</v>
          </cell>
        </row>
        <row r="76">
          <cell r="B76">
            <v>1251</v>
          </cell>
          <cell r="H76">
            <v>14530168.939999999</v>
          </cell>
        </row>
        <row r="77">
          <cell r="B77">
            <v>12511</v>
          </cell>
          <cell r="H77">
            <v>24551214.710000001</v>
          </cell>
        </row>
        <row r="78">
          <cell r="B78">
            <v>12512</v>
          </cell>
          <cell r="H78">
            <v>-10021045.77</v>
          </cell>
        </row>
        <row r="79">
          <cell r="B79">
            <v>2</v>
          </cell>
          <cell r="H79">
            <v>-87534472.650000006</v>
          </cell>
        </row>
        <row r="80">
          <cell r="B80">
            <v>21</v>
          </cell>
          <cell r="H80">
            <v>-33119612.289999999</v>
          </cell>
        </row>
        <row r="81">
          <cell r="B81">
            <v>211</v>
          </cell>
          <cell r="H81">
            <v>-33119612.289999999</v>
          </cell>
        </row>
        <row r="82">
          <cell r="B82">
            <v>2114</v>
          </cell>
          <cell r="H82">
            <v>-925752.15</v>
          </cell>
        </row>
        <row r="83">
          <cell r="B83">
            <v>60444400000000</v>
          </cell>
          <cell r="H83">
            <v>-30000</v>
          </cell>
        </row>
        <row r="84">
          <cell r="B84">
            <v>57143000000000</v>
          </cell>
          <cell r="H84">
            <v>0</v>
          </cell>
        </row>
        <row r="85">
          <cell r="B85">
            <v>34028300000000</v>
          </cell>
          <cell r="H85">
            <v>0</v>
          </cell>
        </row>
        <row r="86">
          <cell r="B86" t="str">
            <v>69034668/0001-56</v>
          </cell>
          <cell r="H86">
            <v>-430624.55</v>
          </cell>
        </row>
        <row r="87">
          <cell r="B87" t="str">
            <v>07604035/0001-89</v>
          </cell>
          <cell r="H87">
            <v>0</v>
          </cell>
        </row>
        <row r="88">
          <cell r="B88" t="str">
            <v>71208516/0001-74</v>
          </cell>
          <cell r="H88">
            <v>-1169.99</v>
          </cell>
        </row>
        <row r="89">
          <cell r="B89" t="str">
            <v>53113791/0001-22</v>
          </cell>
          <cell r="H89">
            <v>0</v>
          </cell>
        </row>
        <row r="90">
          <cell r="B90" t="str">
            <v>42288886/0001-60</v>
          </cell>
          <cell r="H90">
            <v>-25000</v>
          </cell>
        </row>
        <row r="91">
          <cell r="B91">
            <v>32578400000000</v>
          </cell>
          <cell r="H91">
            <v>0</v>
          </cell>
        </row>
        <row r="92">
          <cell r="B92" t="str">
            <v>08794730/0001-13</v>
          </cell>
          <cell r="H92">
            <v>0</v>
          </cell>
        </row>
        <row r="93">
          <cell r="B93" t="str">
            <v>09308557/0001-69</v>
          </cell>
          <cell r="H93">
            <v>-1790</v>
          </cell>
        </row>
        <row r="94">
          <cell r="B94" t="str">
            <v>33683111/0008-75</v>
          </cell>
          <cell r="H94">
            <v>0</v>
          </cell>
        </row>
        <row r="95">
          <cell r="B95" t="str">
            <v>05344234/0001-70</v>
          </cell>
          <cell r="H95">
            <v>0</v>
          </cell>
        </row>
        <row r="96">
          <cell r="B96">
            <v>33754500000000</v>
          </cell>
          <cell r="H96">
            <v>-150455.1</v>
          </cell>
        </row>
        <row r="97">
          <cell r="B97">
            <v>3017430000000</v>
          </cell>
          <cell r="H97">
            <v>0</v>
          </cell>
        </row>
        <row r="98">
          <cell r="B98" t="str">
            <v>005705050001-91</v>
          </cell>
          <cell r="H98">
            <v>0</v>
          </cell>
        </row>
        <row r="99">
          <cell r="B99">
            <v>10348300000000</v>
          </cell>
          <cell r="H99">
            <v>0</v>
          </cell>
        </row>
        <row r="100">
          <cell r="B100">
            <v>23458500000000</v>
          </cell>
          <cell r="H100">
            <v>0</v>
          </cell>
        </row>
        <row r="101">
          <cell r="B101">
            <v>14031100000000</v>
          </cell>
          <cell r="H101">
            <v>0</v>
          </cell>
        </row>
        <row r="102">
          <cell r="B102">
            <v>1082330000000</v>
          </cell>
          <cell r="H102">
            <v>0</v>
          </cell>
        </row>
        <row r="103">
          <cell r="B103">
            <v>2081860000000</v>
          </cell>
          <cell r="H103">
            <v>0</v>
          </cell>
        </row>
        <row r="104">
          <cell r="B104">
            <v>7718940000000</v>
          </cell>
          <cell r="H104">
            <v>0</v>
          </cell>
        </row>
        <row r="105">
          <cell r="B105">
            <v>9079570000000</v>
          </cell>
          <cell r="H105">
            <v>0</v>
          </cell>
        </row>
        <row r="106">
          <cell r="B106">
            <v>19088600000000</v>
          </cell>
          <cell r="H106">
            <v>-90000</v>
          </cell>
        </row>
        <row r="107">
          <cell r="B107">
            <v>34036200000000</v>
          </cell>
          <cell r="H107">
            <v>-120000</v>
          </cell>
        </row>
        <row r="108">
          <cell r="B108">
            <v>36813600000000</v>
          </cell>
          <cell r="H108">
            <v>-19321.509999999998</v>
          </cell>
        </row>
        <row r="109">
          <cell r="B109">
            <v>34977900000000</v>
          </cell>
          <cell r="H109">
            <v>0</v>
          </cell>
        </row>
        <row r="110">
          <cell r="B110">
            <v>33198300000000</v>
          </cell>
          <cell r="H110">
            <v>0</v>
          </cell>
        </row>
        <row r="111">
          <cell r="B111">
            <v>28712100000000</v>
          </cell>
          <cell r="H111">
            <v>-10103.1</v>
          </cell>
        </row>
        <row r="112">
          <cell r="B112">
            <v>12499500000000</v>
          </cell>
          <cell r="H112">
            <v>0</v>
          </cell>
        </row>
        <row r="113">
          <cell r="B113">
            <v>7843950000000</v>
          </cell>
          <cell r="H113">
            <v>0</v>
          </cell>
        </row>
        <row r="114">
          <cell r="B114">
            <v>38056400000000</v>
          </cell>
          <cell r="H114">
            <v>0</v>
          </cell>
        </row>
        <row r="115">
          <cell r="B115" t="str">
            <v>01707536/000104</v>
          </cell>
          <cell r="H115">
            <v>0</v>
          </cell>
        </row>
        <row r="116">
          <cell r="B116">
            <v>26915400000000</v>
          </cell>
          <cell r="H116">
            <v>0</v>
          </cell>
        </row>
        <row r="117">
          <cell r="B117">
            <v>32681700000000</v>
          </cell>
          <cell r="H117">
            <v>0</v>
          </cell>
        </row>
        <row r="118">
          <cell r="B118">
            <v>27553300000000</v>
          </cell>
          <cell r="H118">
            <v>0</v>
          </cell>
        </row>
        <row r="119">
          <cell r="B119">
            <v>5630090000000</v>
          </cell>
          <cell r="H119">
            <v>0</v>
          </cell>
        </row>
        <row r="120">
          <cell r="B120">
            <v>2114998</v>
          </cell>
          <cell r="H120">
            <v>0</v>
          </cell>
        </row>
        <row r="121">
          <cell r="B121">
            <v>8210270000000</v>
          </cell>
          <cell r="H121">
            <v>0</v>
          </cell>
        </row>
        <row r="122">
          <cell r="B122">
            <v>37381900000000</v>
          </cell>
          <cell r="H122">
            <v>-4070.62</v>
          </cell>
        </row>
        <row r="123">
          <cell r="B123">
            <v>12782100000000</v>
          </cell>
          <cell r="H123">
            <v>0</v>
          </cell>
        </row>
        <row r="124">
          <cell r="B124">
            <v>24185200000000</v>
          </cell>
          <cell r="H124">
            <v>0</v>
          </cell>
        </row>
        <row r="125">
          <cell r="B125">
            <v>69112500000000</v>
          </cell>
          <cell r="H125">
            <v>0</v>
          </cell>
        </row>
        <row r="126">
          <cell r="B126">
            <v>43738400000000</v>
          </cell>
          <cell r="H126">
            <v>0</v>
          </cell>
        </row>
        <row r="127">
          <cell r="B127">
            <v>16647700000000</v>
          </cell>
          <cell r="H127">
            <v>0</v>
          </cell>
        </row>
        <row r="128">
          <cell r="B128">
            <v>5342580000000</v>
          </cell>
          <cell r="H128">
            <v>0</v>
          </cell>
        </row>
        <row r="129">
          <cell r="B129">
            <v>4842770000000</v>
          </cell>
          <cell r="H129">
            <v>0</v>
          </cell>
        </row>
        <row r="130">
          <cell r="B130">
            <v>8808150000000</v>
          </cell>
          <cell r="H130">
            <v>0</v>
          </cell>
        </row>
        <row r="131">
          <cell r="B131">
            <v>26391300000000</v>
          </cell>
          <cell r="H131">
            <v>-2172</v>
          </cell>
        </row>
        <row r="132">
          <cell r="B132">
            <v>28000129</v>
          </cell>
          <cell r="H132">
            <v>-1333.12</v>
          </cell>
        </row>
        <row r="133">
          <cell r="B133">
            <v>61825700000000</v>
          </cell>
          <cell r="H133">
            <v>-1242.29</v>
          </cell>
        </row>
        <row r="134">
          <cell r="B134">
            <v>26344400000000</v>
          </cell>
          <cell r="H134">
            <v>0</v>
          </cell>
        </row>
        <row r="135">
          <cell r="B135">
            <v>17178200000000</v>
          </cell>
          <cell r="H135">
            <v>0</v>
          </cell>
        </row>
        <row r="136">
          <cell r="B136">
            <v>13789800000000</v>
          </cell>
          <cell r="H136">
            <v>0</v>
          </cell>
        </row>
        <row r="137">
          <cell r="B137">
            <v>48859400000000</v>
          </cell>
          <cell r="H137">
            <v>0</v>
          </cell>
        </row>
        <row r="138">
          <cell r="B138">
            <v>46947500000000</v>
          </cell>
          <cell r="H138">
            <v>0</v>
          </cell>
        </row>
        <row r="139">
          <cell r="B139">
            <v>42422300000000</v>
          </cell>
          <cell r="H139">
            <v>-38469.870000000003</v>
          </cell>
        </row>
        <row r="140">
          <cell r="B140">
            <v>5965850000000</v>
          </cell>
          <cell r="H140">
            <v>0</v>
          </cell>
        </row>
        <row r="141">
          <cell r="B141">
            <v>48707800000000</v>
          </cell>
          <cell r="H141">
            <v>0</v>
          </cell>
        </row>
        <row r="142">
          <cell r="B142">
            <v>7708130000000</v>
          </cell>
          <cell r="H142">
            <v>0</v>
          </cell>
        </row>
        <row r="143">
          <cell r="B143">
            <v>5681340000000</v>
          </cell>
          <cell r="H143">
            <v>0</v>
          </cell>
        </row>
        <row r="144">
          <cell r="B144" t="str">
            <v>50974018/0001-62</v>
          </cell>
          <cell r="H144">
            <v>0</v>
          </cell>
        </row>
        <row r="145">
          <cell r="B145" t="str">
            <v>15595641/0001-03</v>
          </cell>
          <cell r="H145">
            <v>0</v>
          </cell>
        </row>
        <row r="146">
          <cell r="B146">
            <v>12719600000000</v>
          </cell>
          <cell r="H146">
            <v>0</v>
          </cell>
        </row>
        <row r="147">
          <cell r="B147">
            <v>57929000000000</v>
          </cell>
          <cell r="H147">
            <v>0</v>
          </cell>
        </row>
        <row r="148">
          <cell r="B148">
            <v>2116</v>
          </cell>
          <cell r="H148">
            <v>-2954.95</v>
          </cell>
        </row>
        <row r="149">
          <cell r="B149">
            <v>21162</v>
          </cell>
          <cell r="H149">
            <v>-413.06</v>
          </cell>
        </row>
        <row r="150">
          <cell r="B150">
            <v>21163</v>
          </cell>
          <cell r="H150">
            <v>-2541.89</v>
          </cell>
        </row>
        <row r="151">
          <cell r="B151">
            <v>2117</v>
          </cell>
          <cell r="H151">
            <v>-2671979.61</v>
          </cell>
        </row>
        <row r="152">
          <cell r="B152">
            <v>561</v>
          </cell>
          <cell r="H152">
            <v>-2598139.1800000002</v>
          </cell>
        </row>
        <row r="153">
          <cell r="B153" t="str">
            <v>INSS</v>
          </cell>
          <cell r="H153">
            <v>-13682.54</v>
          </cell>
        </row>
        <row r="154">
          <cell r="B154">
            <v>6147</v>
          </cell>
          <cell r="H154">
            <v>-3792.44</v>
          </cell>
        </row>
        <row r="155">
          <cell r="B155">
            <v>6190</v>
          </cell>
          <cell r="H155">
            <v>-56365.45</v>
          </cell>
        </row>
        <row r="156">
          <cell r="B156">
            <v>2118</v>
          </cell>
          <cell r="H156">
            <v>-26011836.199999999</v>
          </cell>
        </row>
        <row r="157">
          <cell r="B157">
            <v>21181</v>
          </cell>
          <cell r="H157">
            <v>-4512877.7</v>
          </cell>
        </row>
        <row r="158">
          <cell r="B158">
            <v>21182</v>
          </cell>
          <cell r="H158">
            <v>-4085214.64</v>
          </cell>
        </row>
        <row r="159">
          <cell r="B159">
            <v>21183</v>
          </cell>
          <cell r="H159">
            <v>-10249460.560000001</v>
          </cell>
        </row>
        <row r="160">
          <cell r="B160">
            <v>21184</v>
          </cell>
          <cell r="H160">
            <v>-2025811.49</v>
          </cell>
        </row>
        <row r="161">
          <cell r="B161">
            <v>21185</v>
          </cell>
          <cell r="H161">
            <v>-597297.97</v>
          </cell>
        </row>
        <row r="162">
          <cell r="B162">
            <v>21186</v>
          </cell>
          <cell r="H162">
            <v>-160</v>
          </cell>
        </row>
        <row r="163">
          <cell r="B163">
            <v>21187</v>
          </cell>
          <cell r="H163">
            <v>0</v>
          </cell>
        </row>
        <row r="164">
          <cell r="B164">
            <v>21188</v>
          </cell>
          <cell r="H164">
            <v>0</v>
          </cell>
        </row>
        <row r="165">
          <cell r="B165">
            <v>21189</v>
          </cell>
          <cell r="H165">
            <v>-460046.13</v>
          </cell>
        </row>
        <row r="166">
          <cell r="B166">
            <v>211810</v>
          </cell>
          <cell r="H166">
            <v>-912560.17</v>
          </cell>
        </row>
        <row r="167">
          <cell r="B167">
            <v>211811</v>
          </cell>
          <cell r="H167">
            <v>-50147.12</v>
          </cell>
        </row>
        <row r="168">
          <cell r="B168">
            <v>211812</v>
          </cell>
          <cell r="H168">
            <v>-2298533.89</v>
          </cell>
        </row>
        <row r="169">
          <cell r="B169">
            <v>211813</v>
          </cell>
          <cell r="H169">
            <v>-819726.53</v>
          </cell>
        </row>
        <row r="170">
          <cell r="B170">
            <v>211816</v>
          </cell>
          <cell r="H170">
            <v>0</v>
          </cell>
        </row>
        <row r="171">
          <cell r="B171">
            <v>21114</v>
          </cell>
          <cell r="H171">
            <v>-67194.98</v>
          </cell>
        </row>
        <row r="172">
          <cell r="B172">
            <v>211145</v>
          </cell>
          <cell r="H172">
            <v>-32702.46</v>
          </cell>
        </row>
        <row r="173">
          <cell r="B173">
            <v>211148</v>
          </cell>
          <cell r="H173">
            <v>-34492.519999999997</v>
          </cell>
        </row>
        <row r="174">
          <cell r="B174">
            <v>21115</v>
          </cell>
          <cell r="H174">
            <v>-455035.35</v>
          </cell>
        </row>
        <row r="175">
          <cell r="B175">
            <v>211151</v>
          </cell>
          <cell r="H175">
            <v>-455035.35</v>
          </cell>
        </row>
        <row r="176">
          <cell r="B176">
            <v>21116</v>
          </cell>
          <cell r="H176">
            <v>-2984859.05</v>
          </cell>
        </row>
        <row r="177">
          <cell r="B177">
            <v>211161</v>
          </cell>
          <cell r="H177">
            <v>-3710135.39</v>
          </cell>
        </row>
        <row r="178">
          <cell r="B178">
            <v>211162</v>
          </cell>
          <cell r="H178">
            <v>725276.34</v>
          </cell>
        </row>
        <row r="179">
          <cell r="B179">
            <v>22</v>
          </cell>
          <cell r="H179">
            <v>-23932342.780000001</v>
          </cell>
        </row>
        <row r="180">
          <cell r="B180">
            <v>221</v>
          </cell>
          <cell r="H180">
            <v>-23932342.780000001</v>
          </cell>
        </row>
        <row r="181">
          <cell r="B181">
            <v>2215</v>
          </cell>
          <cell r="H181">
            <v>-10664920.15</v>
          </cell>
        </row>
        <row r="182">
          <cell r="B182">
            <v>22151</v>
          </cell>
          <cell r="H182">
            <v>-2997438.27</v>
          </cell>
        </row>
        <row r="183">
          <cell r="B183">
            <v>22153</v>
          </cell>
          <cell r="H183">
            <v>-7667481.8799999999</v>
          </cell>
        </row>
        <row r="184">
          <cell r="B184">
            <v>2218</v>
          </cell>
          <cell r="H184">
            <v>-13267422.630000001</v>
          </cell>
        </row>
        <row r="185">
          <cell r="B185">
            <v>22181</v>
          </cell>
          <cell r="H185">
            <v>-14606545.59</v>
          </cell>
        </row>
        <row r="186">
          <cell r="B186">
            <v>22182</v>
          </cell>
          <cell r="H186">
            <v>1339122.96</v>
          </cell>
        </row>
        <row r="187">
          <cell r="B187" t="str">
            <v>PL</v>
          </cell>
          <cell r="H187">
            <v>-30482517.579999998</v>
          </cell>
        </row>
        <row r="188">
          <cell r="B188">
            <v>241</v>
          </cell>
          <cell r="H188">
            <v>-34443159.609999999</v>
          </cell>
        </row>
        <row r="189">
          <cell r="B189">
            <v>2411</v>
          </cell>
          <cell r="H189">
            <v>-34443159.609999999</v>
          </cell>
        </row>
        <row r="190">
          <cell r="B190">
            <v>24111</v>
          </cell>
          <cell r="H190">
            <v>-34443159.609999999</v>
          </cell>
        </row>
        <row r="191">
          <cell r="B191">
            <v>243</v>
          </cell>
          <cell r="H191">
            <v>65.319999999999993</v>
          </cell>
        </row>
        <row r="192">
          <cell r="B192">
            <v>2431</v>
          </cell>
          <cell r="H192">
            <v>65.319999999999993</v>
          </cell>
        </row>
        <row r="193">
          <cell r="B193">
            <v>24311</v>
          </cell>
          <cell r="H193">
            <v>65.319999999999993</v>
          </cell>
        </row>
        <row r="194">
          <cell r="B194">
            <v>246</v>
          </cell>
          <cell r="H194">
            <v>4778900.2300000004</v>
          </cell>
        </row>
        <row r="195">
          <cell r="B195">
            <v>2462</v>
          </cell>
          <cell r="H195">
            <v>2833698.9</v>
          </cell>
        </row>
        <row r="196">
          <cell r="B196">
            <v>24622</v>
          </cell>
          <cell r="H196">
            <v>2833698.9</v>
          </cell>
        </row>
        <row r="197">
          <cell r="B197">
            <v>24699</v>
          </cell>
          <cell r="H197">
            <v>1945201.33</v>
          </cell>
        </row>
        <row r="198">
          <cell r="B198">
            <v>246991</v>
          </cell>
          <cell r="H198">
            <v>1945201.33</v>
          </cell>
        </row>
        <row r="199">
          <cell r="B199">
            <v>247</v>
          </cell>
          <cell r="H199">
            <v>-818323.52</v>
          </cell>
        </row>
        <row r="200">
          <cell r="B200">
            <v>2471</v>
          </cell>
          <cell r="H200">
            <v>-818323.52</v>
          </cell>
        </row>
        <row r="201">
          <cell r="B201">
            <v>24711</v>
          </cell>
          <cell r="H201">
            <v>-818323.52</v>
          </cell>
        </row>
        <row r="202">
          <cell r="B202">
            <v>3</v>
          </cell>
          <cell r="H202">
            <v>-99742675.319999993</v>
          </cell>
        </row>
        <row r="203">
          <cell r="B203">
            <v>31</v>
          </cell>
          <cell r="H203">
            <v>-98814463.620000005</v>
          </cell>
        </row>
        <row r="204">
          <cell r="B204">
            <v>311</v>
          </cell>
          <cell r="H204">
            <v>-98814463.620000005</v>
          </cell>
        </row>
        <row r="205">
          <cell r="B205">
            <v>3111</v>
          </cell>
          <cell r="H205">
            <v>-98814463.620000005</v>
          </cell>
        </row>
        <row r="206">
          <cell r="B206">
            <v>31111</v>
          </cell>
          <cell r="H206">
            <v>-98814463.620000005</v>
          </cell>
        </row>
        <row r="207">
          <cell r="B207">
            <v>33</v>
          </cell>
          <cell r="H207">
            <v>-928211.7</v>
          </cell>
        </row>
        <row r="208">
          <cell r="B208">
            <v>331</v>
          </cell>
          <cell r="H208">
            <v>-455169.69</v>
          </cell>
        </row>
        <row r="209">
          <cell r="B209">
            <v>3311</v>
          </cell>
          <cell r="H209">
            <v>-455169.69</v>
          </cell>
        </row>
        <row r="210">
          <cell r="B210">
            <v>33115</v>
          </cell>
          <cell r="H210">
            <v>-224216.08</v>
          </cell>
        </row>
        <row r="211">
          <cell r="B211">
            <v>33116</v>
          </cell>
          <cell r="H211">
            <v>-230953.61</v>
          </cell>
        </row>
        <row r="212">
          <cell r="B212">
            <v>336</v>
          </cell>
          <cell r="H212">
            <v>-473042.01</v>
          </cell>
        </row>
        <row r="213">
          <cell r="B213">
            <v>3361</v>
          </cell>
          <cell r="H213">
            <v>-473042.01</v>
          </cell>
        </row>
        <row r="214">
          <cell r="B214">
            <v>33611</v>
          </cell>
          <cell r="H214">
            <v>-473042.01</v>
          </cell>
        </row>
        <row r="215">
          <cell r="B215">
            <v>4</v>
          </cell>
          <cell r="H215">
            <v>101687876.65000001</v>
          </cell>
        </row>
        <row r="216">
          <cell r="B216">
            <v>41</v>
          </cell>
          <cell r="H216">
            <v>64364454.479999997</v>
          </cell>
        </row>
        <row r="217">
          <cell r="B217">
            <v>411</v>
          </cell>
          <cell r="H217">
            <v>56582522.909999996</v>
          </cell>
        </row>
        <row r="218">
          <cell r="B218">
            <v>4111</v>
          </cell>
          <cell r="H218">
            <v>38542375.5</v>
          </cell>
        </row>
        <row r="219">
          <cell r="B219">
            <v>41111</v>
          </cell>
          <cell r="H219">
            <v>30803786.960000001</v>
          </cell>
        </row>
        <row r="220">
          <cell r="B220">
            <v>41117</v>
          </cell>
          <cell r="H220">
            <v>4199199.08</v>
          </cell>
        </row>
        <row r="221">
          <cell r="B221">
            <v>41118</v>
          </cell>
          <cell r="H221">
            <v>462716.88</v>
          </cell>
        </row>
        <row r="222">
          <cell r="B222">
            <v>41119</v>
          </cell>
          <cell r="H222">
            <v>2867125.13</v>
          </cell>
        </row>
        <row r="223">
          <cell r="B223">
            <v>411111</v>
          </cell>
          <cell r="H223">
            <v>115269.95</v>
          </cell>
        </row>
        <row r="224">
          <cell r="B224">
            <v>411113</v>
          </cell>
          <cell r="H224">
            <v>17919.93</v>
          </cell>
        </row>
        <row r="225">
          <cell r="B225">
            <v>411114</v>
          </cell>
          <cell r="H225">
            <v>76357.570000000007</v>
          </cell>
        </row>
        <row r="226">
          <cell r="B226">
            <v>4112</v>
          </cell>
          <cell r="H226">
            <v>11986432.859999999</v>
          </cell>
        </row>
        <row r="227">
          <cell r="B227">
            <v>41121</v>
          </cell>
          <cell r="H227">
            <v>7124334.7599999998</v>
          </cell>
        </row>
        <row r="228">
          <cell r="B228">
            <v>41122</v>
          </cell>
          <cell r="H228">
            <v>2555063.98</v>
          </cell>
        </row>
        <row r="229">
          <cell r="B229">
            <v>41124</v>
          </cell>
          <cell r="H229">
            <v>643237.31000000006</v>
          </cell>
        </row>
        <row r="230">
          <cell r="B230">
            <v>41125</v>
          </cell>
          <cell r="H230">
            <v>1080767.06</v>
          </cell>
        </row>
        <row r="231">
          <cell r="B231">
            <v>41126</v>
          </cell>
          <cell r="H231">
            <v>353008.52</v>
          </cell>
        </row>
        <row r="232">
          <cell r="B232">
            <v>41127</v>
          </cell>
          <cell r="H232">
            <v>230021.23</v>
          </cell>
        </row>
        <row r="233">
          <cell r="B233">
            <v>4113</v>
          </cell>
          <cell r="H233">
            <v>6053714.5499999998</v>
          </cell>
        </row>
        <row r="234">
          <cell r="B234">
            <v>41131</v>
          </cell>
          <cell r="H234">
            <v>2229471.79</v>
          </cell>
        </row>
        <row r="235">
          <cell r="B235">
            <v>41132</v>
          </cell>
          <cell r="H235">
            <v>2114050.9700000002</v>
          </cell>
        </row>
        <row r="236">
          <cell r="B236">
            <v>41135</v>
          </cell>
          <cell r="H236">
            <v>446412.68</v>
          </cell>
        </row>
        <row r="237">
          <cell r="B237">
            <v>41136</v>
          </cell>
          <cell r="H237">
            <v>1225331.01</v>
          </cell>
        </row>
        <row r="238">
          <cell r="B238">
            <v>411310</v>
          </cell>
          <cell r="H238">
            <v>15459.05</v>
          </cell>
        </row>
        <row r="239">
          <cell r="B239">
            <v>411311</v>
          </cell>
          <cell r="H239">
            <v>22989.05</v>
          </cell>
        </row>
        <row r="240">
          <cell r="B240">
            <v>413</v>
          </cell>
          <cell r="H240">
            <v>4148426.12</v>
          </cell>
        </row>
        <row r="241">
          <cell r="B241">
            <v>4131</v>
          </cell>
          <cell r="H241">
            <v>4148426.12</v>
          </cell>
        </row>
        <row r="242">
          <cell r="B242">
            <v>41311</v>
          </cell>
          <cell r="H242">
            <v>342519.68</v>
          </cell>
        </row>
        <row r="243">
          <cell r="B243">
            <v>41312</v>
          </cell>
          <cell r="H243">
            <v>572171.02</v>
          </cell>
        </row>
        <row r="244">
          <cell r="B244">
            <v>41315</v>
          </cell>
          <cell r="H244">
            <v>398982.63</v>
          </cell>
        </row>
        <row r="245">
          <cell r="B245">
            <v>413114</v>
          </cell>
          <cell r="H245">
            <v>2505054.96</v>
          </cell>
        </row>
        <row r="246">
          <cell r="B246">
            <v>413117</v>
          </cell>
          <cell r="H246">
            <v>320728.46000000002</v>
          </cell>
        </row>
        <row r="247">
          <cell r="B247">
            <v>4131997</v>
          </cell>
          <cell r="H247">
            <v>8969.3700000000008</v>
          </cell>
        </row>
        <row r="248">
          <cell r="B248">
            <v>414</v>
          </cell>
          <cell r="H248">
            <v>219180.29</v>
          </cell>
        </row>
        <row r="249">
          <cell r="B249">
            <v>4141</v>
          </cell>
          <cell r="H249">
            <v>219180.29</v>
          </cell>
        </row>
        <row r="250">
          <cell r="B250">
            <v>41412</v>
          </cell>
          <cell r="H250">
            <v>206030.89</v>
          </cell>
        </row>
        <row r="251">
          <cell r="B251">
            <v>41418</v>
          </cell>
          <cell r="H251">
            <v>13149.4</v>
          </cell>
        </row>
        <row r="252">
          <cell r="B252">
            <v>416</v>
          </cell>
          <cell r="H252">
            <v>3414325.16</v>
          </cell>
        </row>
        <row r="253">
          <cell r="B253">
            <v>4161</v>
          </cell>
          <cell r="H253">
            <v>1584204.36</v>
          </cell>
        </row>
        <row r="254">
          <cell r="B254">
            <v>41614</v>
          </cell>
          <cell r="H254">
            <v>449861.19</v>
          </cell>
        </row>
        <row r="255">
          <cell r="B255">
            <v>41616</v>
          </cell>
          <cell r="H255">
            <v>14439.55</v>
          </cell>
        </row>
        <row r="256">
          <cell r="B256">
            <v>416112</v>
          </cell>
          <cell r="H256">
            <v>2473.59</v>
          </cell>
        </row>
        <row r="257">
          <cell r="B257">
            <v>416114</v>
          </cell>
          <cell r="H257">
            <v>324295.88</v>
          </cell>
        </row>
        <row r="258">
          <cell r="B258">
            <v>416115</v>
          </cell>
          <cell r="H258">
            <v>213588.26</v>
          </cell>
        </row>
        <row r="259">
          <cell r="B259">
            <v>416116</v>
          </cell>
          <cell r="H259">
            <v>579545.89</v>
          </cell>
        </row>
        <row r="260">
          <cell r="B260">
            <v>4162</v>
          </cell>
          <cell r="H260">
            <v>1830120.8</v>
          </cell>
        </row>
        <row r="261">
          <cell r="B261">
            <v>41621</v>
          </cell>
          <cell r="H261">
            <v>480700.83</v>
          </cell>
        </row>
        <row r="262">
          <cell r="B262">
            <v>41622</v>
          </cell>
          <cell r="H262">
            <v>0</v>
          </cell>
        </row>
        <row r="263">
          <cell r="B263">
            <v>41624</v>
          </cell>
          <cell r="H263">
            <v>222395.35</v>
          </cell>
        </row>
        <row r="264">
          <cell r="B264">
            <v>41626</v>
          </cell>
          <cell r="H264">
            <v>164018.57</v>
          </cell>
        </row>
        <row r="265">
          <cell r="B265">
            <v>41627</v>
          </cell>
          <cell r="H265">
            <v>867844.94</v>
          </cell>
        </row>
        <row r="266">
          <cell r="B266">
            <v>416210</v>
          </cell>
          <cell r="H266">
            <v>95161.11</v>
          </cell>
        </row>
        <row r="267">
          <cell r="B267">
            <v>42</v>
          </cell>
          <cell r="H267">
            <v>37323422.170000002</v>
          </cell>
        </row>
        <row r="268">
          <cell r="B268">
            <v>421</v>
          </cell>
          <cell r="H268">
            <v>26075075.16</v>
          </cell>
        </row>
        <row r="269">
          <cell r="B269">
            <v>4211</v>
          </cell>
          <cell r="H269">
            <v>17999862.039999999</v>
          </cell>
        </row>
        <row r="270">
          <cell r="B270">
            <v>42111</v>
          </cell>
          <cell r="H270">
            <v>14327032.689999999</v>
          </cell>
        </row>
        <row r="271">
          <cell r="B271">
            <v>42117</v>
          </cell>
          <cell r="H271">
            <v>2195892.56</v>
          </cell>
        </row>
        <row r="272">
          <cell r="B272">
            <v>42118</v>
          </cell>
          <cell r="H272">
            <v>145236.25</v>
          </cell>
        </row>
        <row r="273">
          <cell r="B273">
            <v>42119</v>
          </cell>
          <cell r="H273">
            <v>1283778.01</v>
          </cell>
        </row>
        <row r="274">
          <cell r="B274">
            <v>421114</v>
          </cell>
          <cell r="H274">
            <v>47922.53</v>
          </cell>
        </row>
        <row r="275">
          <cell r="B275">
            <v>4212</v>
          </cell>
          <cell r="H275">
            <v>5232740.72</v>
          </cell>
        </row>
        <row r="276">
          <cell r="B276">
            <v>42121</v>
          </cell>
          <cell r="H276">
            <v>3172493.05</v>
          </cell>
        </row>
        <row r="277">
          <cell r="B277">
            <v>42122</v>
          </cell>
          <cell r="H277">
            <v>1131524.6000000001</v>
          </cell>
        </row>
        <row r="278">
          <cell r="B278">
            <v>42124</v>
          </cell>
          <cell r="H278">
            <v>282600.63</v>
          </cell>
        </row>
        <row r="279">
          <cell r="B279">
            <v>42125</v>
          </cell>
          <cell r="H279">
            <v>413232.41</v>
          </cell>
        </row>
        <row r="280">
          <cell r="B280">
            <v>42126</v>
          </cell>
          <cell r="H280">
            <v>132480.6</v>
          </cell>
        </row>
        <row r="281">
          <cell r="B281">
            <v>42127</v>
          </cell>
          <cell r="H281">
            <v>100409.43</v>
          </cell>
        </row>
        <row r="282">
          <cell r="B282">
            <v>4213</v>
          </cell>
          <cell r="H282">
            <v>2842472.4</v>
          </cell>
        </row>
        <row r="283">
          <cell r="B283">
            <v>42131</v>
          </cell>
          <cell r="H283">
            <v>910876.48</v>
          </cell>
        </row>
        <row r="284">
          <cell r="B284">
            <v>42132</v>
          </cell>
          <cell r="H284">
            <v>974747.93</v>
          </cell>
        </row>
        <row r="285">
          <cell r="B285">
            <v>42133</v>
          </cell>
          <cell r="H285">
            <v>21556.81</v>
          </cell>
        </row>
        <row r="286">
          <cell r="B286">
            <v>42134</v>
          </cell>
          <cell r="H286">
            <v>149195.26999999999</v>
          </cell>
        </row>
        <row r="287">
          <cell r="B287">
            <v>42135</v>
          </cell>
          <cell r="H287">
            <v>145165.6</v>
          </cell>
        </row>
        <row r="288">
          <cell r="B288">
            <v>42136</v>
          </cell>
          <cell r="H288">
            <v>563225.35</v>
          </cell>
        </row>
        <row r="289">
          <cell r="B289">
            <v>421310</v>
          </cell>
          <cell r="H289">
            <v>4978.47</v>
          </cell>
        </row>
        <row r="290">
          <cell r="B290">
            <v>421311</v>
          </cell>
          <cell r="H290">
            <v>72726.490000000005</v>
          </cell>
        </row>
        <row r="291">
          <cell r="B291">
            <v>422</v>
          </cell>
          <cell r="H291">
            <v>58386.43</v>
          </cell>
        </row>
        <row r="292">
          <cell r="B292">
            <v>4221</v>
          </cell>
          <cell r="H292">
            <v>58386.43</v>
          </cell>
        </row>
        <row r="293">
          <cell r="B293">
            <v>42211</v>
          </cell>
          <cell r="H293">
            <v>58386.43</v>
          </cell>
        </row>
        <row r="294">
          <cell r="B294">
            <v>423</v>
          </cell>
          <cell r="H294">
            <v>4718937.47</v>
          </cell>
        </row>
        <row r="295">
          <cell r="B295">
            <v>4231</v>
          </cell>
          <cell r="H295">
            <v>4718937.47</v>
          </cell>
        </row>
        <row r="296">
          <cell r="B296">
            <v>42311</v>
          </cell>
          <cell r="H296">
            <v>359449.46</v>
          </cell>
        </row>
        <row r="297">
          <cell r="B297">
            <v>42312</v>
          </cell>
          <cell r="H297">
            <v>884012.92</v>
          </cell>
        </row>
        <row r="298">
          <cell r="B298">
            <v>42313</v>
          </cell>
          <cell r="H298">
            <v>433402.12</v>
          </cell>
        </row>
        <row r="299">
          <cell r="B299">
            <v>42315</v>
          </cell>
          <cell r="H299">
            <v>183297.51</v>
          </cell>
        </row>
        <row r="300">
          <cell r="B300">
            <v>42316</v>
          </cell>
          <cell r="H300">
            <v>3049.42</v>
          </cell>
        </row>
        <row r="301">
          <cell r="B301">
            <v>42317</v>
          </cell>
          <cell r="H301">
            <v>349426.26</v>
          </cell>
        </row>
        <row r="302">
          <cell r="B302">
            <v>42318</v>
          </cell>
          <cell r="H302">
            <v>164272.75</v>
          </cell>
        </row>
        <row r="303">
          <cell r="B303">
            <v>423113</v>
          </cell>
          <cell r="H303">
            <v>112242.49</v>
          </cell>
        </row>
        <row r="304">
          <cell r="B304">
            <v>423114</v>
          </cell>
          <cell r="H304">
            <v>1928511.92</v>
          </cell>
        </row>
        <row r="305">
          <cell r="B305">
            <v>423115</v>
          </cell>
          <cell r="H305">
            <v>14400</v>
          </cell>
        </row>
        <row r="306">
          <cell r="B306">
            <v>423117</v>
          </cell>
          <cell r="H306">
            <v>263325.89</v>
          </cell>
        </row>
        <row r="307">
          <cell r="B307">
            <v>423119</v>
          </cell>
          <cell r="H307">
            <v>23546.73</v>
          </cell>
        </row>
        <row r="308">
          <cell r="B308">
            <v>424</v>
          </cell>
          <cell r="H308">
            <v>118909.04</v>
          </cell>
        </row>
        <row r="309">
          <cell r="B309">
            <v>4241</v>
          </cell>
          <cell r="H309">
            <v>118909.04</v>
          </cell>
        </row>
        <row r="310">
          <cell r="B310">
            <v>42412</v>
          </cell>
          <cell r="H310">
            <v>85261.19</v>
          </cell>
        </row>
        <row r="311">
          <cell r="B311">
            <v>42415</v>
          </cell>
          <cell r="H311">
            <v>2958.61</v>
          </cell>
        </row>
        <row r="312">
          <cell r="B312">
            <v>42416</v>
          </cell>
          <cell r="H312">
            <v>18206.8</v>
          </cell>
        </row>
        <row r="313">
          <cell r="B313">
            <v>424112</v>
          </cell>
          <cell r="H313">
            <v>12482.44</v>
          </cell>
        </row>
        <row r="314">
          <cell r="B314">
            <v>426</v>
          </cell>
          <cell r="H314">
            <v>5481886.5700000003</v>
          </cell>
        </row>
        <row r="315">
          <cell r="B315">
            <v>4261</v>
          </cell>
          <cell r="H315">
            <v>4008942.19</v>
          </cell>
        </row>
        <row r="316">
          <cell r="B316">
            <v>42613</v>
          </cell>
          <cell r="H316">
            <v>19658.79</v>
          </cell>
        </row>
        <row r="317">
          <cell r="B317">
            <v>42614</v>
          </cell>
          <cell r="H317">
            <v>186164.8</v>
          </cell>
        </row>
        <row r="318">
          <cell r="B318">
            <v>42616</v>
          </cell>
          <cell r="H318">
            <v>5975.6</v>
          </cell>
        </row>
        <row r="319">
          <cell r="B319">
            <v>42617</v>
          </cell>
          <cell r="H319">
            <v>744.82</v>
          </cell>
        </row>
        <row r="320">
          <cell r="B320">
            <v>426111</v>
          </cell>
          <cell r="H320">
            <v>1663815.9</v>
          </cell>
        </row>
        <row r="321">
          <cell r="B321">
            <v>426112</v>
          </cell>
          <cell r="H321">
            <v>26766.18</v>
          </cell>
        </row>
        <row r="322">
          <cell r="B322">
            <v>426114</v>
          </cell>
          <cell r="H322">
            <v>135561.03</v>
          </cell>
        </row>
        <row r="323">
          <cell r="B323">
            <v>426116</v>
          </cell>
          <cell r="H323">
            <v>239831.88</v>
          </cell>
        </row>
        <row r="324">
          <cell r="B324">
            <v>426117</v>
          </cell>
          <cell r="H324">
            <v>87753.18</v>
          </cell>
        </row>
        <row r="325">
          <cell r="B325">
            <v>426118</v>
          </cell>
          <cell r="H325">
            <v>1642670.01</v>
          </cell>
        </row>
        <row r="326">
          <cell r="B326">
            <v>4262</v>
          </cell>
          <cell r="H326">
            <v>1472944.38</v>
          </cell>
        </row>
        <row r="327">
          <cell r="B327">
            <v>42621</v>
          </cell>
          <cell r="H327">
            <v>189875.91</v>
          </cell>
        </row>
        <row r="328">
          <cell r="B328">
            <v>42622</v>
          </cell>
          <cell r="H328">
            <v>277932.7</v>
          </cell>
        </row>
        <row r="329">
          <cell r="B329">
            <v>42624</v>
          </cell>
          <cell r="H329">
            <v>126397.65</v>
          </cell>
        </row>
        <row r="330">
          <cell r="B330">
            <v>42625</v>
          </cell>
          <cell r="H330">
            <v>9759.91</v>
          </cell>
        </row>
        <row r="331">
          <cell r="B331">
            <v>42626</v>
          </cell>
          <cell r="H331">
            <v>95897.08</v>
          </cell>
        </row>
        <row r="332">
          <cell r="B332">
            <v>42627</v>
          </cell>
          <cell r="H332">
            <v>529947.36</v>
          </cell>
        </row>
        <row r="333">
          <cell r="B333">
            <v>42629</v>
          </cell>
          <cell r="H333">
            <v>3594.9</v>
          </cell>
        </row>
        <row r="334">
          <cell r="B334">
            <v>426210</v>
          </cell>
          <cell r="H334">
            <v>43710.01</v>
          </cell>
        </row>
        <row r="335">
          <cell r="B335">
            <v>426214</v>
          </cell>
          <cell r="H335">
            <v>82770.720000000001</v>
          </cell>
        </row>
        <row r="336">
          <cell r="B336">
            <v>426215</v>
          </cell>
          <cell r="H336">
            <v>113058.14</v>
          </cell>
        </row>
        <row r="337">
          <cell r="B337">
            <v>427</v>
          </cell>
          <cell r="H337">
            <v>870227.5</v>
          </cell>
        </row>
        <row r="338">
          <cell r="B338">
            <v>42701</v>
          </cell>
          <cell r="H338">
            <v>870227.5</v>
          </cell>
        </row>
        <row r="339">
          <cell r="B339">
            <v>42711</v>
          </cell>
          <cell r="H339">
            <v>10.84</v>
          </cell>
        </row>
        <row r="340">
          <cell r="B340">
            <v>42720</v>
          </cell>
          <cell r="H340">
            <v>400073.16</v>
          </cell>
        </row>
        <row r="341">
          <cell r="B341">
            <v>427122</v>
          </cell>
          <cell r="H341">
            <v>470143.5</v>
          </cell>
        </row>
        <row r="342">
          <cell r="B342">
            <v>5</v>
          </cell>
          <cell r="H342">
            <v>-1945201.33</v>
          </cell>
        </row>
        <row r="343">
          <cell r="B343">
            <v>51</v>
          </cell>
          <cell r="H343">
            <v>-1945201.33</v>
          </cell>
        </row>
        <row r="344">
          <cell r="B344">
            <v>511</v>
          </cell>
          <cell r="H344">
            <v>1816798.02</v>
          </cell>
        </row>
        <row r="345">
          <cell r="B345">
            <v>5111</v>
          </cell>
          <cell r="H345">
            <v>799991.65</v>
          </cell>
        </row>
        <row r="346">
          <cell r="B346">
            <v>5116</v>
          </cell>
          <cell r="H346">
            <v>1016806.37</v>
          </cell>
        </row>
        <row r="347">
          <cell r="B347">
            <v>512</v>
          </cell>
          <cell r="H347">
            <v>-3761999.35</v>
          </cell>
        </row>
        <row r="348">
          <cell r="B348">
            <v>5122</v>
          </cell>
          <cell r="H348">
            <v>-44677.79</v>
          </cell>
        </row>
        <row r="349">
          <cell r="B349">
            <v>5123</v>
          </cell>
          <cell r="H349">
            <v>-1381461.08</v>
          </cell>
        </row>
        <row r="350">
          <cell r="B350">
            <v>5124</v>
          </cell>
          <cell r="H350">
            <v>-171067.17</v>
          </cell>
        </row>
        <row r="351">
          <cell r="B351">
            <v>5125</v>
          </cell>
          <cell r="H351">
            <v>-896189.93</v>
          </cell>
        </row>
        <row r="352">
          <cell r="B352">
            <v>5127</v>
          </cell>
          <cell r="H352">
            <v>-1268603.3799999999</v>
          </cell>
        </row>
      </sheetData>
      <sheetData sheetId="21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89875111.180000007</v>
          </cell>
        </row>
        <row r="9">
          <cell r="B9">
            <v>11</v>
          </cell>
          <cell r="H9">
            <v>59761151.979999997</v>
          </cell>
        </row>
        <row r="10">
          <cell r="B10">
            <v>111</v>
          </cell>
          <cell r="H10">
            <v>51042853.079999998</v>
          </cell>
        </row>
        <row r="11">
          <cell r="B11">
            <v>1112</v>
          </cell>
          <cell r="H11">
            <v>51042853.079999998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12451381.27</v>
          </cell>
        </row>
        <row r="14">
          <cell r="B14" t="str">
            <v>BBR</v>
          </cell>
          <cell r="H14">
            <v>38591471.810000002</v>
          </cell>
        </row>
        <row r="15">
          <cell r="B15">
            <v>112</v>
          </cell>
          <cell r="H15">
            <v>4732532.63</v>
          </cell>
        </row>
        <row r="16">
          <cell r="B16">
            <v>1123</v>
          </cell>
          <cell r="H16">
            <v>1055808.3600000001</v>
          </cell>
        </row>
        <row r="17">
          <cell r="B17">
            <v>112310</v>
          </cell>
          <cell r="H17">
            <v>561.28</v>
          </cell>
        </row>
        <row r="18">
          <cell r="B18">
            <v>112316</v>
          </cell>
          <cell r="H18">
            <v>178629.72</v>
          </cell>
        </row>
        <row r="19">
          <cell r="B19">
            <v>112317</v>
          </cell>
          <cell r="H19">
            <v>66625.72</v>
          </cell>
        </row>
        <row r="20">
          <cell r="B20">
            <v>112334</v>
          </cell>
          <cell r="H20">
            <v>785.65</v>
          </cell>
        </row>
        <row r="21">
          <cell r="B21">
            <v>112340</v>
          </cell>
          <cell r="H21">
            <v>604443.94999999995</v>
          </cell>
        </row>
        <row r="22">
          <cell r="B22">
            <v>112341</v>
          </cell>
          <cell r="H22">
            <v>204762.04</v>
          </cell>
        </row>
        <row r="23">
          <cell r="B23">
            <v>1124</v>
          </cell>
          <cell r="H23">
            <v>3676592.29</v>
          </cell>
        </row>
        <row r="24">
          <cell r="B24">
            <v>11241</v>
          </cell>
          <cell r="H24">
            <v>205595.85</v>
          </cell>
        </row>
        <row r="25">
          <cell r="B25">
            <v>11242</v>
          </cell>
          <cell r="H25">
            <v>3470996.44</v>
          </cell>
        </row>
        <row r="26">
          <cell r="B26">
            <v>112424</v>
          </cell>
          <cell r="H26">
            <v>0</v>
          </cell>
        </row>
        <row r="27">
          <cell r="B27">
            <v>112425</v>
          </cell>
          <cell r="H27">
            <v>0</v>
          </cell>
        </row>
        <row r="28">
          <cell r="B28">
            <v>11299</v>
          </cell>
          <cell r="H28">
            <v>131.97999999999999</v>
          </cell>
        </row>
        <row r="29">
          <cell r="B29">
            <v>112995</v>
          </cell>
          <cell r="H29">
            <v>0</v>
          </cell>
        </row>
        <row r="30">
          <cell r="B30">
            <v>11299999</v>
          </cell>
          <cell r="H30">
            <v>131.97999999999999</v>
          </cell>
        </row>
        <row r="31">
          <cell r="B31">
            <v>113</v>
          </cell>
          <cell r="H31">
            <v>3985766.27</v>
          </cell>
        </row>
        <row r="32">
          <cell r="B32">
            <v>1131</v>
          </cell>
          <cell r="H32">
            <v>3985766.27</v>
          </cell>
        </row>
        <row r="33">
          <cell r="B33">
            <v>11311</v>
          </cell>
          <cell r="H33">
            <v>86926.77</v>
          </cell>
        </row>
        <row r="34">
          <cell r="B34">
            <v>11312</v>
          </cell>
          <cell r="H34">
            <v>757379.24</v>
          </cell>
        </row>
        <row r="35">
          <cell r="B35">
            <v>11313</v>
          </cell>
          <cell r="H35">
            <v>63788.69</v>
          </cell>
        </row>
        <row r="36">
          <cell r="B36">
            <v>11315</v>
          </cell>
          <cell r="H36">
            <v>252819.52</v>
          </cell>
        </row>
        <row r="37">
          <cell r="B37">
            <v>11316</v>
          </cell>
          <cell r="H37">
            <v>2824852.05</v>
          </cell>
        </row>
        <row r="38">
          <cell r="B38">
            <v>12</v>
          </cell>
          <cell r="H38">
            <v>30113959.199999999</v>
          </cell>
        </row>
        <row r="39">
          <cell r="B39">
            <v>121</v>
          </cell>
          <cell r="H39">
            <v>8750211.4399999995</v>
          </cell>
        </row>
        <row r="40">
          <cell r="B40">
            <v>1213</v>
          </cell>
          <cell r="H40">
            <v>2861316.82</v>
          </cell>
        </row>
        <row r="41">
          <cell r="B41">
            <v>12131</v>
          </cell>
          <cell r="H41">
            <v>26330.11</v>
          </cell>
        </row>
        <row r="42">
          <cell r="B42">
            <v>12134</v>
          </cell>
          <cell r="H42">
            <v>4640.58</v>
          </cell>
        </row>
        <row r="43">
          <cell r="B43">
            <v>12135</v>
          </cell>
          <cell r="H43">
            <v>171879.07</v>
          </cell>
        </row>
        <row r="44">
          <cell r="B44">
            <v>12139</v>
          </cell>
          <cell r="H44">
            <v>1837.62</v>
          </cell>
        </row>
        <row r="45">
          <cell r="B45">
            <v>121311</v>
          </cell>
          <cell r="H45">
            <v>4338.7700000000004</v>
          </cell>
        </row>
        <row r="46">
          <cell r="B46">
            <v>121312</v>
          </cell>
          <cell r="H46">
            <v>298.61</v>
          </cell>
        </row>
        <row r="47">
          <cell r="B47">
            <v>121313</v>
          </cell>
          <cell r="H47">
            <v>219836.86</v>
          </cell>
        </row>
        <row r="48">
          <cell r="B48">
            <v>121315</v>
          </cell>
          <cell r="H48">
            <v>150376.21</v>
          </cell>
        </row>
        <row r="49">
          <cell r="B49">
            <v>121316</v>
          </cell>
          <cell r="H49">
            <v>1050233.78</v>
          </cell>
        </row>
        <row r="50">
          <cell r="B50">
            <v>121317</v>
          </cell>
          <cell r="H50">
            <v>2180.85</v>
          </cell>
        </row>
        <row r="51">
          <cell r="B51">
            <v>121318</v>
          </cell>
          <cell r="H51">
            <v>838300.23</v>
          </cell>
        </row>
        <row r="52">
          <cell r="B52">
            <v>121319</v>
          </cell>
          <cell r="H52">
            <v>391064.13</v>
          </cell>
        </row>
        <row r="53">
          <cell r="B53">
            <v>1217</v>
          </cell>
          <cell r="H53">
            <v>128.56</v>
          </cell>
        </row>
        <row r="54">
          <cell r="B54">
            <v>12171</v>
          </cell>
          <cell r="H54">
            <v>128.56</v>
          </cell>
        </row>
        <row r="55">
          <cell r="B55">
            <v>1218</v>
          </cell>
          <cell r="H55">
            <v>5888766.0599999996</v>
          </cell>
        </row>
        <row r="56">
          <cell r="B56">
            <v>12181</v>
          </cell>
          <cell r="H56">
            <v>4439209.58</v>
          </cell>
        </row>
        <row r="57">
          <cell r="B57">
            <v>12182</v>
          </cell>
          <cell r="H57">
            <v>1267455.3700000001</v>
          </cell>
        </row>
        <row r="58">
          <cell r="B58">
            <v>12183</v>
          </cell>
          <cell r="H58">
            <v>182101.11</v>
          </cell>
        </row>
        <row r="59">
          <cell r="B59">
            <v>123</v>
          </cell>
          <cell r="H59">
            <v>5839364.9500000002</v>
          </cell>
        </row>
        <row r="60">
          <cell r="B60">
            <v>1231</v>
          </cell>
          <cell r="H60">
            <v>19998174.690000001</v>
          </cell>
        </row>
        <row r="61">
          <cell r="B61">
            <v>12313</v>
          </cell>
          <cell r="H61">
            <v>2565049.0299999998</v>
          </cell>
        </row>
        <row r="62">
          <cell r="B62">
            <v>12314</v>
          </cell>
          <cell r="H62">
            <v>823453.65</v>
          </cell>
        </row>
        <row r="63">
          <cell r="B63">
            <v>12315</v>
          </cell>
          <cell r="H63">
            <v>13810259</v>
          </cell>
        </row>
        <row r="64">
          <cell r="B64">
            <v>12317</v>
          </cell>
          <cell r="H64">
            <v>2799413.01</v>
          </cell>
        </row>
        <row r="65">
          <cell r="B65">
            <v>12398</v>
          </cell>
          <cell r="H65">
            <v>-14158809.74</v>
          </cell>
        </row>
        <row r="66">
          <cell r="B66">
            <v>123982</v>
          </cell>
          <cell r="H66">
            <v>-1088921.02</v>
          </cell>
        </row>
        <row r="67">
          <cell r="B67">
            <v>123983</v>
          </cell>
          <cell r="H67">
            <v>-765640.62</v>
          </cell>
        </row>
        <row r="68">
          <cell r="B68">
            <v>123984</v>
          </cell>
          <cell r="H68">
            <v>-10213938.029999999</v>
          </cell>
        </row>
        <row r="69">
          <cell r="B69">
            <v>123986</v>
          </cell>
          <cell r="H69">
            <v>-2090310.07</v>
          </cell>
        </row>
        <row r="70">
          <cell r="B70">
            <v>124</v>
          </cell>
          <cell r="H70">
            <v>1560423.19</v>
          </cell>
        </row>
        <row r="71">
          <cell r="B71">
            <v>1241</v>
          </cell>
          <cell r="H71">
            <v>13462647.15</v>
          </cell>
        </row>
        <row r="72">
          <cell r="B72">
            <v>124101</v>
          </cell>
          <cell r="H72">
            <v>13462647.15</v>
          </cell>
        </row>
        <row r="73">
          <cell r="B73">
            <v>12498</v>
          </cell>
          <cell r="H73">
            <v>-11902223.960000001</v>
          </cell>
        </row>
        <row r="74">
          <cell r="B74">
            <v>1242</v>
          </cell>
          <cell r="H74">
            <v>-11902223.960000001</v>
          </cell>
        </row>
        <row r="75">
          <cell r="B75">
            <v>125</v>
          </cell>
          <cell r="H75">
            <v>13963959.619999999</v>
          </cell>
        </row>
        <row r="76">
          <cell r="B76">
            <v>1251</v>
          </cell>
          <cell r="H76">
            <v>13963959.619999999</v>
          </cell>
        </row>
        <row r="77">
          <cell r="B77">
            <v>12511</v>
          </cell>
          <cell r="H77">
            <v>23738731.34</v>
          </cell>
        </row>
        <row r="78">
          <cell r="B78">
            <v>12512</v>
          </cell>
          <cell r="H78">
            <v>-9774771.7200000007</v>
          </cell>
        </row>
        <row r="79">
          <cell r="B79">
            <v>2</v>
          </cell>
          <cell r="H79">
            <v>-89875111.180000007</v>
          </cell>
        </row>
        <row r="80">
          <cell r="B80">
            <v>21</v>
          </cell>
          <cell r="H80">
            <v>-34737620.5</v>
          </cell>
        </row>
        <row r="81">
          <cell r="B81">
            <v>211</v>
          </cell>
          <cell r="H81">
            <v>-34737620.5</v>
          </cell>
        </row>
        <row r="82">
          <cell r="B82">
            <v>2114</v>
          </cell>
          <cell r="H82">
            <v>-1018561.32</v>
          </cell>
        </row>
        <row r="83">
          <cell r="B83">
            <v>60444400000000</v>
          </cell>
          <cell r="H83">
            <v>-30000</v>
          </cell>
        </row>
        <row r="84">
          <cell r="B84">
            <v>57143000000000</v>
          </cell>
          <cell r="H84">
            <v>0</v>
          </cell>
        </row>
        <row r="85">
          <cell r="B85">
            <v>34028300000000</v>
          </cell>
          <cell r="H85">
            <v>0</v>
          </cell>
        </row>
        <row r="86">
          <cell r="B86" t="str">
            <v>33641663/0001-44</v>
          </cell>
          <cell r="H86">
            <v>0</v>
          </cell>
        </row>
        <row r="87">
          <cell r="B87" t="str">
            <v>69034668/0001-56</v>
          </cell>
          <cell r="H87">
            <v>-415462.51</v>
          </cell>
        </row>
        <row r="88">
          <cell r="B88" t="str">
            <v>67393181/0001-34</v>
          </cell>
          <cell r="H88">
            <v>0</v>
          </cell>
        </row>
        <row r="89">
          <cell r="B89" t="str">
            <v>07604035/0001-89</v>
          </cell>
          <cell r="H89">
            <v>0</v>
          </cell>
        </row>
        <row r="90">
          <cell r="B90" t="str">
            <v>71208516/0001-74</v>
          </cell>
          <cell r="H90">
            <v>-1170.81</v>
          </cell>
        </row>
        <row r="91">
          <cell r="B91" t="str">
            <v>27128875/0001-20</v>
          </cell>
          <cell r="H91">
            <v>0</v>
          </cell>
        </row>
        <row r="92">
          <cell r="B92">
            <v>30033800000000</v>
          </cell>
          <cell r="H92">
            <v>0</v>
          </cell>
        </row>
        <row r="93">
          <cell r="B93" t="str">
            <v>53113791/0001-22</v>
          </cell>
          <cell r="H93">
            <v>0</v>
          </cell>
        </row>
        <row r="94">
          <cell r="B94">
            <v>32578400000000</v>
          </cell>
          <cell r="H94">
            <v>0</v>
          </cell>
        </row>
        <row r="95">
          <cell r="B95" t="str">
            <v>08794730/0001-13</v>
          </cell>
          <cell r="H95">
            <v>0</v>
          </cell>
        </row>
        <row r="96">
          <cell r="B96" t="str">
            <v>33683111/0008-75</v>
          </cell>
          <cell r="H96">
            <v>-1491.4</v>
          </cell>
        </row>
        <row r="97">
          <cell r="B97" t="str">
            <v>21340197/0001-88</v>
          </cell>
          <cell r="H97">
            <v>0</v>
          </cell>
        </row>
        <row r="98">
          <cell r="B98" t="str">
            <v>05344234/0001-70</v>
          </cell>
          <cell r="H98">
            <v>-12600.02</v>
          </cell>
        </row>
        <row r="99">
          <cell r="B99">
            <v>33754500000000</v>
          </cell>
          <cell r="H99">
            <v>-200606.8</v>
          </cell>
        </row>
        <row r="100">
          <cell r="B100">
            <v>3017430000000</v>
          </cell>
          <cell r="H100">
            <v>0</v>
          </cell>
        </row>
        <row r="101">
          <cell r="B101" t="str">
            <v>005705050001-91</v>
          </cell>
          <cell r="H101">
            <v>-49020</v>
          </cell>
        </row>
        <row r="102">
          <cell r="B102">
            <v>16727400000000</v>
          </cell>
          <cell r="H102">
            <v>0</v>
          </cell>
        </row>
        <row r="103">
          <cell r="B103">
            <v>5555380000000</v>
          </cell>
          <cell r="H103">
            <v>0</v>
          </cell>
        </row>
        <row r="104">
          <cell r="B104">
            <v>10348300000000</v>
          </cell>
          <cell r="H104">
            <v>-9759.91</v>
          </cell>
        </row>
        <row r="105">
          <cell r="B105">
            <v>23458500000000</v>
          </cell>
          <cell r="H105">
            <v>-12810.77</v>
          </cell>
        </row>
        <row r="106">
          <cell r="B106">
            <v>2593170000000</v>
          </cell>
          <cell r="H106">
            <v>0</v>
          </cell>
        </row>
        <row r="107">
          <cell r="B107">
            <v>14031100000000</v>
          </cell>
          <cell r="H107">
            <v>0</v>
          </cell>
        </row>
        <row r="108">
          <cell r="B108">
            <v>2081860000000</v>
          </cell>
          <cell r="H108">
            <v>0</v>
          </cell>
        </row>
        <row r="109">
          <cell r="B109">
            <v>82429600000000</v>
          </cell>
          <cell r="H109">
            <v>0</v>
          </cell>
        </row>
        <row r="110">
          <cell r="B110">
            <v>7718940000000</v>
          </cell>
          <cell r="H110">
            <v>0</v>
          </cell>
        </row>
        <row r="111">
          <cell r="B111">
            <v>9079570000000</v>
          </cell>
          <cell r="H111">
            <v>0</v>
          </cell>
        </row>
        <row r="112">
          <cell r="B112">
            <v>19088600000000</v>
          </cell>
          <cell r="H112">
            <v>-90000</v>
          </cell>
        </row>
        <row r="113">
          <cell r="B113">
            <v>34036200000000</v>
          </cell>
          <cell r="H113">
            <v>-152392.82</v>
          </cell>
        </row>
        <row r="114">
          <cell r="B114">
            <v>36813600000000</v>
          </cell>
          <cell r="H114">
            <v>-19321.509999999998</v>
          </cell>
        </row>
        <row r="115">
          <cell r="B115">
            <v>34977900000000</v>
          </cell>
          <cell r="H115">
            <v>-1659.81</v>
          </cell>
        </row>
        <row r="116">
          <cell r="B116">
            <v>33198300000000</v>
          </cell>
          <cell r="H116">
            <v>0</v>
          </cell>
        </row>
        <row r="117">
          <cell r="B117">
            <v>28712100000000</v>
          </cell>
          <cell r="H117">
            <v>0</v>
          </cell>
        </row>
        <row r="118">
          <cell r="B118">
            <v>12499500000000</v>
          </cell>
          <cell r="H118">
            <v>0</v>
          </cell>
        </row>
        <row r="119">
          <cell r="B119">
            <v>7843950000000</v>
          </cell>
          <cell r="H119">
            <v>0</v>
          </cell>
        </row>
        <row r="120">
          <cell r="B120">
            <v>38056400000000</v>
          </cell>
          <cell r="H120">
            <v>0</v>
          </cell>
        </row>
        <row r="121">
          <cell r="B121" t="str">
            <v>01707536/000104</v>
          </cell>
          <cell r="H121">
            <v>0</v>
          </cell>
        </row>
        <row r="122">
          <cell r="B122">
            <v>32681700000000</v>
          </cell>
          <cell r="H122">
            <v>-386</v>
          </cell>
        </row>
        <row r="123">
          <cell r="B123">
            <v>27553300000000</v>
          </cell>
          <cell r="H123">
            <v>0</v>
          </cell>
        </row>
        <row r="124">
          <cell r="B124">
            <v>5630090000000</v>
          </cell>
          <cell r="H124">
            <v>0</v>
          </cell>
        </row>
        <row r="125">
          <cell r="B125">
            <v>8210270000000</v>
          </cell>
          <cell r="H125">
            <v>0</v>
          </cell>
        </row>
        <row r="126">
          <cell r="B126">
            <v>37381900000000</v>
          </cell>
          <cell r="H126">
            <v>-4070.62</v>
          </cell>
        </row>
        <row r="127">
          <cell r="B127">
            <v>12782100000000</v>
          </cell>
          <cell r="H127">
            <v>0</v>
          </cell>
        </row>
        <row r="128">
          <cell r="B128">
            <v>24185200000000</v>
          </cell>
          <cell r="H128">
            <v>0</v>
          </cell>
        </row>
        <row r="129">
          <cell r="B129">
            <v>69112500000000</v>
          </cell>
          <cell r="H129">
            <v>0</v>
          </cell>
        </row>
        <row r="130">
          <cell r="B130">
            <v>43738400000000</v>
          </cell>
          <cell r="H130">
            <v>-2720</v>
          </cell>
        </row>
        <row r="131">
          <cell r="B131">
            <v>16647700000000</v>
          </cell>
          <cell r="H131">
            <v>0</v>
          </cell>
        </row>
        <row r="132">
          <cell r="B132">
            <v>5342580000000</v>
          </cell>
          <cell r="H132">
            <v>0</v>
          </cell>
        </row>
        <row r="133">
          <cell r="B133">
            <v>4842770000000</v>
          </cell>
          <cell r="H133">
            <v>0</v>
          </cell>
        </row>
        <row r="134">
          <cell r="B134">
            <v>8808150000000</v>
          </cell>
          <cell r="H134">
            <v>0</v>
          </cell>
        </row>
        <row r="135">
          <cell r="B135">
            <v>26391300000000</v>
          </cell>
          <cell r="H135">
            <v>-2172</v>
          </cell>
        </row>
        <row r="136">
          <cell r="B136">
            <v>28000129</v>
          </cell>
          <cell r="H136">
            <v>-1333.12</v>
          </cell>
        </row>
        <row r="137">
          <cell r="B137">
            <v>61825700000000</v>
          </cell>
          <cell r="H137">
            <v>-1202.22</v>
          </cell>
        </row>
        <row r="138">
          <cell r="B138">
            <v>26344400000000</v>
          </cell>
          <cell r="H138">
            <v>0</v>
          </cell>
        </row>
        <row r="139">
          <cell r="B139">
            <v>17178200000000</v>
          </cell>
          <cell r="H139">
            <v>0</v>
          </cell>
        </row>
        <row r="140">
          <cell r="B140">
            <v>48859400000000</v>
          </cell>
          <cell r="H140">
            <v>-1571</v>
          </cell>
        </row>
        <row r="141">
          <cell r="B141">
            <v>46947500000000</v>
          </cell>
          <cell r="H141">
            <v>-1560</v>
          </cell>
        </row>
        <row r="142">
          <cell r="B142">
            <v>42422300000000</v>
          </cell>
          <cell r="H142">
            <v>0</v>
          </cell>
        </row>
        <row r="143">
          <cell r="B143">
            <v>7708130000000</v>
          </cell>
          <cell r="H143">
            <v>0</v>
          </cell>
        </row>
        <row r="144">
          <cell r="B144">
            <v>5681340000000</v>
          </cell>
          <cell r="H144">
            <v>-7250</v>
          </cell>
        </row>
        <row r="145">
          <cell r="B145">
            <v>2116</v>
          </cell>
          <cell r="H145">
            <v>-1462.51</v>
          </cell>
        </row>
        <row r="146">
          <cell r="B146">
            <v>21162</v>
          </cell>
          <cell r="H146">
            <v>-204.44</v>
          </cell>
        </row>
        <row r="147">
          <cell r="B147">
            <v>21163</v>
          </cell>
          <cell r="H147">
            <v>-1258.07</v>
          </cell>
        </row>
        <row r="148">
          <cell r="B148">
            <v>2117</v>
          </cell>
          <cell r="H148">
            <v>-2737437.67</v>
          </cell>
        </row>
        <row r="149">
          <cell r="B149">
            <v>561</v>
          </cell>
          <cell r="H149">
            <v>-2615763.2000000002</v>
          </cell>
        </row>
        <row r="150">
          <cell r="B150" t="str">
            <v>INSS</v>
          </cell>
          <cell r="H150">
            <v>-15344.39</v>
          </cell>
        </row>
        <row r="151">
          <cell r="B151">
            <v>6147</v>
          </cell>
          <cell r="H151">
            <v>-2824.89</v>
          </cell>
        </row>
        <row r="152">
          <cell r="B152">
            <v>6190</v>
          </cell>
          <cell r="H152">
            <v>-103505.19</v>
          </cell>
        </row>
        <row r="153">
          <cell r="B153">
            <v>6175</v>
          </cell>
          <cell r="H153">
            <v>0</v>
          </cell>
        </row>
        <row r="154">
          <cell r="B154">
            <v>2118</v>
          </cell>
          <cell r="H154">
            <v>-27584294.600000001</v>
          </cell>
        </row>
        <row r="155">
          <cell r="B155">
            <v>21181</v>
          </cell>
          <cell r="H155">
            <v>-6749893.8499999996</v>
          </cell>
        </row>
        <row r="156">
          <cell r="B156">
            <v>21182</v>
          </cell>
          <cell r="H156">
            <v>-3503595.46</v>
          </cell>
        </row>
        <row r="157">
          <cell r="B157">
            <v>21183</v>
          </cell>
          <cell r="H157">
            <v>-10236286.92</v>
          </cell>
        </row>
        <row r="158">
          <cell r="B158">
            <v>21184</v>
          </cell>
          <cell r="H158">
            <v>-1987686.57</v>
          </cell>
        </row>
        <row r="159">
          <cell r="B159">
            <v>21185</v>
          </cell>
          <cell r="H159">
            <v>-746338.84</v>
          </cell>
        </row>
        <row r="160">
          <cell r="B160">
            <v>21186</v>
          </cell>
          <cell r="H160">
            <v>0</v>
          </cell>
        </row>
        <row r="161">
          <cell r="B161">
            <v>21187</v>
          </cell>
          <cell r="H161">
            <v>0</v>
          </cell>
        </row>
        <row r="162">
          <cell r="B162">
            <v>21188</v>
          </cell>
          <cell r="H162">
            <v>0</v>
          </cell>
        </row>
        <row r="163">
          <cell r="B163">
            <v>21189</v>
          </cell>
          <cell r="H163">
            <v>-463267.5</v>
          </cell>
        </row>
        <row r="164">
          <cell r="B164">
            <v>211810</v>
          </cell>
          <cell r="H164">
            <v>-782744.14</v>
          </cell>
        </row>
        <row r="165">
          <cell r="B165">
            <v>211811</v>
          </cell>
          <cell r="H165">
            <v>-2638.99</v>
          </cell>
        </row>
        <row r="166">
          <cell r="B166">
            <v>211812</v>
          </cell>
          <cell r="H166">
            <v>-2293794.0299999998</v>
          </cell>
        </row>
        <row r="167">
          <cell r="B167">
            <v>211813</v>
          </cell>
          <cell r="H167">
            <v>-818048.3</v>
          </cell>
        </row>
        <row r="168">
          <cell r="B168">
            <v>211816</v>
          </cell>
          <cell r="H168">
            <v>0</v>
          </cell>
        </row>
        <row r="169">
          <cell r="B169">
            <v>2119</v>
          </cell>
          <cell r="H169">
            <v>0</v>
          </cell>
        </row>
        <row r="170">
          <cell r="B170">
            <v>21193</v>
          </cell>
          <cell r="H170">
            <v>0</v>
          </cell>
        </row>
        <row r="171">
          <cell r="B171">
            <v>21114</v>
          </cell>
          <cell r="H171">
            <v>-98118.66</v>
          </cell>
        </row>
        <row r="172">
          <cell r="B172">
            <v>211145</v>
          </cell>
          <cell r="H172">
            <v>-29133.62</v>
          </cell>
        </row>
        <row r="173">
          <cell r="B173">
            <v>211148</v>
          </cell>
          <cell r="H173">
            <v>-68985.039999999994</v>
          </cell>
        </row>
        <row r="174">
          <cell r="B174">
            <v>21115</v>
          </cell>
          <cell r="H174">
            <v>-459507.94</v>
          </cell>
        </row>
        <row r="175">
          <cell r="B175">
            <v>211151</v>
          </cell>
          <cell r="H175">
            <v>-459507.94</v>
          </cell>
        </row>
        <row r="176">
          <cell r="B176">
            <v>21116</v>
          </cell>
          <cell r="H176">
            <v>-2838237.8</v>
          </cell>
        </row>
        <row r="177">
          <cell r="B177">
            <v>211161</v>
          </cell>
          <cell r="H177">
            <v>-3541931.64</v>
          </cell>
        </row>
        <row r="178">
          <cell r="B178">
            <v>211162</v>
          </cell>
          <cell r="H178">
            <v>703693.84</v>
          </cell>
        </row>
        <row r="179">
          <cell r="B179">
            <v>22</v>
          </cell>
          <cell r="H179">
            <v>-23509728.440000001</v>
          </cell>
        </row>
        <row r="180">
          <cell r="B180">
            <v>221</v>
          </cell>
          <cell r="H180">
            <v>-23509728.440000001</v>
          </cell>
        </row>
        <row r="181">
          <cell r="B181">
            <v>2215</v>
          </cell>
          <cell r="H181">
            <v>-10664920.15</v>
          </cell>
        </row>
        <row r="182">
          <cell r="B182">
            <v>22151</v>
          </cell>
          <cell r="H182">
            <v>-2997438.27</v>
          </cell>
        </row>
        <row r="183">
          <cell r="B183">
            <v>22153</v>
          </cell>
          <cell r="H183">
            <v>-7667481.8799999999</v>
          </cell>
        </row>
        <row r="184">
          <cell r="B184">
            <v>2218</v>
          </cell>
          <cell r="H184">
            <v>-12844808.289999999</v>
          </cell>
        </row>
        <row r="185">
          <cell r="B185">
            <v>22181</v>
          </cell>
          <cell r="H185">
            <v>-14167726.560000001</v>
          </cell>
        </row>
        <row r="186">
          <cell r="B186">
            <v>22182</v>
          </cell>
          <cell r="H186">
            <v>1322918.27</v>
          </cell>
        </row>
        <row r="187">
          <cell r="B187" t="str">
            <v>PL</v>
          </cell>
          <cell r="H187">
            <v>-31627762.239999998</v>
          </cell>
        </row>
        <row r="188">
          <cell r="B188">
            <v>241</v>
          </cell>
          <cell r="H188">
            <v>-34443159.609999999</v>
          </cell>
        </row>
        <row r="189">
          <cell r="B189">
            <v>2411</v>
          </cell>
          <cell r="H189">
            <v>-34443159.609999999</v>
          </cell>
        </row>
        <row r="190">
          <cell r="B190">
            <v>24111</v>
          </cell>
          <cell r="H190">
            <v>-34443159.609999999</v>
          </cell>
        </row>
        <row r="191">
          <cell r="B191">
            <v>243</v>
          </cell>
          <cell r="H191">
            <v>65.319999999999993</v>
          </cell>
        </row>
        <row r="192">
          <cell r="B192">
            <v>2431</v>
          </cell>
          <cell r="H192">
            <v>65.319999999999993</v>
          </cell>
        </row>
        <row r="193">
          <cell r="B193">
            <v>24311</v>
          </cell>
          <cell r="H193">
            <v>65.319999999999993</v>
          </cell>
        </row>
        <row r="194">
          <cell r="B194">
            <v>246</v>
          </cell>
          <cell r="H194">
            <v>3510296.85</v>
          </cell>
        </row>
        <row r="195">
          <cell r="B195">
            <v>2462</v>
          </cell>
          <cell r="H195">
            <v>2833698.9</v>
          </cell>
        </row>
        <row r="196">
          <cell r="B196">
            <v>24622</v>
          </cell>
          <cell r="H196">
            <v>2833698.9</v>
          </cell>
        </row>
        <row r="197">
          <cell r="B197">
            <v>24699</v>
          </cell>
          <cell r="H197">
            <v>676597.95</v>
          </cell>
        </row>
        <row r="198">
          <cell r="B198">
            <v>246991</v>
          </cell>
          <cell r="H198">
            <v>676597.95</v>
          </cell>
        </row>
        <row r="199">
          <cell r="B199">
            <v>247</v>
          </cell>
          <cell r="H199">
            <v>-694964.8</v>
          </cell>
        </row>
        <row r="200">
          <cell r="B200">
            <v>2471</v>
          </cell>
          <cell r="H200">
            <v>-694964.8</v>
          </cell>
        </row>
        <row r="201">
          <cell r="B201">
            <v>24711</v>
          </cell>
          <cell r="H201">
            <v>-694964.8</v>
          </cell>
        </row>
        <row r="202">
          <cell r="B202">
            <v>3</v>
          </cell>
          <cell r="H202">
            <v>-86783237.25</v>
          </cell>
        </row>
        <row r="203">
          <cell r="B203">
            <v>31</v>
          </cell>
          <cell r="H203">
            <v>-85918572.75</v>
          </cell>
        </row>
        <row r="204">
          <cell r="B204">
            <v>311</v>
          </cell>
          <cell r="H204">
            <v>-85918572.75</v>
          </cell>
        </row>
        <row r="205">
          <cell r="B205">
            <v>3111</v>
          </cell>
          <cell r="H205">
            <v>-85918572.75</v>
          </cell>
        </row>
        <row r="206">
          <cell r="B206">
            <v>31111</v>
          </cell>
          <cell r="H206">
            <v>-85918572.75</v>
          </cell>
        </row>
        <row r="207">
          <cell r="B207">
            <v>33</v>
          </cell>
          <cell r="H207">
            <v>-864664.5</v>
          </cell>
        </row>
        <row r="208">
          <cell r="B208">
            <v>331</v>
          </cell>
          <cell r="H208">
            <v>-391622.49</v>
          </cell>
        </row>
        <row r="209">
          <cell r="B209">
            <v>3311</v>
          </cell>
          <cell r="H209">
            <v>-391622.49</v>
          </cell>
        </row>
        <row r="210">
          <cell r="B210">
            <v>33115</v>
          </cell>
          <cell r="H210">
            <v>-199877.13</v>
          </cell>
        </row>
        <row r="211">
          <cell r="B211">
            <v>33116</v>
          </cell>
          <cell r="H211">
            <v>-191745.36</v>
          </cell>
        </row>
        <row r="212">
          <cell r="B212">
            <v>336</v>
          </cell>
          <cell r="H212">
            <v>-473042.01</v>
          </cell>
        </row>
        <row r="213">
          <cell r="B213">
            <v>3361</v>
          </cell>
          <cell r="H213">
            <v>-473042.01</v>
          </cell>
        </row>
        <row r="214">
          <cell r="B214">
            <v>33611</v>
          </cell>
          <cell r="H214">
            <v>-473042.01</v>
          </cell>
        </row>
        <row r="215">
          <cell r="B215">
            <v>4</v>
          </cell>
          <cell r="H215">
            <v>87459835.200000003</v>
          </cell>
        </row>
        <row r="216">
          <cell r="B216">
            <v>41</v>
          </cell>
          <cell r="H216">
            <v>55654753.829999998</v>
          </cell>
        </row>
        <row r="217">
          <cell r="B217">
            <v>411</v>
          </cell>
          <cell r="H217">
            <v>48734811.780000001</v>
          </cell>
        </row>
        <row r="218">
          <cell r="B218">
            <v>4111</v>
          </cell>
          <cell r="H218">
            <v>33295955.219999999</v>
          </cell>
        </row>
        <row r="219">
          <cell r="B219">
            <v>41111</v>
          </cell>
          <cell r="H219">
            <v>26548422.030000001</v>
          </cell>
        </row>
        <row r="220">
          <cell r="B220">
            <v>41117</v>
          </cell>
          <cell r="H220">
            <v>3738049.97</v>
          </cell>
        </row>
        <row r="221">
          <cell r="B221">
            <v>41118</v>
          </cell>
          <cell r="H221">
            <v>379423.72</v>
          </cell>
        </row>
        <row r="222">
          <cell r="B222">
            <v>41119</v>
          </cell>
          <cell r="H222">
            <v>2459463.5299999998</v>
          </cell>
        </row>
        <row r="223">
          <cell r="B223">
            <v>411111</v>
          </cell>
          <cell r="H223">
            <v>85929.88</v>
          </cell>
        </row>
        <row r="224">
          <cell r="B224">
            <v>411113</v>
          </cell>
          <cell r="H224">
            <v>17919.93</v>
          </cell>
        </row>
        <row r="225">
          <cell r="B225">
            <v>411114</v>
          </cell>
          <cell r="H225">
            <v>66746.16</v>
          </cell>
        </row>
        <row r="226">
          <cell r="B226">
            <v>4112</v>
          </cell>
          <cell r="H226">
            <v>10252260.24</v>
          </cell>
        </row>
        <row r="227">
          <cell r="B227">
            <v>41121</v>
          </cell>
          <cell r="H227">
            <v>6147495.2199999997</v>
          </cell>
        </row>
        <row r="228">
          <cell r="B228">
            <v>41122</v>
          </cell>
          <cell r="H228">
            <v>2204032.46</v>
          </cell>
        </row>
        <row r="229">
          <cell r="B229">
            <v>41124</v>
          </cell>
          <cell r="H229">
            <v>551772.26</v>
          </cell>
        </row>
        <row r="230">
          <cell r="B230">
            <v>41125</v>
          </cell>
          <cell r="H230">
            <v>872810.97</v>
          </cell>
        </row>
        <row r="231">
          <cell r="B231">
            <v>41126</v>
          </cell>
          <cell r="H231">
            <v>278840.06</v>
          </cell>
        </row>
        <row r="232">
          <cell r="B232">
            <v>41127</v>
          </cell>
          <cell r="H232">
            <v>197309.27</v>
          </cell>
        </row>
        <row r="233">
          <cell r="B233">
            <v>4113</v>
          </cell>
          <cell r="H233">
            <v>5186596.32</v>
          </cell>
        </row>
        <row r="234">
          <cell r="B234">
            <v>41131</v>
          </cell>
          <cell r="H234">
            <v>1908486.58</v>
          </cell>
        </row>
        <row r="235">
          <cell r="B235">
            <v>41132</v>
          </cell>
          <cell r="H235">
            <v>1815522.6</v>
          </cell>
        </row>
        <row r="236">
          <cell r="B236">
            <v>41133</v>
          </cell>
          <cell r="H236">
            <v>0</v>
          </cell>
        </row>
        <row r="237">
          <cell r="B237">
            <v>41135</v>
          </cell>
          <cell r="H237">
            <v>378948.97</v>
          </cell>
        </row>
        <row r="238">
          <cell r="B238">
            <v>41136</v>
          </cell>
          <cell r="H238">
            <v>1049076.3500000001</v>
          </cell>
        </row>
        <row r="239">
          <cell r="B239">
            <v>411310</v>
          </cell>
          <cell r="H239">
            <v>13487.55</v>
          </cell>
        </row>
        <row r="240">
          <cell r="B240">
            <v>411311</v>
          </cell>
          <cell r="H240">
            <v>21074.27</v>
          </cell>
        </row>
        <row r="241">
          <cell r="B241">
            <v>413</v>
          </cell>
          <cell r="H241">
            <v>3904928.44</v>
          </cell>
        </row>
        <row r="242">
          <cell r="B242">
            <v>4131</v>
          </cell>
          <cell r="H242">
            <v>3904928.44</v>
          </cell>
        </row>
        <row r="243">
          <cell r="B243">
            <v>41311</v>
          </cell>
          <cell r="H243">
            <v>342519.68</v>
          </cell>
        </row>
        <row r="244">
          <cell r="B244">
            <v>41312</v>
          </cell>
          <cell r="H244">
            <v>493302.62</v>
          </cell>
        </row>
        <row r="245">
          <cell r="B245">
            <v>41315</v>
          </cell>
          <cell r="H245">
            <v>398982.63</v>
          </cell>
        </row>
        <row r="246">
          <cell r="B246">
            <v>413114</v>
          </cell>
          <cell r="H246">
            <v>2385671.5299999998</v>
          </cell>
        </row>
        <row r="247">
          <cell r="B247">
            <v>413117</v>
          </cell>
          <cell r="H247">
            <v>275482.61</v>
          </cell>
        </row>
        <row r="248">
          <cell r="B248">
            <v>4131997</v>
          </cell>
          <cell r="H248">
            <v>8969.3700000000008</v>
          </cell>
        </row>
        <row r="249">
          <cell r="B249">
            <v>414</v>
          </cell>
          <cell r="H249">
            <v>189053.13</v>
          </cell>
        </row>
        <row r="250">
          <cell r="B250">
            <v>4141</v>
          </cell>
          <cell r="H250">
            <v>189053.13</v>
          </cell>
        </row>
        <row r="251">
          <cell r="B251">
            <v>41412</v>
          </cell>
          <cell r="H251">
            <v>175903.73</v>
          </cell>
        </row>
        <row r="252">
          <cell r="B252">
            <v>41418</v>
          </cell>
          <cell r="H252">
            <v>13149.4</v>
          </cell>
        </row>
        <row r="253">
          <cell r="B253">
            <v>416</v>
          </cell>
          <cell r="H253">
            <v>2825960.48</v>
          </cell>
        </row>
        <row r="254">
          <cell r="B254">
            <v>4161</v>
          </cell>
          <cell r="H254">
            <v>1369320.49</v>
          </cell>
        </row>
        <row r="255">
          <cell r="B255">
            <v>41614</v>
          </cell>
          <cell r="H255">
            <v>395905.42</v>
          </cell>
        </row>
        <row r="256">
          <cell r="B256">
            <v>41616</v>
          </cell>
          <cell r="H256">
            <v>12317.67</v>
          </cell>
        </row>
        <row r="257">
          <cell r="B257">
            <v>416112</v>
          </cell>
          <cell r="H257">
            <v>2120.2199999999998</v>
          </cell>
        </row>
        <row r="258">
          <cell r="B258">
            <v>416114</v>
          </cell>
          <cell r="H258">
            <v>279123.55</v>
          </cell>
        </row>
        <row r="259">
          <cell r="B259">
            <v>416115</v>
          </cell>
          <cell r="H259">
            <v>181781.54</v>
          </cell>
        </row>
        <row r="260">
          <cell r="B260">
            <v>416116</v>
          </cell>
          <cell r="H260">
            <v>498072.09</v>
          </cell>
        </row>
        <row r="261">
          <cell r="B261">
            <v>4162</v>
          </cell>
          <cell r="H261">
            <v>1456639.99</v>
          </cell>
        </row>
        <row r="262">
          <cell r="B262">
            <v>41621</v>
          </cell>
          <cell r="H262">
            <v>402662.83</v>
          </cell>
        </row>
        <row r="263">
          <cell r="B263">
            <v>41622</v>
          </cell>
          <cell r="H263">
            <v>0</v>
          </cell>
        </row>
        <row r="264">
          <cell r="B264">
            <v>41624</v>
          </cell>
          <cell r="H264">
            <v>176755.69</v>
          </cell>
        </row>
        <row r="265">
          <cell r="B265">
            <v>41626</v>
          </cell>
          <cell r="H265">
            <v>103950.45</v>
          </cell>
        </row>
        <row r="266">
          <cell r="B266">
            <v>41627</v>
          </cell>
          <cell r="H266">
            <v>684638.15</v>
          </cell>
        </row>
        <row r="267">
          <cell r="B267">
            <v>416210</v>
          </cell>
          <cell r="H267">
            <v>88632.87</v>
          </cell>
        </row>
        <row r="268">
          <cell r="B268">
            <v>42</v>
          </cell>
          <cell r="H268">
            <v>31805081.370000001</v>
          </cell>
        </row>
        <row r="269">
          <cell r="B269">
            <v>421</v>
          </cell>
          <cell r="H269">
            <v>22118449.710000001</v>
          </cell>
        </row>
        <row r="270">
          <cell r="B270">
            <v>4211</v>
          </cell>
          <cell r="H270">
            <v>15147961.470000001</v>
          </cell>
        </row>
        <row r="271">
          <cell r="B271">
            <v>42111</v>
          </cell>
          <cell r="H271">
            <v>12347342.119999999</v>
          </cell>
        </row>
        <row r="272">
          <cell r="B272">
            <v>42117</v>
          </cell>
          <cell r="H272">
            <v>1536442.15</v>
          </cell>
        </row>
        <row r="273">
          <cell r="B273">
            <v>42118</v>
          </cell>
          <cell r="H273">
            <v>125020.86</v>
          </cell>
        </row>
        <row r="274">
          <cell r="B274">
            <v>42119</v>
          </cell>
          <cell r="H274">
            <v>1096000.97</v>
          </cell>
        </row>
        <row r="275">
          <cell r="B275">
            <v>421114</v>
          </cell>
          <cell r="H275">
            <v>43155.37</v>
          </cell>
        </row>
        <row r="276">
          <cell r="B276">
            <v>4212</v>
          </cell>
          <cell r="H276">
            <v>4541857.1100000003</v>
          </cell>
        </row>
        <row r="277">
          <cell r="B277">
            <v>42121</v>
          </cell>
          <cell r="H277">
            <v>2760299.76</v>
          </cell>
        </row>
        <row r="278">
          <cell r="B278">
            <v>42122</v>
          </cell>
          <cell r="H278">
            <v>975122.33</v>
          </cell>
        </row>
        <row r="279">
          <cell r="B279">
            <v>42124</v>
          </cell>
          <cell r="H279">
            <v>241149.03</v>
          </cell>
        </row>
        <row r="280">
          <cell r="B280">
            <v>42125</v>
          </cell>
          <cell r="H280">
            <v>364566.08</v>
          </cell>
        </row>
        <row r="281">
          <cell r="B281">
            <v>42126</v>
          </cell>
          <cell r="H281">
            <v>115106.65</v>
          </cell>
        </row>
        <row r="282">
          <cell r="B282">
            <v>42127</v>
          </cell>
          <cell r="H282">
            <v>85613.26</v>
          </cell>
        </row>
        <row r="283">
          <cell r="B283">
            <v>4213</v>
          </cell>
          <cell r="H283">
            <v>2428631.13</v>
          </cell>
        </row>
        <row r="284">
          <cell r="B284">
            <v>42131</v>
          </cell>
          <cell r="H284">
            <v>776826.34</v>
          </cell>
        </row>
        <row r="285">
          <cell r="B285">
            <v>42132</v>
          </cell>
          <cell r="H285">
            <v>835325.14</v>
          </cell>
        </row>
        <row r="286">
          <cell r="B286">
            <v>42133</v>
          </cell>
          <cell r="H286">
            <v>20160.740000000002</v>
          </cell>
        </row>
        <row r="287">
          <cell r="B287">
            <v>42134</v>
          </cell>
          <cell r="H287">
            <v>131925.93</v>
          </cell>
        </row>
        <row r="288">
          <cell r="B288">
            <v>42135</v>
          </cell>
          <cell r="H288">
            <v>124242.61</v>
          </cell>
        </row>
        <row r="289">
          <cell r="B289">
            <v>42136</v>
          </cell>
          <cell r="H289">
            <v>479470.3</v>
          </cell>
        </row>
        <row r="290">
          <cell r="B290">
            <v>421310</v>
          </cell>
          <cell r="H290">
            <v>4281.47</v>
          </cell>
        </row>
        <row r="291">
          <cell r="B291">
            <v>421311</v>
          </cell>
          <cell r="H291">
            <v>56398.6</v>
          </cell>
        </row>
        <row r="292">
          <cell r="B292">
            <v>422</v>
          </cell>
          <cell r="H292">
            <v>47502.91</v>
          </cell>
        </row>
        <row r="293">
          <cell r="B293">
            <v>4221</v>
          </cell>
          <cell r="H293">
            <v>47502.91</v>
          </cell>
        </row>
        <row r="294">
          <cell r="B294">
            <v>42211</v>
          </cell>
          <cell r="H294">
            <v>47502.91</v>
          </cell>
        </row>
        <row r="295">
          <cell r="B295">
            <v>423</v>
          </cell>
          <cell r="H295">
            <v>4052505.37</v>
          </cell>
        </row>
        <row r="296">
          <cell r="B296">
            <v>4231</v>
          </cell>
          <cell r="H296">
            <v>4052505.37</v>
          </cell>
        </row>
        <row r="297">
          <cell r="B297">
            <v>42311</v>
          </cell>
          <cell r="H297">
            <v>355449.46</v>
          </cell>
        </row>
        <row r="298">
          <cell r="B298">
            <v>42312</v>
          </cell>
          <cell r="H298">
            <v>765583.13</v>
          </cell>
        </row>
        <row r="299">
          <cell r="B299">
            <v>42313</v>
          </cell>
          <cell r="H299">
            <v>415012.21</v>
          </cell>
        </row>
        <row r="300">
          <cell r="B300">
            <v>42315</v>
          </cell>
          <cell r="H300">
            <v>166169.23000000001</v>
          </cell>
        </row>
        <row r="301">
          <cell r="B301">
            <v>42316</v>
          </cell>
          <cell r="H301">
            <v>3049.42</v>
          </cell>
        </row>
        <row r="302">
          <cell r="B302">
            <v>42317</v>
          </cell>
          <cell r="H302">
            <v>257103.44</v>
          </cell>
        </row>
        <row r="303">
          <cell r="B303">
            <v>42318</v>
          </cell>
          <cell r="H303">
            <v>142779.24</v>
          </cell>
        </row>
        <row r="304">
          <cell r="B304">
            <v>423113</v>
          </cell>
          <cell r="H304">
            <v>89226.05</v>
          </cell>
        </row>
        <row r="305">
          <cell r="B305">
            <v>423114</v>
          </cell>
          <cell r="H305">
            <v>1598119.17</v>
          </cell>
        </row>
        <row r="306">
          <cell r="B306">
            <v>423115</v>
          </cell>
          <cell r="H306">
            <v>14400</v>
          </cell>
        </row>
        <row r="307">
          <cell r="B307">
            <v>423117</v>
          </cell>
          <cell r="H307">
            <v>226156.71</v>
          </cell>
        </row>
        <row r="308">
          <cell r="B308">
            <v>423119</v>
          </cell>
          <cell r="H308">
            <v>19457.310000000001</v>
          </cell>
        </row>
        <row r="309">
          <cell r="B309">
            <v>424</v>
          </cell>
          <cell r="H309">
            <v>103486.65</v>
          </cell>
        </row>
        <row r="310">
          <cell r="B310">
            <v>4241</v>
          </cell>
          <cell r="H310">
            <v>103486.65</v>
          </cell>
        </row>
        <row r="311">
          <cell r="B311">
            <v>42412</v>
          </cell>
          <cell r="H311">
            <v>72793.75</v>
          </cell>
        </row>
        <row r="312">
          <cell r="B312">
            <v>42415</v>
          </cell>
          <cell r="H312">
            <v>2545.5500000000002</v>
          </cell>
        </row>
        <row r="313">
          <cell r="B313">
            <v>42416</v>
          </cell>
          <cell r="H313">
            <v>15664.91</v>
          </cell>
        </row>
        <row r="314">
          <cell r="B314">
            <v>424112</v>
          </cell>
          <cell r="H314">
            <v>12482.44</v>
          </cell>
        </row>
        <row r="315">
          <cell r="B315">
            <v>426</v>
          </cell>
          <cell r="H315">
            <v>4680113.67</v>
          </cell>
        </row>
        <row r="316">
          <cell r="B316">
            <v>4261</v>
          </cell>
          <cell r="H316">
            <v>3430283.39</v>
          </cell>
        </row>
        <row r="317">
          <cell r="B317">
            <v>42613</v>
          </cell>
          <cell r="H317">
            <v>17998.98</v>
          </cell>
        </row>
        <row r="318">
          <cell r="B318">
            <v>42614</v>
          </cell>
          <cell r="H318">
            <v>163836.43</v>
          </cell>
        </row>
        <row r="319">
          <cell r="B319">
            <v>42616</v>
          </cell>
          <cell r="H319">
            <v>5097.49</v>
          </cell>
        </row>
        <row r="320">
          <cell r="B320">
            <v>42617</v>
          </cell>
          <cell r="H320">
            <v>685.58</v>
          </cell>
        </row>
        <row r="321">
          <cell r="B321">
            <v>426111</v>
          </cell>
          <cell r="H321">
            <v>1426175.79</v>
          </cell>
        </row>
        <row r="322">
          <cell r="B322">
            <v>426112</v>
          </cell>
          <cell r="H322">
            <v>22249.31</v>
          </cell>
        </row>
        <row r="323">
          <cell r="B323">
            <v>426114</v>
          </cell>
          <cell r="H323">
            <v>116867.49</v>
          </cell>
        </row>
        <row r="324">
          <cell r="B324">
            <v>426116</v>
          </cell>
          <cell r="H324">
            <v>206115.8</v>
          </cell>
        </row>
        <row r="325">
          <cell r="B325">
            <v>426117</v>
          </cell>
          <cell r="H325">
            <v>74860.56</v>
          </cell>
        </row>
        <row r="326">
          <cell r="B326">
            <v>426118</v>
          </cell>
          <cell r="H326">
            <v>1396395.96</v>
          </cell>
        </row>
        <row r="327">
          <cell r="B327">
            <v>4262</v>
          </cell>
          <cell r="H327">
            <v>1249830.28</v>
          </cell>
        </row>
        <row r="328">
          <cell r="B328">
            <v>42621</v>
          </cell>
          <cell r="H328">
            <v>159561.07</v>
          </cell>
        </row>
        <row r="329">
          <cell r="B329">
            <v>42622</v>
          </cell>
          <cell r="H329">
            <v>227880.5</v>
          </cell>
        </row>
        <row r="330">
          <cell r="B330">
            <v>42624</v>
          </cell>
          <cell r="H330">
            <v>104197.6</v>
          </cell>
        </row>
        <row r="331">
          <cell r="B331">
            <v>42625</v>
          </cell>
          <cell r="H331">
            <v>9759.91</v>
          </cell>
        </row>
        <row r="332">
          <cell r="B332">
            <v>42626</v>
          </cell>
          <cell r="H332">
            <v>70749.119999999995</v>
          </cell>
        </row>
        <row r="333">
          <cell r="B333">
            <v>42627</v>
          </cell>
          <cell r="H333">
            <v>463142.98</v>
          </cell>
        </row>
        <row r="334">
          <cell r="B334">
            <v>42629</v>
          </cell>
          <cell r="H334">
            <v>3594.9</v>
          </cell>
        </row>
        <row r="335">
          <cell r="B335">
            <v>426210</v>
          </cell>
          <cell r="H335">
            <v>43710.01</v>
          </cell>
        </row>
        <row r="336">
          <cell r="B336">
            <v>426214</v>
          </cell>
          <cell r="H336">
            <v>70708.14</v>
          </cell>
        </row>
        <row r="337">
          <cell r="B337">
            <v>426215</v>
          </cell>
          <cell r="H337">
            <v>96526.05</v>
          </cell>
        </row>
        <row r="338">
          <cell r="B338">
            <v>427</v>
          </cell>
          <cell r="H338">
            <v>803023.06</v>
          </cell>
        </row>
        <row r="339">
          <cell r="B339">
            <v>42701</v>
          </cell>
          <cell r="H339">
            <v>803023.06</v>
          </cell>
        </row>
        <row r="340">
          <cell r="B340">
            <v>42711</v>
          </cell>
          <cell r="H340">
            <v>10.84</v>
          </cell>
        </row>
        <row r="341">
          <cell r="B341">
            <v>42720</v>
          </cell>
          <cell r="H341">
            <v>400073.16</v>
          </cell>
        </row>
        <row r="342">
          <cell r="B342">
            <v>427122</v>
          </cell>
          <cell r="H342">
            <v>402939.06</v>
          </cell>
        </row>
        <row r="343">
          <cell r="B343">
            <v>5</v>
          </cell>
          <cell r="H343">
            <v>-676597.95</v>
          </cell>
        </row>
        <row r="344">
          <cell r="B344">
            <v>51</v>
          </cell>
          <cell r="H344">
            <v>-676597.95</v>
          </cell>
        </row>
        <row r="345">
          <cell r="B345">
            <v>511</v>
          </cell>
          <cell r="H345">
            <v>1816798.02</v>
          </cell>
        </row>
        <row r="346">
          <cell r="B346">
            <v>5111</v>
          </cell>
          <cell r="H346">
            <v>799991.65</v>
          </cell>
        </row>
        <row r="347">
          <cell r="B347">
            <v>5116</v>
          </cell>
          <cell r="H347">
            <v>1016806.37</v>
          </cell>
        </row>
        <row r="348">
          <cell r="B348">
            <v>512</v>
          </cell>
          <cell r="H348">
            <v>-2493395.9700000002</v>
          </cell>
        </row>
        <row r="349">
          <cell r="B349">
            <v>5122</v>
          </cell>
          <cell r="H349">
            <v>-44677.79</v>
          </cell>
        </row>
        <row r="350">
          <cell r="B350">
            <v>5123</v>
          </cell>
          <cell r="H350">
            <v>-1381461.08</v>
          </cell>
        </row>
        <row r="351">
          <cell r="B351">
            <v>5124</v>
          </cell>
          <cell r="H351">
            <v>-171067.17</v>
          </cell>
        </row>
        <row r="352">
          <cell r="B352">
            <v>5125</v>
          </cell>
          <cell r="H352">
            <v>-896189.93</v>
          </cell>
        </row>
      </sheetData>
      <sheetData sheetId="22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85356929.370000005</v>
          </cell>
        </row>
        <row r="9">
          <cell r="B9">
            <v>11</v>
          </cell>
          <cell r="H9">
            <v>54802220.140000001</v>
          </cell>
        </row>
        <row r="10">
          <cell r="B10">
            <v>111</v>
          </cell>
          <cell r="H10">
            <v>48780362.329999998</v>
          </cell>
        </row>
        <row r="11">
          <cell r="B11">
            <v>1112</v>
          </cell>
          <cell r="H11">
            <v>48780362.329999998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10204555.189999999</v>
          </cell>
        </row>
        <row r="14">
          <cell r="B14" t="str">
            <v>BBR</v>
          </cell>
          <cell r="H14">
            <v>38575807.140000001</v>
          </cell>
        </row>
        <row r="15">
          <cell r="B15">
            <v>112</v>
          </cell>
          <cell r="H15">
            <v>2728423.93</v>
          </cell>
        </row>
        <row r="16">
          <cell r="B16">
            <v>1123</v>
          </cell>
          <cell r="H16">
            <v>1047417.65</v>
          </cell>
        </row>
        <row r="17">
          <cell r="B17">
            <v>112310</v>
          </cell>
          <cell r="H17">
            <v>555.65</v>
          </cell>
        </row>
        <row r="18">
          <cell r="B18">
            <v>112316</v>
          </cell>
          <cell r="H18">
            <v>178629.72</v>
          </cell>
        </row>
        <row r="19">
          <cell r="B19">
            <v>112317</v>
          </cell>
          <cell r="H19">
            <v>66625.72</v>
          </cell>
        </row>
        <row r="20">
          <cell r="B20">
            <v>112334</v>
          </cell>
          <cell r="H20">
            <v>777.44</v>
          </cell>
        </row>
        <row r="21">
          <cell r="B21">
            <v>112335</v>
          </cell>
          <cell r="H21">
            <v>0</v>
          </cell>
        </row>
        <row r="22">
          <cell r="B22">
            <v>112340</v>
          </cell>
          <cell r="H22">
            <v>598186.77</v>
          </cell>
        </row>
        <row r="23">
          <cell r="B23">
            <v>112341</v>
          </cell>
          <cell r="H23">
            <v>202642.35</v>
          </cell>
        </row>
        <row r="24">
          <cell r="B24">
            <v>1124</v>
          </cell>
          <cell r="H24">
            <v>1680874.3</v>
          </cell>
        </row>
        <row r="25">
          <cell r="B25">
            <v>11241</v>
          </cell>
          <cell r="H25">
            <v>301485.31</v>
          </cell>
        </row>
        <row r="26">
          <cell r="B26">
            <v>11242</v>
          </cell>
          <cell r="H26">
            <v>1379388.99</v>
          </cell>
        </row>
        <row r="27">
          <cell r="B27">
            <v>112424</v>
          </cell>
          <cell r="H27">
            <v>0</v>
          </cell>
        </row>
        <row r="28">
          <cell r="B28">
            <v>112425</v>
          </cell>
          <cell r="H28">
            <v>0</v>
          </cell>
        </row>
        <row r="29">
          <cell r="B29">
            <v>11299</v>
          </cell>
          <cell r="H29">
            <v>131.97999999999999</v>
          </cell>
        </row>
        <row r="30">
          <cell r="B30">
            <v>112995</v>
          </cell>
          <cell r="H30">
            <v>0</v>
          </cell>
        </row>
        <row r="31">
          <cell r="B31">
            <v>11299999</v>
          </cell>
          <cell r="H31">
            <v>131.97999999999999</v>
          </cell>
        </row>
        <row r="32">
          <cell r="B32">
            <v>113</v>
          </cell>
          <cell r="H32">
            <v>3293433.88</v>
          </cell>
        </row>
        <row r="33">
          <cell r="B33">
            <v>1131</v>
          </cell>
          <cell r="H33">
            <v>3293433.88</v>
          </cell>
        </row>
        <row r="34">
          <cell r="B34">
            <v>11311</v>
          </cell>
          <cell r="H34">
            <v>102925.56</v>
          </cell>
        </row>
        <row r="35">
          <cell r="B35">
            <v>11312</v>
          </cell>
          <cell r="H35">
            <v>196976.5</v>
          </cell>
        </row>
        <row r="36">
          <cell r="B36">
            <v>11313</v>
          </cell>
          <cell r="H36">
            <v>76645.53</v>
          </cell>
        </row>
        <row r="37">
          <cell r="B37">
            <v>11315</v>
          </cell>
          <cell r="H37">
            <v>294040.09000000003</v>
          </cell>
        </row>
        <row r="38">
          <cell r="B38">
            <v>11316</v>
          </cell>
          <cell r="H38">
            <v>2622846.2000000002</v>
          </cell>
        </row>
        <row r="39">
          <cell r="B39">
            <v>12</v>
          </cell>
          <cell r="H39">
            <v>30554709.23</v>
          </cell>
        </row>
        <row r="40">
          <cell r="B40">
            <v>121</v>
          </cell>
          <cell r="H40">
            <v>8723730.3599999994</v>
          </cell>
        </row>
        <row r="41">
          <cell r="B41">
            <v>1213</v>
          </cell>
          <cell r="H41">
            <v>2836012.94</v>
          </cell>
        </row>
        <row r="42">
          <cell r="B42">
            <v>12131</v>
          </cell>
          <cell r="H42">
            <v>26139.75</v>
          </cell>
        </row>
        <row r="43">
          <cell r="B43">
            <v>12134</v>
          </cell>
          <cell r="H43">
            <v>4640.58</v>
          </cell>
        </row>
        <row r="44">
          <cell r="B44">
            <v>12135</v>
          </cell>
          <cell r="H44">
            <v>170583.25</v>
          </cell>
        </row>
        <row r="45">
          <cell r="B45">
            <v>12139</v>
          </cell>
          <cell r="H45">
            <v>1823.69</v>
          </cell>
        </row>
        <row r="46">
          <cell r="B46">
            <v>121311</v>
          </cell>
          <cell r="H46">
            <v>4301.3500000000004</v>
          </cell>
        </row>
        <row r="47">
          <cell r="B47">
            <v>121312</v>
          </cell>
          <cell r="H47">
            <v>296.35000000000002</v>
          </cell>
        </row>
        <row r="48">
          <cell r="B48">
            <v>121313</v>
          </cell>
          <cell r="H48">
            <v>218117.92</v>
          </cell>
        </row>
        <row r="49">
          <cell r="B49">
            <v>121315</v>
          </cell>
          <cell r="H49">
            <v>149103.31</v>
          </cell>
        </row>
        <row r="50">
          <cell r="B50">
            <v>121316</v>
          </cell>
          <cell r="H50">
            <v>1040995.08</v>
          </cell>
        </row>
        <row r="51">
          <cell r="B51">
            <v>121317</v>
          </cell>
          <cell r="H51">
            <v>2162.5500000000002</v>
          </cell>
        </row>
        <row r="52">
          <cell r="B52">
            <v>121318</v>
          </cell>
          <cell r="H52">
            <v>830473</v>
          </cell>
        </row>
        <row r="53">
          <cell r="B53">
            <v>121319</v>
          </cell>
          <cell r="H53">
            <v>387376.11</v>
          </cell>
        </row>
        <row r="54">
          <cell r="B54">
            <v>1217</v>
          </cell>
          <cell r="H54">
            <v>208.4</v>
          </cell>
        </row>
        <row r="55">
          <cell r="B55">
            <v>12171</v>
          </cell>
          <cell r="H55">
            <v>208.4</v>
          </cell>
        </row>
        <row r="56">
          <cell r="B56">
            <v>1218</v>
          </cell>
          <cell r="H56">
            <v>5887509.0199999996</v>
          </cell>
        </row>
        <row r="57">
          <cell r="B57">
            <v>12181</v>
          </cell>
          <cell r="H57">
            <v>4450066.0999999996</v>
          </cell>
        </row>
        <row r="58">
          <cell r="B58">
            <v>12182</v>
          </cell>
          <cell r="H58">
            <v>1255508.17</v>
          </cell>
        </row>
        <row r="59">
          <cell r="B59">
            <v>12183</v>
          </cell>
          <cell r="H59">
            <v>181934.75</v>
          </cell>
        </row>
        <row r="60">
          <cell r="B60">
            <v>123</v>
          </cell>
          <cell r="H60">
            <v>5989985.2800000003</v>
          </cell>
        </row>
        <row r="61">
          <cell r="B61">
            <v>1231</v>
          </cell>
          <cell r="H61">
            <v>19998174.690000001</v>
          </cell>
        </row>
        <row r="62">
          <cell r="B62">
            <v>12313</v>
          </cell>
          <cell r="H62">
            <v>2565049.0299999998</v>
          </cell>
        </row>
        <row r="63">
          <cell r="B63">
            <v>12314</v>
          </cell>
          <cell r="H63">
            <v>823453.65</v>
          </cell>
        </row>
        <row r="64">
          <cell r="B64">
            <v>12315</v>
          </cell>
          <cell r="H64">
            <v>13810259</v>
          </cell>
        </row>
        <row r="65">
          <cell r="B65">
            <v>12317</v>
          </cell>
          <cell r="H65">
            <v>2799413.01</v>
          </cell>
        </row>
        <row r="66">
          <cell r="B66">
            <v>12398</v>
          </cell>
          <cell r="H66">
            <v>-14008189.41</v>
          </cell>
        </row>
        <row r="67">
          <cell r="B67">
            <v>123982</v>
          </cell>
          <cell r="H67">
            <v>-1067545.6200000001</v>
          </cell>
        </row>
        <row r="68">
          <cell r="B68">
            <v>123983</v>
          </cell>
          <cell r="H68">
            <v>-764464.2</v>
          </cell>
        </row>
        <row r="69">
          <cell r="B69">
            <v>123984</v>
          </cell>
          <cell r="H69">
            <v>-10094189.09</v>
          </cell>
        </row>
        <row r="70">
          <cell r="B70">
            <v>123986</v>
          </cell>
          <cell r="H70">
            <v>-2081990.5</v>
          </cell>
        </row>
        <row r="71">
          <cell r="B71">
            <v>124</v>
          </cell>
          <cell r="H71">
            <v>1644301.31</v>
          </cell>
        </row>
        <row r="72">
          <cell r="B72">
            <v>1241</v>
          </cell>
          <cell r="H72">
            <v>13462647.15</v>
          </cell>
        </row>
        <row r="73">
          <cell r="B73">
            <v>124101</v>
          </cell>
          <cell r="H73">
            <v>13462647.15</v>
          </cell>
        </row>
        <row r="74">
          <cell r="B74">
            <v>12498</v>
          </cell>
          <cell r="H74">
            <v>-11818345.84</v>
          </cell>
        </row>
        <row r="75">
          <cell r="B75">
            <v>1242</v>
          </cell>
          <cell r="H75">
            <v>-11818345.84</v>
          </cell>
        </row>
        <row r="76">
          <cell r="B76">
            <v>125</v>
          </cell>
          <cell r="H76">
            <v>14196692.279999999</v>
          </cell>
        </row>
        <row r="77">
          <cell r="B77">
            <v>1251</v>
          </cell>
          <cell r="H77">
            <v>14196692.279999999</v>
          </cell>
        </row>
        <row r="78">
          <cell r="B78">
            <v>12511</v>
          </cell>
          <cell r="H78">
            <v>23738731.34</v>
          </cell>
        </row>
        <row r="79">
          <cell r="B79">
            <v>12512</v>
          </cell>
          <cell r="H79">
            <v>-9542039.0600000005</v>
          </cell>
        </row>
        <row r="80">
          <cell r="B80">
            <v>2</v>
          </cell>
          <cell r="H80">
            <v>-85356929.370000005</v>
          </cell>
        </row>
        <row r="81">
          <cell r="B81">
            <v>21</v>
          </cell>
          <cell r="H81">
            <v>-31101284.039999999</v>
          </cell>
        </row>
        <row r="82">
          <cell r="B82">
            <v>211</v>
          </cell>
          <cell r="H82">
            <v>-31101284.039999999</v>
          </cell>
        </row>
        <row r="83">
          <cell r="B83">
            <v>2114</v>
          </cell>
          <cell r="H83">
            <v>-1060154.27</v>
          </cell>
        </row>
        <row r="84">
          <cell r="B84">
            <v>60444400000000</v>
          </cell>
          <cell r="H84">
            <v>-30000</v>
          </cell>
        </row>
        <row r="85">
          <cell r="B85">
            <v>57143000000000</v>
          </cell>
          <cell r="H85">
            <v>0</v>
          </cell>
        </row>
        <row r="86">
          <cell r="B86">
            <v>34028300000000</v>
          </cell>
          <cell r="H86">
            <v>0</v>
          </cell>
        </row>
        <row r="87">
          <cell r="B87" t="str">
            <v>33641663/0001-44</v>
          </cell>
          <cell r="H87">
            <v>0</v>
          </cell>
        </row>
        <row r="88">
          <cell r="B88" t="str">
            <v>69034668/0001-56</v>
          </cell>
          <cell r="H88">
            <v>-422127.15</v>
          </cell>
        </row>
        <row r="89">
          <cell r="B89" t="str">
            <v>07604035/0001-89</v>
          </cell>
          <cell r="H89">
            <v>-2581</v>
          </cell>
        </row>
        <row r="90">
          <cell r="B90" t="str">
            <v>71208516/0001-74</v>
          </cell>
          <cell r="H90">
            <v>-1169.99</v>
          </cell>
        </row>
        <row r="91">
          <cell r="B91" t="str">
            <v>53113791/0001-22</v>
          </cell>
          <cell r="H91">
            <v>0</v>
          </cell>
        </row>
        <row r="92">
          <cell r="B92">
            <v>32578400000000</v>
          </cell>
          <cell r="H92">
            <v>0</v>
          </cell>
        </row>
        <row r="93">
          <cell r="B93" t="str">
            <v>08794730/0001-13</v>
          </cell>
          <cell r="H93">
            <v>0</v>
          </cell>
        </row>
        <row r="94">
          <cell r="B94" t="str">
            <v>05344234/0001-70</v>
          </cell>
          <cell r="H94">
            <v>0</v>
          </cell>
        </row>
        <row r="95">
          <cell r="B95">
            <v>33754500000000</v>
          </cell>
          <cell r="H95">
            <v>-300910.2</v>
          </cell>
        </row>
        <row r="96">
          <cell r="B96">
            <v>3017430000000</v>
          </cell>
          <cell r="H96">
            <v>-1081</v>
          </cell>
        </row>
        <row r="97">
          <cell r="B97">
            <v>16727400000000</v>
          </cell>
          <cell r="H97">
            <v>0</v>
          </cell>
        </row>
        <row r="98">
          <cell r="B98">
            <v>5555380000000</v>
          </cell>
          <cell r="H98">
            <v>0</v>
          </cell>
        </row>
        <row r="99">
          <cell r="B99">
            <v>23458500000000</v>
          </cell>
          <cell r="H99">
            <v>0</v>
          </cell>
        </row>
        <row r="100">
          <cell r="B100">
            <v>2593170000000</v>
          </cell>
          <cell r="H100">
            <v>0</v>
          </cell>
        </row>
        <row r="101">
          <cell r="B101">
            <v>14031100000000</v>
          </cell>
          <cell r="H101">
            <v>0</v>
          </cell>
        </row>
        <row r="102">
          <cell r="B102">
            <v>2081860000000</v>
          </cell>
          <cell r="H102">
            <v>0</v>
          </cell>
        </row>
        <row r="103">
          <cell r="B103">
            <v>7718940000000</v>
          </cell>
          <cell r="H103">
            <v>0</v>
          </cell>
        </row>
        <row r="104">
          <cell r="B104">
            <v>9079570000000</v>
          </cell>
          <cell r="H104">
            <v>0</v>
          </cell>
        </row>
        <row r="105">
          <cell r="B105">
            <v>54207700000000</v>
          </cell>
          <cell r="H105">
            <v>0</v>
          </cell>
        </row>
        <row r="106">
          <cell r="B106">
            <v>19088600000000</v>
          </cell>
          <cell r="H106">
            <v>-90000</v>
          </cell>
        </row>
        <row r="107">
          <cell r="B107">
            <v>34036200000000</v>
          </cell>
          <cell r="H107">
            <v>-120000</v>
          </cell>
        </row>
        <row r="108">
          <cell r="B108">
            <v>36813600000000</v>
          </cell>
          <cell r="H108">
            <v>-19321.509999999998</v>
          </cell>
        </row>
        <row r="109">
          <cell r="B109">
            <v>34977900000000</v>
          </cell>
          <cell r="H109">
            <v>-1659.81</v>
          </cell>
        </row>
        <row r="110">
          <cell r="B110">
            <v>33198300000000</v>
          </cell>
          <cell r="H110">
            <v>0</v>
          </cell>
        </row>
        <row r="111">
          <cell r="B111">
            <v>28712100000000</v>
          </cell>
          <cell r="H111">
            <v>-5780</v>
          </cell>
        </row>
        <row r="112">
          <cell r="B112">
            <v>12499500000000</v>
          </cell>
          <cell r="H112">
            <v>0</v>
          </cell>
        </row>
        <row r="113">
          <cell r="B113">
            <v>7843950000000</v>
          </cell>
          <cell r="H113">
            <v>0</v>
          </cell>
        </row>
        <row r="114">
          <cell r="B114">
            <v>38056400000000</v>
          </cell>
          <cell r="H114">
            <v>0</v>
          </cell>
        </row>
        <row r="115">
          <cell r="B115" t="str">
            <v>01707536/000104</v>
          </cell>
          <cell r="H115">
            <v>0</v>
          </cell>
        </row>
        <row r="116">
          <cell r="B116">
            <v>27553300000000</v>
          </cell>
          <cell r="H116">
            <v>0</v>
          </cell>
        </row>
        <row r="117">
          <cell r="B117">
            <v>5630090000000</v>
          </cell>
          <cell r="H117">
            <v>0</v>
          </cell>
        </row>
        <row r="118">
          <cell r="B118">
            <v>8210270000000</v>
          </cell>
          <cell r="H118">
            <v>0</v>
          </cell>
        </row>
        <row r="119">
          <cell r="B119">
            <v>37381900000000</v>
          </cell>
          <cell r="H119">
            <v>-4070.62</v>
          </cell>
        </row>
        <row r="120">
          <cell r="B120">
            <v>12782100000000</v>
          </cell>
          <cell r="H120">
            <v>0</v>
          </cell>
        </row>
        <row r="121">
          <cell r="B121">
            <v>24185200000000</v>
          </cell>
          <cell r="H121">
            <v>0</v>
          </cell>
        </row>
        <row r="122">
          <cell r="B122">
            <v>69112500000000</v>
          </cell>
          <cell r="H122">
            <v>0</v>
          </cell>
        </row>
        <row r="123">
          <cell r="B123">
            <v>21775800000000</v>
          </cell>
          <cell r="H123">
            <v>0</v>
          </cell>
        </row>
        <row r="124">
          <cell r="B124">
            <v>16647700000000</v>
          </cell>
          <cell r="H124">
            <v>0</v>
          </cell>
        </row>
        <row r="125">
          <cell r="B125">
            <v>5342580000000</v>
          </cell>
          <cell r="H125">
            <v>-621</v>
          </cell>
        </row>
        <row r="126">
          <cell r="B126">
            <v>4842770000000</v>
          </cell>
          <cell r="H126">
            <v>0</v>
          </cell>
        </row>
        <row r="127">
          <cell r="B127">
            <v>8808150000000</v>
          </cell>
          <cell r="H127">
            <v>-51400.5</v>
          </cell>
        </row>
        <row r="128">
          <cell r="B128">
            <v>26391300000000</v>
          </cell>
          <cell r="H128">
            <v>-2036.25</v>
          </cell>
        </row>
        <row r="129">
          <cell r="B129">
            <v>28000129</v>
          </cell>
          <cell r="H129">
            <v>-1333.12</v>
          </cell>
        </row>
        <row r="130">
          <cell r="B130">
            <v>61825700000000</v>
          </cell>
          <cell r="H130">
            <v>-1262.1199999999999</v>
          </cell>
        </row>
        <row r="131">
          <cell r="B131">
            <v>26344400000000</v>
          </cell>
          <cell r="H131">
            <v>0</v>
          </cell>
        </row>
        <row r="132">
          <cell r="B132">
            <v>17178200000000</v>
          </cell>
          <cell r="H132">
            <v>0</v>
          </cell>
        </row>
        <row r="133">
          <cell r="B133">
            <v>42422300000000</v>
          </cell>
          <cell r="H133">
            <v>0</v>
          </cell>
        </row>
        <row r="134">
          <cell r="B134">
            <v>30948800000000</v>
          </cell>
          <cell r="H134">
            <v>0</v>
          </cell>
        </row>
        <row r="135">
          <cell r="B135">
            <v>7708130000000</v>
          </cell>
          <cell r="H135">
            <v>-4800</v>
          </cell>
        </row>
        <row r="136">
          <cell r="B136">
            <v>47766700000000</v>
          </cell>
          <cell r="H136">
            <v>0</v>
          </cell>
        </row>
        <row r="137">
          <cell r="B137">
            <v>2116</v>
          </cell>
          <cell r="H137">
            <v>-2767.19</v>
          </cell>
        </row>
        <row r="138">
          <cell r="B138">
            <v>21162</v>
          </cell>
          <cell r="H138">
            <v>-386.81</v>
          </cell>
        </row>
        <row r="139">
          <cell r="B139">
            <v>21163</v>
          </cell>
          <cell r="H139">
            <v>-2380.38</v>
          </cell>
        </row>
        <row r="140">
          <cell r="B140">
            <v>2117</v>
          </cell>
          <cell r="H140">
            <v>-2612289.96</v>
          </cell>
        </row>
        <row r="141">
          <cell r="B141">
            <v>561</v>
          </cell>
          <cell r="H141">
            <v>-2532587.7400000002</v>
          </cell>
        </row>
        <row r="142">
          <cell r="B142" t="str">
            <v>INSS</v>
          </cell>
          <cell r="H142">
            <v>-14111.38</v>
          </cell>
        </row>
        <row r="143">
          <cell r="B143">
            <v>6147</v>
          </cell>
          <cell r="H143">
            <v>-9293.0400000000009</v>
          </cell>
        </row>
        <row r="144">
          <cell r="B144">
            <v>6190</v>
          </cell>
          <cell r="H144">
            <v>-55314.2</v>
          </cell>
        </row>
        <row r="145">
          <cell r="B145">
            <v>6175</v>
          </cell>
          <cell r="H145">
            <v>-983.6</v>
          </cell>
        </row>
        <row r="146">
          <cell r="B146">
            <v>2118</v>
          </cell>
          <cell r="H146">
            <v>-24050738.190000001</v>
          </cell>
        </row>
        <row r="147">
          <cell r="B147">
            <v>21181</v>
          </cell>
          <cell r="H147">
            <v>-4696330.2400000002</v>
          </cell>
        </row>
        <row r="148">
          <cell r="B148">
            <v>21182</v>
          </cell>
          <cell r="H148">
            <v>-2890905.86</v>
          </cell>
        </row>
        <row r="149">
          <cell r="B149">
            <v>21183</v>
          </cell>
          <cell r="H149">
            <v>-9753648.4299999997</v>
          </cell>
        </row>
        <row r="150">
          <cell r="B150">
            <v>21184</v>
          </cell>
          <cell r="H150">
            <v>-1959400.21</v>
          </cell>
        </row>
        <row r="151">
          <cell r="B151">
            <v>21185</v>
          </cell>
          <cell r="H151">
            <v>-571863.4</v>
          </cell>
        </row>
        <row r="152">
          <cell r="B152">
            <v>21186</v>
          </cell>
          <cell r="H152">
            <v>0</v>
          </cell>
        </row>
        <row r="153">
          <cell r="B153">
            <v>21187</v>
          </cell>
          <cell r="H153">
            <v>0</v>
          </cell>
        </row>
        <row r="154">
          <cell r="B154">
            <v>21188</v>
          </cell>
          <cell r="H154">
            <v>0</v>
          </cell>
        </row>
        <row r="155">
          <cell r="B155">
            <v>21189</v>
          </cell>
          <cell r="H155">
            <v>-447872.2</v>
          </cell>
        </row>
        <row r="156">
          <cell r="B156">
            <v>211810</v>
          </cell>
          <cell r="H156">
            <v>-644499.31999999995</v>
          </cell>
        </row>
        <row r="157">
          <cell r="B157">
            <v>211811</v>
          </cell>
          <cell r="H157">
            <v>-120051.9</v>
          </cell>
        </row>
        <row r="158">
          <cell r="B158">
            <v>211812</v>
          </cell>
          <cell r="H158">
            <v>-2186335.54</v>
          </cell>
        </row>
        <row r="159">
          <cell r="B159">
            <v>211813</v>
          </cell>
          <cell r="H159">
            <v>-779831.09</v>
          </cell>
        </row>
        <row r="160">
          <cell r="B160">
            <v>211816</v>
          </cell>
          <cell r="H160">
            <v>0</v>
          </cell>
        </row>
        <row r="161">
          <cell r="B161">
            <v>21114</v>
          </cell>
          <cell r="H161">
            <v>-105676.27</v>
          </cell>
        </row>
        <row r="162">
          <cell r="B162">
            <v>211145</v>
          </cell>
          <cell r="H162">
            <v>-36691.230000000003</v>
          </cell>
        </row>
        <row r="163">
          <cell r="B163">
            <v>211148</v>
          </cell>
          <cell r="H163">
            <v>-68985.039999999994</v>
          </cell>
        </row>
        <row r="164">
          <cell r="B164">
            <v>21115</v>
          </cell>
          <cell r="H164">
            <v>-442936.71</v>
          </cell>
        </row>
        <row r="165">
          <cell r="B165">
            <v>211151</v>
          </cell>
          <cell r="H165">
            <v>-442936.71</v>
          </cell>
        </row>
        <row r="166">
          <cell r="B166">
            <v>21116</v>
          </cell>
          <cell r="H166">
            <v>-2826721.45</v>
          </cell>
        </row>
        <row r="167">
          <cell r="B167">
            <v>211161</v>
          </cell>
          <cell r="H167">
            <v>-3541931.64</v>
          </cell>
        </row>
        <row r="168">
          <cell r="B168">
            <v>211162</v>
          </cell>
          <cell r="H168">
            <v>715210.19</v>
          </cell>
        </row>
        <row r="169">
          <cell r="B169">
            <v>22</v>
          </cell>
          <cell r="H169">
            <v>-23644609.620000001</v>
          </cell>
        </row>
        <row r="170">
          <cell r="B170">
            <v>221</v>
          </cell>
          <cell r="H170">
            <v>-23644609.620000001</v>
          </cell>
        </row>
        <row r="171">
          <cell r="B171">
            <v>2215</v>
          </cell>
          <cell r="H171">
            <v>-10557956.689999999</v>
          </cell>
        </row>
        <row r="172">
          <cell r="B172">
            <v>22151</v>
          </cell>
          <cell r="H172">
            <v>-2959611.15</v>
          </cell>
        </row>
        <row r="173">
          <cell r="B173">
            <v>22153</v>
          </cell>
          <cell r="H173">
            <v>-7598345.54</v>
          </cell>
        </row>
        <row r="174">
          <cell r="B174">
            <v>2218</v>
          </cell>
          <cell r="H174">
            <v>-13086652.93</v>
          </cell>
        </row>
        <row r="175">
          <cell r="B175">
            <v>22181</v>
          </cell>
          <cell r="H175">
            <v>-14462887.529999999</v>
          </cell>
        </row>
        <row r="176">
          <cell r="B176">
            <v>22182</v>
          </cell>
          <cell r="H176">
            <v>1376234.6</v>
          </cell>
        </row>
        <row r="177">
          <cell r="B177" t="str">
            <v>PL</v>
          </cell>
          <cell r="H177">
            <v>-30611035.710000001</v>
          </cell>
        </row>
        <row r="178">
          <cell r="B178">
            <v>241</v>
          </cell>
          <cell r="H178">
            <v>-34443159.609999999</v>
          </cell>
        </row>
        <row r="179">
          <cell r="B179">
            <v>2411</v>
          </cell>
          <cell r="H179">
            <v>-34443159.609999999</v>
          </cell>
        </row>
        <row r="180">
          <cell r="B180">
            <v>24111</v>
          </cell>
          <cell r="H180">
            <v>-34443159.609999999</v>
          </cell>
        </row>
        <row r="181">
          <cell r="B181">
            <v>243</v>
          </cell>
          <cell r="H181">
            <v>-14.52</v>
          </cell>
        </row>
        <row r="182">
          <cell r="B182">
            <v>2431</v>
          </cell>
          <cell r="H182">
            <v>-14.52</v>
          </cell>
        </row>
        <row r="183">
          <cell r="B183">
            <v>24311</v>
          </cell>
          <cell r="H183">
            <v>-14.52</v>
          </cell>
        </row>
        <row r="184">
          <cell r="B184">
            <v>246</v>
          </cell>
          <cell r="H184">
            <v>4527103.22</v>
          </cell>
        </row>
        <row r="185">
          <cell r="B185">
            <v>2462</v>
          </cell>
          <cell r="H185">
            <v>2833698.9</v>
          </cell>
        </row>
        <row r="186">
          <cell r="B186">
            <v>24622</v>
          </cell>
          <cell r="H186">
            <v>2833698.9</v>
          </cell>
        </row>
        <row r="187">
          <cell r="B187">
            <v>24699</v>
          </cell>
          <cell r="H187">
            <v>1693404.32</v>
          </cell>
        </row>
        <row r="188">
          <cell r="B188">
            <v>246991</v>
          </cell>
          <cell r="H188">
            <v>1693404.32</v>
          </cell>
        </row>
        <row r="189">
          <cell r="B189">
            <v>247</v>
          </cell>
          <cell r="H189">
            <v>-694964.8</v>
          </cell>
        </row>
        <row r="190">
          <cell r="B190">
            <v>2471</v>
          </cell>
          <cell r="H190">
            <v>-694964.8</v>
          </cell>
        </row>
        <row r="191">
          <cell r="B191">
            <v>24711</v>
          </cell>
          <cell r="H191">
            <v>-694964.8</v>
          </cell>
        </row>
        <row r="192">
          <cell r="B192">
            <v>3</v>
          </cell>
          <cell r="H192">
            <v>-71114198.730000004</v>
          </cell>
        </row>
        <row r="193">
          <cell r="B193">
            <v>31</v>
          </cell>
          <cell r="H193">
            <v>-70282402.349999994</v>
          </cell>
        </row>
        <row r="194">
          <cell r="B194">
            <v>311</v>
          </cell>
          <cell r="H194">
            <v>-70282402.349999994</v>
          </cell>
        </row>
        <row r="195">
          <cell r="B195">
            <v>3111</v>
          </cell>
          <cell r="H195">
            <v>-70282402.349999994</v>
          </cell>
        </row>
        <row r="196">
          <cell r="B196">
            <v>31111</v>
          </cell>
          <cell r="H196">
            <v>-70282402.349999994</v>
          </cell>
        </row>
        <row r="197">
          <cell r="B197">
            <v>33</v>
          </cell>
          <cell r="H197">
            <v>-831796.38</v>
          </cell>
        </row>
        <row r="198">
          <cell r="B198">
            <v>331</v>
          </cell>
          <cell r="H198">
            <v>-360170.86</v>
          </cell>
        </row>
        <row r="199">
          <cell r="B199">
            <v>3311</v>
          </cell>
          <cell r="H199">
            <v>-360170.86</v>
          </cell>
        </row>
        <row r="200">
          <cell r="B200">
            <v>33115</v>
          </cell>
          <cell r="H200">
            <v>-202120.09</v>
          </cell>
        </row>
        <row r="201">
          <cell r="B201">
            <v>33116</v>
          </cell>
          <cell r="H201">
            <v>-158050.76999999999</v>
          </cell>
        </row>
        <row r="202">
          <cell r="B202">
            <v>336</v>
          </cell>
          <cell r="H202">
            <v>-471625.52</v>
          </cell>
        </row>
        <row r="203">
          <cell r="B203">
            <v>3361</v>
          </cell>
          <cell r="H203">
            <v>-471625.52</v>
          </cell>
        </row>
        <row r="204">
          <cell r="B204">
            <v>33611</v>
          </cell>
          <cell r="H204">
            <v>-471625.52</v>
          </cell>
        </row>
        <row r="205">
          <cell r="B205">
            <v>4</v>
          </cell>
          <cell r="H205">
            <v>72807603.049999997</v>
          </cell>
        </row>
        <row r="206">
          <cell r="B206">
            <v>41</v>
          </cell>
          <cell r="H206">
            <v>46297206.299999997</v>
          </cell>
        </row>
        <row r="207">
          <cell r="B207">
            <v>411</v>
          </cell>
          <cell r="H207">
            <v>40155998.609999999</v>
          </cell>
        </row>
        <row r="208">
          <cell r="B208">
            <v>4111</v>
          </cell>
          <cell r="H208">
            <v>27354237.890000001</v>
          </cell>
        </row>
        <row r="209">
          <cell r="B209">
            <v>41111</v>
          </cell>
          <cell r="H209">
            <v>22050318.09</v>
          </cell>
        </row>
        <row r="210">
          <cell r="B210">
            <v>41117</v>
          </cell>
          <cell r="H210">
            <v>2809210.33</v>
          </cell>
        </row>
        <row r="211">
          <cell r="B211">
            <v>41118</v>
          </cell>
          <cell r="H211">
            <v>339698.44</v>
          </cell>
        </row>
        <row r="212">
          <cell r="B212">
            <v>41119</v>
          </cell>
          <cell r="H212">
            <v>2019962.38</v>
          </cell>
        </row>
        <row r="213">
          <cell r="B213">
            <v>411111</v>
          </cell>
          <cell r="H213">
            <v>70254.03</v>
          </cell>
        </row>
        <row r="214">
          <cell r="B214">
            <v>411113</v>
          </cell>
          <cell r="H214">
            <v>8832.86</v>
          </cell>
        </row>
        <row r="215">
          <cell r="B215">
            <v>411114</v>
          </cell>
          <cell r="H215">
            <v>55961.760000000002</v>
          </cell>
        </row>
        <row r="216">
          <cell r="B216">
            <v>4112</v>
          </cell>
          <cell r="H216">
            <v>8463622.0899999999</v>
          </cell>
        </row>
        <row r="217">
          <cell r="B217">
            <v>41121</v>
          </cell>
          <cell r="H217">
            <v>5102172.9000000004</v>
          </cell>
        </row>
        <row r="218">
          <cell r="B218">
            <v>41122</v>
          </cell>
          <cell r="H218">
            <v>1829409.03</v>
          </cell>
        </row>
        <row r="219">
          <cell r="B219">
            <v>41124</v>
          </cell>
          <cell r="H219">
            <v>453209.87</v>
          </cell>
        </row>
        <row r="220">
          <cell r="B220">
            <v>41125</v>
          </cell>
          <cell r="H220">
            <v>699520.24</v>
          </cell>
        </row>
        <row r="221">
          <cell r="B221">
            <v>41126</v>
          </cell>
          <cell r="H221">
            <v>217143.81</v>
          </cell>
        </row>
        <row r="222">
          <cell r="B222">
            <v>41127</v>
          </cell>
          <cell r="H222">
            <v>162166.24</v>
          </cell>
        </row>
        <row r="223">
          <cell r="B223">
            <v>4113</v>
          </cell>
          <cell r="H223">
            <v>4338138.63</v>
          </cell>
        </row>
        <row r="224">
          <cell r="B224">
            <v>41131</v>
          </cell>
          <cell r="H224">
            <v>1583617.37</v>
          </cell>
        </row>
        <row r="225">
          <cell r="B225">
            <v>41132</v>
          </cell>
          <cell r="H225">
            <v>1536058.61</v>
          </cell>
        </row>
        <row r="226">
          <cell r="B226">
            <v>41133</v>
          </cell>
          <cell r="H226">
            <v>0</v>
          </cell>
        </row>
        <row r="227">
          <cell r="B227">
            <v>41135</v>
          </cell>
          <cell r="H227">
            <v>314958.02</v>
          </cell>
        </row>
        <row r="228">
          <cell r="B228">
            <v>41136</v>
          </cell>
          <cell r="H228">
            <v>872838.9</v>
          </cell>
        </row>
        <row r="229">
          <cell r="B229">
            <v>411310</v>
          </cell>
          <cell r="H229">
            <v>11788.69</v>
          </cell>
        </row>
        <row r="230">
          <cell r="B230">
            <v>411311</v>
          </cell>
          <cell r="H230">
            <v>18877.04</v>
          </cell>
        </row>
        <row r="231">
          <cell r="B231">
            <v>413</v>
          </cell>
          <cell r="H231">
            <v>3588591.9</v>
          </cell>
        </row>
        <row r="232">
          <cell r="B232">
            <v>4131</v>
          </cell>
          <cell r="H232">
            <v>3588591.9</v>
          </cell>
        </row>
        <row r="233">
          <cell r="B233">
            <v>41311</v>
          </cell>
          <cell r="H233">
            <v>316898.14</v>
          </cell>
        </row>
        <row r="234">
          <cell r="B234">
            <v>41312</v>
          </cell>
          <cell r="H234">
            <v>395053.89</v>
          </cell>
        </row>
        <row r="235">
          <cell r="B235">
            <v>41315</v>
          </cell>
          <cell r="H235">
            <v>399063.07</v>
          </cell>
        </row>
        <row r="236">
          <cell r="B236">
            <v>413114</v>
          </cell>
          <cell r="H236">
            <v>2242745.14</v>
          </cell>
        </row>
        <row r="237">
          <cell r="B237">
            <v>413117</v>
          </cell>
          <cell r="H237">
            <v>228402.28</v>
          </cell>
        </row>
        <row r="238">
          <cell r="B238">
            <v>4131997</v>
          </cell>
          <cell r="H238">
            <v>6429.38</v>
          </cell>
        </row>
        <row r="239">
          <cell r="B239">
            <v>414</v>
          </cell>
          <cell r="H239">
            <v>159897.82</v>
          </cell>
        </row>
        <row r="240">
          <cell r="B240">
            <v>4141</v>
          </cell>
          <cell r="H240">
            <v>159897.82</v>
          </cell>
        </row>
        <row r="241">
          <cell r="B241">
            <v>41412</v>
          </cell>
          <cell r="H241">
            <v>146748.42000000001</v>
          </cell>
        </row>
        <row r="242">
          <cell r="B242">
            <v>41418</v>
          </cell>
          <cell r="H242">
            <v>13149.4</v>
          </cell>
        </row>
        <row r="243">
          <cell r="B243">
            <v>416</v>
          </cell>
          <cell r="H243">
            <v>2392717.9700000002</v>
          </cell>
        </row>
        <row r="244">
          <cell r="B244">
            <v>4161</v>
          </cell>
          <cell r="H244">
            <v>1151572.68</v>
          </cell>
        </row>
        <row r="245">
          <cell r="B245">
            <v>41614</v>
          </cell>
          <cell r="H245">
            <v>341491.36</v>
          </cell>
        </row>
        <row r="246">
          <cell r="B246">
            <v>41616</v>
          </cell>
          <cell r="H246">
            <v>10195.209999999999</v>
          </cell>
        </row>
        <row r="247">
          <cell r="B247">
            <v>416112</v>
          </cell>
          <cell r="H247">
            <v>1766.85</v>
          </cell>
        </row>
        <row r="248">
          <cell r="B248">
            <v>416114</v>
          </cell>
          <cell r="H248">
            <v>232332.13</v>
          </cell>
        </row>
        <row r="249">
          <cell r="B249">
            <v>416115</v>
          </cell>
          <cell r="H249">
            <v>150134.47</v>
          </cell>
        </row>
        <row r="250">
          <cell r="B250">
            <v>416116</v>
          </cell>
          <cell r="H250">
            <v>415652.66</v>
          </cell>
        </row>
        <row r="251">
          <cell r="B251">
            <v>4162</v>
          </cell>
          <cell r="H251">
            <v>1241145.29</v>
          </cell>
        </row>
        <row r="252">
          <cell r="B252">
            <v>41621</v>
          </cell>
          <cell r="H252">
            <v>295914.09999999998</v>
          </cell>
        </row>
        <row r="253">
          <cell r="B253">
            <v>41624</v>
          </cell>
          <cell r="H253">
            <v>160208.88</v>
          </cell>
        </row>
        <row r="254">
          <cell r="B254">
            <v>41626</v>
          </cell>
          <cell r="H254">
            <v>80346.990000000005</v>
          </cell>
        </row>
        <row r="255">
          <cell r="B255">
            <v>41627</v>
          </cell>
          <cell r="H255">
            <v>616042.44999999995</v>
          </cell>
        </row>
        <row r="256">
          <cell r="B256">
            <v>416210</v>
          </cell>
          <cell r="H256">
            <v>88632.87</v>
          </cell>
        </row>
        <row r="257">
          <cell r="B257">
            <v>42</v>
          </cell>
          <cell r="H257">
            <v>26510396.75</v>
          </cell>
        </row>
        <row r="258">
          <cell r="B258">
            <v>421</v>
          </cell>
          <cell r="H258">
            <v>18465743.68</v>
          </cell>
        </row>
        <row r="259">
          <cell r="B259">
            <v>4211</v>
          </cell>
          <cell r="H259">
            <v>12638675.85</v>
          </cell>
        </row>
        <row r="260">
          <cell r="B260">
            <v>42111</v>
          </cell>
          <cell r="H260">
            <v>10331861.43</v>
          </cell>
        </row>
        <row r="261">
          <cell r="B261">
            <v>42117</v>
          </cell>
          <cell r="H261">
            <v>1259433.49</v>
          </cell>
        </row>
        <row r="262">
          <cell r="B262">
            <v>42118</v>
          </cell>
          <cell r="H262">
            <v>105562.34</v>
          </cell>
        </row>
        <row r="263">
          <cell r="B263">
            <v>42119</v>
          </cell>
          <cell r="H263">
            <v>904183.09</v>
          </cell>
        </row>
        <row r="264">
          <cell r="B264">
            <v>421114</v>
          </cell>
          <cell r="H264">
            <v>37635.5</v>
          </cell>
        </row>
        <row r="265">
          <cell r="B265">
            <v>4212</v>
          </cell>
          <cell r="H265">
            <v>3796942.56</v>
          </cell>
        </row>
        <row r="266">
          <cell r="B266">
            <v>42121</v>
          </cell>
          <cell r="H266">
            <v>2313054.5499999998</v>
          </cell>
        </row>
        <row r="267">
          <cell r="B267">
            <v>42122</v>
          </cell>
          <cell r="H267">
            <v>815103.46</v>
          </cell>
        </row>
        <row r="268">
          <cell r="B268">
            <v>42124</v>
          </cell>
          <cell r="H268">
            <v>198503.85</v>
          </cell>
        </row>
        <row r="269">
          <cell r="B269">
            <v>42125</v>
          </cell>
          <cell r="H269">
            <v>305770.14</v>
          </cell>
        </row>
        <row r="270">
          <cell r="B270">
            <v>42126</v>
          </cell>
          <cell r="H270">
            <v>94120.27</v>
          </cell>
        </row>
        <row r="271">
          <cell r="B271">
            <v>42127</v>
          </cell>
          <cell r="H271">
            <v>70390.289999999994</v>
          </cell>
        </row>
        <row r="272">
          <cell r="B272">
            <v>4213</v>
          </cell>
          <cell r="H272">
            <v>2030125.27</v>
          </cell>
        </row>
        <row r="273">
          <cell r="B273">
            <v>42131</v>
          </cell>
          <cell r="H273">
            <v>642187.61</v>
          </cell>
        </row>
        <row r="274">
          <cell r="B274">
            <v>42132</v>
          </cell>
          <cell r="H274">
            <v>706815.49</v>
          </cell>
        </row>
        <row r="275">
          <cell r="B275">
            <v>42133</v>
          </cell>
          <cell r="H275">
            <v>16911.419999999998</v>
          </cell>
        </row>
        <row r="276">
          <cell r="B276">
            <v>42134</v>
          </cell>
          <cell r="H276">
            <v>113101.39</v>
          </cell>
        </row>
        <row r="277">
          <cell r="B277">
            <v>42135</v>
          </cell>
          <cell r="H277">
            <v>103319.62</v>
          </cell>
        </row>
        <row r="278">
          <cell r="B278">
            <v>42136</v>
          </cell>
          <cell r="H278">
            <v>398160.07</v>
          </cell>
        </row>
        <row r="279">
          <cell r="B279">
            <v>421310</v>
          </cell>
          <cell r="H279">
            <v>3675.84</v>
          </cell>
        </row>
        <row r="280">
          <cell r="B280">
            <v>421311</v>
          </cell>
          <cell r="H280">
            <v>45953.83</v>
          </cell>
        </row>
        <row r="281">
          <cell r="B281">
            <v>422</v>
          </cell>
          <cell r="H281">
            <v>47051.02</v>
          </cell>
        </row>
        <row r="282">
          <cell r="B282">
            <v>4221</v>
          </cell>
          <cell r="H282">
            <v>47051.02</v>
          </cell>
        </row>
        <row r="283">
          <cell r="B283">
            <v>42211</v>
          </cell>
          <cell r="H283">
            <v>47051.02</v>
          </cell>
        </row>
        <row r="284">
          <cell r="B284">
            <v>423</v>
          </cell>
          <cell r="H284">
            <v>3348270.34</v>
          </cell>
        </row>
        <row r="285">
          <cell r="B285">
            <v>4231</v>
          </cell>
          <cell r="H285">
            <v>3348270.34</v>
          </cell>
        </row>
        <row r="286">
          <cell r="B286">
            <v>42311</v>
          </cell>
          <cell r="H286">
            <v>292669.78000000003</v>
          </cell>
        </row>
        <row r="287">
          <cell r="B287">
            <v>42312</v>
          </cell>
          <cell r="H287">
            <v>625803.88</v>
          </cell>
        </row>
        <row r="288">
          <cell r="B288">
            <v>42313</v>
          </cell>
          <cell r="H288">
            <v>358943.68</v>
          </cell>
        </row>
        <row r="289">
          <cell r="B289">
            <v>42315</v>
          </cell>
          <cell r="H289">
            <v>158311.37</v>
          </cell>
        </row>
        <row r="290">
          <cell r="B290">
            <v>42316</v>
          </cell>
          <cell r="H290">
            <v>1198.22</v>
          </cell>
        </row>
        <row r="291">
          <cell r="B291">
            <v>42317</v>
          </cell>
          <cell r="H291">
            <v>197770.09</v>
          </cell>
        </row>
        <row r="292">
          <cell r="B292">
            <v>42318</v>
          </cell>
          <cell r="H292">
            <v>114035.73</v>
          </cell>
        </row>
        <row r="293">
          <cell r="B293">
            <v>423113</v>
          </cell>
          <cell r="H293">
            <v>75068.72</v>
          </cell>
        </row>
        <row r="294">
          <cell r="B294">
            <v>423114</v>
          </cell>
          <cell r="H294">
            <v>1306580.67</v>
          </cell>
        </row>
        <row r="295">
          <cell r="B295">
            <v>423115</v>
          </cell>
          <cell r="H295">
            <v>14400</v>
          </cell>
        </row>
        <row r="296">
          <cell r="B296">
            <v>423117</v>
          </cell>
          <cell r="H296">
            <v>188101.51</v>
          </cell>
        </row>
        <row r="297">
          <cell r="B297">
            <v>423119</v>
          </cell>
          <cell r="H297">
            <v>15386.69</v>
          </cell>
        </row>
        <row r="298">
          <cell r="B298">
            <v>424</v>
          </cell>
          <cell r="H298">
            <v>89958.88</v>
          </cell>
        </row>
        <row r="299">
          <cell r="B299">
            <v>4241</v>
          </cell>
          <cell r="H299">
            <v>89958.88</v>
          </cell>
        </row>
        <row r="300">
          <cell r="B300">
            <v>42412</v>
          </cell>
          <cell r="H300">
            <v>60728.49</v>
          </cell>
        </row>
        <row r="301">
          <cell r="B301">
            <v>42415</v>
          </cell>
          <cell r="H301">
            <v>2341.11</v>
          </cell>
        </row>
        <row r="302">
          <cell r="B302">
            <v>42416</v>
          </cell>
          <cell r="H302">
            <v>14406.84</v>
          </cell>
        </row>
        <row r="303">
          <cell r="B303">
            <v>424112</v>
          </cell>
          <cell r="H303">
            <v>12482.44</v>
          </cell>
        </row>
        <row r="304">
          <cell r="B304">
            <v>426</v>
          </cell>
          <cell r="H304">
            <v>3929573.24</v>
          </cell>
        </row>
        <row r="305">
          <cell r="B305">
            <v>4261</v>
          </cell>
          <cell r="H305">
            <v>2863631.65</v>
          </cell>
        </row>
        <row r="306">
          <cell r="B306">
            <v>42613</v>
          </cell>
          <cell r="H306">
            <v>14768.17</v>
          </cell>
        </row>
        <row r="307">
          <cell r="B307">
            <v>42614</v>
          </cell>
          <cell r="H307">
            <v>141318.42000000001</v>
          </cell>
        </row>
        <row r="308">
          <cell r="B308">
            <v>42616</v>
          </cell>
          <cell r="H308">
            <v>4219.1400000000003</v>
          </cell>
        </row>
        <row r="309">
          <cell r="B309">
            <v>42617</v>
          </cell>
          <cell r="H309">
            <v>448.72</v>
          </cell>
        </row>
        <row r="310">
          <cell r="B310">
            <v>426111</v>
          </cell>
          <cell r="H310">
            <v>1191677.3400000001</v>
          </cell>
        </row>
        <row r="311">
          <cell r="B311">
            <v>426112</v>
          </cell>
          <cell r="H311">
            <v>17619.93</v>
          </cell>
        </row>
        <row r="312">
          <cell r="B312">
            <v>426114</v>
          </cell>
          <cell r="H312">
            <v>96143.93</v>
          </cell>
        </row>
        <row r="313">
          <cell r="B313">
            <v>426116</v>
          </cell>
          <cell r="H313">
            <v>172008.4</v>
          </cell>
        </row>
        <row r="314">
          <cell r="B314">
            <v>426117</v>
          </cell>
          <cell r="H314">
            <v>61764.3</v>
          </cell>
        </row>
        <row r="315">
          <cell r="B315">
            <v>426118</v>
          </cell>
          <cell r="H315">
            <v>1163663.3</v>
          </cell>
        </row>
        <row r="316">
          <cell r="B316">
            <v>4262</v>
          </cell>
          <cell r="H316">
            <v>1065941.5900000001</v>
          </cell>
        </row>
        <row r="317">
          <cell r="B317">
            <v>42621</v>
          </cell>
          <cell r="H317">
            <v>115466.32</v>
          </cell>
        </row>
        <row r="318">
          <cell r="B318">
            <v>42622</v>
          </cell>
          <cell r="H318">
            <v>179320.89</v>
          </cell>
        </row>
        <row r="319">
          <cell r="B319">
            <v>42624</v>
          </cell>
          <cell r="H319">
            <v>97295.89</v>
          </cell>
        </row>
        <row r="320">
          <cell r="B320">
            <v>42626</v>
          </cell>
          <cell r="H320">
            <v>63942.85</v>
          </cell>
        </row>
        <row r="321">
          <cell r="B321">
            <v>42627</v>
          </cell>
          <cell r="H321">
            <v>425432.81</v>
          </cell>
        </row>
        <row r="322">
          <cell r="B322">
            <v>42629</v>
          </cell>
          <cell r="H322">
            <v>1600</v>
          </cell>
        </row>
        <row r="323">
          <cell r="B323">
            <v>426210</v>
          </cell>
          <cell r="H323">
            <v>43710.01</v>
          </cell>
        </row>
        <row r="324">
          <cell r="B324">
            <v>426214</v>
          </cell>
          <cell r="H324">
            <v>58645.56</v>
          </cell>
        </row>
        <row r="325">
          <cell r="B325">
            <v>426215</v>
          </cell>
          <cell r="H325">
            <v>80527.259999999995</v>
          </cell>
        </row>
        <row r="326">
          <cell r="B326">
            <v>427</v>
          </cell>
          <cell r="H326">
            <v>629799.59</v>
          </cell>
        </row>
        <row r="327">
          <cell r="B327">
            <v>42701</v>
          </cell>
          <cell r="H327">
            <v>629799.59</v>
          </cell>
        </row>
        <row r="328">
          <cell r="B328">
            <v>42720</v>
          </cell>
          <cell r="H328">
            <v>291693.21000000002</v>
          </cell>
        </row>
        <row r="329">
          <cell r="B329">
            <v>427122</v>
          </cell>
          <cell r="H329">
            <v>338106.38</v>
          </cell>
        </row>
        <row r="330">
          <cell r="B330">
            <v>5</v>
          </cell>
          <cell r="H330">
            <v>-1693404.32</v>
          </cell>
        </row>
        <row r="331">
          <cell r="B331">
            <v>51</v>
          </cell>
          <cell r="H331">
            <v>-1693404.32</v>
          </cell>
        </row>
        <row r="332">
          <cell r="B332">
            <v>511</v>
          </cell>
          <cell r="H332">
            <v>799991.65</v>
          </cell>
        </row>
        <row r="333">
          <cell r="B333">
            <v>5111</v>
          </cell>
          <cell r="H333">
            <v>799991.65</v>
          </cell>
        </row>
        <row r="334">
          <cell r="B334">
            <v>512</v>
          </cell>
          <cell r="H334">
            <v>-2493395.9700000002</v>
          </cell>
        </row>
        <row r="335">
          <cell r="B335">
            <v>5122</v>
          </cell>
          <cell r="H335">
            <v>-44677.79</v>
          </cell>
        </row>
        <row r="336">
          <cell r="B336">
            <v>5123</v>
          </cell>
          <cell r="H336">
            <v>-1381461.08</v>
          </cell>
        </row>
        <row r="337">
          <cell r="B337">
            <v>5124</v>
          </cell>
          <cell r="H337">
            <v>-171067.17</v>
          </cell>
        </row>
        <row r="338">
          <cell r="B338">
            <v>5125</v>
          </cell>
          <cell r="H338">
            <v>-896189.93</v>
          </cell>
        </row>
      </sheetData>
      <sheetData sheetId="23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85766901.480000004</v>
          </cell>
        </row>
        <row r="9">
          <cell r="B9">
            <v>11</v>
          </cell>
          <cell r="H9">
            <v>54809317.979999997</v>
          </cell>
        </row>
        <row r="10">
          <cell r="B10">
            <v>111</v>
          </cell>
          <cell r="H10">
            <v>48038575.700000003</v>
          </cell>
        </row>
        <row r="11">
          <cell r="B11">
            <v>1112</v>
          </cell>
          <cell r="H11">
            <v>48038575.700000003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9349628.0299999993</v>
          </cell>
        </row>
        <row r="14">
          <cell r="B14" t="str">
            <v>BBR</v>
          </cell>
          <cell r="H14">
            <v>38688947.670000002</v>
          </cell>
        </row>
        <row r="15">
          <cell r="B15">
            <v>112</v>
          </cell>
          <cell r="H15">
            <v>2711672.87</v>
          </cell>
        </row>
        <row r="16">
          <cell r="B16">
            <v>1123</v>
          </cell>
          <cell r="H16">
            <v>1051446.3500000001</v>
          </cell>
        </row>
        <row r="17">
          <cell r="B17">
            <v>112310</v>
          </cell>
          <cell r="H17">
            <v>549.82000000000005</v>
          </cell>
        </row>
        <row r="18">
          <cell r="B18">
            <v>112316</v>
          </cell>
          <cell r="H18">
            <v>178629.72</v>
          </cell>
        </row>
        <row r="19">
          <cell r="B19">
            <v>112317</v>
          </cell>
          <cell r="H19">
            <v>66625.72</v>
          </cell>
        </row>
        <row r="20">
          <cell r="B20">
            <v>112334</v>
          </cell>
          <cell r="H20">
            <v>768.93</v>
          </cell>
        </row>
        <row r="21">
          <cell r="B21">
            <v>112335</v>
          </cell>
          <cell r="H21">
            <v>12724.53</v>
          </cell>
        </row>
        <row r="22">
          <cell r="B22">
            <v>112340</v>
          </cell>
          <cell r="H22">
            <v>591702.05000000005</v>
          </cell>
        </row>
        <row r="23">
          <cell r="B23">
            <v>112341</v>
          </cell>
          <cell r="H23">
            <v>200445.58</v>
          </cell>
        </row>
        <row r="24">
          <cell r="B24">
            <v>1124</v>
          </cell>
          <cell r="H24">
            <v>1660094.54</v>
          </cell>
        </row>
        <row r="25">
          <cell r="B25">
            <v>11241</v>
          </cell>
          <cell r="H25">
            <v>359410.47</v>
          </cell>
        </row>
        <row r="26">
          <cell r="B26">
            <v>11242</v>
          </cell>
          <cell r="H26">
            <v>1300684.07</v>
          </cell>
        </row>
        <row r="27">
          <cell r="B27">
            <v>112424</v>
          </cell>
          <cell r="H27">
            <v>0</v>
          </cell>
        </row>
        <row r="28">
          <cell r="B28">
            <v>112425</v>
          </cell>
          <cell r="H28">
            <v>0</v>
          </cell>
        </row>
        <row r="29">
          <cell r="B29">
            <v>11299</v>
          </cell>
          <cell r="H29">
            <v>131.97999999999999</v>
          </cell>
        </row>
        <row r="30">
          <cell r="B30">
            <v>112995</v>
          </cell>
          <cell r="H30">
            <v>0</v>
          </cell>
        </row>
        <row r="31">
          <cell r="B31">
            <v>11299999</v>
          </cell>
          <cell r="H31">
            <v>131.97999999999999</v>
          </cell>
        </row>
        <row r="32">
          <cell r="B32">
            <v>113</v>
          </cell>
          <cell r="H32">
            <v>4059069.41</v>
          </cell>
        </row>
        <row r="33">
          <cell r="B33">
            <v>1131</v>
          </cell>
          <cell r="H33">
            <v>4059069.41</v>
          </cell>
        </row>
        <row r="34">
          <cell r="B34">
            <v>11311</v>
          </cell>
          <cell r="H34">
            <v>119457.65</v>
          </cell>
        </row>
        <row r="35">
          <cell r="B35">
            <v>11312</v>
          </cell>
          <cell r="H35">
            <v>308435.88</v>
          </cell>
        </row>
        <row r="36">
          <cell r="B36">
            <v>11313</v>
          </cell>
          <cell r="H36">
            <v>89930.93</v>
          </cell>
        </row>
        <row r="37">
          <cell r="B37">
            <v>11315</v>
          </cell>
          <cell r="H37">
            <v>336634.69</v>
          </cell>
        </row>
        <row r="38">
          <cell r="B38">
            <v>11316</v>
          </cell>
          <cell r="H38">
            <v>3204610.26</v>
          </cell>
        </row>
        <row r="39">
          <cell r="B39">
            <v>12</v>
          </cell>
          <cell r="H39">
            <v>30957583.5</v>
          </cell>
        </row>
        <row r="40">
          <cell r="B40">
            <v>121</v>
          </cell>
          <cell r="H40">
            <v>8659427.5199999996</v>
          </cell>
        </row>
        <row r="41">
          <cell r="B41">
            <v>1213</v>
          </cell>
          <cell r="H41">
            <v>2809788.9</v>
          </cell>
        </row>
        <row r="42">
          <cell r="B42">
            <v>12131</v>
          </cell>
          <cell r="H42">
            <v>25942.47</v>
          </cell>
        </row>
        <row r="43">
          <cell r="B43">
            <v>12134</v>
          </cell>
          <cell r="H43">
            <v>4640.58</v>
          </cell>
        </row>
        <row r="44">
          <cell r="B44">
            <v>12135</v>
          </cell>
          <cell r="H44">
            <v>169240.31</v>
          </cell>
        </row>
        <row r="45">
          <cell r="B45">
            <v>12139</v>
          </cell>
          <cell r="H45">
            <v>1809.25</v>
          </cell>
        </row>
        <row r="46">
          <cell r="B46">
            <v>121311</v>
          </cell>
          <cell r="H46">
            <v>4262.57</v>
          </cell>
        </row>
        <row r="47">
          <cell r="B47">
            <v>121312</v>
          </cell>
          <cell r="H47">
            <v>294</v>
          </cell>
        </row>
        <row r="48">
          <cell r="B48">
            <v>121313</v>
          </cell>
          <cell r="H48">
            <v>216336.47</v>
          </cell>
        </row>
        <row r="49">
          <cell r="B49">
            <v>121315</v>
          </cell>
          <cell r="H49">
            <v>147784.12</v>
          </cell>
        </row>
        <row r="50">
          <cell r="B50">
            <v>121316</v>
          </cell>
          <cell r="H50">
            <v>1031420.43</v>
          </cell>
        </row>
        <row r="51">
          <cell r="B51">
            <v>121317</v>
          </cell>
          <cell r="H51">
            <v>2143.58</v>
          </cell>
        </row>
        <row r="52">
          <cell r="B52">
            <v>121318</v>
          </cell>
          <cell r="H52">
            <v>822361.14</v>
          </cell>
        </row>
        <row r="53">
          <cell r="B53">
            <v>121319</v>
          </cell>
          <cell r="H53">
            <v>383553.98</v>
          </cell>
        </row>
        <row r="54">
          <cell r="B54">
            <v>1217</v>
          </cell>
          <cell r="H54">
            <v>208.4</v>
          </cell>
        </row>
        <row r="55">
          <cell r="B55">
            <v>12171</v>
          </cell>
          <cell r="H55">
            <v>208.4</v>
          </cell>
        </row>
        <row r="56">
          <cell r="B56">
            <v>1218</v>
          </cell>
          <cell r="H56">
            <v>5849430.2199999997</v>
          </cell>
        </row>
        <row r="57">
          <cell r="B57">
            <v>12181</v>
          </cell>
          <cell r="H57">
            <v>4421495.79</v>
          </cell>
        </row>
        <row r="58">
          <cell r="B58">
            <v>12182</v>
          </cell>
          <cell r="H58">
            <v>1246546.48</v>
          </cell>
        </row>
        <row r="59">
          <cell r="B59">
            <v>12183</v>
          </cell>
          <cell r="H59">
            <v>181387.95</v>
          </cell>
        </row>
        <row r="60">
          <cell r="B60">
            <v>123</v>
          </cell>
          <cell r="H60">
            <v>6140551.6100000003</v>
          </cell>
        </row>
        <row r="61">
          <cell r="B61">
            <v>1231</v>
          </cell>
          <cell r="H61">
            <v>19998120.690000001</v>
          </cell>
        </row>
        <row r="62">
          <cell r="B62">
            <v>12313</v>
          </cell>
          <cell r="H62">
            <v>2565049.0299999998</v>
          </cell>
        </row>
        <row r="63">
          <cell r="B63">
            <v>12314</v>
          </cell>
          <cell r="H63">
            <v>823453.65</v>
          </cell>
        </row>
        <row r="64">
          <cell r="B64">
            <v>12315</v>
          </cell>
          <cell r="H64">
            <v>13810205</v>
          </cell>
        </row>
        <row r="65">
          <cell r="B65">
            <v>12317</v>
          </cell>
          <cell r="H65">
            <v>2799413.01</v>
          </cell>
        </row>
        <row r="66">
          <cell r="B66">
            <v>12398</v>
          </cell>
          <cell r="H66">
            <v>-13857569.08</v>
          </cell>
        </row>
        <row r="67">
          <cell r="B67">
            <v>123982</v>
          </cell>
          <cell r="H67">
            <v>-1046170.22</v>
          </cell>
        </row>
        <row r="68">
          <cell r="B68">
            <v>123983</v>
          </cell>
          <cell r="H68">
            <v>-763287.78</v>
          </cell>
        </row>
        <row r="69">
          <cell r="B69">
            <v>123984</v>
          </cell>
          <cell r="H69">
            <v>-9974440.1500000004</v>
          </cell>
        </row>
        <row r="70">
          <cell r="B70">
            <v>123986</v>
          </cell>
          <cell r="H70">
            <v>-2073670.93</v>
          </cell>
        </row>
        <row r="71">
          <cell r="B71">
            <v>124</v>
          </cell>
          <cell r="H71">
            <v>1728179.43</v>
          </cell>
        </row>
        <row r="72">
          <cell r="B72">
            <v>1241</v>
          </cell>
          <cell r="H72">
            <v>13462647.15</v>
          </cell>
        </row>
        <row r="73">
          <cell r="B73">
            <v>124101</v>
          </cell>
          <cell r="H73">
            <v>13462647.15</v>
          </cell>
        </row>
        <row r="74">
          <cell r="B74">
            <v>12498</v>
          </cell>
          <cell r="H74">
            <v>-11734467.720000001</v>
          </cell>
        </row>
        <row r="75">
          <cell r="B75">
            <v>1242</v>
          </cell>
          <cell r="H75">
            <v>-11734467.720000001</v>
          </cell>
        </row>
        <row r="76">
          <cell r="B76">
            <v>125</v>
          </cell>
          <cell r="H76">
            <v>14429424.939999999</v>
          </cell>
        </row>
        <row r="77">
          <cell r="B77">
            <v>1251</v>
          </cell>
          <cell r="H77">
            <v>14429424.939999999</v>
          </cell>
        </row>
        <row r="78">
          <cell r="B78">
            <v>12511</v>
          </cell>
          <cell r="H78">
            <v>23738731.34</v>
          </cell>
        </row>
        <row r="79">
          <cell r="B79">
            <v>12512</v>
          </cell>
          <cell r="H79">
            <v>-9309306.4000000004</v>
          </cell>
        </row>
        <row r="80">
          <cell r="B80">
            <v>2</v>
          </cell>
          <cell r="H80">
            <v>-85766901.480000004</v>
          </cell>
        </row>
        <row r="81">
          <cell r="B81">
            <v>21</v>
          </cell>
          <cell r="H81">
            <v>-30480463.68</v>
          </cell>
        </row>
        <row r="82">
          <cell r="B82">
            <v>211</v>
          </cell>
          <cell r="H82">
            <v>-30480463.68</v>
          </cell>
        </row>
        <row r="83">
          <cell r="B83">
            <v>2114</v>
          </cell>
          <cell r="H83">
            <v>-1257631.1599999999</v>
          </cell>
        </row>
        <row r="84">
          <cell r="B84">
            <v>60444400000000</v>
          </cell>
          <cell r="H84">
            <v>-30000</v>
          </cell>
        </row>
        <row r="85">
          <cell r="B85">
            <v>57143000000000</v>
          </cell>
          <cell r="H85">
            <v>0</v>
          </cell>
        </row>
        <row r="86">
          <cell r="B86" t="str">
            <v>33641663/0001-44</v>
          </cell>
          <cell r="H86">
            <v>0</v>
          </cell>
        </row>
        <row r="87">
          <cell r="B87" t="str">
            <v>69034668/0001-56</v>
          </cell>
          <cell r="H87">
            <v>-422127.16</v>
          </cell>
        </row>
        <row r="88">
          <cell r="B88" t="str">
            <v>42270058/0001-03</v>
          </cell>
          <cell r="H88">
            <v>0</v>
          </cell>
        </row>
        <row r="89">
          <cell r="B89" t="str">
            <v>71208516/0001-74</v>
          </cell>
          <cell r="H89">
            <v>-1169.99</v>
          </cell>
        </row>
        <row r="90">
          <cell r="B90" t="str">
            <v>65649154/0001-54</v>
          </cell>
          <cell r="H90">
            <v>0</v>
          </cell>
        </row>
        <row r="91">
          <cell r="B91" t="str">
            <v>53113791/0001-22</v>
          </cell>
          <cell r="H91">
            <v>0</v>
          </cell>
        </row>
        <row r="92">
          <cell r="B92">
            <v>32578400000000</v>
          </cell>
          <cell r="H92">
            <v>0</v>
          </cell>
        </row>
        <row r="93">
          <cell r="B93" t="str">
            <v>08794730/0001-13</v>
          </cell>
          <cell r="H93">
            <v>0</v>
          </cell>
        </row>
        <row r="94">
          <cell r="B94" t="str">
            <v>33683111/0008-75</v>
          </cell>
          <cell r="H94">
            <v>0</v>
          </cell>
        </row>
        <row r="95">
          <cell r="B95" t="str">
            <v>00714403/0001-80</v>
          </cell>
          <cell r="H95">
            <v>0</v>
          </cell>
        </row>
        <row r="96">
          <cell r="B96" t="str">
            <v>05344234/0001-70</v>
          </cell>
          <cell r="H96">
            <v>0</v>
          </cell>
        </row>
        <row r="97">
          <cell r="B97">
            <v>33754500000000</v>
          </cell>
          <cell r="H97">
            <v>-300910.2</v>
          </cell>
        </row>
        <row r="98">
          <cell r="B98">
            <v>3017430000000</v>
          </cell>
          <cell r="H98">
            <v>0</v>
          </cell>
        </row>
        <row r="99">
          <cell r="B99">
            <v>16727400000000</v>
          </cell>
          <cell r="H99">
            <v>0</v>
          </cell>
        </row>
        <row r="100">
          <cell r="B100">
            <v>5555380000000</v>
          </cell>
          <cell r="H100">
            <v>0</v>
          </cell>
        </row>
        <row r="101">
          <cell r="B101">
            <v>26464900000000</v>
          </cell>
          <cell r="H101">
            <v>0</v>
          </cell>
        </row>
        <row r="102">
          <cell r="B102">
            <v>23458500000000</v>
          </cell>
          <cell r="H102">
            <v>0</v>
          </cell>
        </row>
        <row r="103">
          <cell r="B103">
            <v>2593170000000</v>
          </cell>
          <cell r="H103">
            <v>0</v>
          </cell>
        </row>
        <row r="104">
          <cell r="B104">
            <v>14031100000000</v>
          </cell>
          <cell r="H104">
            <v>0</v>
          </cell>
        </row>
        <row r="105">
          <cell r="B105">
            <v>2081860000000</v>
          </cell>
          <cell r="H105">
            <v>0</v>
          </cell>
        </row>
        <row r="106">
          <cell r="B106">
            <v>3364280000000</v>
          </cell>
          <cell r="H106">
            <v>0</v>
          </cell>
        </row>
        <row r="107">
          <cell r="B107">
            <v>7718940000000</v>
          </cell>
          <cell r="H107">
            <v>0</v>
          </cell>
        </row>
        <row r="108">
          <cell r="B108">
            <v>9079570000000</v>
          </cell>
          <cell r="H108">
            <v>0</v>
          </cell>
        </row>
        <row r="109">
          <cell r="B109">
            <v>54207700000000</v>
          </cell>
          <cell r="H109">
            <v>-900</v>
          </cell>
        </row>
        <row r="110">
          <cell r="B110">
            <v>19088600000000</v>
          </cell>
          <cell r="H110">
            <v>-90000</v>
          </cell>
        </row>
        <row r="111">
          <cell r="B111">
            <v>34036200000000</v>
          </cell>
          <cell r="H111">
            <v>-120000</v>
          </cell>
        </row>
        <row r="112">
          <cell r="B112">
            <v>36813600000000</v>
          </cell>
          <cell r="H112">
            <v>-19321.509999999998</v>
          </cell>
        </row>
        <row r="113">
          <cell r="B113">
            <v>191477000000</v>
          </cell>
          <cell r="H113">
            <v>0</v>
          </cell>
        </row>
        <row r="114">
          <cell r="B114">
            <v>5506560000000</v>
          </cell>
          <cell r="H114">
            <v>0</v>
          </cell>
        </row>
        <row r="115">
          <cell r="B115">
            <v>34977900000000</v>
          </cell>
          <cell r="H115">
            <v>-1659.81</v>
          </cell>
        </row>
        <row r="116">
          <cell r="B116">
            <v>33198300000000</v>
          </cell>
          <cell r="H116">
            <v>0</v>
          </cell>
        </row>
        <row r="117">
          <cell r="B117">
            <v>28712100000000</v>
          </cell>
          <cell r="H117">
            <v>-7430.85</v>
          </cell>
        </row>
        <row r="118">
          <cell r="B118">
            <v>12499500000000</v>
          </cell>
          <cell r="H118">
            <v>-854.4</v>
          </cell>
        </row>
        <row r="119">
          <cell r="B119">
            <v>7843950000000</v>
          </cell>
          <cell r="H119">
            <v>0</v>
          </cell>
        </row>
        <row r="120">
          <cell r="B120">
            <v>38056400000000</v>
          </cell>
          <cell r="H120">
            <v>0</v>
          </cell>
        </row>
        <row r="121">
          <cell r="B121" t="str">
            <v>01707536/000104</v>
          </cell>
          <cell r="H121">
            <v>0</v>
          </cell>
        </row>
        <row r="122">
          <cell r="B122">
            <v>27553300000000</v>
          </cell>
          <cell r="H122">
            <v>0</v>
          </cell>
        </row>
        <row r="123">
          <cell r="B123">
            <v>5630090000000</v>
          </cell>
          <cell r="H123">
            <v>0</v>
          </cell>
        </row>
        <row r="124">
          <cell r="B124">
            <v>2114998</v>
          </cell>
          <cell r="H124">
            <v>0</v>
          </cell>
        </row>
        <row r="125">
          <cell r="B125">
            <v>8210270000000</v>
          </cell>
          <cell r="H125">
            <v>0</v>
          </cell>
        </row>
        <row r="126">
          <cell r="B126">
            <v>37381900000000</v>
          </cell>
          <cell r="H126">
            <v>-3925.68</v>
          </cell>
        </row>
        <row r="127">
          <cell r="B127">
            <v>12782100000000</v>
          </cell>
          <cell r="H127">
            <v>0</v>
          </cell>
        </row>
        <row r="128">
          <cell r="B128">
            <v>24185200000000</v>
          </cell>
          <cell r="H128">
            <v>-14450</v>
          </cell>
        </row>
        <row r="129">
          <cell r="B129">
            <v>10299000000000</v>
          </cell>
          <cell r="H129">
            <v>0</v>
          </cell>
        </row>
        <row r="130">
          <cell r="B130">
            <v>69112500000000</v>
          </cell>
          <cell r="H130">
            <v>0</v>
          </cell>
        </row>
        <row r="131">
          <cell r="B131">
            <v>21775800000000</v>
          </cell>
          <cell r="H131">
            <v>0</v>
          </cell>
        </row>
        <row r="132">
          <cell r="B132">
            <v>16647700000000</v>
          </cell>
          <cell r="H132">
            <v>0</v>
          </cell>
        </row>
        <row r="133">
          <cell r="B133">
            <v>5342580000000</v>
          </cell>
          <cell r="H133">
            <v>0</v>
          </cell>
        </row>
        <row r="134">
          <cell r="B134">
            <v>4842770000000</v>
          </cell>
          <cell r="H134">
            <v>0</v>
          </cell>
        </row>
        <row r="135">
          <cell r="B135">
            <v>8808150000000</v>
          </cell>
          <cell r="H135">
            <v>-80634.850000000006</v>
          </cell>
        </row>
        <row r="136">
          <cell r="B136">
            <v>26391300000000</v>
          </cell>
          <cell r="H136">
            <v>-2036.25</v>
          </cell>
        </row>
        <row r="137">
          <cell r="B137">
            <v>28000129</v>
          </cell>
          <cell r="H137">
            <v>-1333.12</v>
          </cell>
        </row>
        <row r="138">
          <cell r="B138">
            <v>61825700000000</v>
          </cell>
          <cell r="H138">
            <v>-1232.17</v>
          </cell>
        </row>
        <row r="139">
          <cell r="B139">
            <v>26344400000000</v>
          </cell>
          <cell r="H139">
            <v>-664.67</v>
          </cell>
        </row>
        <row r="140">
          <cell r="B140">
            <v>65456800000000</v>
          </cell>
          <cell r="H140">
            <v>0</v>
          </cell>
        </row>
        <row r="141">
          <cell r="B141">
            <v>17178200000000</v>
          </cell>
          <cell r="H141">
            <v>0</v>
          </cell>
        </row>
        <row r="142">
          <cell r="B142">
            <v>13789800000000</v>
          </cell>
          <cell r="H142">
            <v>0</v>
          </cell>
        </row>
        <row r="143">
          <cell r="B143">
            <v>42422300000000</v>
          </cell>
          <cell r="H143">
            <v>-38373.699999999997</v>
          </cell>
        </row>
        <row r="144">
          <cell r="B144">
            <v>5965850000000</v>
          </cell>
          <cell r="H144">
            <v>0</v>
          </cell>
        </row>
        <row r="145">
          <cell r="B145">
            <v>30948800000000</v>
          </cell>
          <cell r="H145">
            <v>-106206.8</v>
          </cell>
        </row>
        <row r="146">
          <cell r="B146">
            <v>34339300000000</v>
          </cell>
          <cell r="H146">
            <v>0</v>
          </cell>
        </row>
        <row r="147">
          <cell r="B147">
            <v>24834200000000</v>
          </cell>
          <cell r="H147">
            <v>0</v>
          </cell>
        </row>
        <row r="148">
          <cell r="B148">
            <v>7708130000000</v>
          </cell>
          <cell r="H148">
            <v>-14400</v>
          </cell>
        </row>
        <row r="149">
          <cell r="B149">
            <v>2116</v>
          </cell>
          <cell r="H149">
            <v>-3564.31</v>
          </cell>
        </row>
        <row r="150">
          <cell r="B150">
            <v>21162</v>
          </cell>
          <cell r="H150">
            <v>-498.24</v>
          </cell>
        </row>
        <row r="151">
          <cell r="B151">
            <v>21163</v>
          </cell>
          <cell r="H151">
            <v>-3066.07</v>
          </cell>
        </row>
        <row r="152">
          <cell r="B152">
            <v>2117</v>
          </cell>
          <cell r="H152">
            <v>-2956754.13</v>
          </cell>
        </row>
        <row r="153">
          <cell r="B153">
            <v>561</v>
          </cell>
          <cell r="H153">
            <v>-2606379.08</v>
          </cell>
        </row>
        <row r="154">
          <cell r="B154" t="str">
            <v>INSS</v>
          </cell>
          <cell r="H154">
            <v>-13925.58</v>
          </cell>
        </row>
        <row r="155">
          <cell r="B155">
            <v>6147</v>
          </cell>
          <cell r="H155">
            <v>-32836.019999999997</v>
          </cell>
        </row>
        <row r="156">
          <cell r="B156">
            <v>6190</v>
          </cell>
          <cell r="H156">
            <v>-302402.83</v>
          </cell>
        </row>
        <row r="157">
          <cell r="B157">
            <v>6175</v>
          </cell>
          <cell r="H157">
            <v>-1210.6199999999999</v>
          </cell>
        </row>
        <row r="158">
          <cell r="B158">
            <v>2118</v>
          </cell>
          <cell r="H158">
            <v>-22907786.789999999</v>
          </cell>
        </row>
        <row r="159">
          <cell r="B159">
            <v>21181</v>
          </cell>
          <cell r="H159">
            <v>-4665091.5</v>
          </cell>
        </row>
        <row r="160">
          <cell r="B160">
            <v>21182</v>
          </cell>
          <cell r="H160">
            <v>-2317181.23</v>
          </cell>
        </row>
        <row r="161">
          <cell r="B161">
            <v>21183</v>
          </cell>
          <cell r="H161">
            <v>-9456157.3100000005</v>
          </cell>
        </row>
        <row r="162">
          <cell r="B162">
            <v>21184</v>
          </cell>
          <cell r="H162">
            <v>-1964030.95</v>
          </cell>
        </row>
        <row r="163">
          <cell r="B163">
            <v>21185</v>
          </cell>
          <cell r="H163">
            <v>-580988.94999999995</v>
          </cell>
        </row>
        <row r="164">
          <cell r="B164">
            <v>21186</v>
          </cell>
          <cell r="H164">
            <v>0</v>
          </cell>
        </row>
        <row r="165">
          <cell r="B165">
            <v>21187</v>
          </cell>
          <cell r="H165">
            <v>-4620.47</v>
          </cell>
        </row>
        <row r="166">
          <cell r="B166">
            <v>21188</v>
          </cell>
          <cell r="H166">
            <v>0</v>
          </cell>
        </row>
        <row r="167">
          <cell r="B167">
            <v>21189</v>
          </cell>
          <cell r="H167">
            <v>-446292.29</v>
          </cell>
        </row>
        <row r="168">
          <cell r="B168">
            <v>211810</v>
          </cell>
          <cell r="H168">
            <v>-517031.92</v>
          </cell>
        </row>
        <row r="169">
          <cell r="B169">
            <v>211811</v>
          </cell>
          <cell r="H169">
            <v>-80780.460000000006</v>
          </cell>
        </row>
        <row r="170">
          <cell r="B170">
            <v>211812</v>
          </cell>
          <cell r="H170">
            <v>-2119597.85</v>
          </cell>
        </row>
        <row r="171">
          <cell r="B171">
            <v>211813</v>
          </cell>
          <cell r="H171">
            <v>-756013.86</v>
          </cell>
        </row>
        <row r="172">
          <cell r="B172">
            <v>211816</v>
          </cell>
          <cell r="H172">
            <v>0</v>
          </cell>
        </row>
        <row r="173">
          <cell r="B173">
            <v>21114</v>
          </cell>
          <cell r="H173">
            <v>-98118.66</v>
          </cell>
        </row>
        <row r="174">
          <cell r="B174">
            <v>211145</v>
          </cell>
          <cell r="H174">
            <v>-29133.62</v>
          </cell>
        </row>
        <row r="175">
          <cell r="B175">
            <v>211148</v>
          </cell>
          <cell r="H175">
            <v>-68985.039999999994</v>
          </cell>
        </row>
        <row r="176">
          <cell r="B176">
            <v>21115</v>
          </cell>
          <cell r="H176">
            <v>-441356.79999999999</v>
          </cell>
        </row>
        <row r="177">
          <cell r="B177">
            <v>211151</v>
          </cell>
          <cell r="H177">
            <v>-441356.79999999999</v>
          </cell>
        </row>
        <row r="178">
          <cell r="B178">
            <v>21116</v>
          </cell>
          <cell r="H178">
            <v>-2815251.83</v>
          </cell>
        </row>
        <row r="179">
          <cell r="B179">
            <v>211161</v>
          </cell>
          <cell r="H179">
            <v>-3541931.64</v>
          </cell>
        </row>
        <row r="180">
          <cell r="B180">
            <v>211162</v>
          </cell>
          <cell r="H180">
            <v>726679.81</v>
          </cell>
        </row>
        <row r="181">
          <cell r="B181">
            <v>22</v>
          </cell>
          <cell r="H181">
            <v>-23885472.960000001</v>
          </cell>
        </row>
        <row r="182">
          <cell r="B182">
            <v>221</v>
          </cell>
          <cell r="H182">
            <v>-23885472.960000001</v>
          </cell>
        </row>
        <row r="183">
          <cell r="B183">
            <v>2215</v>
          </cell>
          <cell r="H183">
            <v>-10557956.689999999</v>
          </cell>
        </row>
        <row r="184">
          <cell r="B184">
            <v>22151</v>
          </cell>
          <cell r="H184">
            <v>-2959611.15</v>
          </cell>
        </row>
        <row r="185">
          <cell r="B185">
            <v>22153</v>
          </cell>
          <cell r="H185">
            <v>-7598345.54</v>
          </cell>
        </row>
        <row r="186">
          <cell r="B186">
            <v>2218</v>
          </cell>
          <cell r="H186">
            <v>-13327516.27</v>
          </cell>
        </row>
        <row r="187">
          <cell r="B187">
            <v>22181</v>
          </cell>
          <cell r="H187">
            <v>-14758048.5</v>
          </cell>
        </row>
        <row r="188">
          <cell r="B188">
            <v>22182</v>
          </cell>
          <cell r="H188">
            <v>1430532.23</v>
          </cell>
        </row>
        <row r="189">
          <cell r="B189" t="str">
            <v>PL</v>
          </cell>
          <cell r="H189">
            <v>-31400964.84</v>
          </cell>
        </row>
        <row r="190">
          <cell r="B190">
            <v>241</v>
          </cell>
          <cell r="H190">
            <v>-34443159.609999999</v>
          </cell>
        </row>
        <row r="191">
          <cell r="B191">
            <v>2411</v>
          </cell>
          <cell r="H191">
            <v>-34443159.609999999</v>
          </cell>
        </row>
        <row r="192">
          <cell r="B192">
            <v>24111</v>
          </cell>
          <cell r="H192">
            <v>-34443159.609999999</v>
          </cell>
        </row>
        <row r="193">
          <cell r="B193">
            <v>243</v>
          </cell>
          <cell r="H193">
            <v>-14.52</v>
          </cell>
        </row>
        <row r="194">
          <cell r="B194">
            <v>2431</v>
          </cell>
          <cell r="H194">
            <v>-14.52</v>
          </cell>
        </row>
        <row r="195">
          <cell r="B195">
            <v>24311</v>
          </cell>
          <cell r="H195">
            <v>-14.52</v>
          </cell>
        </row>
        <row r="196">
          <cell r="B196">
            <v>246</v>
          </cell>
          <cell r="H196">
            <v>3630913.29</v>
          </cell>
        </row>
        <row r="197">
          <cell r="B197">
            <v>2462</v>
          </cell>
          <cell r="H197">
            <v>2833698.9</v>
          </cell>
        </row>
        <row r="198">
          <cell r="B198">
            <v>24622</v>
          </cell>
          <cell r="H198">
            <v>2833698.9</v>
          </cell>
        </row>
        <row r="199">
          <cell r="B199">
            <v>24699</v>
          </cell>
          <cell r="H199">
            <v>797214.39</v>
          </cell>
        </row>
        <row r="200">
          <cell r="B200">
            <v>246991</v>
          </cell>
          <cell r="H200">
            <v>797214.39</v>
          </cell>
        </row>
        <row r="201">
          <cell r="B201">
            <v>247</v>
          </cell>
          <cell r="H201">
            <v>-588704</v>
          </cell>
        </row>
        <row r="202">
          <cell r="B202">
            <v>2471</v>
          </cell>
          <cell r="H202">
            <v>-588704</v>
          </cell>
        </row>
        <row r="203">
          <cell r="B203">
            <v>24711</v>
          </cell>
          <cell r="H203">
            <v>-588704</v>
          </cell>
        </row>
        <row r="204">
          <cell r="B204">
            <v>3</v>
          </cell>
          <cell r="H204">
            <v>-57962616.009999998</v>
          </cell>
        </row>
        <row r="205">
          <cell r="B205">
            <v>31</v>
          </cell>
          <cell r="H205">
            <v>-57190329.140000001</v>
          </cell>
        </row>
        <row r="206">
          <cell r="B206">
            <v>311</v>
          </cell>
          <cell r="H206">
            <v>-57190329.140000001</v>
          </cell>
        </row>
        <row r="207">
          <cell r="B207">
            <v>3111</v>
          </cell>
          <cell r="H207">
            <v>-57190329.140000001</v>
          </cell>
        </row>
        <row r="208">
          <cell r="B208">
            <v>31111</v>
          </cell>
          <cell r="H208">
            <v>-57190329.140000001</v>
          </cell>
        </row>
        <row r="209">
          <cell r="B209">
            <v>33</v>
          </cell>
          <cell r="H209">
            <v>-772286.87</v>
          </cell>
        </row>
        <row r="210">
          <cell r="B210">
            <v>331</v>
          </cell>
          <cell r="H210">
            <v>-300661.34999999998</v>
          </cell>
        </row>
        <row r="211">
          <cell r="B211">
            <v>3311</v>
          </cell>
          <cell r="H211">
            <v>-300661.34999999998</v>
          </cell>
        </row>
        <row r="212">
          <cell r="B212">
            <v>33115</v>
          </cell>
          <cell r="H212">
            <v>-177530.45</v>
          </cell>
        </row>
        <row r="213">
          <cell r="B213">
            <v>33116</v>
          </cell>
          <cell r="H213">
            <v>-123130.9</v>
          </cell>
        </row>
        <row r="214">
          <cell r="B214">
            <v>336</v>
          </cell>
          <cell r="H214">
            <v>-471625.52</v>
          </cell>
        </row>
        <row r="215">
          <cell r="B215">
            <v>3361</v>
          </cell>
          <cell r="H215">
            <v>-471625.52</v>
          </cell>
        </row>
        <row r="216">
          <cell r="B216">
            <v>33611</v>
          </cell>
          <cell r="H216">
            <v>-471625.52</v>
          </cell>
        </row>
        <row r="217">
          <cell r="B217">
            <v>4</v>
          </cell>
          <cell r="H217">
            <v>58759830.399999999</v>
          </cell>
        </row>
        <row r="218">
          <cell r="B218">
            <v>41</v>
          </cell>
          <cell r="H218">
            <v>37429265.689999998</v>
          </cell>
        </row>
        <row r="219">
          <cell r="B219">
            <v>411</v>
          </cell>
          <cell r="H219">
            <v>32240843.34</v>
          </cell>
        </row>
        <row r="220">
          <cell r="B220">
            <v>4111</v>
          </cell>
          <cell r="H220">
            <v>21950651.5</v>
          </cell>
        </row>
        <row r="221">
          <cell r="B221">
            <v>41111</v>
          </cell>
          <cell r="H221">
            <v>17620673.800000001</v>
          </cell>
        </row>
        <row r="222">
          <cell r="B222">
            <v>41117</v>
          </cell>
          <cell r="H222">
            <v>2328298.11</v>
          </cell>
        </row>
        <row r="223">
          <cell r="B223">
            <v>41118</v>
          </cell>
          <cell r="H223">
            <v>290067.78999999998</v>
          </cell>
        </row>
        <row r="224">
          <cell r="B224">
            <v>41119</v>
          </cell>
          <cell r="H224">
            <v>1621586.35</v>
          </cell>
        </row>
        <row r="225">
          <cell r="B225">
            <v>411111</v>
          </cell>
          <cell r="H225">
            <v>45537.56</v>
          </cell>
        </row>
        <row r="226">
          <cell r="B226">
            <v>411114</v>
          </cell>
          <cell r="H226">
            <v>44487.89</v>
          </cell>
        </row>
        <row r="227">
          <cell r="B227">
            <v>4112</v>
          </cell>
          <cell r="H227">
            <v>6796978.7800000003</v>
          </cell>
        </row>
        <row r="228">
          <cell r="B228">
            <v>41121</v>
          </cell>
          <cell r="H228">
            <v>4073676.61</v>
          </cell>
        </row>
        <row r="229">
          <cell r="B229">
            <v>41122</v>
          </cell>
          <cell r="H229">
            <v>1462365.33</v>
          </cell>
        </row>
        <row r="230">
          <cell r="B230">
            <v>41124</v>
          </cell>
          <cell r="H230">
            <v>363828.22</v>
          </cell>
        </row>
        <row r="231">
          <cell r="B231">
            <v>41125</v>
          </cell>
          <cell r="H231">
            <v>588191.89</v>
          </cell>
        </row>
        <row r="232">
          <cell r="B232">
            <v>41126</v>
          </cell>
          <cell r="H232">
            <v>178620.72</v>
          </cell>
        </row>
        <row r="233">
          <cell r="B233">
            <v>41127</v>
          </cell>
          <cell r="H233">
            <v>130296.01</v>
          </cell>
        </row>
        <row r="234">
          <cell r="B234">
            <v>4113</v>
          </cell>
          <cell r="H234">
            <v>3493213.06</v>
          </cell>
        </row>
        <row r="235">
          <cell r="B235">
            <v>41131</v>
          </cell>
          <cell r="H235">
            <v>1269696.6000000001</v>
          </cell>
        </row>
        <row r="236">
          <cell r="B236">
            <v>41132</v>
          </cell>
          <cell r="H236">
            <v>1250290.2</v>
          </cell>
        </row>
        <row r="237">
          <cell r="B237">
            <v>41133</v>
          </cell>
          <cell r="H237">
            <v>0</v>
          </cell>
        </row>
        <row r="238">
          <cell r="B238">
            <v>41135</v>
          </cell>
          <cell r="H238">
            <v>250967.07</v>
          </cell>
        </row>
        <row r="239">
          <cell r="B239">
            <v>41136</v>
          </cell>
          <cell r="H239">
            <v>696394.99</v>
          </cell>
        </row>
        <row r="240">
          <cell r="B240">
            <v>411310</v>
          </cell>
          <cell r="H240">
            <v>9835.0499999999993</v>
          </cell>
        </row>
        <row r="241">
          <cell r="B241">
            <v>411311</v>
          </cell>
          <cell r="H241">
            <v>16029.15</v>
          </cell>
        </row>
        <row r="242">
          <cell r="B242">
            <v>413</v>
          </cell>
          <cell r="H242">
            <v>3076807.23</v>
          </cell>
        </row>
        <row r="243">
          <cell r="B243">
            <v>4131</v>
          </cell>
          <cell r="H243">
            <v>3076807.23</v>
          </cell>
        </row>
        <row r="244">
          <cell r="B244">
            <v>41311</v>
          </cell>
          <cell r="H244">
            <v>304087.37</v>
          </cell>
        </row>
        <row r="245">
          <cell r="B245">
            <v>41312</v>
          </cell>
          <cell r="H245">
            <v>314264.90000000002</v>
          </cell>
        </row>
        <row r="246">
          <cell r="B246">
            <v>41315</v>
          </cell>
          <cell r="H246">
            <v>371447.54</v>
          </cell>
        </row>
        <row r="247">
          <cell r="B247">
            <v>413114</v>
          </cell>
          <cell r="H247">
            <v>1901148.93</v>
          </cell>
        </row>
        <row r="248">
          <cell r="B248">
            <v>413117</v>
          </cell>
          <cell r="H248">
            <v>179429.11</v>
          </cell>
        </row>
        <row r="249">
          <cell r="B249">
            <v>4131997</v>
          </cell>
          <cell r="H249">
            <v>6429.38</v>
          </cell>
        </row>
        <row r="250">
          <cell r="B250">
            <v>414</v>
          </cell>
          <cell r="H250">
            <v>129770.66</v>
          </cell>
        </row>
        <row r="251">
          <cell r="B251">
            <v>4141</v>
          </cell>
          <cell r="H251">
            <v>129770.66</v>
          </cell>
        </row>
        <row r="252">
          <cell r="B252">
            <v>41412</v>
          </cell>
          <cell r="H252">
            <v>116621.26</v>
          </cell>
        </row>
        <row r="253">
          <cell r="B253">
            <v>41418</v>
          </cell>
          <cell r="H253">
            <v>13149.4</v>
          </cell>
        </row>
        <row r="254">
          <cell r="B254">
            <v>416</v>
          </cell>
          <cell r="H254">
            <v>1981844.46</v>
          </cell>
        </row>
        <row r="255">
          <cell r="B255">
            <v>4161</v>
          </cell>
          <cell r="H255">
            <v>925498.09</v>
          </cell>
        </row>
        <row r="256">
          <cell r="B256">
            <v>41614</v>
          </cell>
          <cell r="H256">
            <v>280825.17</v>
          </cell>
        </row>
        <row r="257">
          <cell r="B257">
            <v>41616</v>
          </cell>
          <cell r="H257">
            <v>8073.33</v>
          </cell>
        </row>
        <row r="258">
          <cell r="B258">
            <v>416112</v>
          </cell>
          <cell r="H258">
            <v>1413.48</v>
          </cell>
        </row>
        <row r="259">
          <cell r="B259">
            <v>416114</v>
          </cell>
          <cell r="H259">
            <v>184418.42</v>
          </cell>
        </row>
        <row r="260">
          <cell r="B260">
            <v>416115</v>
          </cell>
          <cell r="H260">
            <v>117534.46</v>
          </cell>
        </row>
        <row r="261">
          <cell r="B261">
            <v>416116</v>
          </cell>
          <cell r="H261">
            <v>333233.23</v>
          </cell>
        </row>
        <row r="262">
          <cell r="B262">
            <v>4162</v>
          </cell>
          <cell r="H262">
            <v>1056346.3700000001</v>
          </cell>
        </row>
        <row r="263">
          <cell r="B263">
            <v>41621</v>
          </cell>
          <cell r="H263">
            <v>238492.67</v>
          </cell>
        </row>
        <row r="264">
          <cell r="B264">
            <v>41624</v>
          </cell>
          <cell r="H264">
            <v>131402.10999999999</v>
          </cell>
        </row>
        <row r="265">
          <cell r="B265">
            <v>41626</v>
          </cell>
          <cell r="H265">
            <v>63649.1</v>
          </cell>
        </row>
        <row r="266">
          <cell r="B266">
            <v>41627</v>
          </cell>
          <cell r="H266">
            <v>535790.69999999995</v>
          </cell>
        </row>
        <row r="267">
          <cell r="B267">
            <v>416210</v>
          </cell>
          <cell r="H267">
            <v>87011.79</v>
          </cell>
        </row>
        <row r="268">
          <cell r="B268">
            <v>42</v>
          </cell>
          <cell r="H268">
            <v>21330564.710000001</v>
          </cell>
        </row>
        <row r="269">
          <cell r="B269">
            <v>421</v>
          </cell>
          <cell r="H269">
            <v>14791148.699999999</v>
          </cell>
        </row>
        <row r="270">
          <cell r="B270">
            <v>4211</v>
          </cell>
          <cell r="H270">
            <v>10114716.24</v>
          </cell>
        </row>
        <row r="271">
          <cell r="B271">
            <v>42111</v>
          </cell>
          <cell r="H271">
            <v>8241513.1500000004</v>
          </cell>
        </row>
        <row r="272">
          <cell r="B272">
            <v>42117</v>
          </cell>
          <cell r="H272">
            <v>1020894.16</v>
          </cell>
        </row>
        <row r="273">
          <cell r="B273">
            <v>42118</v>
          </cell>
          <cell r="H273">
            <v>99124.14</v>
          </cell>
        </row>
        <row r="274">
          <cell r="B274">
            <v>42119</v>
          </cell>
          <cell r="H274">
            <v>723076.39</v>
          </cell>
        </row>
        <row r="275">
          <cell r="B275">
            <v>421114</v>
          </cell>
          <cell r="H275">
            <v>30108.400000000001</v>
          </cell>
        </row>
        <row r="276">
          <cell r="B276">
            <v>4212</v>
          </cell>
          <cell r="H276">
            <v>3044128.55</v>
          </cell>
        </row>
        <row r="277">
          <cell r="B277">
            <v>42121</v>
          </cell>
          <cell r="H277">
            <v>1847058.97</v>
          </cell>
        </row>
        <row r="278">
          <cell r="B278">
            <v>42122</v>
          </cell>
          <cell r="H278">
            <v>650837.79</v>
          </cell>
        </row>
        <row r="279">
          <cell r="B279">
            <v>42124</v>
          </cell>
          <cell r="H279">
            <v>159126.18</v>
          </cell>
        </row>
        <row r="280">
          <cell r="B280">
            <v>42125</v>
          </cell>
          <cell r="H280">
            <v>255841.72</v>
          </cell>
        </row>
        <row r="281">
          <cell r="B281">
            <v>42126</v>
          </cell>
          <cell r="H281">
            <v>75031.850000000006</v>
          </cell>
        </row>
        <row r="282">
          <cell r="B282">
            <v>42127</v>
          </cell>
          <cell r="H282">
            <v>56232.04</v>
          </cell>
        </row>
        <row r="283">
          <cell r="B283">
            <v>4213</v>
          </cell>
          <cell r="H283">
            <v>1632303.91</v>
          </cell>
        </row>
        <row r="284">
          <cell r="B284">
            <v>42131</v>
          </cell>
          <cell r="H284">
            <v>513171.67</v>
          </cell>
        </row>
        <row r="285">
          <cell r="B285">
            <v>42132</v>
          </cell>
          <cell r="H285">
            <v>575406.78</v>
          </cell>
        </row>
        <row r="286">
          <cell r="B286">
            <v>42133</v>
          </cell>
          <cell r="H286">
            <v>15012.7</v>
          </cell>
        </row>
        <row r="287">
          <cell r="B287">
            <v>42134</v>
          </cell>
          <cell r="H287">
            <v>90648.05</v>
          </cell>
        </row>
        <row r="288">
          <cell r="B288">
            <v>42135</v>
          </cell>
          <cell r="H288">
            <v>82550.570000000007</v>
          </cell>
        </row>
        <row r="289">
          <cell r="B289">
            <v>42136</v>
          </cell>
          <cell r="H289">
            <v>317150.38</v>
          </cell>
        </row>
        <row r="290">
          <cell r="B290">
            <v>421310</v>
          </cell>
          <cell r="H290">
            <v>3123.97</v>
          </cell>
        </row>
        <row r="291">
          <cell r="B291">
            <v>421311</v>
          </cell>
          <cell r="H291">
            <v>35239.79</v>
          </cell>
        </row>
        <row r="292">
          <cell r="B292">
            <v>422</v>
          </cell>
          <cell r="H292">
            <v>46165.74</v>
          </cell>
        </row>
        <row r="293">
          <cell r="B293">
            <v>4221</v>
          </cell>
          <cell r="H293">
            <v>46165.74</v>
          </cell>
        </row>
        <row r="294">
          <cell r="B294">
            <v>42211</v>
          </cell>
          <cell r="H294">
            <v>46165.74</v>
          </cell>
        </row>
        <row r="295">
          <cell r="B295">
            <v>423</v>
          </cell>
          <cell r="H295">
            <v>2657342.9500000002</v>
          </cell>
        </row>
        <row r="296">
          <cell r="B296">
            <v>4231</v>
          </cell>
          <cell r="H296">
            <v>2657342.9500000002</v>
          </cell>
        </row>
        <row r="297">
          <cell r="B297">
            <v>42311</v>
          </cell>
          <cell r="H297">
            <v>234761.45</v>
          </cell>
        </row>
        <row r="298">
          <cell r="B298">
            <v>42312</v>
          </cell>
          <cell r="H298">
            <v>505240.13</v>
          </cell>
        </row>
        <row r="299">
          <cell r="B299">
            <v>42313</v>
          </cell>
          <cell r="H299">
            <v>287759.93</v>
          </cell>
        </row>
        <row r="300">
          <cell r="B300">
            <v>42315</v>
          </cell>
          <cell r="H300">
            <v>141411.87</v>
          </cell>
        </row>
        <row r="301">
          <cell r="B301">
            <v>42316</v>
          </cell>
          <cell r="H301">
            <v>1198.22</v>
          </cell>
        </row>
        <row r="302">
          <cell r="B302">
            <v>42317</v>
          </cell>
          <cell r="H302">
            <v>181949.53</v>
          </cell>
        </row>
        <row r="303">
          <cell r="B303">
            <v>42318</v>
          </cell>
          <cell r="H303">
            <v>92677.97</v>
          </cell>
        </row>
        <row r="304">
          <cell r="B304">
            <v>423113</v>
          </cell>
          <cell r="H304">
            <v>56499.46</v>
          </cell>
        </row>
        <row r="305">
          <cell r="B305">
            <v>423114</v>
          </cell>
          <cell r="H305">
            <v>982257.95</v>
          </cell>
        </row>
        <row r="306">
          <cell r="B306">
            <v>423115</v>
          </cell>
          <cell r="H306">
            <v>14400</v>
          </cell>
        </row>
        <row r="307">
          <cell r="B307">
            <v>423117</v>
          </cell>
          <cell r="H307">
            <v>147870.37</v>
          </cell>
        </row>
        <row r="308">
          <cell r="B308">
            <v>423119</v>
          </cell>
          <cell r="H308">
            <v>11316.07</v>
          </cell>
        </row>
        <row r="309">
          <cell r="B309">
            <v>424</v>
          </cell>
          <cell r="H309">
            <v>74585.3</v>
          </cell>
        </row>
        <row r="310">
          <cell r="B310">
            <v>4241</v>
          </cell>
          <cell r="H310">
            <v>74585.3</v>
          </cell>
        </row>
        <row r="311">
          <cell r="B311">
            <v>42412</v>
          </cell>
          <cell r="H311">
            <v>48261.05</v>
          </cell>
        </row>
        <row r="312">
          <cell r="B312">
            <v>42415</v>
          </cell>
          <cell r="H312">
            <v>1954.3</v>
          </cell>
        </row>
        <row r="313">
          <cell r="B313">
            <v>42416</v>
          </cell>
          <cell r="H313">
            <v>12026.46</v>
          </cell>
        </row>
        <row r="314">
          <cell r="B314">
            <v>424112</v>
          </cell>
          <cell r="H314">
            <v>12343.49</v>
          </cell>
        </row>
        <row r="315">
          <cell r="B315">
            <v>426</v>
          </cell>
          <cell r="H315">
            <v>3197289.68</v>
          </cell>
        </row>
        <row r="316">
          <cell r="B316">
            <v>4261</v>
          </cell>
          <cell r="H316">
            <v>2297502.11</v>
          </cell>
        </row>
        <row r="317">
          <cell r="B317">
            <v>42613</v>
          </cell>
          <cell r="H317">
            <v>13108.36</v>
          </cell>
        </row>
        <row r="318">
          <cell r="B318">
            <v>42614</v>
          </cell>
          <cell r="H318">
            <v>116213.11</v>
          </cell>
        </row>
        <row r="319">
          <cell r="B319">
            <v>42616</v>
          </cell>
          <cell r="H319">
            <v>3341.03</v>
          </cell>
        </row>
        <row r="320">
          <cell r="B320">
            <v>42617</v>
          </cell>
          <cell r="H320">
            <v>95.67</v>
          </cell>
        </row>
        <row r="321">
          <cell r="B321">
            <v>426111</v>
          </cell>
          <cell r="H321">
            <v>957178.89</v>
          </cell>
        </row>
        <row r="322">
          <cell r="B322">
            <v>426112</v>
          </cell>
          <cell r="H322">
            <v>13884.33</v>
          </cell>
        </row>
        <row r="323">
          <cell r="B323">
            <v>426114</v>
          </cell>
          <cell r="H323">
            <v>76315.929999999993</v>
          </cell>
        </row>
        <row r="324">
          <cell r="B324">
            <v>426116</v>
          </cell>
          <cell r="H324">
            <v>137901</v>
          </cell>
        </row>
        <row r="325">
          <cell r="B325">
            <v>426117</v>
          </cell>
          <cell r="H325">
            <v>48533.15</v>
          </cell>
        </row>
        <row r="326">
          <cell r="B326">
            <v>426118</v>
          </cell>
          <cell r="H326">
            <v>930930.64</v>
          </cell>
        </row>
        <row r="327">
          <cell r="B327">
            <v>4262</v>
          </cell>
          <cell r="H327">
            <v>899787.57</v>
          </cell>
        </row>
        <row r="328">
          <cell r="B328">
            <v>42621</v>
          </cell>
          <cell r="H328">
            <v>95160.5</v>
          </cell>
        </row>
        <row r="329">
          <cell r="B329">
            <v>42622</v>
          </cell>
          <cell r="H329">
            <v>143133.15</v>
          </cell>
        </row>
        <row r="330">
          <cell r="B330">
            <v>42624</v>
          </cell>
          <cell r="H330">
            <v>74702.2</v>
          </cell>
        </row>
        <row r="331">
          <cell r="B331">
            <v>42626</v>
          </cell>
          <cell r="H331">
            <v>56503.78</v>
          </cell>
        </row>
        <row r="332">
          <cell r="B332">
            <v>42627</v>
          </cell>
          <cell r="H332">
            <v>374399.78</v>
          </cell>
        </row>
        <row r="333">
          <cell r="B333">
            <v>42629</v>
          </cell>
          <cell r="H333">
            <v>1600</v>
          </cell>
        </row>
        <row r="334">
          <cell r="B334">
            <v>426210</v>
          </cell>
          <cell r="H334">
            <v>43710.01</v>
          </cell>
        </row>
        <row r="335">
          <cell r="B335">
            <v>426214</v>
          </cell>
          <cell r="H335">
            <v>46582.98</v>
          </cell>
        </row>
        <row r="336">
          <cell r="B336">
            <v>426215</v>
          </cell>
          <cell r="H336">
            <v>63995.17</v>
          </cell>
        </row>
        <row r="337">
          <cell r="B337">
            <v>427</v>
          </cell>
          <cell r="H337">
            <v>564032.34</v>
          </cell>
        </row>
        <row r="338">
          <cell r="B338">
            <v>42701</v>
          </cell>
          <cell r="H338">
            <v>564032.34</v>
          </cell>
        </row>
        <row r="339">
          <cell r="B339">
            <v>42720</v>
          </cell>
          <cell r="H339">
            <v>291693.21000000002</v>
          </cell>
        </row>
        <row r="340">
          <cell r="B340">
            <v>427122</v>
          </cell>
          <cell r="H340">
            <v>272339.13</v>
          </cell>
        </row>
        <row r="341">
          <cell r="B341">
            <v>5</v>
          </cell>
          <cell r="H341">
            <v>-797214.39</v>
          </cell>
        </row>
        <row r="342">
          <cell r="B342">
            <v>51</v>
          </cell>
          <cell r="H342">
            <v>-797214.39</v>
          </cell>
        </row>
        <row r="343">
          <cell r="B343">
            <v>511</v>
          </cell>
          <cell r="H343">
            <v>799991.65</v>
          </cell>
        </row>
        <row r="344">
          <cell r="B344">
            <v>5111</v>
          </cell>
          <cell r="H344">
            <v>799991.65</v>
          </cell>
        </row>
        <row r="345">
          <cell r="B345">
            <v>512</v>
          </cell>
          <cell r="H345">
            <v>-1597206.04</v>
          </cell>
        </row>
        <row r="346">
          <cell r="B346">
            <v>5122</v>
          </cell>
          <cell r="H346">
            <v>-44677.79</v>
          </cell>
        </row>
        <row r="347">
          <cell r="B347">
            <v>5123</v>
          </cell>
          <cell r="H347">
            <v>-1381461.08</v>
          </cell>
        </row>
        <row r="348">
          <cell r="B348">
            <v>5124</v>
          </cell>
          <cell r="H348">
            <v>-171067.17</v>
          </cell>
        </row>
      </sheetData>
      <sheetData sheetId="24">
        <row r="310">
          <cell r="H310">
            <v>0</v>
          </cell>
        </row>
        <row r="312">
          <cell r="H312">
            <v>0</v>
          </cell>
        </row>
      </sheetData>
      <sheetData sheetId="25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85886054.109999999</v>
          </cell>
        </row>
        <row r="9">
          <cell r="B9">
            <v>11</v>
          </cell>
          <cell r="H9">
            <v>53162541.549999997</v>
          </cell>
        </row>
        <row r="10">
          <cell r="B10">
            <v>111</v>
          </cell>
          <cell r="H10">
            <v>47501782.280000001</v>
          </cell>
        </row>
        <row r="11">
          <cell r="B11">
            <v>1112</v>
          </cell>
          <cell r="H11">
            <v>47501782.280000001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8812834.6099999994</v>
          </cell>
        </row>
        <row r="14">
          <cell r="B14" t="str">
            <v>BBR</v>
          </cell>
          <cell r="H14">
            <v>38688947.670000002</v>
          </cell>
        </row>
        <row r="15">
          <cell r="B15">
            <v>112</v>
          </cell>
          <cell r="H15">
            <v>2045564.57</v>
          </cell>
        </row>
        <row r="16">
          <cell r="B16">
            <v>1123</v>
          </cell>
          <cell r="H16">
            <v>778057.99</v>
          </cell>
        </row>
        <row r="17">
          <cell r="B17">
            <v>112310</v>
          </cell>
          <cell r="H17">
            <v>539.49</v>
          </cell>
        </row>
        <row r="18">
          <cell r="B18">
            <v>112334</v>
          </cell>
          <cell r="H18">
            <v>753.85</v>
          </cell>
        </row>
        <row r="19">
          <cell r="B19">
            <v>112340</v>
          </cell>
          <cell r="H19">
            <v>580211.59</v>
          </cell>
        </row>
        <row r="20">
          <cell r="B20">
            <v>112341</v>
          </cell>
          <cell r="H20">
            <v>196553.06</v>
          </cell>
        </row>
        <row r="21">
          <cell r="B21">
            <v>1124</v>
          </cell>
          <cell r="H21">
            <v>1267374.6000000001</v>
          </cell>
        </row>
        <row r="22">
          <cell r="B22">
            <v>11241</v>
          </cell>
          <cell r="H22">
            <v>353349.3</v>
          </cell>
        </row>
        <row r="23">
          <cell r="B23">
            <v>11242</v>
          </cell>
          <cell r="H23">
            <v>914025.3</v>
          </cell>
        </row>
        <row r="24">
          <cell r="B24">
            <v>112424</v>
          </cell>
          <cell r="H24">
            <v>0</v>
          </cell>
        </row>
        <row r="25">
          <cell r="B25">
            <v>112425</v>
          </cell>
          <cell r="H25">
            <v>0</v>
          </cell>
        </row>
        <row r="26">
          <cell r="B26">
            <v>11299</v>
          </cell>
          <cell r="H26">
            <v>131.97999999999999</v>
          </cell>
        </row>
        <row r="27">
          <cell r="B27">
            <v>112995</v>
          </cell>
          <cell r="H27">
            <v>0</v>
          </cell>
        </row>
        <row r="28">
          <cell r="B28">
            <v>11299999</v>
          </cell>
          <cell r="H28">
            <v>131.97999999999999</v>
          </cell>
        </row>
        <row r="29">
          <cell r="B29">
            <v>113</v>
          </cell>
          <cell r="H29">
            <v>3615194.7</v>
          </cell>
        </row>
        <row r="30">
          <cell r="B30">
            <v>1131</v>
          </cell>
          <cell r="H30">
            <v>3615194.7</v>
          </cell>
        </row>
        <row r="31">
          <cell r="B31">
            <v>11311</v>
          </cell>
          <cell r="H31">
            <v>151988.53</v>
          </cell>
        </row>
        <row r="32">
          <cell r="B32">
            <v>11312</v>
          </cell>
          <cell r="H32">
            <v>687881.01</v>
          </cell>
        </row>
        <row r="33">
          <cell r="B33">
            <v>11313</v>
          </cell>
          <cell r="H33">
            <v>116073.17</v>
          </cell>
        </row>
        <row r="34">
          <cell r="B34">
            <v>11315</v>
          </cell>
          <cell r="H34">
            <v>420449.87</v>
          </cell>
        </row>
        <row r="35">
          <cell r="B35">
            <v>11316</v>
          </cell>
          <cell r="H35">
            <v>2238802.12</v>
          </cell>
        </row>
        <row r="36">
          <cell r="B36">
            <v>12</v>
          </cell>
          <cell r="H36">
            <v>32723512.559999999</v>
          </cell>
        </row>
        <row r="37">
          <cell r="B37">
            <v>121</v>
          </cell>
          <cell r="H37">
            <v>9593773.3200000003</v>
          </cell>
        </row>
        <row r="38">
          <cell r="B38">
            <v>1213</v>
          </cell>
          <cell r="H38">
            <v>2763321.78</v>
          </cell>
        </row>
        <row r="39">
          <cell r="B39">
            <v>12131</v>
          </cell>
          <cell r="H39">
            <v>25592.9</v>
          </cell>
        </row>
        <row r="40">
          <cell r="B40">
            <v>12134</v>
          </cell>
          <cell r="H40">
            <v>4640.58</v>
          </cell>
        </row>
        <row r="41">
          <cell r="B41">
            <v>12135</v>
          </cell>
          <cell r="H41">
            <v>166860.71</v>
          </cell>
        </row>
        <row r="42">
          <cell r="B42">
            <v>12139</v>
          </cell>
          <cell r="H42">
            <v>1783.66</v>
          </cell>
        </row>
        <row r="43">
          <cell r="B43">
            <v>121311</v>
          </cell>
          <cell r="H43">
            <v>4193.8599999999997</v>
          </cell>
        </row>
        <row r="44">
          <cell r="B44">
            <v>121312</v>
          </cell>
          <cell r="H44">
            <v>289.85000000000002</v>
          </cell>
        </row>
        <row r="45">
          <cell r="B45">
            <v>121313</v>
          </cell>
          <cell r="H45">
            <v>213179.88</v>
          </cell>
        </row>
        <row r="46">
          <cell r="B46">
            <v>121315</v>
          </cell>
          <cell r="H46">
            <v>145446.6</v>
          </cell>
        </row>
        <row r="47">
          <cell r="B47">
            <v>121316</v>
          </cell>
          <cell r="H47">
            <v>1014454.83</v>
          </cell>
        </row>
        <row r="48">
          <cell r="B48">
            <v>121317</v>
          </cell>
          <cell r="H48">
            <v>2109.98</v>
          </cell>
        </row>
        <row r="49">
          <cell r="B49">
            <v>121318</v>
          </cell>
          <cell r="H49">
            <v>807987.49</v>
          </cell>
        </row>
        <row r="50">
          <cell r="B50">
            <v>121319</v>
          </cell>
          <cell r="H50">
            <v>376781.44</v>
          </cell>
        </row>
        <row r="51">
          <cell r="B51">
            <v>1217</v>
          </cell>
          <cell r="H51">
            <v>188.24</v>
          </cell>
        </row>
        <row r="52">
          <cell r="B52">
            <v>12171</v>
          </cell>
          <cell r="H52">
            <v>188.24</v>
          </cell>
        </row>
        <row r="53">
          <cell r="B53">
            <v>1218</v>
          </cell>
          <cell r="H53">
            <v>6830263.2999999998</v>
          </cell>
        </row>
        <row r="54">
          <cell r="B54">
            <v>12181</v>
          </cell>
          <cell r="H54">
            <v>4349853.7300000004</v>
          </cell>
        </row>
        <row r="55">
          <cell r="B55">
            <v>12182</v>
          </cell>
          <cell r="H55">
            <v>2303067.2999999998</v>
          </cell>
        </row>
        <row r="56">
          <cell r="B56">
            <v>12183</v>
          </cell>
          <cell r="H56">
            <v>177342.27</v>
          </cell>
        </row>
        <row r="57">
          <cell r="B57">
            <v>123</v>
          </cell>
          <cell r="H57">
            <v>6338913.3099999996</v>
          </cell>
        </row>
        <row r="58">
          <cell r="B58">
            <v>1231</v>
          </cell>
          <cell r="H58">
            <v>19891913.890000001</v>
          </cell>
        </row>
        <row r="59">
          <cell r="B59">
            <v>12313</v>
          </cell>
          <cell r="H59">
            <v>2565049.0299999998</v>
          </cell>
        </row>
        <row r="60">
          <cell r="B60">
            <v>12314</v>
          </cell>
          <cell r="H60">
            <v>823453.65</v>
          </cell>
        </row>
        <row r="61">
          <cell r="B61">
            <v>12315</v>
          </cell>
          <cell r="H61">
            <v>13703998.199999999</v>
          </cell>
        </row>
        <row r="62">
          <cell r="B62">
            <v>12317</v>
          </cell>
          <cell r="H62">
            <v>2799413.01</v>
          </cell>
        </row>
        <row r="63">
          <cell r="B63">
            <v>12398</v>
          </cell>
          <cell r="H63">
            <v>-13553000.58</v>
          </cell>
        </row>
        <row r="64">
          <cell r="B64">
            <v>123982</v>
          </cell>
          <cell r="H64">
            <v>-1003419.42</v>
          </cell>
        </row>
        <row r="65">
          <cell r="B65">
            <v>123983</v>
          </cell>
          <cell r="H65">
            <v>-760102.06</v>
          </cell>
        </row>
        <row r="66">
          <cell r="B66">
            <v>123984</v>
          </cell>
          <cell r="H66">
            <v>-9732447.6699999999</v>
          </cell>
        </row>
        <row r="67">
          <cell r="B67">
            <v>123986</v>
          </cell>
          <cell r="H67">
            <v>-2057031.43</v>
          </cell>
        </row>
        <row r="68">
          <cell r="B68">
            <v>124</v>
          </cell>
          <cell r="H68">
            <v>1895935.67</v>
          </cell>
        </row>
        <row r="69">
          <cell r="B69">
            <v>1241</v>
          </cell>
          <cell r="H69">
            <v>13462647.15</v>
          </cell>
        </row>
        <row r="70">
          <cell r="B70">
            <v>124101</v>
          </cell>
          <cell r="H70">
            <v>13462647.15</v>
          </cell>
        </row>
        <row r="71">
          <cell r="B71">
            <v>12498</v>
          </cell>
          <cell r="H71">
            <v>-11566711.48</v>
          </cell>
        </row>
        <row r="72">
          <cell r="B72">
            <v>1242</v>
          </cell>
          <cell r="H72">
            <v>-11566711.48</v>
          </cell>
        </row>
        <row r="73">
          <cell r="B73">
            <v>125</v>
          </cell>
          <cell r="H73">
            <v>14894890.26</v>
          </cell>
        </row>
        <row r="74">
          <cell r="B74">
            <v>1251</v>
          </cell>
          <cell r="H74">
            <v>14894890.26</v>
          </cell>
        </row>
        <row r="75">
          <cell r="B75">
            <v>12511</v>
          </cell>
          <cell r="H75">
            <v>23738731.34</v>
          </cell>
        </row>
        <row r="76">
          <cell r="B76">
            <v>12512</v>
          </cell>
          <cell r="H76">
            <v>-8843841.0800000001</v>
          </cell>
        </row>
        <row r="77">
          <cell r="B77">
            <v>2</v>
          </cell>
          <cell r="H77">
            <v>-85886054.109999999</v>
          </cell>
        </row>
        <row r="78">
          <cell r="B78">
            <v>21</v>
          </cell>
          <cell r="H78">
            <v>-27858480.969999999</v>
          </cell>
        </row>
        <row r="79">
          <cell r="B79">
            <v>211</v>
          </cell>
          <cell r="H79">
            <v>-27858480.969999999</v>
          </cell>
        </row>
        <row r="80">
          <cell r="B80">
            <v>2114</v>
          </cell>
          <cell r="H80">
            <v>-1800008.09</v>
          </cell>
        </row>
        <row r="81">
          <cell r="B81">
            <v>60444400000000</v>
          </cell>
          <cell r="H81">
            <v>-30000</v>
          </cell>
        </row>
        <row r="82">
          <cell r="B82">
            <v>57143000000000</v>
          </cell>
          <cell r="H82">
            <v>0</v>
          </cell>
        </row>
        <row r="83">
          <cell r="B83" t="str">
            <v>33641663/0001-44</v>
          </cell>
          <cell r="H83">
            <v>-27240.53</v>
          </cell>
        </row>
        <row r="84">
          <cell r="B84" t="str">
            <v>09305983/0001-49</v>
          </cell>
          <cell r="H84">
            <v>0</v>
          </cell>
        </row>
        <row r="85">
          <cell r="B85" t="str">
            <v>69034668/0001-56</v>
          </cell>
          <cell r="H85">
            <v>-428449.77</v>
          </cell>
        </row>
        <row r="86">
          <cell r="B86" t="str">
            <v>07604035/0001-89</v>
          </cell>
          <cell r="H86">
            <v>-2581</v>
          </cell>
        </row>
        <row r="87">
          <cell r="B87" t="str">
            <v>71208516/0001-74</v>
          </cell>
          <cell r="H87">
            <v>0</v>
          </cell>
        </row>
        <row r="88">
          <cell r="B88" t="str">
            <v>27128875/0001-20</v>
          </cell>
          <cell r="H88">
            <v>0</v>
          </cell>
        </row>
        <row r="89">
          <cell r="B89" t="str">
            <v>53113791/0001-22</v>
          </cell>
          <cell r="H89">
            <v>0</v>
          </cell>
        </row>
        <row r="90">
          <cell r="B90" t="str">
            <v>42288886/0001-60</v>
          </cell>
          <cell r="H90">
            <v>-54068</v>
          </cell>
        </row>
        <row r="91">
          <cell r="B91">
            <v>32578400000000</v>
          </cell>
          <cell r="H91">
            <v>0</v>
          </cell>
        </row>
        <row r="92">
          <cell r="B92" t="str">
            <v>08794730/0001-13</v>
          </cell>
          <cell r="H92">
            <v>0</v>
          </cell>
        </row>
        <row r="93">
          <cell r="B93" t="str">
            <v>05344234/0001-70</v>
          </cell>
          <cell r="H93">
            <v>-17642.57</v>
          </cell>
        </row>
        <row r="94">
          <cell r="B94">
            <v>33754500000000</v>
          </cell>
          <cell r="H94">
            <v>-451365.3</v>
          </cell>
        </row>
        <row r="95">
          <cell r="B95">
            <v>3017430000000</v>
          </cell>
          <cell r="H95">
            <v>0</v>
          </cell>
        </row>
        <row r="96">
          <cell r="B96">
            <v>16727400000000</v>
          </cell>
          <cell r="H96">
            <v>0</v>
          </cell>
        </row>
        <row r="97">
          <cell r="B97">
            <v>3535900000000</v>
          </cell>
          <cell r="H97">
            <v>0</v>
          </cell>
        </row>
        <row r="98">
          <cell r="B98">
            <v>5555380000000</v>
          </cell>
          <cell r="H98">
            <v>0</v>
          </cell>
        </row>
        <row r="99">
          <cell r="B99">
            <v>23458500000000</v>
          </cell>
          <cell r="H99">
            <v>0</v>
          </cell>
        </row>
        <row r="100">
          <cell r="B100">
            <v>2593170000000</v>
          </cell>
          <cell r="H100">
            <v>0</v>
          </cell>
        </row>
        <row r="101">
          <cell r="B101">
            <v>14031100000000</v>
          </cell>
          <cell r="H101">
            <v>0</v>
          </cell>
        </row>
        <row r="102">
          <cell r="B102">
            <v>21449300000000</v>
          </cell>
          <cell r="H102">
            <v>0</v>
          </cell>
        </row>
        <row r="103">
          <cell r="B103">
            <v>2081860000000</v>
          </cell>
          <cell r="H103">
            <v>0</v>
          </cell>
        </row>
        <row r="104">
          <cell r="B104">
            <v>9079570000000</v>
          </cell>
          <cell r="H104">
            <v>0</v>
          </cell>
        </row>
        <row r="105">
          <cell r="B105">
            <v>19088600000000</v>
          </cell>
          <cell r="H105">
            <v>-90000</v>
          </cell>
        </row>
        <row r="106">
          <cell r="B106">
            <v>34036200000000</v>
          </cell>
          <cell r="H106">
            <v>-120000</v>
          </cell>
        </row>
        <row r="107">
          <cell r="B107">
            <v>36813600000000</v>
          </cell>
          <cell r="H107">
            <v>-37837.39</v>
          </cell>
        </row>
        <row r="108">
          <cell r="B108">
            <v>34977900000000</v>
          </cell>
          <cell r="H108">
            <v>0</v>
          </cell>
        </row>
        <row r="109">
          <cell r="B109">
            <v>33198300000000</v>
          </cell>
          <cell r="H109">
            <v>0</v>
          </cell>
        </row>
        <row r="110">
          <cell r="B110">
            <v>28712100000000</v>
          </cell>
          <cell r="H110">
            <v>-6054.84</v>
          </cell>
        </row>
        <row r="111">
          <cell r="B111">
            <v>12499500000000</v>
          </cell>
          <cell r="H111">
            <v>0</v>
          </cell>
        </row>
        <row r="112">
          <cell r="B112">
            <v>7843950000000</v>
          </cell>
          <cell r="H112">
            <v>0</v>
          </cell>
        </row>
        <row r="113">
          <cell r="B113">
            <v>38056400000000</v>
          </cell>
          <cell r="H113">
            <v>0</v>
          </cell>
        </row>
        <row r="114">
          <cell r="B114">
            <v>43213800000000</v>
          </cell>
          <cell r="H114">
            <v>0</v>
          </cell>
        </row>
        <row r="115">
          <cell r="B115" t="str">
            <v>01707536/000104</v>
          </cell>
          <cell r="H115">
            <v>0</v>
          </cell>
        </row>
        <row r="116">
          <cell r="B116">
            <v>27553300000000</v>
          </cell>
          <cell r="H116">
            <v>0</v>
          </cell>
        </row>
        <row r="117">
          <cell r="B117">
            <v>5630090000000</v>
          </cell>
          <cell r="H117">
            <v>0</v>
          </cell>
        </row>
        <row r="118">
          <cell r="B118">
            <v>2114998</v>
          </cell>
          <cell r="H118">
            <v>0</v>
          </cell>
        </row>
        <row r="119">
          <cell r="B119">
            <v>38458400000000</v>
          </cell>
          <cell r="H119">
            <v>0</v>
          </cell>
        </row>
        <row r="120">
          <cell r="B120">
            <v>8210270000000</v>
          </cell>
          <cell r="H120">
            <v>0</v>
          </cell>
        </row>
        <row r="121">
          <cell r="B121">
            <v>19485900000000</v>
          </cell>
          <cell r="H121">
            <v>0</v>
          </cell>
        </row>
        <row r="122">
          <cell r="B122">
            <v>37381900000000</v>
          </cell>
          <cell r="H122">
            <v>-3445.91</v>
          </cell>
        </row>
        <row r="123">
          <cell r="B123">
            <v>12782100000000</v>
          </cell>
          <cell r="H123">
            <v>0</v>
          </cell>
        </row>
        <row r="124">
          <cell r="B124">
            <v>24185200000000</v>
          </cell>
          <cell r="H124">
            <v>0</v>
          </cell>
        </row>
        <row r="125">
          <cell r="B125">
            <v>69112500000000</v>
          </cell>
          <cell r="H125">
            <v>0</v>
          </cell>
        </row>
        <row r="126">
          <cell r="B126">
            <v>21775800000000</v>
          </cell>
          <cell r="H126">
            <v>0</v>
          </cell>
        </row>
        <row r="127">
          <cell r="B127">
            <v>16647700000000</v>
          </cell>
          <cell r="H127">
            <v>0</v>
          </cell>
        </row>
        <row r="128">
          <cell r="B128">
            <v>24554100000000</v>
          </cell>
          <cell r="H128">
            <v>-989</v>
          </cell>
        </row>
        <row r="129">
          <cell r="B129">
            <v>5342580000000</v>
          </cell>
          <cell r="H129">
            <v>0</v>
          </cell>
        </row>
        <row r="130">
          <cell r="B130">
            <v>4842770000000</v>
          </cell>
          <cell r="H130">
            <v>0</v>
          </cell>
        </row>
        <row r="131">
          <cell r="B131">
            <v>11321200000000</v>
          </cell>
          <cell r="H131">
            <v>0</v>
          </cell>
        </row>
        <row r="132">
          <cell r="B132">
            <v>26391300000000</v>
          </cell>
          <cell r="H132">
            <v>0</v>
          </cell>
        </row>
        <row r="133">
          <cell r="B133">
            <v>28000129</v>
          </cell>
          <cell r="H133">
            <v>-1333.12</v>
          </cell>
        </row>
        <row r="134">
          <cell r="B134">
            <v>269540000000</v>
          </cell>
          <cell r="H134">
            <v>0</v>
          </cell>
        </row>
        <row r="135">
          <cell r="B135">
            <v>61825700000000</v>
          </cell>
          <cell r="H135">
            <v>0</v>
          </cell>
        </row>
        <row r="136">
          <cell r="B136">
            <v>26344400000000</v>
          </cell>
          <cell r="H136">
            <v>-664.66</v>
          </cell>
        </row>
        <row r="137">
          <cell r="B137">
            <v>17178200000000</v>
          </cell>
          <cell r="H137">
            <v>0</v>
          </cell>
        </row>
        <row r="138">
          <cell r="B138">
            <v>13789800000000</v>
          </cell>
          <cell r="H138">
            <v>0</v>
          </cell>
        </row>
        <row r="139">
          <cell r="B139">
            <v>46947500000000</v>
          </cell>
          <cell r="H139">
            <v>0</v>
          </cell>
        </row>
        <row r="140">
          <cell r="B140">
            <v>5965850000000</v>
          </cell>
          <cell r="H140">
            <v>0</v>
          </cell>
        </row>
        <row r="141">
          <cell r="B141">
            <v>52390100000000</v>
          </cell>
          <cell r="H141">
            <v>-28988</v>
          </cell>
        </row>
        <row r="142">
          <cell r="B142">
            <v>30948800000000</v>
          </cell>
          <cell r="H142">
            <v>-499348</v>
          </cell>
        </row>
        <row r="143">
          <cell r="B143" t="str">
            <v>00071422/0001-58</v>
          </cell>
          <cell r="H143">
            <v>0</v>
          </cell>
        </row>
        <row r="144">
          <cell r="B144">
            <v>8914170000000</v>
          </cell>
          <cell r="H144">
            <v>0</v>
          </cell>
        </row>
        <row r="145">
          <cell r="B145">
            <v>2116</v>
          </cell>
          <cell r="H145">
            <v>-3094.95</v>
          </cell>
        </row>
        <row r="146">
          <cell r="B146">
            <v>21161</v>
          </cell>
          <cell r="H146">
            <v>0</v>
          </cell>
        </row>
        <row r="147">
          <cell r="B147">
            <v>21162</v>
          </cell>
          <cell r="H147">
            <v>-432.63</v>
          </cell>
        </row>
        <row r="148">
          <cell r="B148">
            <v>21163</v>
          </cell>
          <cell r="H148">
            <v>-2662.32</v>
          </cell>
        </row>
        <row r="149">
          <cell r="B149">
            <v>21167</v>
          </cell>
          <cell r="H149">
            <v>0</v>
          </cell>
        </row>
        <row r="150">
          <cell r="B150">
            <v>2117</v>
          </cell>
          <cell r="H150">
            <v>-2533561.87</v>
          </cell>
        </row>
        <row r="151">
          <cell r="B151">
            <v>561</v>
          </cell>
          <cell r="H151">
            <v>-2463252.17</v>
          </cell>
        </row>
        <row r="152">
          <cell r="B152" t="str">
            <v>INSS</v>
          </cell>
          <cell r="H152">
            <v>-14242.14</v>
          </cell>
        </row>
        <row r="153">
          <cell r="B153">
            <v>6147</v>
          </cell>
          <cell r="H153">
            <v>-2870.94</v>
          </cell>
        </row>
        <row r="154">
          <cell r="B154">
            <v>6190</v>
          </cell>
          <cell r="H154">
            <v>-53196.62</v>
          </cell>
        </row>
        <row r="155">
          <cell r="B155" t="str">
            <v>ISS</v>
          </cell>
          <cell r="H155">
            <v>0</v>
          </cell>
        </row>
        <row r="156">
          <cell r="B156">
            <v>2118</v>
          </cell>
          <cell r="H156">
            <v>-20180913.539999999</v>
          </cell>
        </row>
        <row r="157">
          <cell r="B157">
            <v>21181</v>
          </cell>
          <cell r="H157">
            <v>-4864235.8499999996</v>
          </cell>
        </row>
        <row r="158">
          <cell r="B158">
            <v>21182</v>
          </cell>
          <cell r="H158">
            <v>-1170820</v>
          </cell>
        </row>
        <row r="159">
          <cell r="B159">
            <v>21183</v>
          </cell>
          <cell r="H159">
            <v>-8772994.6099999994</v>
          </cell>
        </row>
        <row r="160">
          <cell r="B160">
            <v>21184</v>
          </cell>
          <cell r="H160">
            <v>-1959247.9</v>
          </cell>
        </row>
        <row r="161">
          <cell r="B161">
            <v>21185</v>
          </cell>
          <cell r="H161">
            <v>-1775.3</v>
          </cell>
        </row>
        <row r="162">
          <cell r="B162">
            <v>21186</v>
          </cell>
          <cell r="H162">
            <v>0</v>
          </cell>
        </row>
        <row r="163">
          <cell r="B163">
            <v>21187</v>
          </cell>
          <cell r="H163">
            <v>-6158.85</v>
          </cell>
        </row>
        <row r="164">
          <cell r="B164">
            <v>21188</v>
          </cell>
          <cell r="H164">
            <v>0</v>
          </cell>
        </row>
        <row r="165">
          <cell r="B165">
            <v>21189</v>
          </cell>
          <cell r="H165">
            <v>-455384.38</v>
          </cell>
        </row>
        <row r="166">
          <cell r="B166">
            <v>211810</v>
          </cell>
          <cell r="H166">
            <v>-261184</v>
          </cell>
        </row>
        <row r="167">
          <cell r="B167">
            <v>211811</v>
          </cell>
          <cell r="H167">
            <v>-20025.63</v>
          </cell>
        </row>
        <row r="168">
          <cell r="B168">
            <v>211812</v>
          </cell>
          <cell r="H168">
            <v>-1967477.19</v>
          </cell>
        </row>
        <row r="169">
          <cell r="B169">
            <v>211813</v>
          </cell>
          <cell r="H169">
            <v>-701609.83</v>
          </cell>
        </row>
        <row r="170">
          <cell r="B170">
            <v>211816</v>
          </cell>
          <cell r="H170">
            <v>0</v>
          </cell>
        </row>
        <row r="171">
          <cell r="B171">
            <v>21114</v>
          </cell>
          <cell r="H171">
            <v>-96376.92</v>
          </cell>
        </row>
        <row r="172">
          <cell r="B172">
            <v>211145</v>
          </cell>
          <cell r="H172">
            <v>-27391.88</v>
          </cell>
        </row>
        <row r="173">
          <cell r="B173">
            <v>211148</v>
          </cell>
          <cell r="H173">
            <v>-68985.039999999994</v>
          </cell>
        </row>
        <row r="174">
          <cell r="B174">
            <v>21115</v>
          </cell>
          <cell r="H174">
            <v>-452073.58</v>
          </cell>
        </row>
        <row r="175">
          <cell r="B175">
            <v>211151</v>
          </cell>
          <cell r="H175">
            <v>-452073.58</v>
          </cell>
        </row>
        <row r="176">
          <cell r="B176">
            <v>21116</v>
          </cell>
          <cell r="H176">
            <v>-2792452.02</v>
          </cell>
        </row>
        <row r="177">
          <cell r="B177">
            <v>211161</v>
          </cell>
          <cell r="H177">
            <v>-3541931.64</v>
          </cell>
        </row>
        <row r="178">
          <cell r="B178">
            <v>211162</v>
          </cell>
          <cell r="H178">
            <v>749479.62</v>
          </cell>
        </row>
        <row r="179">
          <cell r="B179">
            <v>22</v>
          </cell>
          <cell r="H179">
            <v>-25670069.809999999</v>
          </cell>
        </row>
        <row r="180">
          <cell r="B180">
            <v>221</v>
          </cell>
          <cell r="H180">
            <v>-25670069.809999999</v>
          </cell>
        </row>
        <row r="181">
          <cell r="B181">
            <v>2215</v>
          </cell>
          <cell r="H181">
            <v>-11863754.859999999</v>
          </cell>
        </row>
        <row r="182">
          <cell r="B182">
            <v>22151</v>
          </cell>
          <cell r="H182">
            <v>-4510250.6500000004</v>
          </cell>
        </row>
        <row r="183">
          <cell r="B183">
            <v>22153</v>
          </cell>
          <cell r="H183">
            <v>-7353504.21</v>
          </cell>
        </row>
        <row r="184">
          <cell r="B184">
            <v>2218</v>
          </cell>
          <cell r="H184">
            <v>-13806314.949999999</v>
          </cell>
        </row>
        <row r="185">
          <cell r="B185">
            <v>22181</v>
          </cell>
          <cell r="H185">
            <v>-15348370.439999999</v>
          </cell>
        </row>
        <row r="186">
          <cell r="B186">
            <v>22182</v>
          </cell>
          <cell r="H186">
            <v>1542055.49</v>
          </cell>
        </row>
        <row r="187">
          <cell r="B187" t="str">
            <v>PL</v>
          </cell>
          <cell r="H187">
            <v>-32357503.329999998</v>
          </cell>
        </row>
        <row r="188">
          <cell r="B188">
            <v>241</v>
          </cell>
          <cell r="H188">
            <v>-31457537.079999998</v>
          </cell>
        </row>
        <row r="189">
          <cell r="B189">
            <v>2411</v>
          </cell>
          <cell r="H189">
            <v>-31457537.079999998</v>
          </cell>
        </row>
        <row r="190">
          <cell r="B190">
            <v>24111</v>
          </cell>
          <cell r="H190">
            <v>-31457537.079999998</v>
          </cell>
        </row>
        <row r="191">
          <cell r="B191">
            <v>243</v>
          </cell>
          <cell r="H191">
            <v>5.64</v>
          </cell>
        </row>
        <row r="192">
          <cell r="B192">
            <v>2431</v>
          </cell>
          <cell r="H192">
            <v>5.64</v>
          </cell>
        </row>
        <row r="193">
          <cell r="B193">
            <v>24311</v>
          </cell>
          <cell r="H193">
            <v>5.64</v>
          </cell>
        </row>
        <row r="194">
          <cell r="B194">
            <v>246</v>
          </cell>
          <cell r="H194">
            <v>2091950.64</v>
          </cell>
        </row>
        <row r="195">
          <cell r="B195">
            <v>2462</v>
          </cell>
          <cell r="H195">
            <v>2833698.9</v>
          </cell>
        </row>
        <row r="196">
          <cell r="B196">
            <v>24622</v>
          </cell>
          <cell r="H196">
            <v>2833698.9</v>
          </cell>
        </row>
        <row r="197">
          <cell r="B197">
            <v>24699</v>
          </cell>
          <cell r="H197">
            <v>-741748.26</v>
          </cell>
        </row>
        <row r="198">
          <cell r="B198">
            <v>246991</v>
          </cell>
          <cell r="H198">
            <v>-741748.26</v>
          </cell>
        </row>
        <row r="199">
          <cell r="B199">
            <v>247</v>
          </cell>
          <cell r="H199">
            <v>-2991922.53</v>
          </cell>
        </row>
        <row r="200">
          <cell r="B200">
            <v>2471</v>
          </cell>
          <cell r="H200">
            <v>-2991922.53</v>
          </cell>
        </row>
        <row r="201">
          <cell r="B201">
            <v>24711</v>
          </cell>
          <cell r="H201">
            <v>-2991922.53</v>
          </cell>
        </row>
        <row r="202">
          <cell r="B202">
            <v>3</v>
          </cell>
          <cell r="H202">
            <v>-29928833.899999999</v>
          </cell>
        </row>
        <row r="203">
          <cell r="B203">
            <v>31</v>
          </cell>
          <cell r="H203">
            <v>-29794922.890000001</v>
          </cell>
        </row>
        <row r="204">
          <cell r="B204">
            <v>311</v>
          </cell>
          <cell r="H204">
            <v>-29794922.890000001</v>
          </cell>
        </row>
        <row r="205">
          <cell r="B205">
            <v>3111</v>
          </cell>
          <cell r="H205">
            <v>-29794922.890000001</v>
          </cell>
        </row>
        <row r="206">
          <cell r="B206">
            <v>31111</v>
          </cell>
          <cell r="H206">
            <v>-29794922.890000001</v>
          </cell>
        </row>
        <row r="207">
          <cell r="B207">
            <v>33</v>
          </cell>
          <cell r="H207">
            <v>-133911.01</v>
          </cell>
        </row>
        <row r="208">
          <cell r="B208">
            <v>331</v>
          </cell>
          <cell r="H208">
            <v>-133911.01</v>
          </cell>
        </row>
        <row r="209">
          <cell r="B209">
            <v>3311</v>
          </cell>
          <cell r="H209">
            <v>-133911.01</v>
          </cell>
        </row>
        <row r="210">
          <cell r="B210">
            <v>33115</v>
          </cell>
          <cell r="H210">
            <v>-72655.62</v>
          </cell>
        </row>
        <row r="211">
          <cell r="B211">
            <v>33116</v>
          </cell>
          <cell r="H211">
            <v>-61255.39</v>
          </cell>
        </row>
        <row r="212">
          <cell r="B212">
            <v>4</v>
          </cell>
          <cell r="H212">
            <v>29187085.640000001</v>
          </cell>
        </row>
        <row r="213">
          <cell r="B213">
            <v>41</v>
          </cell>
          <cell r="H213">
            <v>18682609.879999999</v>
          </cell>
        </row>
        <row r="214">
          <cell r="B214">
            <v>411</v>
          </cell>
          <cell r="H214">
            <v>16131691.01</v>
          </cell>
        </row>
        <row r="215">
          <cell r="B215">
            <v>4111</v>
          </cell>
          <cell r="H215">
            <v>10895428.800000001</v>
          </cell>
        </row>
        <row r="216">
          <cell r="B216">
            <v>41111</v>
          </cell>
          <cell r="H216">
            <v>8614692.5199999996</v>
          </cell>
        </row>
        <row r="217">
          <cell r="B217">
            <v>41117</v>
          </cell>
          <cell r="H217">
            <v>1235260.58</v>
          </cell>
        </row>
        <row r="218">
          <cell r="B218">
            <v>41118</v>
          </cell>
          <cell r="H218">
            <v>209046.08</v>
          </cell>
        </row>
        <row r="219">
          <cell r="B219">
            <v>41119</v>
          </cell>
          <cell r="H219">
            <v>814654.87</v>
          </cell>
        </row>
        <row r="220">
          <cell r="B220">
            <v>411114</v>
          </cell>
          <cell r="H220">
            <v>21774.75</v>
          </cell>
        </row>
        <row r="221">
          <cell r="B221">
            <v>4112</v>
          </cell>
          <cell r="H221">
            <v>3431123.15</v>
          </cell>
        </row>
        <row r="222">
          <cell r="B222">
            <v>41121</v>
          </cell>
          <cell r="H222">
            <v>1996089.33</v>
          </cell>
        </row>
        <row r="223">
          <cell r="B223">
            <v>41122</v>
          </cell>
          <cell r="H223">
            <v>718390.73</v>
          </cell>
        </row>
        <row r="224">
          <cell r="B224">
            <v>41124</v>
          </cell>
          <cell r="H224">
            <v>182781.19</v>
          </cell>
        </row>
        <row r="225">
          <cell r="B225">
            <v>41125</v>
          </cell>
          <cell r="H225">
            <v>368427.98</v>
          </cell>
        </row>
        <row r="226">
          <cell r="B226">
            <v>41126</v>
          </cell>
          <cell r="H226">
            <v>100261.31</v>
          </cell>
        </row>
        <row r="227">
          <cell r="B227">
            <v>41127</v>
          </cell>
          <cell r="H227">
            <v>65172.61</v>
          </cell>
        </row>
        <row r="228">
          <cell r="B228">
            <v>4113</v>
          </cell>
          <cell r="H228">
            <v>1805139.06</v>
          </cell>
        </row>
        <row r="229">
          <cell r="B229">
            <v>41131</v>
          </cell>
          <cell r="H229">
            <v>638402.39</v>
          </cell>
        </row>
        <row r="230">
          <cell r="B230">
            <v>41132</v>
          </cell>
          <cell r="H230">
            <v>678152.56</v>
          </cell>
        </row>
        <row r="231">
          <cell r="B231">
            <v>41133</v>
          </cell>
          <cell r="H231">
            <v>0</v>
          </cell>
        </row>
        <row r="232">
          <cell r="B232">
            <v>41135</v>
          </cell>
          <cell r="H232">
            <v>122985.17</v>
          </cell>
        </row>
        <row r="233">
          <cell r="B233">
            <v>41136</v>
          </cell>
          <cell r="H233">
            <v>350062.6</v>
          </cell>
        </row>
        <row r="234">
          <cell r="B234">
            <v>411310</v>
          </cell>
          <cell r="H234">
            <v>5899.54</v>
          </cell>
        </row>
        <row r="235">
          <cell r="B235">
            <v>411311</v>
          </cell>
          <cell r="H235">
            <v>9636.7999999999993</v>
          </cell>
        </row>
        <row r="236">
          <cell r="B236">
            <v>413</v>
          </cell>
          <cell r="H236">
            <v>1517181.23</v>
          </cell>
        </row>
        <row r="237">
          <cell r="B237">
            <v>4131</v>
          </cell>
          <cell r="H237">
            <v>1517181.23</v>
          </cell>
        </row>
        <row r="238">
          <cell r="B238">
            <v>41311</v>
          </cell>
          <cell r="H238">
            <v>12228.91</v>
          </cell>
        </row>
        <row r="239">
          <cell r="B239">
            <v>41312</v>
          </cell>
          <cell r="H239">
            <v>148873.74</v>
          </cell>
        </row>
        <row r="240">
          <cell r="B240">
            <v>41315</v>
          </cell>
          <cell r="H240">
            <v>271297.96999999997</v>
          </cell>
        </row>
        <row r="241">
          <cell r="B241">
            <v>413114</v>
          </cell>
          <cell r="H241">
            <v>988484.16</v>
          </cell>
        </row>
        <row r="242">
          <cell r="B242">
            <v>413117</v>
          </cell>
          <cell r="H242">
            <v>93760.55</v>
          </cell>
        </row>
        <row r="243">
          <cell r="B243">
            <v>4131997</v>
          </cell>
          <cell r="H243">
            <v>2535.9</v>
          </cell>
        </row>
        <row r="244">
          <cell r="B244">
            <v>414</v>
          </cell>
          <cell r="H244">
            <v>70488.19</v>
          </cell>
        </row>
        <row r="245">
          <cell r="B245">
            <v>4141</v>
          </cell>
          <cell r="H245">
            <v>70488.19</v>
          </cell>
        </row>
        <row r="246">
          <cell r="B246">
            <v>41412</v>
          </cell>
          <cell r="H246">
            <v>57338.79</v>
          </cell>
        </row>
        <row r="247">
          <cell r="B247">
            <v>41418</v>
          </cell>
          <cell r="H247">
            <v>13149.4</v>
          </cell>
        </row>
        <row r="248">
          <cell r="B248">
            <v>416</v>
          </cell>
          <cell r="H248">
            <v>963249.45</v>
          </cell>
        </row>
        <row r="249">
          <cell r="B249">
            <v>4161</v>
          </cell>
          <cell r="H249">
            <v>457930.54</v>
          </cell>
        </row>
        <row r="250">
          <cell r="B250">
            <v>41614</v>
          </cell>
          <cell r="H250">
            <v>141252.26999999999</v>
          </cell>
        </row>
        <row r="251">
          <cell r="B251">
            <v>41616</v>
          </cell>
          <cell r="H251">
            <v>3829.57</v>
          </cell>
        </row>
        <row r="252">
          <cell r="B252">
            <v>416112</v>
          </cell>
          <cell r="H252">
            <v>706.74</v>
          </cell>
        </row>
        <row r="253">
          <cell r="B253">
            <v>416114</v>
          </cell>
          <cell r="H253">
            <v>89615.7</v>
          </cell>
        </row>
        <row r="254">
          <cell r="B254">
            <v>416115</v>
          </cell>
          <cell r="H254">
            <v>52843.35</v>
          </cell>
        </row>
        <row r="255">
          <cell r="B255">
            <v>416116</v>
          </cell>
          <cell r="H255">
            <v>169682.91</v>
          </cell>
        </row>
        <row r="256">
          <cell r="B256">
            <v>4162</v>
          </cell>
          <cell r="H256">
            <v>505318.91</v>
          </cell>
        </row>
        <row r="257">
          <cell r="B257">
            <v>41621</v>
          </cell>
          <cell r="H257">
            <v>120714.16</v>
          </cell>
        </row>
        <row r="258">
          <cell r="B258">
            <v>41624</v>
          </cell>
          <cell r="H258">
            <v>4975.49</v>
          </cell>
        </row>
        <row r="259">
          <cell r="B259">
            <v>41626</v>
          </cell>
          <cell r="H259">
            <v>19953.509999999998</v>
          </cell>
        </row>
        <row r="260">
          <cell r="B260">
            <v>41627</v>
          </cell>
          <cell r="H260">
            <v>307352.03999999998</v>
          </cell>
        </row>
        <row r="261">
          <cell r="B261">
            <v>416210</v>
          </cell>
          <cell r="H261">
            <v>52323.71</v>
          </cell>
        </row>
        <row r="262">
          <cell r="B262">
            <v>42</v>
          </cell>
          <cell r="H262">
            <v>10504475.76</v>
          </cell>
        </row>
        <row r="263">
          <cell r="B263">
            <v>421</v>
          </cell>
          <cell r="H263">
            <v>7398610.0099999998</v>
          </cell>
        </row>
        <row r="264">
          <cell r="B264">
            <v>4211</v>
          </cell>
          <cell r="H264">
            <v>5046523.46</v>
          </cell>
        </row>
        <row r="265">
          <cell r="B265">
            <v>42111</v>
          </cell>
          <cell r="H265">
            <v>4033385.95</v>
          </cell>
        </row>
        <row r="266">
          <cell r="B266">
            <v>42117</v>
          </cell>
          <cell r="H266">
            <v>560615.4</v>
          </cell>
        </row>
        <row r="267">
          <cell r="B267">
            <v>42118</v>
          </cell>
          <cell r="H267">
            <v>73641.820000000007</v>
          </cell>
        </row>
        <row r="268">
          <cell r="B268">
            <v>42119</v>
          </cell>
          <cell r="H268">
            <v>363826.09</v>
          </cell>
        </row>
        <row r="269">
          <cell r="B269">
            <v>421114</v>
          </cell>
          <cell r="H269">
            <v>15054.2</v>
          </cell>
        </row>
        <row r="270">
          <cell r="B270">
            <v>4212</v>
          </cell>
          <cell r="H270">
            <v>1515861.5</v>
          </cell>
        </row>
        <row r="271">
          <cell r="B271">
            <v>42121</v>
          </cell>
          <cell r="H271">
            <v>901426.65</v>
          </cell>
        </row>
        <row r="272">
          <cell r="B272">
            <v>42122</v>
          </cell>
          <cell r="H272">
            <v>317801.92</v>
          </cell>
        </row>
        <row r="273">
          <cell r="B273">
            <v>42124</v>
          </cell>
          <cell r="H273">
            <v>79878.25</v>
          </cell>
        </row>
        <row r="274">
          <cell r="B274">
            <v>42125</v>
          </cell>
          <cell r="H274">
            <v>148580.60999999999</v>
          </cell>
        </row>
        <row r="275">
          <cell r="B275">
            <v>42126</v>
          </cell>
          <cell r="H275">
            <v>39672.93</v>
          </cell>
        </row>
        <row r="276">
          <cell r="B276">
            <v>42127</v>
          </cell>
          <cell r="H276">
            <v>28501.14</v>
          </cell>
        </row>
        <row r="277">
          <cell r="B277">
            <v>4213</v>
          </cell>
          <cell r="H277">
            <v>836225.05</v>
          </cell>
        </row>
        <row r="278">
          <cell r="B278">
            <v>42131</v>
          </cell>
          <cell r="H278">
            <v>256333.26</v>
          </cell>
        </row>
        <row r="279">
          <cell r="B279">
            <v>42132</v>
          </cell>
          <cell r="H279">
            <v>311843.94</v>
          </cell>
        </row>
        <row r="280">
          <cell r="B280">
            <v>42133</v>
          </cell>
          <cell r="H280">
            <v>9746.93</v>
          </cell>
        </row>
        <row r="281">
          <cell r="B281">
            <v>42134</v>
          </cell>
          <cell r="H281">
            <v>45769.59</v>
          </cell>
        </row>
        <row r="282">
          <cell r="B282">
            <v>42135</v>
          </cell>
          <cell r="H282">
            <v>41012.47</v>
          </cell>
        </row>
        <row r="283">
          <cell r="B283">
            <v>42136</v>
          </cell>
          <cell r="H283">
            <v>155974.94</v>
          </cell>
        </row>
        <row r="284">
          <cell r="B284">
            <v>421310</v>
          </cell>
          <cell r="H284">
            <v>2020.46</v>
          </cell>
        </row>
        <row r="285">
          <cell r="B285">
            <v>421311</v>
          </cell>
          <cell r="H285">
            <v>13523.46</v>
          </cell>
        </row>
        <row r="286">
          <cell r="B286">
            <v>422</v>
          </cell>
          <cell r="H286">
            <v>43403.82</v>
          </cell>
        </row>
        <row r="287">
          <cell r="B287">
            <v>4221</v>
          </cell>
          <cell r="H287">
            <v>43403.82</v>
          </cell>
        </row>
        <row r="288">
          <cell r="B288">
            <v>42211</v>
          </cell>
          <cell r="H288">
            <v>43403.82</v>
          </cell>
        </row>
        <row r="289">
          <cell r="B289">
            <v>423</v>
          </cell>
          <cell r="H289">
            <v>1092777.1000000001</v>
          </cell>
        </row>
        <row r="290">
          <cell r="B290">
            <v>4231</v>
          </cell>
          <cell r="H290">
            <v>1092777.1000000001</v>
          </cell>
        </row>
        <row r="291">
          <cell r="B291">
            <v>42311</v>
          </cell>
          <cell r="H291">
            <v>57908.33</v>
          </cell>
        </row>
        <row r="292">
          <cell r="B292">
            <v>42312</v>
          </cell>
          <cell r="H292">
            <v>231322.2</v>
          </cell>
        </row>
        <row r="293">
          <cell r="B293">
            <v>42313</v>
          </cell>
          <cell r="H293">
            <v>151208.29999999999</v>
          </cell>
        </row>
        <row r="294">
          <cell r="B294">
            <v>42315</v>
          </cell>
          <cell r="H294">
            <v>7926.71</v>
          </cell>
        </row>
        <row r="295">
          <cell r="B295">
            <v>42316</v>
          </cell>
          <cell r="H295">
            <v>498.62</v>
          </cell>
        </row>
        <row r="296">
          <cell r="B296">
            <v>42317</v>
          </cell>
          <cell r="H296">
            <v>33229.11</v>
          </cell>
        </row>
        <row r="297">
          <cell r="B297">
            <v>42318</v>
          </cell>
          <cell r="H297">
            <v>49903.28</v>
          </cell>
        </row>
        <row r="298">
          <cell r="B298">
            <v>423113</v>
          </cell>
          <cell r="H298">
            <v>19252.419999999998</v>
          </cell>
        </row>
        <row r="299">
          <cell r="B299">
            <v>423114</v>
          </cell>
          <cell r="H299">
            <v>460581.88</v>
          </cell>
        </row>
        <row r="300">
          <cell r="B300">
            <v>423117</v>
          </cell>
          <cell r="H300">
            <v>77500.34</v>
          </cell>
        </row>
        <row r="301">
          <cell r="B301">
            <v>423119</v>
          </cell>
          <cell r="H301">
            <v>3445.91</v>
          </cell>
        </row>
        <row r="302">
          <cell r="B302">
            <v>424</v>
          </cell>
          <cell r="H302">
            <v>39266.61</v>
          </cell>
        </row>
        <row r="303">
          <cell r="B303">
            <v>4241</v>
          </cell>
          <cell r="H303">
            <v>39266.61</v>
          </cell>
        </row>
        <row r="304">
          <cell r="B304">
            <v>42412</v>
          </cell>
          <cell r="H304">
            <v>23728.34</v>
          </cell>
        </row>
        <row r="305">
          <cell r="B305">
            <v>42415</v>
          </cell>
          <cell r="H305">
            <v>870.42</v>
          </cell>
        </row>
        <row r="306">
          <cell r="B306">
            <v>42416</v>
          </cell>
          <cell r="H306">
            <v>5356.44</v>
          </cell>
        </row>
        <row r="307">
          <cell r="B307">
            <v>424112</v>
          </cell>
          <cell r="H307">
            <v>9311.41</v>
          </cell>
        </row>
        <row r="308">
          <cell r="B308">
            <v>425</v>
          </cell>
          <cell r="H308">
            <v>245255.44</v>
          </cell>
        </row>
        <row r="309">
          <cell r="B309">
            <v>4251</v>
          </cell>
          <cell r="H309">
            <v>178629.72</v>
          </cell>
        </row>
        <row r="310">
          <cell r="B310">
            <v>42511</v>
          </cell>
          <cell r="H310">
            <v>178629.72</v>
          </cell>
        </row>
        <row r="311">
          <cell r="B311">
            <v>4252</v>
          </cell>
          <cell r="H311">
            <v>66625.72</v>
          </cell>
        </row>
        <row r="312">
          <cell r="B312">
            <v>42521</v>
          </cell>
          <cell r="H312">
            <v>66625.72</v>
          </cell>
        </row>
        <row r="313">
          <cell r="B313">
            <v>426</v>
          </cell>
          <cell r="H313">
            <v>1547146.72</v>
          </cell>
        </row>
        <row r="314">
          <cell r="B314">
            <v>4261</v>
          </cell>
          <cell r="H314">
            <v>1149409.67</v>
          </cell>
        </row>
        <row r="315">
          <cell r="B315">
            <v>42613</v>
          </cell>
          <cell r="H315">
            <v>3589.54</v>
          </cell>
        </row>
        <row r="316">
          <cell r="B316">
            <v>42614</v>
          </cell>
          <cell r="H316">
            <v>58454.03</v>
          </cell>
        </row>
        <row r="317">
          <cell r="B317">
            <v>42616</v>
          </cell>
          <cell r="H317">
            <v>1584.81</v>
          </cell>
        </row>
        <row r="318">
          <cell r="B318">
            <v>42617</v>
          </cell>
          <cell r="H318">
            <v>95.67</v>
          </cell>
        </row>
        <row r="319">
          <cell r="B319">
            <v>426111</v>
          </cell>
          <cell r="H319">
            <v>484854.15</v>
          </cell>
        </row>
        <row r="320">
          <cell r="B320">
            <v>426112</v>
          </cell>
          <cell r="H320">
            <v>5970.43</v>
          </cell>
        </row>
        <row r="321">
          <cell r="B321">
            <v>426114</v>
          </cell>
          <cell r="H321">
            <v>37083.97</v>
          </cell>
        </row>
        <row r="322">
          <cell r="B322">
            <v>426116</v>
          </cell>
          <cell r="H322">
            <v>70219.42</v>
          </cell>
        </row>
        <row r="323">
          <cell r="B323">
            <v>426117</v>
          </cell>
          <cell r="H323">
            <v>22092.33</v>
          </cell>
        </row>
        <row r="324">
          <cell r="B324">
            <v>426118</v>
          </cell>
          <cell r="H324">
            <v>465465.32</v>
          </cell>
        </row>
        <row r="325">
          <cell r="B325">
            <v>4262</v>
          </cell>
          <cell r="H325">
            <v>397737.05</v>
          </cell>
        </row>
        <row r="326">
          <cell r="B326">
            <v>42621</v>
          </cell>
          <cell r="H326">
            <v>49903.12</v>
          </cell>
        </row>
        <row r="327">
          <cell r="B327">
            <v>42622</v>
          </cell>
          <cell r="H327">
            <v>63729.9</v>
          </cell>
        </row>
        <row r="328">
          <cell r="B328">
            <v>42624</v>
          </cell>
          <cell r="H328">
            <v>6633.03</v>
          </cell>
        </row>
        <row r="329">
          <cell r="B329">
            <v>42626</v>
          </cell>
          <cell r="H329">
            <v>32063.26</v>
          </cell>
        </row>
        <row r="330">
          <cell r="B330">
            <v>42627</v>
          </cell>
          <cell r="H330">
            <v>175099.57</v>
          </cell>
        </row>
        <row r="331">
          <cell r="B331">
            <v>42629</v>
          </cell>
          <cell r="H331">
            <v>1600</v>
          </cell>
        </row>
        <row r="332">
          <cell r="B332">
            <v>426210</v>
          </cell>
          <cell r="H332">
            <v>14230.28</v>
          </cell>
        </row>
        <row r="333">
          <cell r="B333">
            <v>426214</v>
          </cell>
          <cell r="H333">
            <v>23013.599999999999</v>
          </cell>
        </row>
        <row r="334">
          <cell r="B334">
            <v>426215</v>
          </cell>
          <cell r="H334">
            <v>31464.29</v>
          </cell>
        </row>
        <row r="335">
          <cell r="B335">
            <v>427</v>
          </cell>
          <cell r="H335">
            <v>138016.06</v>
          </cell>
        </row>
        <row r="336">
          <cell r="B336">
            <v>42701</v>
          </cell>
          <cell r="H336">
            <v>138016.06</v>
          </cell>
        </row>
        <row r="337">
          <cell r="B337">
            <v>42718</v>
          </cell>
          <cell r="H337">
            <v>0</v>
          </cell>
        </row>
        <row r="338">
          <cell r="B338">
            <v>427122</v>
          </cell>
          <cell r="H338">
            <v>138016.06</v>
          </cell>
        </row>
        <row r="339">
          <cell r="B339">
            <v>5</v>
          </cell>
          <cell r="H339">
            <v>741748.26</v>
          </cell>
        </row>
        <row r="340">
          <cell r="B340">
            <v>51</v>
          </cell>
          <cell r="H340">
            <v>741748.26</v>
          </cell>
        </row>
        <row r="341">
          <cell r="B341">
            <v>511</v>
          </cell>
          <cell r="H341">
            <v>799991.65</v>
          </cell>
        </row>
        <row r="342">
          <cell r="B342">
            <v>5111</v>
          </cell>
          <cell r="H342">
            <v>799991.65</v>
          </cell>
        </row>
        <row r="343">
          <cell r="B343">
            <v>512</v>
          </cell>
          <cell r="H343">
            <v>-58243.39</v>
          </cell>
        </row>
        <row r="344">
          <cell r="B344">
            <v>5122</v>
          </cell>
          <cell r="H344">
            <v>-58243.39</v>
          </cell>
        </row>
      </sheetData>
      <sheetData sheetId="26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87250667.900000006</v>
          </cell>
        </row>
        <row r="9">
          <cell r="B9">
            <v>11</v>
          </cell>
          <cell r="H9">
            <v>54313863.219999999</v>
          </cell>
        </row>
        <row r="10">
          <cell r="B10">
            <v>111</v>
          </cell>
          <cell r="H10">
            <v>48328477.890000001</v>
          </cell>
        </row>
        <row r="11">
          <cell r="B11">
            <v>1112</v>
          </cell>
          <cell r="H11">
            <v>48328477.890000001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9625185.9600000009</v>
          </cell>
        </row>
        <row r="14">
          <cell r="B14" t="str">
            <v>BBR</v>
          </cell>
          <cell r="H14">
            <v>38703291.93</v>
          </cell>
        </row>
        <row r="15">
          <cell r="B15">
            <v>112</v>
          </cell>
          <cell r="H15">
            <v>1743908.49</v>
          </cell>
        </row>
        <row r="16">
          <cell r="B16">
            <v>1123</v>
          </cell>
          <cell r="H16">
            <v>769759.88</v>
          </cell>
        </row>
        <row r="17">
          <cell r="B17">
            <v>112310</v>
          </cell>
          <cell r="H17">
            <v>534.41999999999996</v>
          </cell>
        </row>
        <row r="18">
          <cell r="B18">
            <v>112316</v>
          </cell>
          <cell r="H18">
            <v>0</v>
          </cell>
        </row>
        <row r="19">
          <cell r="B19">
            <v>112317</v>
          </cell>
          <cell r="H19">
            <v>0</v>
          </cell>
        </row>
        <row r="20">
          <cell r="B20">
            <v>112338</v>
          </cell>
          <cell r="H20">
            <v>0</v>
          </cell>
        </row>
        <row r="21">
          <cell r="B21">
            <v>112339</v>
          </cell>
          <cell r="H21">
            <v>0</v>
          </cell>
        </row>
        <row r="22">
          <cell r="B22">
            <v>112340</v>
          </cell>
          <cell r="H22">
            <v>574580.12</v>
          </cell>
        </row>
        <row r="23">
          <cell r="B23">
            <v>112341</v>
          </cell>
          <cell r="H23">
            <v>194645.34</v>
          </cell>
        </row>
        <row r="24">
          <cell r="B24">
            <v>1124</v>
          </cell>
          <cell r="H24">
            <v>974016.63</v>
          </cell>
        </row>
        <row r="25">
          <cell r="B25">
            <v>11241</v>
          </cell>
          <cell r="H25">
            <v>224336.34</v>
          </cell>
        </row>
        <row r="26">
          <cell r="B26">
            <v>11242</v>
          </cell>
          <cell r="H26">
            <v>749680.29</v>
          </cell>
        </row>
        <row r="27">
          <cell r="B27">
            <v>112424</v>
          </cell>
          <cell r="H27">
            <v>0</v>
          </cell>
        </row>
        <row r="28">
          <cell r="B28">
            <v>112425</v>
          </cell>
          <cell r="H28">
            <v>0</v>
          </cell>
        </row>
        <row r="29">
          <cell r="B29">
            <v>11299</v>
          </cell>
          <cell r="H29">
            <v>131.97999999999999</v>
          </cell>
        </row>
        <row r="30">
          <cell r="B30">
            <v>112995</v>
          </cell>
          <cell r="H30">
            <v>0</v>
          </cell>
        </row>
        <row r="31">
          <cell r="B31">
            <v>11299999</v>
          </cell>
          <cell r="H31">
            <v>131.97999999999999</v>
          </cell>
        </row>
        <row r="32">
          <cell r="B32">
            <v>113</v>
          </cell>
          <cell r="H32">
            <v>4241476.84</v>
          </cell>
        </row>
        <row r="33">
          <cell r="B33">
            <v>1131</v>
          </cell>
          <cell r="H33">
            <v>4241476.84</v>
          </cell>
        </row>
        <row r="34">
          <cell r="B34">
            <v>11311</v>
          </cell>
          <cell r="H34">
            <v>166920.74</v>
          </cell>
        </row>
        <row r="35">
          <cell r="B35">
            <v>11312</v>
          </cell>
          <cell r="H35">
            <v>866712.22</v>
          </cell>
        </row>
        <row r="36">
          <cell r="B36">
            <v>11313</v>
          </cell>
          <cell r="H36">
            <v>151289.60999999999</v>
          </cell>
        </row>
        <row r="37">
          <cell r="B37">
            <v>11315</v>
          </cell>
          <cell r="H37">
            <v>458922.41</v>
          </cell>
        </row>
        <row r="38">
          <cell r="B38">
            <v>11316</v>
          </cell>
          <cell r="H38">
            <v>2597631.86</v>
          </cell>
        </row>
        <row r="39">
          <cell r="B39">
            <v>12</v>
          </cell>
          <cell r="H39">
            <v>32936804.68</v>
          </cell>
        </row>
        <row r="40">
          <cell r="B40">
            <v>121</v>
          </cell>
          <cell r="H40">
            <v>9534766.8900000006</v>
          </cell>
        </row>
        <row r="41">
          <cell r="B41">
            <v>1213</v>
          </cell>
          <cell r="H41">
            <v>2740548.26</v>
          </cell>
        </row>
        <row r="42">
          <cell r="B42">
            <v>12131</v>
          </cell>
          <cell r="H42">
            <v>25421.57</v>
          </cell>
        </row>
        <row r="43">
          <cell r="B43">
            <v>12134</v>
          </cell>
          <cell r="H43">
            <v>4640.58</v>
          </cell>
        </row>
        <row r="44">
          <cell r="B44">
            <v>12135</v>
          </cell>
          <cell r="H44">
            <v>165694.47</v>
          </cell>
        </row>
        <row r="45">
          <cell r="B45">
            <v>12139</v>
          </cell>
          <cell r="H45">
            <v>1771.12</v>
          </cell>
        </row>
        <row r="46">
          <cell r="B46">
            <v>121311</v>
          </cell>
          <cell r="H46">
            <v>4160.18</v>
          </cell>
        </row>
        <row r="47">
          <cell r="B47">
            <v>121312</v>
          </cell>
          <cell r="H47">
            <v>287.81</v>
          </cell>
        </row>
        <row r="48">
          <cell r="B48">
            <v>121313</v>
          </cell>
          <cell r="H48">
            <v>211632.83</v>
          </cell>
        </row>
        <row r="49">
          <cell r="B49">
            <v>121315</v>
          </cell>
          <cell r="H49">
            <v>144300.99</v>
          </cell>
        </row>
        <row r="50">
          <cell r="B50">
            <v>121316</v>
          </cell>
          <cell r="H50">
            <v>1006140</v>
          </cell>
        </row>
        <row r="51">
          <cell r="B51">
            <v>121317</v>
          </cell>
          <cell r="H51">
            <v>2093.5100000000002</v>
          </cell>
        </row>
        <row r="52">
          <cell r="B52">
            <v>121318</v>
          </cell>
          <cell r="H52">
            <v>800942.98</v>
          </cell>
        </row>
        <row r="53">
          <cell r="B53">
            <v>121319</v>
          </cell>
          <cell r="H53">
            <v>373462.22</v>
          </cell>
        </row>
        <row r="54">
          <cell r="B54">
            <v>1217</v>
          </cell>
          <cell r="H54">
            <v>188.24</v>
          </cell>
        </row>
        <row r="55">
          <cell r="B55">
            <v>12171</v>
          </cell>
          <cell r="H55">
            <v>188.24</v>
          </cell>
        </row>
        <row r="56">
          <cell r="B56">
            <v>1218</v>
          </cell>
          <cell r="H56">
            <v>6794030.3899999997</v>
          </cell>
        </row>
        <row r="57">
          <cell r="B57">
            <v>12181</v>
          </cell>
          <cell r="H57">
            <v>4328534.1399999997</v>
          </cell>
        </row>
        <row r="58">
          <cell r="B58">
            <v>12182</v>
          </cell>
          <cell r="H58">
            <v>2287764.0099999998</v>
          </cell>
        </row>
        <row r="59">
          <cell r="B59">
            <v>12183</v>
          </cell>
          <cell r="H59">
            <v>177732.24</v>
          </cell>
        </row>
        <row r="60">
          <cell r="B60">
            <v>123</v>
          </cell>
          <cell r="H60">
            <v>6294601.0800000001</v>
          </cell>
        </row>
        <row r="61">
          <cell r="B61">
            <v>1231</v>
          </cell>
          <cell r="H61">
            <v>19698565.890000001</v>
          </cell>
        </row>
        <row r="62">
          <cell r="B62">
            <v>12313</v>
          </cell>
          <cell r="H62">
            <v>2565049.0299999998</v>
          </cell>
        </row>
        <row r="63">
          <cell r="B63">
            <v>12314</v>
          </cell>
          <cell r="H63">
            <v>823453.65</v>
          </cell>
        </row>
        <row r="64">
          <cell r="B64">
            <v>12315</v>
          </cell>
          <cell r="H64">
            <v>13510650.199999999</v>
          </cell>
        </row>
        <row r="65">
          <cell r="B65">
            <v>12317</v>
          </cell>
          <cell r="H65">
            <v>2799413.01</v>
          </cell>
        </row>
        <row r="66">
          <cell r="B66">
            <v>12398</v>
          </cell>
          <cell r="H66">
            <v>-13403964.810000001</v>
          </cell>
        </row>
        <row r="67">
          <cell r="B67">
            <v>123982</v>
          </cell>
          <cell r="H67">
            <v>-982044.02</v>
          </cell>
        </row>
        <row r="68">
          <cell r="B68">
            <v>123983</v>
          </cell>
          <cell r="H68">
            <v>-758170.96</v>
          </cell>
        </row>
        <row r="69">
          <cell r="B69">
            <v>123984</v>
          </cell>
          <cell r="H69">
            <v>-9615316.0399999991</v>
          </cell>
        </row>
        <row r="70">
          <cell r="B70">
            <v>123986</v>
          </cell>
          <cell r="H70">
            <v>-2048433.79</v>
          </cell>
        </row>
        <row r="71">
          <cell r="B71">
            <v>124</v>
          </cell>
          <cell r="H71">
            <v>1979813.79</v>
          </cell>
        </row>
        <row r="72">
          <cell r="B72">
            <v>1241</v>
          </cell>
          <cell r="H72">
            <v>13462647.15</v>
          </cell>
        </row>
        <row r="73">
          <cell r="B73">
            <v>124101</v>
          </cell>
          <cell r="H73">
            <v>13462647.15</v>
          </cell>
        </row>
        <row r="74">
          <cell r="B74">
            <v>12498</v>
          </cell>
          <cell r="H74">
            <v>-11482833.359999999</v>
          </cell>
        </row>
        <row r="75">
          <cell r="B75">
            <v>1242</v>
          </cell>
          <cell r="H75">
            <v>-11482833.359999999</v>
          </cell>
        </row>
        <row r="76">
          <cell r="B76">
            <v>125</v>
          </cell>
          <cell r="H76">
            <v>15127622.92</v>
          </cell>
        </row>
        <row r="77">
          <cell r="B77">
            <v>1251</v>
          </cell>
          <cell r="H77">
            <v>15127622.92</v>
          </cell>
        </row>
        <row r="78">
          <cell r="B78">
            <v>12511</v>
          </cell>
          <cell r="H78">
            <v>23738731.34</v>
          </cell>
        </row>
        <row r="79">
          <cell r="B79">
            <v>12512</v>
          </cell>
          <cell r="H79">
            <v>-8611108.4199999999</v>
          </cell>
        </row>
        <row r="80">
          <cell r="B80">
            <v>2</v>
          </cell>
          <cell r="H80">
            <v>-87250667.900000006</v>
          </cell>
        </row>
        <row r="81">
          <cell r="B81">
            <v>21</v>
          </cell>
          <cell r="H81">
            <v>-28928381.050000001</v>
          </cell>
        </row>
        <row r="82">
          <cell r="B82">
            <v>211</v>
          </cell>
          <cell r="H82">
            <v>-28928381.050000001</v>
          </cell>
        </row>
        <row r="83">
          <cell r="B83">
            <v>2114</v>
          </cell>
          <cell r="H83">
            <v>-1745944.41</v>
          </cell>
        </row>
        <row r="84">
          <cell r="B84">
            <v>60444400000000</v>
          </cell>
          <cell r="H84">
            <v>-30000</v>
          </cell>
        </row>
        <row r="85">
          <cell r="B85">
            <v>57143000000000</v>
          </cell>
          <cell r="H85">
            <v>0</v>
          </cell>
        </row>
        <row r="86">
          <cell r="B86">
            <v>34028300000000</v>
          </cell>
          <cell r="H86">
            <v>0</v>
          </cell>
        </row>
        <row r="87">
          <cell r="B87" t="str">
            <v>09168704/0001-42</v>
          </cell>
          <cell r="H87">
            <v>0</v>
          </cell>
        </row>
        <row r="88">
          <cell r="B88" t="str">
            <v>09305983/0001-49</v>
          </cell>
          <cell r="H88">
            <v>-49500</v>
          </cell>
        </row>
        <row r="89">
          <cell r="B89" t="str">
            <v>69034668/0001-56</v>
          </cell>
          <cell r="H89">
            <v>-507684.5</v>
          </cell>
        </row>
        <row r="90">
          <cell r="B90" t="str">
            <v>07604035/0001-89</v>
          </cell>
          <cell r="H90">
            <v>0</v>
          </cell>
        </row>
        <row r="91">
          <cell r="B91" t="str">
            <v>71208516/0001-74</v>
          </cell>
          <cell r="H91">
            <v>-1169.99</v>
          </cell>
        </row>
        <row r="92">
          <cell r="B92" t="str">
            <v>53113791/0001-22</v>
          </cell>
          <cell r="H92">
            <v>-185.22</v>
          </cell>
        </row>
        <row r="93">
          <cell r="B93">
            <v>33754500000000</v>
          </cell>
          <cell r="H93">
            <v>-501517</v>
          </cell>
        </row>
        <row r="94">
          <cell r="B94">
            <v>3017430000000</v>
          </cell>
          <cell r="H94">
            <v>-665</v>
          </cell>
        </row>
        <row r="95">
          <cell r="B95">
            <v>16727400000000</v>
          </cell>
          <cell r="H95">
            <v>0</v>
          </cell>
        </row>
        <row r="96">
          <cell r="B96">
            <v>3535900000000</v>
          </cell>
          <cell r="H96">
            <v>-6300</v>
          </cell>
        </row>
        <row r="97">
          <cell r="B97">
            <v>5555380000000</v>
          </cell>
          <cell r="H97">
            <v>0</v>
          </cell>
        </row>
        <row r="98">
          <cell r="B98">
            <v>23458500000000</v>
          </cell>
          <cell r="H98">
            <v>-12228.91</v>
          </cell>
        </row>
        <row r="99">
          <cell r="B99">
            <v>29508700000000</v>
          </cell>
          <cell r="H99">
            <v>0</v>
          </cell>
        </row>
        <row r="100">
          <cell r="B100">
            <v>14031100000000</v>
          </cell>
          <cell r="H100">
            <v>0</v>
          </cell>
        </row>
        <row r="101">
          <cell r="B101">
            <v>11825800000000</v>
          </cell>
          <cell r="H101">
            <v>0</v>
          </cell>
        </row>
        <row r="102">
          <cell r="B102">
            <v>11522000000000</v>
          </cell>
          <cell r="H102">
            <v>0</v>
          </cell>
        </row>
        <row r="103">
          <cell r="B103">
            <v>2081860000000</v>
          </cell>
          <cell r="H103">
            <v>-2075</v>
          </cell>
        </row>
        <row r="104">
          <cell r="B104">
            <v>9079570000000</v>
          </cell>
          <cell r="H104">
            <v>0</v>
          </cell>
        </row>
        <row r="105">
          <cell r="B105">
            <v>19088600000000</v>
          </cell>
          <cell r="H105">
            <v>-90000</v>
          </cell>
        </row>
        <row r="106">
          <cell r="B106">
            <v>34036200000000</v>
          </cell>
          <cell r="H106">
            <v>-120000</v>
          </cell>
        </row>
        <row r="107">
          <cell r="B107">
            <v>36813600000000</v>
          </cell>
          <cell r="H107">
            <v>-18515.88</v>
          </cell>
        </row>
        <row r="108">
          <cell r="B108">
            <v>34977900000000</v>
          </cell>
          <cell r="H108">
            <v>-1592.33</v>
          </cell>
        </row>
        <row r="109">
          <cell r="B109">
            <v>33198300000000</v>
          </cell>
          <cell r="H109">
            <v>0</v>
          </cell>
        </row>
        <row r="110">
          <cell r="B110">
            <v>28712100000000</v>
          </cell>
          <cell r="H110">
            <v>0</v>
          </cell>
        </row>
        <row r="111">
          <cell r="B111">
            <v>12499500000000</v>
          </cell>
          <cell r="H111">
            <v>0</v>
          </cell>
        </row>
        <row r="112">
          <cell r="B112">
            <v>12979000000000</v>
          </cell>
          <cell r="H112">
            <v>0</v>
          </cell>
        </row>
        <row r="113">
          <cell r="B113">
            <v>27553300000000</v>
          </cell>
          <cell r="H113">
            <v>-1600</v>
          </cell>
        </row>
        <row r="114">
          <cell r="B114">
            <v>2114998</v>
          </cell>
          <cell r="H114">
            <v>0</v>
          </cell>
        </row>
        <row r="115">
          <cell r="B115">
            <v>38458400000000</v>
          </cell>
          <cell r="H115">
            <v>-621.29999999999995</v>
          </cell>
        </row>
        <row r="116">
          <cell r="B116">
            <v>8210270000000</v>
          </cell>
          <cell r="H116">
            <v>0</v>
          </cell>
        </row>
        <row r="117">
          <cell r="B117">
            <v>19485900000000</v>
          </cell>
          <cell r="H117">
            <v>-41691</v>
          </cell>
        </row>
        <row r="118">
          <cell r="B118">
            <v>24185200000000</v>
          </cell>
          <cell r="H118">
            <v>-3612.5</v>
          </cell>
        </row>
        <row r="119">
          <cell r="B119">
            <v>69112500000000</v>
          </cell>
          <cell r="H119">
            <v>0</v>
          </cell>
        </row>
        <row r="120">
          <cell r="B120">
            <v>21775800000000</v>
          </cell>
          <cell r="H120">
            <v>0</v>
          </cell>
        </row>
        <row r="121">
          <cell r="B121">
            <v>16647700000000</v>
          </cell>
          <cell r="H121">
            <v>0</v>
          </cell>
        </row>
        <row r="122">
          <cell r="B122">
            <v>5342580000000</v>
          </cell>
          <cell r="H122">
            <v>0</v>
          </cell>
        </row>
        <row r="123">
          <cell r="B123">
            <v>8808150000000</v>
          </cell>
          <cell r="H123">
            <v>0</v>
          </cell>
        </row>
        <row r="124">
          <cell r="B124">
            <v>38042300000000</v>
          </cell>
          <cell r="H124">
            <v>0</v>
          </cell>
        </row>
        <row r="125">
          <cell r="B125">
            <v>28000129</v>
          </cell>
          <cell r="H125">
            <v>-1333.12</v>
          </cell>
        </row>
        <row r="126">
          <cell r="B126">
            <v>269540000000</v>
          </cell>
          <cell r="H126">
            <v>0</v>
          </cell>
        </row>
        <row r="127">
          <cell r="B127">
            <v>61825700000000</v>
          </cell>
          <cell r="H127">
            <v>0</v>
          </cell>
        </row>
        <row r="128">
          <cell r="B128">
            <v>26344400000000</v>
          </cell>
          <cell r="H128">
            <v>-664.66</v>
          </cell>
        </row>
        <row r="129">
          <cell r="B129">
            <v>17178200000000</v>
          </cell>
          <cell r="H129">
            <v>0</v>
          </cell>
        </row>
        <row r="130">
          <cell r="B130">
            <v>17220900000000</v>
          </cell>
          <cell r="H130">
            <v>0</v>
          </cell>
        </row>
        <row r="131">
          <cell r="B131">
            <v>46947500000000</v>
          </cell>
          <cell r="H131">
            <v>0</v>
          </cell>
        </row>
        <row r="132">
          <cell r="B132">
            <v>7161660000000</v>
          </cell>
          <cell r="H132">
            <v>0</v>
          </cell>
        </row>
        <row r="133">
          <cell r="B133">
            <v>49422000000000</v>
          </cell>
          <cell r="H133">
            <v>0</v>
          </cell>
        </row>
        <row r="134">
          <cell r="B134">
            <v>42422300000000</v>
          </cell>
          <cell r="H134">
            <v>0</v>
          </cell>
        </row>
        <row r="135">
          <cell r="B135">
            <v>5965850000000</v>
          </cell>
          <cell r="H135">
            <v>-20000</v>
          </cell>
        </row>
        <row r="136">
          <cell r="B136">
            <v>52390100000000</v>
          </cell>
          <cell r="H136">
            <v>-28988</v>
          </cell>
        </row>
        <row r="137">
          <cell r="B137">
            <v>30948800000000</v>
          </cell>
          <cell r="H137">
            <v>-306000</v>
          </cell>
        </row>
        <row r="138">
          <cell r="B138">
            <v>2116</v>
          </cell>
          <cell r="H138">
            <v>-249860.29</v>
          </cell>
        </row>
        <row r="139">
          <cell r="B139">
            <v>21161</v>
          </cell>
          <cell r="H139">
            <v>-179705.76</v>
          </cell>
        </row>
        <row r="140">
          <cell r="B140">
            <v>21162</v>
          </cell>
          <cell r="H140">
            <v>-437.79</v>
          </cell>
        </row>
        <row r="141">
          <cell r="B141">
            <v>21163</v>
          </cell>
          <cell r="H141">
            <v>-2694.12</v>
          </cell>
        </row>
        <row r="142">
          <cell r="B142">
            <v>21167</v>
          </cell>
          <cell r="H142">
            <v>-67022.62</v>
          </cell>
        </row>
        <row r="143">
          <cell r="B143">
            <v>2117</v>
          </cell>
          <cell r="H143">
            <v>-2427853.4700000002</v>
          </cell>
        </row>
        <row r="144">
          <cell r="B144">
            <v>561</v>
          </cell>
          <cell r="H144">
            <v>-2385442.77</v>
          </cell>
        </row>
        <row r="145">
          <cell r="B145" t="str">
            <v>INSS</v>
          </cell>
          <cell r="H145">
            <v>0</v>
          </cell>
        </row>
        <row r="146">
          <cell r="B146">
            <v>6147</v>
          </cell>
          <cell r="H146">
            <v>-3418.06</v>
          </cell>
        </row>
        <row r="147">
          <cell r="B147">
            <v>6190</v>
          </cell>
          <cell r="H147">
            <v>-38992.639999999999</v>
          </cell>
        </row>
        <row r="148">
          <cell r="B148">
            <v>6175</v>
          </cell>
          <cell r="H148">
            <v>0</v>
          </cell>
        </row>
        <row r="149">
          <cell r="B149" t="str">
            <v>ISS</v>
          </cell>
          <cell r="H149">
            <v>0</v>
          </cell>
        </row>
        <row r="150">
          <cell r="B150">
            <v>2118</v>
          </cell>
          <cell r="H150">
            <v>-21216850.109999999</v>
          </cell>
        </row>
        <row r="151">
          <cell r="B151">
            <v>21181</v>
          </cell>
          <cell r="H151">
            <v>-5145357.13</v>
          </cell>
        </row>
        <row r="152">
          <cell r="B152">
            <v>21182</v>
          </cell>
          <cell r="H152">
            <v>-587819.38</v>
          </cell>
        </row>
        <row r="153">
          <cell r="B153">
            <v>21183</v>
          </cell>
          <cell r="H153">
            <v>-9268837.4900000002</v>
          </cell>
        </row>
        <row r="154">
          <cell r="B154">
            <v>21184</v>
          </cell>
          <cell r="H154">
            <v>-1994407.93</v>
          </cell>
        </row>
        <row r="155">
          <cell r="B155">
            <v>21185</v>
          </cell>
          <cell r="H155">
            <v>-651132.30000000005</v>
          </cell>
        </row>
        <row r="156">
          <cell r="B156">
            <v>21186</v>
          </cell>
          <cell r="H156">
            <v>0</v>
          </cell>
        </row>
        <row r="157">
          <cell r="B157">
            <v>21187</v>
          </cell>
          <cell r="H157">
            <v>0</v>
          </cell>
        </row>
        <row r="158">
          <cell r="B158">
            <v>21188</v>
          </cell>
          <cell r="H158">
            <v>0</v>
          </cell>
        </row>
        <row r="159">
          <cell r="B159">
            <v>21189</v>
          </cell>
          <cell r="H159">
            <v>-450169.37</v>
          </cell>
        </row>
        <row r="160">
          <cell r="B160">
            <v>211810</v>
          </cell>
          <cell r="H160">
            <v>-131131.92000000001</v>
          </cell>
        </row>
        <row r="161">
          <cell r="B161">
            <v>211811</v>
          </cell>
          <cell r="H161">
            <v>0</v>
          </cell>
        </row>
        <row r="162">
          <cell r="B162">
            <v>211812</v>
          </cell>
          <cell r="H162">
            <v>-2076140.03</v>
          </cell>
        </row>
        <row r="163">
          <cell r="B163">
            <v>211813</v>
          </cell>
          <cell r="H163">
            <v>-740372.15</v>
          </cell>
        </row>
        <row r="164">
          <cell r="B164">
            <v>211816</v>
          </cell>
          <cell r="H164">
            <v>-171482.41</v>
          </cell>
        </row>
        <row r="165">
          <cell r="B165">
            <v>21114</v>
          </cell>
          <cell r="H165">
            <v>-61932.02</v>
          </cell>
        </row>
        <row r="166">
          <cell r="B166">
            <v>211145</v>
          </cell>
          <cell r="H166">
            <v>-27439.5</v>
          </cell>
        </row>
        <row r="167">
          <cell r="B167">
            <v>211148</v>
          </cell>
          <cell r="H167">
            <v>-34492.519999999997</v>
          </cell>
        </row>
        <row r="168">
          <cell r="B168">
            <v>21115</v>
          </cell>
          <cell r="H168">
            <v>-444819.3</v>
          </cell>
        </row>
        <row r="169">
          <cell r="B169">
            <v>211151</v>
          </cell>
          <cell r="H169">
            <v>-444819.3</v>
          </cell>
        </row>
        <row r="170">
          <cell r="B170">
            <v>21116</v>
          </cell>
          <cell r="H170">
            <v>-2781121.45</v>
          </cell>
        </row>
        <row r="171">
          <cell r="B171">
            <v>211161</v>
          </cell>
          <cell r="H171">
            <v>-3541931.64</v>
          </cell>
        </row>
        <row r="172">
          <cell r="B172">
            <v>211162</v>
          </cell>
          <cell r="H172">
            <v>760810.19</v>
          </cell>
        </row>
        <row r="173">
          <cell r="B173">
            <v>22</v>
          </cell>
          <cell r="H173">
            <v>-25908013.07</v>
          </cell>
        </row>
        <row r="174">
          <cell r="B174">
            <v>221</v>
          </cell>
          <cell r="H174">
            <v>-25908013.07</v>
          </cell>
        </row>
        <row r="175">
          <cell r="B175">
            <v>2215</v>
          </cell>
          <cell r="H175">
            <v>-11863754.859999999</v>
          </cell>
        </row>
        <row r="176">
          <cell r="B176">
            <v>22151</v>
          </cell>
          <cell r="H176">
            <v>-4510250.6500000004</v>
          </cell>
        </row>
        <row r="177">
          <cell r="B177">
            <v>22153</v>
          </cell>
          <cell r="H177">
            <v>-7353504.21</v>
          </cell>
        </row>
        <row r="178">
          <cell r="B178">
            <v>2218</v>
          </cell>
          <cell r="H178">
            <v>-14044258.210000001</v>
          </cell>
        </row>
        <row r="179">
          <cell r="B179">
            <v>22181</v>
          </cell>
          <cell r="H179">
            <v>-15643531.41</v>
          </cell>
        </row>
        <row r="180">
          <cell r="B180">
            <v>22182</v>
          </cell>
          <cell r="H180">
            <v>1599273.2</v>
          </cell>
        </row>
        <row r="181">
          <cell r="B181" t="str">
            <v>PL</v>
          </cell>
          <cell r="H181">
            <v>-32414273.780000001</v>
          </cell>
        </row>
        <row r="182">
          <cell r="B182">
            <v>241</v>
          </cell>
          <cell r="H182">
            <v>-31457537.079999998</v>
          </cell>
        </row>
        <row r="183">
          <cell r="B183">
            <v>2411</v>
          </cell>
          <cell r="H183">
            <v>-31457537.079999998</v>
          </cell>
        </row>
        <row r="184">
          <cell r="B184">
            <v>24111</v>
          </cell>
          <cell r="H184">
            <v>-31457537.079999998</v>
          </cell>
        </row>
        <row r="185">
          <cell r="B185">
            <v>243</v>
          </cell>
          <cell r="H185">
            <v>5.64</v>
          </cell>
        </row>
        <row r="186">
          <cell r="B186">
            <v>2431</v>
          </cell>
          <cell r="H186">
            <v>5.64</v>
          </cell>
        </row>
        <row r="187">
          <cell r="B187">
            <v>24311</v>
          </cell>
          <cell r="H187">
            <v>5.64</v>
          </cell>
        </row>
        <row r="188">
          <cell r="B188">
            <v>246</v>
          </cell>
          <cell r="H188">
            <v>2035180.19</v>
          </cell>
        </row>
        <row r="189">
          <cell r="B189">
            <v>2462</v>
          </cell>
          <cell r="H189">
            <v>2833698.9</v>
          </cell>
        </row>
        <row r="190">
          <cell r="B190">
            <v>24622</v>
          </cell>
          <cell r="H190">
            <v>2833698.9</v>
          </cell>
        </row>
        <row r="191">
          <cell r="B191">
            <v>24699</v>
          </cell>
          <cell r="H191">
            <v>-798518.71</v>
          </cell>
        </row>
        <row r="192">
          <cell r="B192">
            <v>246991</v>
          </cell>
          <cell r="H192">
            <v>-798518.71</v>
          </cell>
        </row>
        <row r="193">
          <cell r="B193">
            <v>247</v>
          </cell>
          <cell r="H193">
            <v>-2991922.53</v>
          </cell>
        </row>
        <row r="194">
          <cell r="B194">
            <v>2471</v>
          </cell>
          <cell r="H194">
            <v>-2991922.53</v>
          </cell>
        </row>
        <row r="195">
          <cell r="B195">
            <v>24711</v>
          </cell>
          <cell r="H195">
            <v>-2991922.53</v>
          </cell>
        </row>
        <row r="196">
          <cell r="B196">
            <v>3</v>
          </cell>
          <cell r="H196">
            <v>-16579068.48</v>
          </cell>
        </row>
        <row r="197">
          <cell r="B197">
            <v>31</v>
          </cell>
          <cell r="H197">
            <v>-16511715.550000001</v>
          </cell>
        </row>
        <row r="198">
          <cell r="B198">
            <v>311</v>
          </cell>
          <cell r="H198">
            <v>-16511715.550000001</v>
          </cell>
        </row>
        <row r="199">
          <cell r="B199">
            <v>3111</v>
          </cell>
          <cell r="H199">
            <v>-16511715.550000001</v>
          </cell>
        </row>
        <row r="200">
          <cell r="B200">
            <v>31111</v>
          </cell>
          <cell r="H200">
            <v>-16511715.550000001</v>
          </cell>
        </row>
        <row r="201">
          <cell r="B201">
            <v>33</v>
          </cell>
          <cell r="H201">
            <v>-67352.929999999993</v>
          </cell>
        </row>
        <row r="202">
          <cell r="B202">
            <v>331</v>
          </cell>
          <cell r="H202">
            <v>-67352.929999999993</v>
          </cell>
        </row>
        <row r="203">
          <cell r="B203">
            <v>3311</v>
          </cell>
          <cell r="H203">
            <v>-67352.929999999993</v>
          </cell>
        </row>
        <row r="204">
          <cell r="B204">
            <v>33115</v>
          </cell>
          <cell r="H204">
            <v>-36422.71</v>
          </cell>
        </row>
        <row r="205">
          <cell r="B205">
            <v>33116</v>
          </cell>
          <cell r="H205">
            <v>-30930.22</v>
          </cell>
        </row>
        <row r="206">
          <cell r="B206">
            <v>4</v>
          </cell>
          <cell r="H206">
            <v>15780549.77</v>
          </cell>
        </row>
        <row r="207">
          <cell r="B207">
            <v>41</v>
          </cell>
          <cell r="H207">
            <v>10060374.17</v>
          </cell>
        </row>
        <row r="208">
          <cell r="B208">
            <v>411</v>
          </cell>
          <cell r="H208">
            <v>8786358.0899999999</v>
          </cell>
        </row>
        <row r="209">
          <cell r="B209">
            <v>4111</v>
          </cell>
          <cell r="H209">
            <v>5956988.79</v>
          </cell>
        </row>
        <row r="210">
          <cell r="B210">
            <v>41111</v>
          </cell>
          <cell r="H210">
            <v>4019104.04</v>
          </cell>
        </row>
        <row r="211">
          <cell r="B211">
            <v>41117</v>
          </cell>
          <cell r="H211">
            <v>1363691.78</v>
          </cell>
        </row>
        <row r="212">
          <cell r="B212">
            <v>41118</v>
          </cell>
          <cell r="H212">
            <v>155376.37</v>
          </cell>
        </row>
        <row r="213">
          <cell r="B213">
            <v>41119</v>
          </cell>
          <cell r="H213">
            <v>407342.73</v>
          </cell>
        </row>
        <row r="214">
          <cell r="B214">
            <v>411114</v>
          </cell>
          <cell r="H214">
            <v>11473.87</v>
          </cell>
        </row>
        <row r="215">
          <cell r="B215">
            <v>4112</v>
          </cell>
          <cell r="H215">
            <v>1878122.93</v>
          </cell>
        </row>
        <row r="216">
          <cell r="B216">
            <v>41121</v>
          </cell>
          <cell r="H216">
            <v>934863.48</v>
          </cell>
        </row>
        <row r="217">
          <cell r="B217">
            <v>41122</v>
          </cell>
          <cell r="H217">
            <v>336824.14</v>
          </cell>
        </row>
        <row r="218">
          <cell r="B218">
            <v>41124</v>
          </cell>
          <cell r="H218">
            <v>91393.38</v>
          </cell>
        </row>
        <row r="219">
          <cell r="B219">
            <v>41125</v>
          </cell>
          <cell r="H219">
            <v>378559.32</v>
          </cell>
        </row>
        <row r="220">
          <cell r="B220">
            <v>41126</v>
          </cell>
          <cell r="H220">
            <v>103895.06</v>
          </cell>
        </row>
        <row r="221">
          <cell r="B221">
            <v>41127</v>
          </cell>
          <cell r="H221">
            <v>32587.55</v>
          </cell>
        </row>
        <row r="222">
          <cell r="B222">
            <v>4113</v>
          </cell>
          <cell r="H222">
            <v>951246.37</v>
          </cell>
        </row>
        <row r="223">
          <cell r="B223">
            <v>41131</v>
          </cell>
          <cell r="H223">
            <v>317347.18</v>
          </cell>
        </row>
        <row r="224">
          <cell r="B224">
            <v>41132</v>
          </cell>
          <cell r="H224">
            <v>388190.1</v>
          </cell>
        </row>
        <row r="225">
          <cell r="B225">
            <v>41133</v>
          </cell>
          <cell r="H225">
            <v>0</v>
          </cell>
        </row>
        <row r="226">
          <cell r="B226">
            <v>41135</v>
          </cell>
          <cell r="H226">
            <v>59191.09</v>
          </cell>
        </row>
        <row r="227">
          <cell r="B227">
            <v>41136</v>
          </cell>
          <cell r="H227">
            <v>174479.65</v>
          </cell>
        </row>
        <row r="228">
          <cell r="B228">
            <v>411310</v>
          </cell>
          <cell r="H228">
            <v>3881.94</v>
          </cell>
        </row>
        <row r="229">
          <cell r="B229">
            <v>411311</v>
          </cell>
          <cell r="H229">
            <v>8156.41</v>
          </cell>
        </row>
        <row r="230">
          <cell r="B230">
            <v>413</v>
          </cell>
          <cell r="H230">
            <v>744675.51</v>
          </cell>
        </row>
        <row r="231">
          <cell r="B231">
            <v>4131</v>
          </cell>
          <cell r="H231">
            <v>744675.51</v>
          </cell>
        </row>
        <row r="232">
          <cell r="B232">
            <v>41311</v>
          </cell>
          <cell r="H232">
            <v>12228.91</v>
          </cell>
        </row>
        <row r="233">
          <cell r="B233">
            <v>41312</v>
          </cell>
          <cell r="H233">
            <v>68408.149999999994</v>
          </cell>
        </row>
        <row r="234">
          <cell r="B234">
            <v>41315</v>
          </cell>
          <cell r="H234">
            <v>61199.61</v>
          </cell>
        </row>
        <row r="235">
          <cell r="B235">
            <v>413114</v>
          </cell>
          <cell r="H235">
            <v>553101.17000000004</v>
          </cell>
        </row>
        <row r="236">
          <cell r="B236">
            <v>413117</v>
          </cell>
          <cell r="H236">
            <v>48324.62</v>
          </cell>
        </row>
        <row r="237">
          <cell r="B237">
            <v>4131997</v>
          </cell>
          <cell r="H237">
            <v>1413.05</v>
          </cell>
        </row>
        <row r="238">
          <cell r="B238">
            <v>414</v>
          </cell>
          <cell r="H238">
            <v>30127.16</v>
          </cell>
        </row>
        <row r="239">
          <cell r="B239">
            <v>4141</v>
          </cell>
          <cell r="H239">
            <v>30127.16</v>
          </cell>
        </row>
        <row r="240">
          <cell r="B240">
            <v>41412</v>
          </cell>
          <cell r="H240">
            <v>30127.16</v>
          </cell>
        </row>
        <row r="241">
          <cell r="B241">
            <v>416</v>
          </cell>
          <cell r="H241">
            <v>499213.41</v>
          </cell>
        </row>
        <row r="242">
          <cell r="B242">
            <v>4161</v>
          </cell>
          <cell r="H242">
            <v>226720.32</v>
          </cell>
        </row>
        <row r="243">
          <cell r="B243">
            <v>41614</v>
          </cell>
          <cell r="H243">
            <v>79007.539999999994</v>
          </cell>
        </row>
        <row r="244">
          <cell r="B244">
            <v>41616</v>
          </cell>
          <cell r="H244">
            <v>1707.69</v>
          </cell>
        </row>
        <row r="245">
          <cell r="B245">
            <v>416112</v>
          </cell>
          <cell r="H245">
            <v>353.37</v>
          </cell>
        </row>
        <row r="246">
          <cell r="B246">
            <v>416114</v>
          </cell>
          <cell r="H246">
            <v>42439.02</v>
          </cell>
        </row>
        <row r="247">
          <cell r="B247">
            <v>416115</v>
          </cell>
          <cell r="H247">
            <v>21219.51</v>
          </cell>
        </row>
        <row r="248">
          <cell r="B248">
            <v>416116</v>
          </cell>
          <cell r="H248">
            <v>81993.19</v>
          </cell>
        </row>
        <row r="249">
          <cell r="B249">
            <v>4162</v>
          </cell>
          <cell r="H249">
            <v>272493.09000000003</v>
          </cell>
        </row>
        <row r="250">
          <cell r="B250">
            <v>41621</v>
          </cell>
          <cell r="H250">
            <v>60357.08</v>
          </cell>
        </row>
        <row r="251">
          <cell r="B251">
            <v>41624</v>
          </cell>
          <cell r="H251">
            <v>4975.49</v>
          </cell>
        </row>
        <row r="252">
          <cell r="B252">
            <v>41626</v>
          </cell>
          <cell r="H252">
            <v>12778.31</v>
          </cell>
        </row>
        <row r="253">
          <cell r="B253">
            <v>41627</v>
          </cell>
          <cell r="H253">
            <v>174618.55</v>
          </cell>
        </row>
        <row r="254">
          <cell r="B254">
            <v>416210</v>
          </cell>
          <cell r="H254">
            <v>19763.66</v>
          </cell>
        </row>
        <row r="255">
          <cell r="B255">
            <v>42</v>
          </cell>
          <cell r="H255">
            <v>5720175.5999999996</v>
          </cell>
        </row>
        <row r="256">
          <cell r="B256">
            <v>421</v>
          </cell>
          <cell r="H256">
            <v>4062085.32</v>
          </cell>
        </row>
        <row r="257">
          <cell r="B257">
            <v>4211</v>
          </cell>
          <cell r="H257">
            <v>2779019.09</v>
          </cell>
        </row>
        <row r="258">
          <cell r="B258">
            <v>42111</v>
          </cell>
          <cell r="H258">
            <v>1928579.36</v>
          </cell>
        </row>
        <row r="259">
          <cell r="B259">
            <v>42117</v>
          </cell>
          <cell r="H259">
            <v>601791.71</v>
          </cell>
        </row>
        <row r="260">
          <cell r="B260">
            <v>42118</v>
          </cell>
          <cell r="H260">
            <v>58407.76</v>
          </cell>
        </row>
        <row r="261">
          <cell r="B261">
            <v>42119</v>
          </cell>
          <cell r="H261">
            <v>182713.16</v>
          </cell>
        </row>
        <row r="262">
          <cell r="B262">
            <v>421114</v>
          </cell>
          <cell r="H262">
            <v>7527.1</v>
          </cell>
        </row>
        <row r="263">
          <cell r="B263">
            <v>4212</v>
          </cell>
          <cell r="H263">
            <v>843746.65</v>
          </cell>
        </row>
        <row r="264">
          <cell r="B264">
            <v>42121</v>
          </cell>
          <cell r="H264">
            <v>431014.52</v>
          </cell>
        </row>
        <row r="265">
          <cell r="B265">
            <v>42122</v>
          </cell>
          <cell r="H265">
            <v>151770.88</v>
          </cell>
        </row>
        <row r="266">
          <cell r="B266">
            <v>42124</v>
          </cell>
          <cell r="H266">
            <v>39996.92</v>
          </cell>
        </row>
        <row r="267">
          <cell r="B267">
            <v>42125</v>
          </cell>
          <cell r="H267">
            <v>162176.35</v>
          </cell>
        </row>
        <row r="268">
          <cell r="B268">
            <v>42126</v>
          </cell>
          <cell r="H268">
            <v>44516.81</v>
          </cell>
        </row>
        <row r="269">
          <cell r="B269">
            <v>42127</v>
          </cell>
          <cell r="H269">
            <v>14271.17</v>
          </cell>
        </row>
        <row r="270">
          <cell r="B270">
            <v>4213</v>
          </cell>
          <cell r="H270">
            <v>439319.58</v>
          </cell>
        </row>
        <row r="271">
          <cell r="B271">
            <v>42131</v>
          </cell>
          <cell r="H271">
            <v>127472.12</v>
          </cell>
        </row>
        <row r="272">
          <cell r="B272">
            <v>42132</v>
          </cell>
          <cell r="H272">
            <v>178506.63</v>
          </cell>
        </row>
        <row r="273">
          <cell r="B273">
            <v>42133</v>
          </cell>
          <cell r="H273">
            <v>8438.2099999999991</v>
          </cell>
        </row>
        <row r="274">
          <cell r="B274">
            <v>42134</v>
          </cell>
          <cell r="H274">
            <v>23344.47</v>
          </cell>
        </row>
        <row r="275">
          <cell r="B275">
            <v>42135</v>
          </cell>
          <cell r="H275">
            <v>20243.419999999998</v>
          </cell>
        </row>
        <row r="276">
          <cell r="B276">
            <v>42136</v>
          </cell>
          <cell r="H276">
            <v>76556.83</v>
          </cell>
        </row>
        <row r="277">
          <cell r="B277">
            <v>421310</v>
          </cell>
          <cell r="H277">
            <v>1382.56</v>
          </cell>
        </row>
        <row r="278">
          <cell r="B278">
            <v>421311</v>
          </cell>
          <cell r="H278">
            <v>3375.34</v>
          </cell>
        </row>
        <row r="279">
          <cell r="B279">
            <v>422</v>
          </cell>
          <cell r="H279">
            <v>42312.3</v>
          </cell>
        </row>
        <row r="280">
          <cell r="B280">
            <v>4221</v>
          </cell>
          <cell r="H280">
            <v>42312.3</v>
          </cell>
        </row>
        <row r="281">
          <cell r="B281">
            <v>42211</v>
          </cell>
          <cell r="H281">
            <v>42312.3</v>
          </cell>
        </row>
        <row r="282">
          <cell r="B282">
            <v>423</v>
          </cell>
          <cell r="H282">
            <v>501026.22</v>
          </cell>
        </row>
        <row r="283">
          <cell r="B283">
            <v>4231</v>
          </cell>
          <cell r="H283">
            <v>501026.22</v>
          </cell>
        </row>
        <row r="284">
          <cell r="B284">
            <v>42312</v>
          </cell>
          <cell r="H284">
            <v>116273.66</v>
          </cell>
        </row>
        <row r="285">
          <cell r="B285">
            <v>42313</v>
          </cell>
          <cell r="H285">
            <v>89371.520000000004</v>
          </cell>
        </row>
        <row r="286">
          <cell r="B286">
            <v>42315</v>
          </cell>
          <cell r="H286">
            <v>3959.71</v>
          </cell>
        </row>
        <row r="287">
          <cell r="B287">
            <v>42316</v>
          </cell>
          <cell r="H287">
            <v>498.62</v>
          </cell>
        </row>
        <row r="288">
          <cell r="B288">
            <v>42317</v>
          </cell>
          <cell r="H288">
            <v>14076.5</v>
          </cell>
        </row>
        <row r="289">
          <cell r="B289">
            <v>42318</v>
          </cell>
          <cell r="H289">
            <v>18515.88</v>
          </cell>
        </row>
        <row r="290">
          <cell r="B290">
            <v>423114</v>
          </cell>
          <cell r="H290">
            <v>218639.45</v>
          </cell>
        </row>
        <row r="291">
          <cell r="B291">
            <v>423117</v>
          </cell>
          <cell r="H291">
            <v>39690.879999999997</v>
          </cell>
        </row>
        <row r="292">
          <cell r="B292">
            <v>424</v>
          </cell>
          <cell r="H292">
            <v>15599.34</v>
          </cell>
        </row>
        <row r="293">
          <cell r="B293">
            <v>4241</v>
          </cell>
          <cell r="H293">
            <v>15599.34</v>
          </cell>
        </row>
        <row r="294">
          <cell r="B294">
            <v>42412</v>
          </cell>
          <cell r="H294">
            <v>12467.43</v>
          </cell>
        </row>
        <row r="295">
          <cell r="B295">
            <v>42415</v>
          </cell>
          <cell r="H295">
            <v>437.79</v>
          </cell>
        </row>
        <row r="296">
          <cell r="B296">
            <v>42416</v>
          </cell>
          <cell r="H296">
            <v>2694.12</v>
          </cell>
        </row>
        <row r="297">
          <cell r="B297">
            <v>425</v>
          </cell>
          <cell r="H297">
            <v>246728.38</v>
          </cell>
        </row>
        <row r="298">
          <cell r="B298">
            <v>4251</v>
          </cell>
          <cell r="H298">
            <v>179705.76</v>
          </cell>
        </row>
        <row r="299">
          <cell r="B299">
            <v>42511</v>
          </cell>
          <cell r="H299">
            <v>179705.76</v>
          </cell>
        </row>
        <row r="300">
          <cell r="B300">
            <v>4252</v>
          </cell>
          <cell r="H300">
            <v>67022.62</v>
          </cell>
        </row>
        <row r="301">
          <cell r="B301">
            <v>42521</v>
          </cell>
          <cell r="H301">
            <v>67022.62</v>
          </cell>
        </row>
        <row r="302">
          <cell r="B302">
            <v>426</v>
          </cell>
          <cell r="H302">
            <v>782956.26</v>
          </cell>
        </row>
        <row r="303">
          <cell r="B303">
            <v>4261</v>
          </cell>
          <cell r="H303">
            <v>580181.81000000006</v>
          </cell>
        </row>
        <row r="304">
          <cell r="B304">
            <v>42613</v>
          </cell>
          <cell r="H304">
            <v>1592.33</v>
          </cell>
        </row>
        <row r="305">
          <cell r="B305">
            <v>42614</v>
          </cell>
          <cell r="H305">
            <v>32695.47</v>
          </cell>
        </row>
        <row r="306">
          <cell r="B306">
            <v>42616</v>
          </cell>
          <cell r="H306">
            <v>706.7</v>
          </cell>
        </row>
        <row r="307">
          <cell r="B307">
            <v>42617</v>
          </cell>
          <cell r="H307">
            <v>95.67</v>
          </cell>
        </row>
        <row r="308">
          <cell r="B308">
            <v>426111</v>
          </cell>
          <cell r="H308">
            <v>251940.26</v>
          </cell>
        </row>
        <row r="309">
          <cell r="B309">
            <v>426112</v>
          </cell>
          <cell r="H309">
            <v>146.22999999999999</v>
          </cell>
        </row>
        <row r="310">
          <cell r="B310">
            <v>426114</v>
          </cell>
          <cell r="H310">
            <v>17560.98</v>
          </cell>
        </row>
        <row r="311">
          <cell r="B311">
            <v>426116</v>
          </cell>
          <cell r="H311">
            <v>33931.019999999997</v>
          </cell>
        </row>
        <row r="312">
          <cell r="B312">
            <v>426117</v>
          </cell>
          <cell r="H312">
            <v>8780.49</v>
          </cell>
        </row>
        <row r="313">
          <cell r="B313">
            <v>426118</v>
          </cell>
          <cell r="H313">
            <v>232732.66</v>
          </cell>
        </row>
        <row r="314">
          <cell r="B314">
            <v>4262</v>
          </cell>
          <cell r="H314">
            <v>202774.45</v>
          </cell>
        </row>
        <row r="315">
          <cell r="B315">
            <v>42621</v>
          </cell>
          <cell r="H315">
            <v>24951.56</v>
          </cell>
        </row>
        <row r="316">
          <cell r="B316">
            <v>42622</v>
          </cell>
          <cell r="H316">
            <v>31864.95</v>
          </cell>
        </row>
        <row r="317">
          <cell r="B317">
            <v>42624</v>
          </cell>
          <cell r="H317">
            <v>6633.03</v>
          </cell>
        </row>
        <row r="318">
          <cell r="B318">
            <v>42626</v>
          </cell>
          <cell r="H318">
            <v>15638.12</v>
          </cell>
        </row>
        <row r="319">
          <cell r="B319">
            <v>42627</v>
          </cell>
          <cell r="H319">
            <v>95647.91</v>
          </cell>
        </row>
        <row r="320">
          <cell r="B320">
            <v>426214</v>
          </cell>
          <cell r="H320">
            <v>11506.8</v>
          </cell>
        </row>
        <row r="321">
          <cell r="B321">
            <v>426215</v>
          </cell>
          <cell r="H321">
            <v>16532.080000000002</v>
          </cell>
        </row>
        <row r="322">
          <cell r="B322">
            <v>427</v>
          </cell>
          <cell r="H322">
            <v>69467.78</v>
          </cell>
        </row>
        <row r="323">
          <cell r="B323">
            <v>42701</v>
          </cell>
          <cell r="H323">
            <v>69467.78</v>
          </cell>
        </row>
        <row r="324">
          <cell r="B324">
            <v>427122</v>
          </cell>
          <cell r="H324">
            <v>69467.78</v>
          </cell>
        </row>
        <row r="325">
          <cell r="B325">
            <v>5</v>
          </cell>
          <cell r="H325">
            <v>798518.71</v>
          </cell>
        </row>
        <row r="326">
          <cell r="B326">
            <v>51</v>
          </cell>
          <cell r="H326">
            <v>798518.71</v>
          </cell>
        </row>
        <row r="327">
          <cell r="B327">
            <v>511</v>
          </cell>
          <cell r="H327">
            <v>798518.71</v>
          </cell>
        </row>
        <row r="328">
          <cell r="B328">
            <v>5111</v>
          </cell>
          <cell r="H328">
            <v>798518.71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erno_Cache_XXXXX"/>
      <sheetName val="Planilha1"/>
      <sheetName val="IRPJ_CSLL_2021"/>
      <sheetName val="12.2021"/>
      <sheetName val="11.2021"/>
      <sheetName val="10.2021"/>
      <sheetName val="01.2022"/>
      <sheetName val="02.2022"/>
      <sheetName val="EPE (2)"/>
      <sheetName val="IRPJ_CSLL_2022"/>
      <sheetName val="IRPJ_CSLL_2023"/>
      <sheetName val="06.2023"/>
      <sheetName val="EPE (3)"/>
      <sheetName val="05.2023"/>
      <sheetName val="04.2023"/>
      <sheetName val="03.2023"/>
      <sheetName val="02.2023"/>
      <sheetName val="01.2023"/>
      <sheetName val="12.2022"/>
      <sheetName val="11.2022"/>
      <sheetName val="10.2022"/>
      <sheetName val="09.2022"/>
      <sheetName val="08.2022"/>
      <sheetName val="07.2022"/>
      <sheetName val="06.2022"/>
      <sheetName val="05.2022"/>
      <sheetName val="07.2020"/>
      <sheetName val="08.2020"/>
      <sheetName val="Plan1"/>
      <sheetName val="03.2022"/>
      <sheetName val="04.2022"/>
      <sheetName val="06.2021"/>
      <sheetName val="07.2021"/>
      <sheetName val="08.2021"/>
      <sheetName val="09.2021"/>
    </sheetNames>
    <sheetDataSet>
      <sheetData sheetId="0"/>
      <sheetData sheetId="1">
        <row r="19">
          <cell r="C19">
            <v>-3294139.71</v>
          </cell>
        </row>
      </sheetData>
      <sheetData sheetId="2"/>
      <sheetData sheetId="3">
        <row r="210">
          <cell r="G210">
            <v>0</v>
          </cell>
        </row>
      </sheetData>
      <sheetData sheetId="4"/>
      <sheetData sheetId="5"/>
      <sheetData sheetId="6">
        <row r="1348">
          <cell r="G1348">
            <v>-9473052.0600000005</v>
          </cell>
        </row>
        <row r="1398">
          <cell r="G1398">
            <v>0</v>
          </cell>
        </row>
        <row r="1399">
          <cell r="G1399">
            <v>0</v>
          </cell>
        </row>
        <row r="1400">
          <cell r="G1400">
            <v>0</v>
          </cell>
        </row>
        <row r="1557">
          <cell r="G1557">
            <v>0</v>
          </cell>
        </row>
        <row r="1581">
          <cell r="G1581">
            <v>0</v>
          </cell>
        </row>
        <row r="1673">
          <cell r="G1673">
            <v>0</v>
          </cell>
        </row>
        <row r="1674">
          <cell r="G1674">
            <v>0</v>
          </cell>
        </row>
        <row r="1675">
          <cell r="G1675">
            <v>0</v>
          </cell>
        </row>
        <row r="1729">
          <cell r="G1729">
            <v>0</v>
          </cell>
        </row>
      </sheetData>
      <sheetData sheetId="7">
        <row r="1355">
          <cell r="G1355">
            <v>-19581925.629999999</v>
          </cell>
        </row>
      </sheetData>
      <sheetData sheetId="8"/>
      <sheetData sheetId="9">
        <row r="78">
          <cell r="O78">
            <v>-1109016.4300000023</v>
          </cell>
        </row>
        <row r="92">
          <cell r="F92">
            <v>16346.272046000007</v>
          </cell>
          <cell r="I92">
            <v>98187.756895999992</v>
          </cell>
        </row>
        <row r="103">
          <cell r="O103">
            <v>3294139.71</v>
          </cell>
        </row>
      </sheetData>
      <sheetData sheetId="10"/>
      <sheetData sheetId="11">
        <row r="195">
          <cell r="H195">
            <v>-65865984.630000003</v>
          </cell>
        </row>
        <row r="228">
          <cell r="H228">
            <v>779436.96</v>
          </cell>
        </row>
        <row r="282">
          <cell r="H282">
            <v>357713.39</v>
          </cell>
        </row>
      </sheetData>
      <sheetData sheetId="12"/>
      <sheetData sheetId="13">
        <row r="201">
          <cell r="H201">
            <v>-54608222.600000001</v>
          </cell>
        </row>
        <row r="215">
          <cell r="H215">
            <v>54450696.380000003</v>
          </cell>
        </row>
        <row r="223">
          <cell r="H223">
            <v>45057.66</v>
          </cell>
        </row>
        <row r="233">
          <cell r="H233">
            <v>629009.09</v>
          </cell>
        </row>
        <row r="237">
          <cell r="H237">
            <v>1700</v>
          </cell>
        </row>
        <row r="276">
          <cell r="H276">
            <v>22715.26</v>
          </cell>
        </row>
        <row r="277">
          <cell r="H277">
            <v>7573.41</v>
          </cell>
        </row>
        <row r="287">
          <cell r="H287">
            <v>288540.13</v>
          </cell>
        </row>
        <row r="292">
          <cell r="H292">
            <v>3128</v>
          </cell>
        </row>
        <row r="319">
          <cell r="H319">
            <v>842004.23</v>
          </cell>
        </row>
        <row r="321">
          <cell r="H321">
            <v>335274.46000000002</v>
          </cell>
        </row>
        <row r="348">
          <cell r="H348">
            <v>1581295.32</v>
          </cell>
        </row>
      </sheetData>
      <sheetData sheetId="14">
        <row r="190">
          <cell r="H190">
            <v>-46564886.689999998</v>
          </cell>
        </row>
        <row r="204">
          <cell r="H204">
            <v>43920399.100000001</v>
          </cell>
        </row>
        <row r="212">
          <cell r="H212">
            <v>28673.42</v>
          </cell>
        </row>
        <row r="222">
          <cell r="H222">
            <v>476365.6</v>
          </cell>
        </row>
        <row r="226">
          <cell r="H226">
            <v>1360</v>
          </cell>
        </row>
        <row r="265">
          <cell r="H265">
            <v>22715.26</v>
          </cell>
        </row>
        <row r="266">
          <cell r="H266">
            <v>7573.41</v>
          </cell>
        </row>
        <row r="276">
          <cell r="H276">
            <v>218348.03</v>
          </cell>
        </row>
        <row r="281">
          <cell r="H281">
            <v>2502</v>
          </cell>
        </row>
        <row r="307">
          <cell r="H307">
            <v>765301.2</v>
          </cell>
        </row>
        <row r="309">
          <cell r="H309">
            <v>297525.46000000002</v>
          </cell>
        </row>
        <row r="336">
          <cell r="H336">
            <v>1551678.52</v>
          </cell>
        </row>
      </sheetData>
      <sheetData sheetId="15">
        <row r="194">
          <cell r="H194">
            <v>-36035568.840000004</v>
          </cell>
        </row>
        <row r="208">
          <cell r="H208">
            <v>33776380.299999997</v>
          </cell>
        </row>
        <row r="216">
          <cell r="H216">
            <v>5034.72</v>
          </cell>
        </row>
        <row r="226">
          <cell r="H226">
            <v>323722.11</v>
          </cell>
        </row>
        <row r="230">
          <cell r="H230">
            <v>1020</v>
          </cell>
        </row>
        <row r="269">
          <cell r="H269">
            <v>22715.26</v>
          </cell>
        </row>
        <row r="270">
          <cell r="H270">
            <v>7573.41</v>
          </cell>
        </row>
        <row r="280">
          <cell r="H280">
            <v>77794.039999999994</v>
          </cell>
        </row>
        <row r="285">
          <cell r="H285">
            <v>1876</v>
          </cell>
        </row>
        <row r="311">
          <cell r="H311">
            <v>652592.43000000005</v>
          </cell>
        </row>
        <row r="313">
          <cell r="H313">
            <v>250564.31</v>
          </cell>
        </row>
        <row r="334">
          <cell r="H334">
            <v>0</v>
          </cell>
        </row>
        <row r="340">
          <cell r="H340">
            <v>1522061.72</v>
          </cell>
        </row>
      </sheetData>
      <sheetData sheetId="16">
        <row r="191">
          <cell r="H191">
            <v>25385208.739999998</v>
          </cell>
        </row>
        <row r="205">
          <cell r="H205">
            <v>21832221.059999999</v>
          </cell>
        </row>
        <row r="222">
          <cell r="H222">
            <v>170709.37</v>
          </cell>
        </row>
        <row r="226">
          <cell r="H226">
            <v>680</v>
          </cell>
        </row>
        <row r="264">
          <cell r="H264">
            <v>22715.26</v>
          </cell>
        </row>
        <row r="274">
          <cell r="H274">
            <v>77794.039999999994</v>
          </cell>
        </row>
        <row r="279">
          <cell r="H279">
            <v>1250</v>
          </cell>
        </row>
        <row r="305">
          <cell r="H305">
            <v>252568.44</v>
          </cell>
        </row>
        <row r="307">
          <cell r="H307">
            <v>100558.09</v>
          </cell>
        </row>
        <row r="326">
          <cell r="H326">
            <v>4980.5</v>
          </cell>
        </row>
        <row r="332">
          <cell r="H332">
            <v>41471.300000000003</v>
          </cell>
        </row>
      </sheetData>
      <sheetData sheetId="17">
        <row r="187">
          <cell r="H187">
            <v>11891006.949999999</v>
          </cell>
        </row>
        <row r="199">
          <cell r="H199">
            <v>10339582.65</v>
          </cell>
        </row>
        <row r="216">
          <cell r="H216">
            <v>18143.32</v>
          </cell>
        </row>
        <row r="220">
          <cell r="H220">
            <v>340</v>
          </cell>
        </row>
        <row r="253">
          <cell r="H253">
            <v>18055.72</v>
          </cell>
        </row>
        <row r="263">
          <cell r="H263">
            <v>7947.77</v>
          </cell>
        </row>
        <row r="268">
          <cell r="H268">
            <v>624</v>
          </cell>
        </row>
        <row r="304">
          <cell r="H304">
            <v>4980.5</v>
          </cell>
        </row>
        <row r="310">
          <cell r="H310">
            <v>20735.650000000001</v>
          </cell>
        </row>
      </sheetData>
      <sheetData sheetId="18">
        <row r="263">
          <cell r="H263">
            <v>1886772.51</v>
          </cell>
        </row>
        <row r="318">
          <cell r="H318">
            <v>866557.95</v>
          </cell>
        </row>
      </sheetData>
      <sheetData sheetId="19">
        <row r="1">
          <cell r="B1" t="str">
            <v>Balancete Contábil Analítico</v>
          </cell>
          <cell r="C1" t="str">
            <v xml:space="preserve"> </v>
          </cell>
          <cell r="D1" t="str">
            <v xml:space="preserve">  </v>
          </cell>
          <cell r="E1" t="str">
            <v xml:space="preserve">   </v>
          </cell>
          <cell r="F1" t="str">
            <v xml:space="preserve">    </v>
          </cell>
          <cell r="G1" t="str">
            <v xml:space="preserve">     </v>
          </cell>
        </row>
        <row r="7">
          <cell r="B7" t="str">
            <v>Reduzido</v>
          </cell>
          <cell r="C7" t="str">
            <v>Descrição</v>
          </cell>
          <cell r="D7" t="str">
            <v>Anterior</v>
          </cell>
          <cell r="E7" t="str">
            <v>Débitos</v>
          </cell>
          <cell r="F7" t="str">
            <v>Créditos</v>
          </cell>
          <cell r="G7" t="str">
            <v>Saldo Atual</v>
          </cell>
        </row>
        <row r="8">
          <cell r="B8">
            <v>1</v>
          </cell>
          <cell r="C8" t="str">
            <v>Ativo</v>
          </cell>
          <cell r="D8">
            <v>56914289.880000003</v>
          </cell>
          <cell r="E8">
            <v>10415476.65</v>
          </cell>
          <cell r="F8">
            <v>-10900099.51</v>
          </cell>
          <cell r="G8">
            <v>56429667.020000003</v>
          </cell>
        </row>
        <row r="9">
          <cell r="B9">
            <v>11</v>
          </cell>
          <cell r="C9" t="str">
            <v>Circulante</v>
          </cell>
          <cell r="D9">
            <v>43189518.880000003</v>
          </cell>
          <cell r="E9">
            <v>9579223.5899999999</v>
          </cell>
          <cell r="F9">
            <v>-10122354.76</v>
          </cell>
          <cell r="G9">
            <v>42646387.710000001</v>
          </cell>
        </row>
        <row r="10">
          <cell r="B10">
            <v>111</v>
          </cell>
          <cell r="C10" t="str">
            <v>Disponibilidades</v>
          </cell>
          <cell r="D10">
            <v>38435775.770000003</v>
          </cell>
          <cell r="E10">
            <v>9036011.8499999996</v>
          </cell>
          <cell r="F10">
            <v>-9347862.8100000005</v>
          </cell>
          <cell r="G10">
            <v>38123924.810000002</v>
          </cell>
        </row>
        <row r="11">
          <cell r="B11">
            <v>1112</v>
          </cell>
          <cell r="C11" t="str">
            <v>Bancos</v>
          </cell>
          <cell r="D11">
            <v>38435775.770000003</v>
          </cell>
          <cell r="E11">
            <v>9036011.8499999996</v>
          </cell>
          <cell r="F11">
            <v>-9347862.8100000005</v>
          </cell>
          <cell r="G11">
            <v>38123924.810000002</v>
          </cell>
        </row>
        <row r="12">
          <cell r="B12" t="str">
            <v>BB</v>
          </cell>
          <cell r="C12" t="str">
            <v>Banco do Brasil conta única União</v>
          </cell>
          <cell r="D12">
            <v>38435775.770000003</v>
          </cell>
          <cell r="E12">
            <v>6619781.0700000003</v>
          </cell>
          <cell r="F12">
            <v>-6931632.0300000003</v>
          </cell>
          <cell r="G12">
            <v>38123924.810000002</v>
          </cell>
        </row>
        <row r="13">
          <cell r="B13" t="str">
            <v>CO</v>
          </cell>
          <cell r="C13" t="str">
            <v>Receita Cota Orçamentária</v>
          </cell>
          <cell r="D13">
            <v>0</v>
          </cell>
          <cell r="E13">
            <v>2416230.7799999998</v>
          </cell>
          <cell r="F13">
            <v>-2416230.7799999998</v>
          </cell>
          <cell r="G13">
            <v>0</v>
          </cell>
        </row>
        <row r="14">
          <cell r="B14">
            <v>112</v>
          </cell>
          <cell r="C14" t="str">
            <v>Créditos, Direitos e Bens</v>
          </cell>
          <cell r="D14">
            <v>3197439.84</v>
          </cell>
          <cell r="E14">
            <v>407692.64</v>
          </cell>
          <cell r="F14">
            <v>-424001.24</v>
          </cell>
          <cell r="G14">
            <v>3181131.24</v>
          </cell>
        </row>
        <row r="15">
          <cell r="B15">
            <v>1123</v>
          </cell>
          <cell r="C15" t="str">
            <v>Tributos a Recuperar ou Compensáveis</v>
          </cell>
          <cell r="D15">
            <v>931000.26</v>
          </cell>
          <cell r="E15">
            <v>3913.04</v>
          </cell>
          <cell r="F15">
            <v>0</v>
          </cell>
          <cell r="G15">
            <v>934913.3</v>
          </cell>
        </row>
        <row r="16">
          <cell r="B16">
            <v>11239</v>
          </cell>
          <cell r="C16" t="str">
            <v>COFINS a Recuperar</v>
          </cell>
          <cell r="D16">
            <v>1456.05</v>
          </cell>
          <cell r="E16">
            <v>14.86</v>
          </cell>
          <cell r="F16">
            <v>0</v>
          </cell>
          <cell r="G16">
            <v>1470.91</v>
          </cell>
        </row>
        <row r="17">
          <cell r="B17">
            <v>112316</v>
          </cell>
          <cell r="C17" t="str">
            <v>IRPJ Estimativa</v>
          </cell>
          <cell r="D17">
            <v>452456.78</v>
          </cell>
          <cell r="E17">
            <v>0</v>
          </cell>
          <cell r="F17">
            <v>0</v>
          </cell>
          <cell r="G17">
            <v>452456.78</v>
          </cell>
        </row>
        <row r="18">
          <cell r="B18">
            <v>112317</v>
          </cell>
          <cell r="C18" t="str">
            <v>CSLL Estimativa</v>
          </cell>
          <cell r="D18">
            <v>57144.98</v>
          </cell>
          <cell r="E18">
            <v>0</v>
          </cell>
          <cell r="F18">
            <v>0</v>
          </cell>
          <cell r="G18">
            <v>57144.98</v>
          </cell>
        </row>
        <row r="19">
          <cell r="B19">
            <v>112323</v>
          </cell>
          <cell r="C19" t="str">
            <v>IRRF a Compensar</v>
          </cell>
          <cell r="D19">
            <v>6115.24</v>
          </cell>
          <cell r="E19">
            <v>44.98</v>
          </cell>
          <cell r="F19">
            <v>0</v>
          </cell>
          <cell r="G19">
            <v>6160.22</v>
          </cell>
        </row>
        <row r="20">
          <cell r="B20">
            <v>112327</v>
          </cell>
          <cell r="C20" t="str">
            <v>PIS a Restituir</v>
          </cell>
          <cell r="D20">
            <v>234.63</v>
          </cell>
          <cell r="E20">
            <v>2.1</v>
          </cell>
          <cell r="F20">
            <v>0</v>
          </cell>
          <cell r="G20">
            <v>236.73</v>
          </cell>
        </row>
        <row r="21">
          <cell r="B21">
            <v>112332</v>
          </cell>
          <cell r="C21" t="str">
            <v>IRPJ Saldo negativo 2021</v>
          </cell>
          <cell r="D21">
            <v>297645.21000000002</v>
          </cell>
          <cell r="E21">
            <v>2770.31</v>
          </cell>
          <cell r="F21">
            <v>0</v>
          </cell>
          <cell r="G21">
            <v>300415.52</v>
          </cell>
        </row>
        <row r="22">
          <cell r="B22">
            <v>112333</v>
          </cell>
          <cell r="C22" t="str">
            <v>CSLL Saldo negativo 2021</v>
          </cell>
          <cell r="D22">
            <v>114092.02</v>
          </cell>
          <cell r="E22">
            <v>1061.9100000000001</v>
          </cell>
          <cell r="F22">
            <v>0</v>
          </cell>
          <cell r="G22">
            <v>115153.93</v>
          </cell>
        </row>
        <row r="23">
          <cell r="B23">
            <v>112334</v>
          </cell>
          <cell r="C23" t="str">
            <v>COSIRF a restituir</v>
          </cell>
          <cell r="D23">
            <v>1855.35</v>
          </cell>
          <cell r="E23">
            <v>18.88</v>
          </cell>
          <cell r="F23">
            <v>0</v>
          </cell>
          <cell r="G23">
            <v>1874.23</v>
          </cell>
        </row>
        <row r="24">
          <cell r="B24">
            <v>1124</v>
          </cell>
          <cell r="C24" t="str">
            <v>Adiantamentos a Empregados</v>
          </cell>
          <cell r="D24">
            <v>2266307.6</v>
          </cell>
          <cell r="E24">
            <v>380248.59</v>
          </cell>
          <cell r="F24">
            <v>-400470.23</v>
          </cell>
          <cell r="G24">
            <v>2246085.96</v>
          </cell>
        </row>
        <row r="25">
          <cell r="B25">
            <v>11241</v>
          </cell>
          <cell r="C25" t="str">
            <v>Adiantamento de Férias</v>
          </cell>
          <cell r="D25">
            <v>147928.82999999999</v>
          </cell>
          <cell r="E25">
            <v>315655.18</v>
          </cell>
          <cell r="F25">
            <v>-335876.82</v>
          </cell>
          <cell r="G25">
            <v>127707.19</v>
          </cell>
        </row>
        <row r="26">
          <cell r="B26">
            <v>11242</v>
          </cell>
          <cell r="C26" t="str">
            <v>Adiantamento de 13º Salário</v>
          </cell>
          <cell r="D26">
            <v>2118378.77</v>
          </cell>
          <cell r="E26">
            <v>0</v>
          </cell>
          <cell r="F26">
            <v>0</v>
          </cell>
          <cell r="G26">
            <v>2118378.77</v>
          </cell>
        </row>
        <row r="27">
          <cell r="B27">
            <v>112424</v>
          </cell>
          <cell r="C27" t="str">
            <v>Empréstimo a funcionários</v>
          </cell>
          <cell r="D27">
            <v>0</v>
          </cell>
          <cell r="E27">
            <v>59389.47</v>
          </cell>
          <cell r="F27">
            <v>-59389.47</v>
          </cell>
          <cell r="G27">
            <v>0</v>
          </cell>
        </row>
        <row r="28">
          <cell r="B28">
            <v>112425</v>
          </cell>
          <cell r="C28" t="str">
            <v>Mensalidade AEPE</v>
          </cell>
          <cell r="D28">
            <v>0</v>
          </cell>
          <cell r="E28">
            <v>5203.9399999999996</v>
          </cell>
          <cell r="F28">
            <v>-5203.9399999999996</v>
          </cell>
          <cell r="G28">
            <v>0</v>
          </cell>
        </row>
        <row r="29">
          <cell r="B29">
            <v>11299</v>
          </cell>
          <cell r="C29" t="str">
            <v>Outros Créditos</v>
          </cell>
          <cell r="D29">
            <v>131.97999999999999</v>
          </cell>
          <cell r="E29">
            <v>23531.01</v>
          </cell>
          <cell r="F29">
            <v>-23531.01</v>
          </cell>
          <cell r="G29">
            <v>131.97999999999999</v>
          </cell>
        </row>
        <row r="30">
          <cell r="B30">
            <v>112995</v>
          </cell>
          <cell r="C30" t="str">
            <v>Ressarcimento de Cedidos</v>
          </cell>
          <cell r="D30">
            <v>0</v>
          </cell>
          <cell r="E30">
            <v>23531.01</v>
          </cell>
          <cell r="F30">
            <v>-23531.01</v>
          </cell>
          <cell r="G30">
            <v>0</v>
          </cell>
        </row>
        <row r="31">
          <cell r="B31">
            <v>11299999</v>
          </cell>
          <cell r="C31" t="str">
            <v>Créditos Diversos</v>
          </cell>
          <cell r="D31">
            <v>131.97999999999999</v>
          </cell>
          <cell r="E31">
            <v>0</v>
          </cell>
          <cell r="F31">
            <v>0</v>
          </cell>
          <cell r="G31">
            <v>131.97999999999999</v>
          </cell>
        </row>
        <row r="32">
          <cell r="B32">
            <v>113</v>
          </cell>
          <cell r="C32" t="str">
            <v>Despesas Antecipadas</v>
          </cell>
          <cell r="D32">
            <v>1556303.27</v>
          </cell>
          <cell r="E32">
            <v>135519.1</v>
          </cell>
          <cell r="F32">
            <v>-350490.71</v>
          </cell>
          <cell r="G32">
            <v>1341331.6599999999</v>
          </cell>
        </row>
        <row r="33">
          <cell r="B33">
            <v>1131</v>
          </cell>
          <cell r="C33" t="str">
            <v>Despesas Antecipadas</v>
          </cell>
          <cell r="D33">
            <v>1556303.27</v>
          </cell>
          <cell r="E33">
            <v>135519.1</v>
          </cell>
          <cell r="F33">
            <v>-350490.71</v>
          </cell>
          <cell r="G33">
            <v>1341331.6599999999</v>
          </cell>
        </row>
        <row r="34">
          <cell r="B34">
            <v>11311</v>
          </cell>
          <cell r="C34" t="str">
            <v>Prêmio de Seguros Pagos Antecipadamente</v>
          </cell>
          <cell r="D34">
            <v>21331.72</v>
          </cell>
          <cell r="E34">
            <v>0</v>
          </cell>
          <cell r="F34">
            <v>-15998.79</v>
          </cell>
          <cell r="G34">
            <v>5332.93</v>
          </cell>
        </row>
        <row r="35">
          <cell r="B35">
            <v>11312</v>
          </cell>
          <cell r="C35" t="str">
            <v>Assinaturas e Anuidades</v>
          </cell>
          <cell r="D35">
            <v>196142.52</v>
          </cell>
          <cell r="E35">
            <v>24454.11</v>
          </cell>
          <cell r="F35">
            <v>-76842.720000000001</v>
          </cell>
          <cell r="G35">
            <v>143753.91</v>
          </cell>
        </row>
        <row r="36">
          <cell r="B36">
            <v>11313</v>
          </cell>
          <cell r="C36" t="str">
            <v>Provedores de Informações</v>
          </cell>
          <cell r="D36">
            <v>41665.72</v>
          </cell>
          <cell r="E36">
            <v>19923.599999999999</v>
          </cell>
          <cell r="F36">
            <v>-13692.3</v>
          </cell>
          <cell r="G36">
            <v>47897.02</v>
          </cell>
        </row>
        <row r="37">
          <cell r="B37">
            <v>11315</v>
          </cell>
          <cell r="C37" t="str">
            <v>Iptu a Apropriar</v>
          </cell>
          <cell r="D37">
            <v>67854.850000000006</v>
          </cell>
          <cell r="E37">
            <v>0</v>
          </cell>
          <cell r="F37">
            <v>-32832.99</v>
          </cell>
          <cell r="G37">
            <v>35021.86</v>
          </cell>
        </row>
        <row r="38">
          <cell r="B38">
            <v>11316</v>
          </cell>
          <cell r="C38" t="str">
            <v>Manutenção de Software</v>
          </cell>
          <cell r="D38">
            <v>1190461.51</v>
          </cell>
          <cell r="E38">
            <v>91141.39</v>
          </cell>
          <cell r="F38">
            <v>-189726.84</v>
          </cell>
          <cell r="G38">
            <v>1091876.06</v>
          </cell>
        </row>
        <row r="39">
          <cell r="B39">
            <v>1131999</v>
          </cell>
          <cell r="C39" t="str">
            <v>Outras Despesas Antecipadas</v>
          </cell>
          <cell r="D39">
            <v>38846.949999999997</v>
          </cell>
          <cell r="E39">
            <v>0</v>
          </cell>
          <cell r="F39">
            <v>-21397.07</v>
          </cell>
          <cell r="G39">
            <v>17449.88</v>
          </cell>
        </row>
        <row r="40">
          <cell r="B40">
            <v>12</v>
          </cell>
          <cell r="C40" t="str">
            <v>Ativo Não Circulante</v>
          </cell>
          <cell r="D40">
            <v>13724771</v>
          </cell>
          <cell r="E40">
            <v>836253.06</v>
          </cell>
          <cell r="F40">
            <v>-777744.75</v>
          </cell>
          <cell r="G40">
            <v>13783279.310000001</v>
          </cell>
        </row>
        <row r="41">
          <cell r="B41">
            <v>121</v>
          </cell>
          <cell r="C41" t="str">
            <v>Realizavel a Longo Prazo</v>
          </cell>
          <cell r="D41">
            <v>4519255.16</v>
          </cell>
          <cell r="E41">
            <v>17484.03</v>
          </cell>
          <cell r="F41">
            <v>0</v>
          </cell>
          <cell r="G41">
            <v>4536739.1900000004</v>
          </cell>
        </row>
        <row r="42">
          <cell r="B42">
            <v>1213</v>
          </cell>
          <cell r="C42" t="str">
            <v>Tributos a Recuperar ou Compensáveis</v>
          </cell>
          <cell r="D42">
            <v>160844.82</v>
          </cell>
          <cell r="E42">
            <v>1378.1</v>
          </cell>
          <cell r="F42">
            <v>0</v>
          </cell>
          <cell r="G42">
            <v>162222.92000000001</v>
          </cell>
        </row>
        <row r="43">
          <cell r="B43">
            <v>12131</v>
          </cell>
          <cell r="C43" t="str">
            <v>IRPJ a Compensar</v>
          </cell>
          <cell r="D43">
            <v>20949.830000000002</v>
          </cell>
          <cell r="E43">
            <v>176.52</v>
          </cell>
          <cell r="F43">
            <v>0</v>
          </cell>
          <cell r="G43">
            <v>21126.35</v>
          </cell>
        </row>
        <row r="44">
          <cell r="B44">
            <v>12134</v>
          </cell>
          <cell r="C44" t="str">
            <v>ISS a Restituir</v>
          </cell>
          <cell r="D44">
            <v>4640.58</v>
          </cell>
          <cell r="E44">
            <v>0</v>
          </cell>
          <cell r="F44">
            <v>0</v>
          </cell>
          <cell r="G44">
            <v>4640.58</v>
          </cell>
        </row>
        <row r="45">
          <cell r="B45">
            <v>12135</v>
          </cell>
          <cell r="C45" t="str">
            <v>CSLL a Compensar</v>
          </cell>
          <cell r="D45">
            <v>135254.41</v>
          </cell>
          <cell r="E45">
            <v>1201.58</v>
          </cell>
          <cell r="F45">
            <v>0</v>
          </cell>
          <cell r="G45">
            <v>136455.99</v>
          </cell>
        </row>
        <row r="46">
          <cell r="B46">
            <v>1217</v>
          </cell>
          <cell r="C46" t="str">
            <v>Títulos e Valores Mobiliários</v>
          </cell>
          <cell r="D46">
            <v>164.56</v>
          </cell>
          <cell r="E46">
            <v>0</v>
          </cell>
          <cell r="F46">
            <v>0</v>
          </cell>
          <cell r="G46">
            <v>164.56</v>
          </cell>
        </row>
        <row r="47">
          <cell r="B47">
            <v>12171</v>
          </cell>
          <cell r="C47" t="str">
            <v>Ações - Preço de Aquisição</v>
          </cell>
          <cell r="D47">
            <v>164.56</v>
          </cell>
          <cell r="E47">
            <v>0</v>
          </cell>
          <cell r="F47">
            <v>0</v>
          </cell>
          <cell r="G47">
            <v>164.56</v>
          </cell>
        </row>
        <row r="48">
          <cell r="B48">
            <v>1218</v>
          </cell>
          <cell r="C48" t="str">
            <v>Depósitos Judiciais</v>
          </cell>
          <cell r="D48">
            <v>4358245.78</v>
          </cell>
          <cell r="E48">
            <v>16105.93</v>
          </cell>
          <cell r="F48">
            <v>0</v>
          </cell>
          <cell r="G48">
            <v>4374351.71</v>
          </cell>
        </row>
        <row r="49">
          <cell r="B49">
            <v>12181</v>
          </cell>
          <cell r="C49" t="str">
            <v>Depósitos Judiciais - Previdenciários</v>
          </cell>
          <cell r="D49">
            <v>3893878.5</v>
          </cell>
          <cell r="E49">
            <v>12655.39</v>
          </cell>
          <cell r="F49">
            <v>0</v>
          </cell>
          <cell r="G49">
            <v>3906533.89</v>
          </cell>
        </row>
        <row r="50">
          <cell r="B50">
            <v>12182</v>
          </cell>
          <cell r="C50" t="str">
            <v>Depósitos Judiciais - Trabalhistas</v>
          </cell>
          <cell r="D50">
            <v>305307.76</v>
          </cell>
          <cell r="E50">
            <v>2040.33</v>
          </cell>
          <cell r="F50">
            <v>0</v>
          </cell>
          <cell r="G50">
            <v>307348.09000000003</v>
          </cell>
        </row>
        <row r="51">
          <cell r="B51">
            <v>12183</v>
          </cell>
          <cell r="C51" t="str">
            <v>Depósitos Judiciais - Cíveis</v>
          </cell>
          <cell r="D51">
            <v>159059.51999999999</v>
          </cell>
          <cell r="E51">
            <v>1410.21</v>
          </cell>
          <cell r="F51">
            <v>0</v>
          </cell>
          <cell r="G51">
            <v>160469.73000000001</v>
          </cell>
        </row>
        <row r="52">
          <cell r="B52">
            <v>123</v>
          </cell>
          <cell r="C52" t="str">
            <v>Imobilizado</v>
          </cell>
          <cell r="D52">
            <v>5842513.3099999996</v>
          </cell>
          <cell r="E52">
            <v>818769.03</v>
          </cell>
          <cell r="F52">
            <v>-665827.54</v>
          </cell>
          <cell r="G52">
            <v>5995454.7999999998</v>
          </cell>
        </row>
        <row r="53">
          <cell r="B53">
            <v>1231</v>
          </cell>
          <cell r="C53" t="str">
            <v>Bens em Operação</v>
          </cell>
          <cell r="D53">
            <v>15681822.18</v>
          </cell>
          <cell r="E53">
            <v>728385.4</v>
          </cell>
          <cell r="F53">
            <v>-537682.03</v>
          </cell>
          <cell r="G53">
            <v>15872525.550000001</v>
          </cell>
        </row>
        <row r="54">
          <cell r="B54">
            <v>12313</v>
          </cell>
          <cell r="C54" t="str">
            <v>Instalações</v>
          </cell>
          <cell r="D54">
            <v>2490440.14</v>
          </cell>
          <cell r="E54">
            <v>0</v>
          </cell>
          <cell r="F54">
            <v>-90383.63</v>
          </cell>
          <cell r="G54">
            <v>2400056.5099999998</v>
          </cell>
        </row>
        <row r="55">
          <cell r="B55">
            <v>12314</v>
          </cell>
          <cell r="C55" t="str">
            <v>Máquinas e Equipamentos</v>
          </cell>
          <cell r="D55">
            <v>791662.23</v>
          </cell>
          <cell r="E55">
            <v>0</v>
          </cell>
          <cell r="F55">
            <v>0</v>
          </cell>
          <cell r="G55">
            <v>791662.23</v>
          </cell>
        </row>
        <row r="56">
          <cell r="B56">
            <v>12315</v>
          </cell>
          <cell r="C56" t="str">
            <v>Equipamentos de Informática</v>
          </cell>
          <cell r="D56">
            <v>10213891.5</v>
          </cell>
          <cell r="E56">
            <v>700987</v>
          </cell>
          <cell r="F56">
            <v>-419900</v>
          </cell>
          <cell r="G56">
            <v>10494978.5</v>
          </cell>
        </row>
        <row r="57">
          <cell r="B57">
            <v>12317</v>
          </cell>
          <cell r="C57" t="str">
            <v>Móveis e Utensílios</v>
          </cell>
          <cell r="D57">
            <v>2185828.31</v>
          </cell>
          <cell r="E57">
            <v>27398.400000000001</v>
          </cell>
          <cell r="F57">
            <v>-27398.400000000001</v>
          </cell>
          <cell r="G57">
            <v>2185828.31</v>
          </cell>
        </row>
        <row r="58">
          <cell r="B58">
            <v>12398</v>
          </cell>
          <cell r="C58" t="str">
            <v>(-) Depreciação, Amortização e Exaustão</v>
          </cell>
          <cell r="D58">
            <v>-9839308.8699999992</v>
          </cell>
          <cell r="E58">
            <v>90383.63</v>
          </cell>
          <cell r="F58">
            <v>-128145.51</v>
          </cell>
          <cell r="G58">
            <v>9877070.75</v>
          </cell>
        </row>
        <row r="59">
          <cell r="B59">
            <v>123982</v>
          </cell>
          <cell r="C59" t="str">
            <v>(-) Instalações</v>
          </cell>
          <cell r="D59">
            <v>-529593.43999999994</v>
          </cell>
          <cell r="E59">
            <v>90383.63</v>
          </cell>
          <cell r="F59">
            <v>-20000.46</v>
          </cell>
          <cell r="G59">
            <v>459210.27</v>
          </cell>
        </row>
        <row r="60">
          <cell r="B60">
            <v>123983</v>
          </cell>
          <cell r="C60" t="str">
            <v>(-) Máquinas e Equipamentos</v>
          </cell>
          <cell r="D60">
            <v>-711634.57</v>
          </cell>
          <cell r="E60">
            <v>0</v>
          </cell>
          <cell r="F60">
            <v>-1779</v>
          </cell>
          <cell r="G60">
            <v>713413.57</v>
          </cell>
        </row>
        <row r="61">
          <cell r="B61">
            <v>123984</v>
          </cell>
          <cell r="C61" t="str">
            <v>(-) Equipamentos de Informática</v>
          </cell>
          <cell r="D61">
            <v>-6608370.2599999998</v>
          </cell>
          <cell r="E61">
            <v>0</v>
          </cell>
          <cell r="F61">
            <v>-103050.38</v>
          </cell>
          <cell r="G61">
            <v>6711420.6399999997</v>
          </cell>
        </row>
        <row r="62">
          <cell r="B62">
            <v>123986</v>
          </cell>
          <cell r="C62" t="str">
            <v>(-) Móveis e Utensílios</v>
          </cell>
          <cell r="D62">
            <v>-1989710.6</v>
          </cell>
          <cell r="E62">
            <v>0</v>
          </cell>
          <cell r="F62">
            <v>-3315.67</v>
          </cell>
          <cell r="G62">
            <v>1993026.27</v>
          </cell>
        </row>
        <row r="63">
          <cell r="B63">
            <v>124</v>
          </cell>
          <cell r="C63" t="str">
            <v>Intangível</v>
          </cell>
          <cell r="D63">
            <v>3363002.53</v>
          </cell>
          <cell r="E63">
            <v>0</v>
          </cell>
          <cell r="F63">
            <v>-111917.21</v>
          </cell>
          <cell r="G63">
            <v>3251085.32</v>
          </cell>
        </row>
        <row r="64">
          <cell r="B64">
            <v>1241</v>
          </cell>
          <cell r="C64" t="str">
            <v>Software</v>
          </cell>
          <cell r="D64">
            <v>11738715.48</v>
          </cell>
          <cell r="E64">
            <v>0</v>
          </cell>
          <cell r="F64">
            <v>0</v>
          </cell>
          <cell r="G64">
            <v>11738715.48</v>
          </cell>
        </row>
        <row r="65">
          <cell r="B65">
            <v>124101</v>
          </cell>
          <cell r="C65" t="str">
            <v>Software</v>
          </cell>
          <cell r="D65">
            <v>11738715.48</v>
          </cell>
          <cell r="E65">
            <v>0</v>
          </cell>
          <cell r="F65">
            <v>0</v>
          </cell>
          <cell r="G65">
            <v>11738715.48</v>
          </cell>
        </row>
        <row r="66">
          <cell r="B66">
            <v>12498</v>
          </cell>
          <cell r="C66" t="str">
            <v>( - ) Amortização</v>
          </cell>
          <cell r="D66">
            <v>-8375712.9500000002</v>
          </cell>
          <cell r="E66">
            <v>0</v>
          </cell>
          <cell r="F66">
            <v>-111917.21</v>
          </cell>
          <cell r="G66">
            <v>8487630.1600000001</v>
          </cell>
        </row>
        <row r="67">
          <cell r="B67">
            <v>1242</v>
          </cell>
          <cell r="C67" t="str">
            <v>( - ) Amortização Software</v>
          </cell>
          <cell r="D67">
            <v>-8375712.9500000002</v>
          </cell>
          <cell r="E67">
            <v>0</v>
          </cell>
          <cell r="F67">
            <v>-111917.21</v>
          </cell>
          <cell r="G67">
            <v>8487630.1600000001</v>
          </cell>
        </row>
        <row r="68">
          <cell r="B68">
            <v>2</v>
          </cell>
          <cell r="C68" t="str">
            <v>Passivo</v>
          </cell>
          <cell r="D68">
            <v>-56914289.880000003</v>
          </cell>
          <cell r="E68">
            <v>15143513.66</v>
          </cell>
          <cell r="F68">
            <v>-14658890.800000001</v>
          </cell>
          <cell r="G68">
            <v>56429667.020000003</v>
          </cell>
        </row>
        <row r="69">
          <cell r="B69">
            <v>21</v>
          </cell>
          <cell r="C69" t="str">
            <v>Circulante</v>
          </cell>
          <cell r="D69">
            <v>-22238886.18</v>
          </cell>
          <cell r="E69">
            <v>12192373.449999999</v>
          </cell>
          <cell r="F69">
            <v>-14177942.9</v>
          </cell>
          <cell r="G69">
            <v>24224455.629999999</v>
          </cell>
        </row>
        <row r="70">
          <cell r="B70">
            <v>211</v>
          </cell>
          <cell r="C70" t="str">
            <v>Obrigações de Curto Prazo</v>
          </cell>
          <cell r="D70">
            <v>-22238886.18</v>
          </cell>
          <cell r="E70">
            <v>12192373.449999999</v>
          </cell>
          <cell r="F70">
            <v>-14177942.9</v>
          </cell>
          <cell r="G70">
            <v>24224455.629999999</v>
          </cell>
        </row>
        <row r="71">
          <cell r="B71">
            <v>2114</v>
          </cell>
          <cell r="C71" t="str">
            <v>Fornecedores Nacionais</v>
          </cell>
          <cell r="D71">
            <v>-764659.32</v>
          </cell>
          <cell r="E71">
            <v>3116712.34</v>
          </cell>
          <cell r="F71">
            <v>-4761210.6900000004</v>
          </cell>
          <cell r="G71">
            <v>2409157.67</v>
          </cell>
        </row>
        <row r="72">
          <cell r="B72">
            <v>60444400000000</v>
          </cell>
          <cell r="C72" t="str">
            <v>LIGHT SERVICOS DE ELETRICIDADE S.A</v>
          </cell>
          <cell r="D72">
            <v>-30000</v>
          </cell>
          <cell r="E72">
            <v>43676.24</v>
          </cell>
          <cell r="F72">
            <v>-43676.24</v>
          </cell>
          <cell r="G72">
            <v>30000</v>
          </cell>
        </row>
        <row r="73">
          <cell r="B73">
            <v>34028300000000</v>
          </cell>
          <cell r="C73" t="str">
            <v>EMPRESA BRASILEIRA DE CORREIOS E TELEGRA</v>
          </cell>
          <cell r="D73">
            <v>0</v>
          </cell>
          <cell r="E73">
            <v>188.7</v>
          </cell>
          <cell r="F73">
            <v>-188.7</v>
          </cell>
          <cell r="G73">
            <v>0</v>
          </cell>
        </row>
        <row r="74">
          <cell r="B74" t="str">
            <v>33641663/0001-44</v>
          </cell>
          <cell r="C74" t="str">
            <v>FUNDACAO GETULIO VARGAS</v>
          </cell>
          <cell r="D74">
            <v>0</v>
          </cell>
          <cell r="E74">
            <v>1960</v>
          </cell>
          <cell r="F74">
            <v>-1960</v>
          </cell>
          <cell r="G74">
            <v>0</v>
          </cell>
        </row>
        <row r="75">
          <cell r="B75" t="str">
            <v>09305983/0001-49</v>
          </cell>
          <cell r="C75" t="str">
            <v>PSR SOLUCOES E CONSULTORIA EM ENERGIA LT</v>
          </cell>
          <cell r="D75">
            <v>0</v>
          </cell>
          <cell r="E75">
            <v>5080.13</v>
          </cell>
          <cell r="F75">
            <v>-5080.13</v>
          </cell>
          <cell r="G75">
            <v>0</v>
          </cell>
        </row>
        <row r="76">
          <cell r="B76" t="str">
            <v>69034668/0001-56</v>
          </cell>
          <cell r="C76" t="str">
            <v>SODEXO PASS DO BRASIL SERVC. E COMERCIO</v>
          </cell>
          <cell r="D76">
            <v>0</v>
          </cell>
          <cell r="E76">
            <v>208670.82</v>
          </cell>
          <cell r="F76">
            <v>-208670.82</v>
          </cell>
          <cell r="G76">
            <v>0</v>
          </cell>
        </row>
        <row r="77">
          <cell r="B77" t="str">
            <v>33661745/0001-50</v>
          </cell>
          <cell r="C77" t="str">
            <v>CIEE</v>
          </cell>
          <cell r="D77">
            <v>-1036.6099999999999</v>
          </cell>
          <cell r="E77">
            <v>1036.6099999999999</v>
          </cell>
          <cell r="F77">
            <v>0</v>
          </cell>
          <cell r="G77">
            <v>0</v>
          </cell>
        </row>
        <row r="78">
          <cell r="B78" t="str">
            <v>67393181/0001-34</v>
          </cell>
          <cell r="C78" t="str">
            <v>IMAGEM GEOSISTEMAS E COMERCIO</v>
          </cell>
          <cell r="D78">
            <v>0</v>
          </cell>
          <cell r="E78">
            <v>0</v>
          </cell>
          <cell r="F78">
            <v>-16800</v>
          </cell>
          <cell r="G78">
            <v>16800</v>
          </cell>
        </row>
        <row r="79">
          <cell r="B79" t="str">
            <v>61797924/0007-40</v>
          </cell>
          <cell r="C79" t="str">
            <v>HEWLETT PACKARD DO BRASIL LTDA</v>
          </cell>
          <cell r="D79">
            <v>-8454.1200000000008</v>
          </cell>
          <cell r="E79">
            <v>8454.1200000000008</v>
          </cell>
          <cell r="F79">
            <v>-8454.1200000000008</v>
          </cell>
          <cell r="G79">
            <v>8454.1200000000008</v>
          </cell>
        </row>
        <row r="80">
          <cell r="B80" t="str">
            <v>71208516/0001-74</v>
          </cell>
          <cell r="C80" t="str">
            <v>ALGAR SERVICO E TELECOMUNICACOES</v>
          </cell>
          <cell r="D80">
            <v>-1453.83</v>
          </cell>
          <cell r="E80">
            <v>791.68</v>
          </cell>
          <cell r="F80">
            <v>-676.15</v>
          </cell>
          <cell r="G80">
            <v>1338.3</v>
          </cell>
        </row>
        <row r="81">
          <cell r="B81" t="str">
            <v>33402892/0002-97</v>
          </cell>
          <cell r="C81" t="str">
            <v>ASSOCIAÇÃO BRASILEIRA DE NORMAS TECNICAS</v>
          </cell>
          <cell r="D81">
            <v>-1458.33</v>
          </cell>
          <cell r="E81">
            <v>1458.33</v>
          </cell>
          <cell r="F81">
            <v>-1458.33</v>
          </cell>
          <cell r="G81">
            <v>1458.33</v>
          </cell>
        </row>
        <row r="82">
          <cell r="B82">
            <v>30033800000000</v>
          </cell>
          <cell r="C82" t="str">
            <v>COMITE NAC. BRASILEIRO PROD. TRANS. ENER</v>
          </cell>
          <cell r="D82">
            <v>-1050</v>
          </cell>
          <cell r="E82">
            <v>1050</v>
          </cell>
          <cell r="F82">
            <v>0</v>
          </cell>
          <cell r="G82">
            <v>0</v>
          </cell>
        </row>
        <row r="83">
          <cell r="B83" t="str">
            <v>53113791/0001-22</v>
          </cell>
          <cell r="C83" t="str">
            <v>TOTVS SA</v>
          </cell>
          <cell r="D83">
            <v>0</v>
          </cell>
          <cell r="E83">
            <v>6898.03</v>
          </cell>
          <cell r="F83">
            <v>-51357.77</v>
          </cell>
          <cell r="G83">
            <v>44459.74</v>
          </cell>
        </row>
        <row r="84">
          <cell r="B84" t="str">
            <v>42288886/0001-60</v>
          </cell>
          <cell r="C84" t="str">
            <v>CENTRO DE PESQ DE ENERGIA ELETRICA CEPEL</v>
          </cell>
          <cell r="D84">
            <v>0</v>
          </cell>
          <cell r="E84">
            <v>12281.11</v>
          </cell>
          <cell r="F84">
            <v>-12281.11</v>
          </cell>
          <cell r="G84">
            <v>0</v>
          </cell>
        </row>
        <row r="85">
          <cell r="B85">
            <v>32578400000000</v>
          </cell>
          <cell r="C85" t="str">
            <v>UNITECH-RIO COM. E SERV. LTDA</v>
          </cell>
          <cell r="D85">
            <v>-419900</v>
          </cell>
          <cell r="E85">
            <v>0</v>
          </cell>
          <cell r="F85">
            <v>0</v>
          </cell>
          <cell r="G85">
            <v>419900</v>
          </cell>
        </row>
        <row r="86">
          <cell r="B86" t="str">
            <v>08794730/0001-13</v>
          </cell>
          <cell r="C86" t="str">
            <v>RIOOFFSITE SERVICOS DE FITOTECA LTDA</v>
          </cell>
          <cell r="D86">
            <v>0</v>
          </cell>
          <cell r="E86">
            <v>1446.4</v>
          </cell>
          <cell r="F86">
            <v>-1446.4</v>
          </cell>
          <cell r="G86">
            <v>0</v>
          </cell>
        </row>
        <row r="87">
          <cell r="B87" t="str">
            <v>86781069/0001-15</v>
          </cell>
          <cell r="C87" t="str">
            <v>ZENITE INFORMACAO E CONSULTORIA S/A</v>
          </cell>
          <cell r="D87">
            <v>0</v>
          </cell>
          <cell r="E87">
            <v>0</v>
          </cell>
          <cell r="F87">
            <v>-27483</v>
          </cell>
          <cell r="G87">
            <v>27483</v>
          </cell>
        </row>
        <row r="88">
          <cell r="B88" t="str">
            <v>08255393/0001-96</v>
          </cell>
          <cell r="C88" t="str">
            <v>FOCO OPINIAO E MERCADO LTDA</v>
          </cell>
          <cell r="D88">
            <v>0</v>
          </cell>
          <cell r="E88">
            <v>0</v>
          </cell>
          <cell r="F88">
            <v>-270410</v>
          </cell>
          <cell r="G88">
            <v>270410</v>
          </cell>
        </row>
        <row r="89">
          <cell r="B89" t="str">
            <v>47866934/0001-74</v>
          </cell>
          <cell r="C89" t="str">
            <v>TICKET SERVICOS SA</v>
          </cell>
          <cell r="D89">
            <v>-1450</v>
          </cell>
          <cell r="E89">
            <v>2900</v>
          </cell>
          <cell r="F89">
            <v>-1450</v>
          </cell>
          <cell r="G89">
            <v>0</v>
          </cell>
        </row>
        <row r="90">
          <cell r="B90" t="str">
            <v>05344234/0001-70</v>
          </cell>
          <cell r="C90" t="str">
            <v>RJ LOCACAO DE VEICULOS E SERVICOS LTDA</v>
          </cell>
          <cell r="D90">
            <v>0</v>
          </cell>
          <cell r="E90">
            <v>1201.3599999999999</v>
          </cell>
          <cell r="F90">
            <v>-10921.43</v>
          </cell>
          <cell r="G90">
            <v>9720.07</v>
          </cell>
        </row>
        <row r="91">
          <cell r="B91" t="str">
            <v>86517729/0001-55</v>
          </cell>
          <cell r="C91" t="str">
            <v>VIENA EMPREENDIMENTOS LTDA</v>
          </cell>
          <cell r="D91">
            <v>-84229.6</v>
          </cell>
          <cell r="E91">
            <v>0</v>
          </cell>
          <cell r="F91">
            <v>0</v>
          </cell>
          <cell r="G91">
            <v>84229.6</v>
          </cell>
        </row>
        <row r="92">
          <cell r="B92">
            <v>33754500000000</v>
          </cell>
          <cell r="C92" t="str">
            <v>PREVI - CAIXA DE PREVIDÊNCIA DOS FUNCION</v>
          </cell>
          <cell r="D92">
            <v>0</v>
          </cell>
          <cell r="E92">
            <v>0</v>
          </cell>
          <cell r="F92">
            <v>-276348.53999999998</v>
          </cell>
          <cell r="G92">
            <v>276348.53999999998</v>
          </cell>
        </row>
        <row r="93">
          <cell r="B93">
            <v>3017430000000</v>
          </cell>
          <cell r="C93" t="str">
            <v>NCT INFORMATICA LTDA</v>
          </cell>
          <cell r="D93">
            <v>0</v>
          </cell>
          <cell r="E93">
            <v>6124</v>
          </cell>
          <cell r="F93">
            <v>-6124</v>
          </cell>
          <cell r="G93">
            <v>0</v>
          </cell>
        </row>
        <row r="94">
          <cell r="B94" t="str">
            <v>24602524/0001-10</v>
          </cell>
          <cell r="C94" t="str">
            <v>BIODIESELBR INFORMAÇÃO ESPECIALIZADA LTD</v>
          </cell>
          <cell r="D94">
            <v>0</v>
          </cell>
          <cell r="E94">
            <v>9900</v>
          </cell>
          <cell r="F94">
            <v>-9900</v>
          </cell>
          <cell r="G94">
            <v>0</v>
          </cell>
        </row>
        <row r="95">
          <cell r="B95">
            <v>16727400000000</v>
          </cell>
          <cell r="C95" t="str">
            <v>RIOPAR Participações S/A</v>
          </cell>
          <cell r="D95">
            <v>0</v>
          </cell>
          <cell r="E95">
            <v>5139.96</v>
          </cell>
          <cell r="F95">
            <v>-5139.96</v>
          </cell>
          <cell r="G95">
            <v>0</v>
          </cell>
        </row>
        <row r="96">
          <cell r="B96">
            <v>3535902</v>
          </cell>
          <cell r="C96" t="str">
            <v>DECISION SERVIÇOS DE TECNOLOGIA DA INFOR</v>
          </cell>
          <cell r="D96">
            <v>0</v>
          </cell>
          <cell r="E96">
            <v>1111.1099999999999</v>
          </cell>
          <cell r="F96">
            <v>-232533.11</v>
          </cell>
          <cell r="G96">
            <v>231422</v>
          </cell>
        </row>
        <row r="97">
          <cell r="B97">
            <v>18522900000000</v>
          </cell>
          <cell r="C97" t="str">
            <v>MUNDIVOX COMUNICAÇÕES LTDA</v>
          </cell>
          <cell r="D97">
            <v>0</v>
          </cell>
          <cell r="E97">
            <v>4115.8500000000004</v>
          </cell>
          <cell r="F97">
            <v>-4115.8500000000004</v>
          </cell>
          <cell r="G97">
            <v>0</v>
          </cell>
        </row>
        <row r="98">
          <cell r="B98">
            <v>3200400001</v>
          </cell>
          <cell r="C98" t="str">
            <v>COORDENAÇÃO GERAL DE RECURSOS LOGISTICOS</v>
          </cell>
          <cell r="D98">
            <v>-2176.25</v>
          </cell>
          <cell r="E98">
            <v>0</v>
          </cell>
          <cell r="F98">
            <v>0</v>
          </cell>
          <cell r="G98">
            <v>2176.25</v>
          </cell>
        </row>
        <row r="99">
          <cell r="B99">
            <v>67632200000000</v>
          </cell>
          <cell r="C99" t="str">
            <v>WALM ENG. E TEC. AMBIENTAL LTDA</v>
          </cell>
          <cell r="D99">
            <v>0</v>
          </cell>
          <cell r="E99">
            <v>724806.89</v>
          </cell>
          <cell r="F99">
            <v>-724806.89</v>
          </cell>
          <cell r="G99">
            <v>0</v>
          </cell>
        </row>
        <row r="100">
          <cell r="B100">
            <v>5761750000000</v>
          </cell>
          <cell r="C100" t="str">
            <v>BIOTA PROJETOS E CONSULTORIA AMBIENTAL</v>
          </cell>
          <cell r="D100">
            <v>0</v>
          </cell>
          <cell r="E100">
            <v>830572.7</v>
          </cell>
          <cell r="F100">
            <v>-830572.7</v>
          </cell>
          <cell r="G100">
            <v>0</v>
          </cell>
        </row>
        <row r="101">
          <cell r="B101">
            <v>10348300000000</v>
          </cell>
          <cell r="C101" t="str">
            <v>WINDSOR ADM. DE HOTÉIS E SERVIÇOS</v>
          </cell>
          <cell r="D101">
            <v>0</v>
          </cell>
          <cell r="E101">
            <v>0</v>
          </cell>
          <cell r="F101">
            <v>-5759.42</v>
          </cell>
          <cell r="G101">
            <v>5759.42</v>
          </cell>
        </row>
        <row r="102">
          <cell r="B102">
            <v>23458500000000</v>
          </cell>
          <cell r="C102" t="str">
            <v>4E FOR ECONOMICS CONSULTORIA LTDA</v>
          </cell>
          <cell r="D102">
            <v>0</v>
          </cell>
          <cell r="E102">
            <v>25333.3</v>
          </cell>
          <cell r="F102">
            <v>-25333.3</v>
          </cell>
          <cell r="G102">
            <v>0</v>
          </cell>
        </row>
        <row r="103">
          <cell r="B103">
            <v>52618100000000</v>
          </cell>
          <cell r="C103" t="str">
            <v>GL ELETRO-ELETRONICOS LTDA</v>
          </cell>
          <cell r="D103">
            <v>-359</v>
          </cell>
          <cell r="E103">
            <v>359</v>
          </cell>
          <cell r="F103">
            <v>-359</v>
          </cell>
          <cell r="G103">
            <v>359</v>
          </cell>
        </row>
        <row r="104">
          <cell r="B104">
            <v>2593170000000</v>
          </cell>
          <cell r="C104" t="str">
            <v>GARTNER DO BRASIL SERVIÇOS DE PESQUISA L</v>
          </cell>
          <cell r="D104">
            <v>0</v>
          </cell>
          <cell r="E104">
            <v>0</v>
          </cell>
          <cell r="F104">
            <v>-46525</v>
          </cell>
          <cell r="G104">
            <v>46525</v>
          </cell>
        </row>
        <row r="105">
          <cell r="B105">
            <v>2676310000000</v>
          </cell>
          <cell r="C105" t="str">
            <v>IDEIAS TURISMO EIRELI</v>
          </cell>
          <cell r="D105">
            <v>0</v>
          </cell>
          <cell r="E105">
            <v>86690.2</v>
          </cell>
          <cell r="F105">
            <v>-86690.2</v>
          </cell>
          <cell r="G105">
            <v>0</v>
          </cell>
        </row>
        <row r="106">
          <cell r="B106">
            <v>14031100000000</v>
          </cell>
          <cell r="C106" t="str">
            <v>COND. ED. MARQUES DOS REIS</v>
          </cell>
          <cell r="D106">
            <v>0</v>
          </cell>
          <cell r="E106">
            <v>121034.4</v>
          </cell>
          <cell r="F106">
            <v>-121034.4</v>
          </cell>
          <cell r="G106">
            <v>0</v>
          </cell>
        </row>
        <row r="107">
          <cell r="B107">
            <v>21449300000000</v>
          </cell>
          <cell r="C107" t="str">
            <v>BERKAN AUDITORES INDEPENDENTES S.S</v>
          </cell>
          <cell r="D107">
            <v>0</v>
          </cell>
          <cell r="E107">
            <v>9864.5</v>
          </cell>
          <cell r="F107">
            <v>-9864.5</v>
          </cell>
          <cell r="G107">
            <v>0</v>
          </cell>
        </row>
        <row r="108">
          <cell r="B108">
            <v>74336600000000</v>
          </cell>
          <cell r="C108" t="str">
            <v>ELETROMAGNETICS TEC. E INF. LTDA</v>
          </cell>
          <cell r="D108">
            <v>0</v>
          </cell>
          <cell r="E108">
            <v>0</v>
          </cell>
          <cell r="F108">
            <v>-74341.39</v>
          </cell>
          <cell r="G108">
            <v>74341.39</v>
          </cell>
        </row>
        <row r="109">
          <cell r="B109">
            <v>15011200000000</v>
          </cell>
          <cell r="C109" t="str">
            <v>ESTATER TECNOLOGIA E SERVICOS LTDA</v>
          </cell>
          <cell r="D109">
            <v>0</v>
          </cell>
          <cell r="E109">
            <v>792</v>
          </cell>
          <cell r="F109">
            <v>-792</v>
          </cell>
          <cell r="G109">
            <v>0</v>
          </cell>
        </row>
        <row r="110">
          <cell r="B110">
            <v>3364280000000</v>
          </cell>
          <cell r="C110" t="str">
            <v>AUTODATA SEMINARIOS E EDITORA LTDA</v>
          </cell>
          <cell r="D110">
            <v>0</v>
          </cell>
          <cell r="E110">
            <v>2305.5</v>
          </cell>
          <cell r="F110">
            <v>-2305.5</v>
          </cell>
          <cell r="G110">
            <v>0</v>
          </cell>
        </row>
        <row r="111">
          <cell r="B111">
            <v>7718940000000</v>
          </cell>
          <cell r="C111" t="str">
            <v>ZILMA WAVGENCZAK ME.</v>
          </cell>
          <cell r="D111">
            <v>0</v>
          </cell>
          <cell r="E111">
            <v>140</v>
          </cell>
          <cell r="F111">
            <v>-140</v>
          </cell>
          <cell r="G111">
            <v>0</v>
          </cell>
        </row>
        <row r="112">
          <cell r="B112">
            <v>9079570000000</v>
          </cell>
          <cell r="C112" t="str">
            <v>TOTAL LIFE ASSISTENCIA A VIDA LTDA</v>
          </cell>
          <cell r="D112">
            <v>0</v>
          </cell>
          <cell r="E112">
            <v>0</v>
          </cell>
          <cell r="F112">
            <v>-2914.22</v>
          </cell>
          <cell r="G112">
            <v>2914.22</v>
          </cell>
        </row>
        <row r="113">
          <cell r="B113">
            <v>39545600000000</v>
          </cell>
          <cell r="C113" t="str">
            <v>CVE EVENTOS LTDA</v>
          </cell>
          <cell r="D113">
            <v>0</v>
          </cell>
          <cell r="E113">
            <v>0</v>
          </cell>
          <cell r="F113">
            <v>-2160</v>
          </cell>
          <cell r="G113">
            <v>2160</v>
          </cell>
        </row>
        <row r="114">
          <cell r="B114">
            <v>19088600000000</v>
          </cell>
          <cell r="C114" t="str">
            <v>MGS CLEAN SOLUÇÕES E SERVIÇOS</v>
          </cell>
          <cell r="D114">
            <v>-60000</v>
          </cell>
          <cell r="E114">
            <v>52152.86</v>
          </cell>
          <cell r="F114">
            <v>-136472.88</v>
          </cell>
          <cell r="G114">
            <v>144320.01999999999</v>
          </cell>
        </row>
        <row r="115">
          <cell r="B115">
            <v>398099000000</v>
          </cell>
          <cell r="C115" t="str">
            <v>ASSOCIAÇÃO BRASILEIRA DE ORÇAMENTO PÚBLICO</v>
          </cell>
          <cell r="D115">
            <v>-9000</v>
          </cell>
          <cell r="E115">
            <v>9000</v>
          </cell>
          <cell r="F115">
            <v>0</v>
          </cell>
          <cell r="G115">
            <v>0</v>
          </cell>
        </row>
        <row r="116">
          <cell r="B116">
            <v>10242700000000</v>
          </cell>
          <cell r="C116" t="str">
            <v>BUYSOFT DO BRASIL LTDA</v>
          </cell>
          <cell r="D116">
            <v>-11200</v>
          </cell>
          <cell r="E116">
            <v>11200</v>
          </cell>
          <cell r="F116">
            <v>0</v>
          </cell>
          <cell r="G116">
            <v>0</v>
          </cell>
        </row>
        <row r="117">
          <cell r="B117">
            <v>34036200000000</v>
          </cell>
          <cell r="C117" t="str">
            <v>TIME MULTISSERVIÇOS LTDA</v>
          </cell>
          <cell r="D117">
            <v>-60000</v>
          </cell>
          <cell r="E117">
            <v>125931.93</v>
          </cell>
          <cell r="F117">
            <v>-149839.73000000001</v>
          </cell>
          <cell r="G117">
            <v>83907.8</v>
          </cell>
        </row>
        <row r="118">
          <cell r="B118">
            <v>36813600000000</v>
          </cell>
          <cell r="C118" t="str">
            <v>GESTAO QUANTUM CENTRO DE PROCESSAMENTO CONTABIL</v>
          </cell>
          <cell r="D118">
            <v>-14358.79</v>
          </cell>
          <cell r="E118">
            <v>14358.79</v>
          </cell>
          <cell r="F118">
            <v>-14358.79</v>
          </cell>
          <cell r="G118">
            <v>14358.79</v>
          </cell>
        </row>
        <row r="119">
          <cell r="B119">
            <v>8294690000000</v>
          </cell>
          <cell r="C119" t="str">
            <v>WAYCARBON SOLUCOES AMBIENTAIS E PROJETOS DE CARBONO LT</v>
          </cell>
          <cell r="D119">
            <v>0</v>
          </cell>
          <cell r="E119">
            <v>0</v>
          </cell>
          <cell r="F119">
            <v>-120000</v>
          </cell>
          <cell r="G119">
            <v>120000</v>
          </cell>
        </row>
        <row r="120">
          <cell r="B120">
            <v>3657350000000</v>
          </cell>
          <cell r="C120" t="str">
            <v>ASSOCIAÇÃO BRASILEIRA DE AGENCIAS DE REGULAÇÃO - ABAR</v>
          </cell>
          <cell r="D120">
            <v>0</v>
          </cell>
          <cell r="E120">
            <v>3960</v>
          </cell>
          <cell r="F120">
            <v>-3960</v>
          </cell>
          <cell r="G120">
            <v>0</v>
          </cell>
        </row>
        <row r="121">
          <cell r="B121">
            <v>34977900000000</v>
          </cell>
          <cell r="C121" t="str">
            <v>RMA ENGENHARIA LTDA</v>
          </cell>
          <cell r="D121">
            <v>0</v>
          </cell>
          <cell r="E121">
            <v>0</v>
          </cell>
          <cell r="F121">
            <v>-1400</v>
          </cell>
          <cell r="G121">
            <v>1400</v>
          </cell>
        </row>
        <row r="122">
          <cell r="B122">
            <v>25131900000000</v>
          </cell>
          <cell r="C122" t="str">
            <v>MOBIX ORGANIZACAO E PRODUCAO DE EVENTOS LTDA</v>
          </cell>
          <cell r="D122">
            <v>0</v>
          </cell>
          <cell r="E122">
            <v>0</v>
          </cell>
          <cell r="F122">
            <v>-5700</v>
          </cell>
          <cell r="G122">
            <v>5700</v>
          </cell>
        </row>
        <row r="123">
          <cell r="B123">
            <v>33267100000000</v>
          </cell>
          <cell r="C123" t="str">
            <v>KANELS VAREJO ESPECIALIZADO EM EQUIPAMENTOS DE AUDIO E VIDEO EIRELI</v>
          </cell>
          <cell r="D123">
            <v>0</v>
          </cell>
          <cell r="E123">
            <v>0</v>
          </cell>
          <cell r="F123">
            <v>-49665</v>
          </cell>
          <cell r="G123">
            <v>49665</v>
          </cell>
        </row>
        <row r="124">
          <cell r="B124">
            <v>33198300000000</v>
          </cell>
          <cell r="C124" t="str">
            <v>REFRIGERACAO IV CENTENARIO EIRELI</v>
          </cell>
          <cell r="D124">
            <v>0</v>
          </cell>
          <cell r="E124">
            <v>499.6</v>
          </cell>
          <cell r="F124">
            <v>-499.6</v>
          </cell>
          <cell r="G124">
            <v>0</v>
          </cell>
        </row>
        <row r="125">
          <cell r="B125">
            <v>26543900000000</v>
          </cell>
          <cell r="C125" t="str">
            <v>GRAPHIX COPIAS E IMPRESSOES EIRELI ME</v>
          </cell>
          <cell r="D125">
            <v>-320</v>
          </cell>
          <cell r="E125">
            <v>320</v>
          </cell>
          <cell r="F125">
            <v>0</v>
          </cell>
          <cell r="G125">
            <v>0</v>
          </cell>
        </row>
        <row r="126">
          <cell r="B126">
            <v>10740900000000</v>
          </cell>
          <cell r="C126" t="str">
            <v>A &amp; A TRADUCOES E INTERPRETACOES LTDA</v>
          </cell>
          <cell r="D126">
            <v>-496</v>
          </cell>
          <cell r="E126">
            <v>496</v>
          </cell>
          <cell r="F126">
            <v>0</v>
          </cell>
          <cell r="G126">
            <v>0</v>
          </cell>
        </row>
        <row r="127">
          <cell r="B127">
            <v>28712100000000</v>
          </cell>
          <cell r="C127" t="str">
            <v>MODULO SECURITY SOLUTIONS EM RECUPERACAO JUDICIAL</v>
          </cell>
          <cell r="D127">
            <v>0</v>
          </cell>
          <cell r="E127">
            <v>0</v>
          </cell>
          <cell r="F127">
            <v>-4500</v>
          </cell>
          <cell r="G127">
            <v>4500</v>
          </cell>
        </row>
        <row r="128">
          <cell r="B128">
            <v>1406620000000</v>
          </cell>
          <cell r="C128" t="str">
            <v>AGENCIA DE INTEGRAÇÃO ESCOLA LTDA</v>
          </cell>
          <cell r="D128">
            <v>-55171.46</v>
          </cell>
          <cell r="E128">
            <v>111929.82</v>
          </cell>
          <cell r="F128">
            <v>-56758.36</v>
          </cell>
          <cell r="G128">
            <v>0</v>
          </cell>
        </row>
        <row r="129">
          <cell r="B129">
            <v>12499500000000</v>
          </cell>
          <cell r="C129" t="str">
            <v>CLICKSIGN GESTAO DE DOCUMENTOS S/A</v>
          </cell>
          <cell r="D129">
            <v>0</v>
          </cell>
          <cell r="E129">
            <v>232.2</v>
          </cell>
          <cell r="F129">
            <v>-232.2</v>
          </cell>
          <cell r="G129">
            <v>0</v>
          </cell>
        </row>
        <row r="130">
          <cell r="B130">
            <v>7843950000000</v>
          </cell>
          <cell r="C130" t="str">
            <v>CHESTNUT GLOBAL PARTNERS DO BRASIL LTDA</v>
          </cell>
          <cell r="D130">
            <v>0</v>
          </cell>
          <cell r="E130">
            <v>2750</v>
          </cell>
          <cell r="F130">
            <v>-2750</v>
          </cell>
          <cell r="G130">
            <v>0</v>
          </cell>
        </row>
        <row r="131">
          <cell r="B131">
            <v>72061000000000</v>
          </cell>
          <cell r="C131" t="str">
            <v>FUNDACAO COORDENACAO DE PROJETOS PESQUISAS E ESTUDOS</v>
          </cell>
          <cell r="D131">
            <v>0</v>
          </cell>
          <cell r="E131">
            <v>0</v>
          </cell>
          <cell r="F131">
            <v>-110579.72</v>
          </cell>
          <cell r="G131">
            <v>110579.72</v>
          </cell>
        </row>
        <row r="132">
          <cell r="B132">
            <v>35419400000000</v>
          </cell>
          <cell r="C132" t="str">
            <v>HIGH SERVICOS DE COMPLIANCE LTDA</v>
          </cell>
          <cell r="D132">
            <v>0</v>
          </cell>
          <cell r="E132">
            <v>0</v>
          </cell>
          <cell r="F132">
            <v>-1291.67</v>
          </cell>
          <cell r="G132">
            <v>1291.67</v>
          </cell>
        </row>
        <row r="133">
          <cell r="B133">
            <v>12979000000000</v>
          </cell>
          <cell r="C133" t="str">
            <v>T &amp; S LOCACAO DE MAO DE OBRA EM GERAL EIRELI</v>
          </cell>
          <cell r="D133">
            <v>0</v>
          </cell>
          <cell r="E133">
            <v>3695.46</v>
          </cell>
          <cell r="F133">
            <v>-33595.06</v>
          </cell>
          <cell r="G133">
            <v>29899.599999999999</v>
          </cell>
        </row>
        <row r="134">
          <cell r="B134">
            <v>23689400000000</v>
          </cell>
          <cell r="C134" t="str">
            <v>SPUTNIK CURSOS LTDA</v>
          </cell>
          <cell r="D134">
            <v>0</v>
          </cell>
          <cell r="E134">
            <v>47468.94</v>
          </cell>
          <cell r="F134">
            <v>-47468.94</v>
          </cell>
          <cell r="G134">
            <v>0</v>
          </cell>
        </row>
        <row r="135">
          <cell r="B135">
            <v>38056400000000</v>
          </cell>
          <cell r="C135" t="str">
            <v>IOS INFORMATICA, ORGANIZACAO E SISTEMAS LTDA</v>
          </cell>
          <cell r="D135">
            <v>0</v>
          </cell>
          <cell r="E135">
            <v>32530.11</v>
          </cell>
          <cell r="F135">
            <v>-32530.11</v>
          </cell>
          <cell r="G135">
            <v>0</v>
          </cell>
        </row>
        <row r="136">
          <cell r="B136">
            <v>14113000000000</v>
          </cell>
          <cell r="C136" t="str">
            <v>DIVERSA CONSULTORIA E PLANEJAMENTO EM SUSTENTABILIDADE</v>
          </cell>
          <cell r="D136">
            <v>0</v>
          </cell>
          <cell r="E136">
            <v>0</v>
          </cell>
          <cell r="F136">
            <v>-119396.23</v>
          </cell>
          <cell r="G136">
            <v>119396.23</v>
          </cell>
        </row>
        <row r="137">
          <cell r="B137">
            <v>7857620000000</v>
          </cell>
          <cell r="C137" t="str">
            <v>MENEZES NIEBUHR SOCIEDADE DE ADVOGADOS</v>
          </cell>
          <cell r="D137">
            <v>0</v>
          </cell>
          <cell r="E137">
            <v>0</v>
          </cell>
          <cell r="F137">
            <v>-75000</v>
          </cell>
          <cell r="G137">
            <v>75000</v>
          </cell>
        </row>
        <row r="138">
          <cell r="B138" t="str">
            <v>01707536/000104</v>
          </cell>
          <cell r="C138" t="str">
            <v>ISH TECNOLOGIA S/A</v>
          </cell>
          <cell r="D138">
            <v>0</v>
          </cell>
          <cell r="E138">
            <v>36354.17</v>
          </cell>
          <cell r="F138">
            <v>-36354.17</v>
          </cell>
          <cell r="G138">
            <v>0</v>
          </cell>
        </row>
        <row r="139">
          <cell r="B139">
            <v>34260600000000</v>
          </cell>
          <cell r="C139" t="str">
            <v>CONSELHO REGIONAL DE ENGENHARIA E AGRONOMIA DO RIO DE JANEIRO</v>
          </cell>
          <cell r="D139">
            <v>-2346.33</v>
          </cell>
          <cell r="E139">
            <v>0</v>
          </cell>
          <cell r="F139">
            <v>0</v>
          </cell>
          <cell r="G139">
            <v>2346.33</v>
          </cell>
        </row>
        <row r="140">
          <cell r="B140">
            <v>29483800000000</v>
          </cell>
          <cell r="C140" t="str">
            <v>FS TECNOLOGIA TREINAMENTO EM DESENVOLVIMENTO</v>
          </cell>
          <cell r="D140">
            <v>0</v>
          </cell>
          <cell r="E140">
            <v>3962.92</v>
          </cell>
          <cell r="F140">
            <v>-3962.92</v>
          </cell>
          <cell r="G140">
            <v>0</v>
          </cell>
        </row>
        <row r="141">
          <cell r="B141">
            <v>30920300000000</v>
          </cell>
          <cell r="C141" t="str">
            <v>SANEMIX MUNDO DOS SERVICOS EIRELI</v>
          </cell>
          <cell r="D141">
            <v>0</v>
          </cell>
          <cell r="E141">
            <v>3200</v>
          </cell>
          <cell r="F141">
            <v>-3200</v>
          </cell>
          <cell r="G141">
            <v>0</v>
          </cell>
        </row>
        <row r="142">
          <cell r="B142">
            <v>32681700000000</v>
          </cell>
          <cell r="C142" t="str">
            <v>PLM - AUDITORIA E CONSULTORIA LTDA</v>
          </cell>
          <cell r="D142">
            <v>0</v>
          </cell>
          <cell r="E142">
            <v>0</v>
          </cell>
          <cell r="F142">
            <v>-193</v>
          </cell>
          <cell r="G142">
            <v>193</v>
          </cell>
        </row>
        <row r="143">
          <cell r="B143">
            <v>8401150000000</v>
          </cell>
          <cell r="C143" t="str">
            <v>EXACTTUS CONSULTORIA ATUARIAL LTDA</v>
          </cell>
          <cell r="D143">
            <v>0</v>
          </cell>
          <cell r="E143">
            <v>0</v>
          </cell>
          <cell r="F143">
            <v>-84711.58</v>
          </cell>
          <cell r="G143">
            <v>84711.58</v>
          </cell>
        </row>
        <row r="144">
          <cell r="B144">
            <v>27553300000000</v>
          </cell>
          <cell r="C144" t="str">
            <v>INFRA JORNALISMO LTDA</v>
          </cell>
          <cell r="D144">
            <v>0</v>
          </cell>
          <cell r="E144">
            <v>1600</v>
          </cell>
          <cell r="F144">
            <v>-1600</v>
          </cell>
          <cell r="G144">
            <v>0</v>
          </cell>
        </row>
        <row r="145">
          <cell r="B145">
            <v>16724700000000</v>
          </cell>
          <cell r="C145" t="str">
            <v>M &amp; J OFICINA DE CADEIRAS EIRELI ME</v>
          </cell>
          <cell r="D145">
            <v>-199</v>
          </cell>
          <cell r="E145">
            <v>199</v>
          </cell>
          <cell r="F145">
            <v>0</v>
          </cell>
          <cell r="G145">
            <v>0</v>
          </cell>
        </row>
        <row r="146">
          <cell r="B146">
            <v>45660300000000</v>
          </cell>
          <cell r="C146" t="str">
            <v>SOLAR SOLUTIONS SOLUÇÕES SOLARES LTDA</v>
          </cell>
          <cell r="D146">
            <v>0</v>
          </cell>
          <cell r="E146">
            <v>18000</v>
          </cell>
          <cell r="F146">
            <v>-18000</v>
          </cell>
          <cell r="G146">
            <v>0</v>
          </cell>
        </row>
        <row r="147">
          <cell r="B147">
            <v>1337720000000</v>
          </cell>
          <cell r="C147" t="str">
            <v>MARILIA REBELLO &amp; ASSOCIADOS LTDA</v>
          </cell>
          <cell r="D147">
            <v>0</v>
          </cell>
          <cell r="E147">
            <v>4410</v>
          </cell>
          <cell r="F147">
            <v>-4410</v>
          </cell>
          <cell r="G147">
            <v>0</v>
          </cell>
        </row>
        <row r="148">
          <cell r="B148">
            <v>13016900000000</v>
          </cell>
          <cell r="C148" t="str">
            <v>AVALOR ENGENHARIA DE AVALIACOES LTDA</v>
          </cell>
          <cell r="D148">
            <v>0</v>
          </cell>
          <cell r="E148">
            <v>7950</v>
          </cell>
          <cell r="F148">
            <v>-7950</v>
          </cell>
          <cell r="G148">
            <v>0</v>
          </cell>
        </row>
        <row r="149">
          <cell r="B149">
            <v>23312600000000</v>
          </cell>
          <cell r="C149" t="str">
            <v>CURSOS VAI QUE DA LTDA - ME</v>
          </cell>
          <cell r="D149">
            <v>0</v>
          </cell>
          <cell r="E149">
            <v>1204.2</v>
          </cell>
          <cell r="F149">
            <v>-1204.2</v>
          </cell>
          <cell r="G149">
            <v>0</v>
          </cell>
        </row>
        <row r="150">
          <cell r="B150">
            <v>5630090000000</v>
          </cell>
          <cell r="C150" t="str">
            <v>VICMA COMERCIO DE EQUIPAMENTOS PARA ESCRITORIO LTDA</v>
          </cell>
          <cell r="D150">
            <v>0</v>
          </cell>
          <cell r="E150">
            <v>0</v>
          </cell>
          <cell r="F150">
            <v>-562.95000000000005</v>
          </cell>
          <cell r="G150">
            <v>562.95000000000005</v>
          </cell>
        </row>
        <row r="151">
          <cell r="B151">
            <v>12654500000000</v>
          </cell>
          <cell r="C151" t="str">
            <v>BARCINO TREINAMENTO E GESTAO LTDA-ME</v>
          </cell>
          <cell r="D151">
            <v>0</v>
          </cell>
          <cell r="E151">
            <v>0</v>
          </cell>
          <cell r="F151">
            <v>-1490</v>
          </cell>
          <cell r="G151">
            <v>1490</v>
          </cell>
        </row>
        <row r="152">
          <cell r="B152">
            <v>2114998</v>
          </cell>
          <cell r="C152" t="str">
            <v>Fornecedores a Classificar</v>
          </cell>
          <cell r="D152">
            <v>0</v>
          </cell>
          <cell r="E152">
            <v>496963.4</v>
          </cell>
          <cell r="F152">
            <v>-496963.4</v>
          </cell>
          <cell r="G152">
            <v>0</v>
          </cell>
        </row>
        <row r="153">
          <cell r="B153">
            <v>9199790000000</v>
          </cell>
          <cell r="C153" t="str">
            <v>PREMIER CURSOS LTDA</v>
          </cell>
          <cell r="D153">
            <v>0</v>
          </cell>
          <cell r="E153">
            <v>960</v>
          </cell>
          <cell r="F153">
            <v>-960</v>
          </cell>
          <cell r="G153">
            <v>0</v>
          </cell>
        </row>
        <row r="154">
          <cell r="B154">
            <v>38458400000000</v>
          </cell>
          <cell r="C154" t="str">
            <v>EXXPRESS BRINDES LTDA</v>
          </cell>
          <cell r="D154">
            <v>0</v>
          </cell>
          <cell r="E154">
            <v>0</v>
          </cell>
          <cell r="F154">
            <v>-3576</v>
          </cell>
          <cell r="G154">
            <v>3576</v>
          </cell>
        </row>
        <row r="155">
          <cell r="B155">
            <v>2117</v>
          </cell>
          <cell r="C155" t="str">
            <v>Retenções Tributárias</v>
          </cell>
          <cell r="D155">
            <v>-20105.05</v>
          </cell>
          <cell r="E155">
            <v>1083929.73</v>
          </cell>
          <cell r="F155">
            <v>-1083178.93</v>
          </cell>
          <cell r="G155">
            <v>19354.25</v>
          </cell>
        </row>
        <row r="156">
          <cell r="B156">
            <v>561</v>
          </cell>
          <cell r="C156" t="str">
            <v>IRRF a Recolher de Empregados</v>
          </cell>
          <cell r="D156">
            <v>-6149.26</v>
          </cell>
          <cell r="E156">
            <v>875484.18</v>
          </cell>
          <cell r="F156">
            <v>-870850.74</v>
          </cell>
          <cell r="G156">
            <v>1515.82</v>
          </cell>
        </row>
        <row r="157">
          <cell r="B157" t="str">
            <v>INSS</v>
          </cell>
          <cell r="C157" t="str">
            <v>INSS DE TERCEIROS</v>
          </cell>
          <cell r="D157">
            <v>-13955.79</v>
          </cell>
          <cell r="E157">
            <v>13955.79</v>
          </cell>
          <cell r="F157">
            <v>-17838.43</v>
          </cell>
          <cell r="G157">
            <v>17838.43</v>
          </cell>
        </row>
        <row r="158">
          <cell r="B158">
            <v>6147</v>
          </cell>
          <cell r="C158" t="str">
            <v>Ret IN 539/05 - IR/CS/PIS/COFINS - 5,85%</v>
          </cell>
          <cell r="D158">
            <v>0</v>
          </cell>
          <cell r="E158">
            <v>2470.75</v>
          </cell>
          <cell r="F158">
            <v>-2470.75</v>
          </cell>
          <cell r="G158">
            <v>0</v>
          </cell>
        </row>
        <row r="159">
          <cell r="B159">
            <v>6190</v>
          </cell>
          <cell r="C159" t="str">
            <v>Ret IN 539/05 - IR/CS/PIS/COFINS - 9,45%</v>
          </cell>
          <cell r="D159">
            <v>0</v>
          </cell>
          <cell r="E159">
            <v>185389</v>
          </cell>
          <cell r="F159">
            <v>-185389</v>
          </cell>
          <cell r="G159">
            <v>0</v>
          </cell>
        </row>
        <row r="160">
          <cell r="B160">
            <v>6175</v>
          </cell>
          <cell r="C160" t="str">
            <v>Ret IN 539/05 - IR/CS/PIS/COFINS - 7,05%</v>
          </cell>
          <cell r="D160">
            <v>0</v>
          </cell>
          <cell r="E160">
            <v>4217.62</v>
          </cell>
          <cell r="F160">
            <v>-4217.62</v>
          </cell>
          <cell r="G160">
            <v>0</v>
          </cell>
        </row>
        <row r="161">
          <cell r="B161" t="str">
            <v>ISS</v>
          </cell>
          <cell r="C161" t="str">
            <v>ISS de Terceiros</v>
          </cell>
          <cell r="D161">
            <v>0</v>
          </cell>
          <cell r="E161">
            <v>2412.39</v>
          </cell>
          <cell r="F161">
            <v>-2412.39</v>
          </cell>
          <cell r="G161">
            <v>0</v>
          </cell>
        </row>
        <row r="162">
          <cell r="B162">
            <v>2118</v>
          </cell>
          <cell r="C162" t="str">
            <v>Obrigações Trabalhistas e Sociais</v>
          </cell>
          <cell r="D162">
            <v>-18281629.399999999</v>
          </cell>
          <cell r="E162">
            <v>7629366.5300000003</v>
          </cell>
          <cell r="F162">
            <v>-7961302.7400000002</v>
          </cell>
          <cell r="G162">
            <v>18613565.609999999</v>
          </cell>
        </row>
        <row r="163">
          <cell r="B163">
            <v>21181</v>
          </cell>
          <cell r="C163" t="str">
            <v>Salários a Pagar</v>
          </cell>
          <cell r="D163">
            <v>-3104122.72</v>
          </cell>
          <cell r="E163">
            <v>4955956.92</v>
          </cell>
          <cell r="F163">
            <v>-4978019.6399999997</v>
          </cell>
          <cell r="G163">
            <v>3126185.44</v>
          </cell>
        </row>
        <row r="164">
          <cell r="B164">
            <v>21182</v>
          </cell>
          <cell r="C164" t="str">
            <v>13º Salário a Pagar</v>
          </cell>
          <cell r="D164">
            <v>-3704105.01</v>
          </cell>
          <cell r="E164">
            <v>0</v>
          </cell>
          <cell r="F164">
            <v>-368971.21</v>
          </cell>
          <cell r="G164">
            <v>4073076.22</v>
          </cell>
        </row>
        <row r="165">
          <cell r="B165">
            <v>21183</v>
          </cell>
          <cell r="C165" t="str">
            <v>Férias a Pagar</v>
          </cell>
          <cell r="D165">
            <v>-6706501.2599999998</v>
          </cell>
          <cell r="E165">
            <v>544017.86</v>
          </cell>
          <cell r="F165">
            <v>-465163.88</v>
          </cell>
          <cell r="G165">
            <v>6627647.2800000003</v>
          </cell>
        </row>
        <row r="166">
          <cell r="B166">
            <v>21184</v>
          </cell>
          <cell r="C166" t="str">
            <v>INSS a Recolher</v>
          </cell>
          <cell r="D166">
            <v>-1168302.3799999999</v>
          </cell>
          <cell r="E166">
            <v>1185283.3700000001</v>
          </cell>
          <cell r="F166">
            <v>-1169608.5900000001</v>
          </cell>
          <cell r="G166">
            <v>1152627.6000000001</v>
          </cell>
        </row>
        <row r="167">
          <cell r="B167">
            <v>21185</v>
          </cell>
          <cell r="C167" t="str">
            <v>FGTS a Recolher</v>
          </cell>
          <cell r="D167">
            <v>-372717.07</v>
          </cell>
          <cell r="E167">
            <v>372717.11</v>
          </cell>
          <cell r="F167">
            <v>-368450.94</v>
          </cell>
          <cell r="G167">
            <v>368450.9</v>
          </cell>
        </row>
        <row r="168">
          <cell r="B168">
            <v>21186</v>
          </cell>
          <cell r="C168" t="str">
            <v>Contribuição Sindical a Pagar</v>
          </cell>
          <cell r="D168">
            <v>0</v>
          </cell>
          <cell r="E168">
            <v>145</v>
          </cell>
          <cell r="F168">
            <v>-145</v>
          </cell>
          <cell r="G168">
            <v>0</v>
          </cell>
        </row>
        <row r="169">
          <cell r="B169">
            <v>21187</v>
          </cell>
          <cell r="C169" t="str">
            <v>Pensão Alimentícia</v>
          </cell>
          <cell r="D169">
            <v>0</v>
          </cell>
          <cell r="E169">
            <v>11942.52</v>
          </cell>
          <cell r="F169">
            <v>-11942.52</v>
          </cell>
          <cell r="G169">
            <v>0</v>
          </cell>
        </row>
        <row r="170">
          <cell r="B170">
            <v>21188</v>
          </cell>
          <cell r="C170" t="str">
            <v>Rescisões a Pagar</v>
          </cell>
          <cell r="D170">
            <v>-37866.81</v>
          </cell>
          <cell r="E170">
            <v>66170.98</v>
          </cell>
          <cell r="F170">
            <v>-28304.17</v>
          </cell>
          <cell r="G170">
            <v>0</v>
          </cell>
        </row>
        <row r="171">
          <cell r="B171">
            <v>21189</v>
          </cell>
          <cell r="C171" t="str">
            <v>Previdência Privada Complementar</v>
          </cell>
          <cell r="D171">
            <v>-333292.99</v>
          </cell>
          <cell r="E171">
            <v>333292.99</v>
          </cell>
          <cell r="F171">
            <v>-330245.62</v>
          </cell>
          <cell r="G171">
            <v>330245.62</v>
          </cell>
        </row>
        <row r="172">
          <cell r="B172">
            <v>211810</v>
          </cell>
          <cell r="C172" t="str">
            <v>INSS s/ 13º Salario a Pagar</v>
          </cell>
          <cell r="D172">
            <v>-773366.42</v>
          </cell>
          <cell r="E172">
            <v>0</v>
          </cell>
          <cell r="F172">
            <v>-77034.53</v>
          </cell>
          <cell r="G172">
            <v>850400.95</v>
          </cell>
        </row>
        <row r="173">
          <cell r="B173">
            <v>211811</v>
          </cell>
          <cell r="C173" t="str">
            <v>FGTS s/ 13º Salario a Pagar</v>
          </cell>
          <cell r="D173">
            <v>-126117.47</v>
          </cell>
          <cell r="E173">
            <v>0</v>
          </cell>
          <cell r="F173">
            <v>-29346.69</v>
          </cell>
          <cell r="G173">
            <v>155464.16</v>
          </cell>
        </row>
        <row r="174">
          <cell r="B174">
            <v>211812</v>
          </cell>
          <cell r="C174" t="str">
            <v>INSS s/ Férias a Pagar</v>
          </cell>
          <cell r="D174">
            <v>-1415861.8</v>
          </cell>
          <cell r="E174">
            <v>115746.07</v>
          </cell>
          <cell r="F174">
            <v>-97085.04</v>
          </cell>
          <cell r="G174">
            <v>1397200.77</v>
          </cell>
        </row>
        <row r="175">
          <cell r="B175">
            <v>211813</v>
          </cell>
          <cell r="C175" t="str">
            <v>FGTS s/ Férias a Pagar</v>
          </cell>
          <cell r="D175">
            <v>-539375.47</v>
          </cell>
          <cell r="E175">
            <v>44093.71</v>
          </cell>
          <cell r="F175">
            <v>-36984.910000000003</v>
          </cell>
          <cell r="G175">
            <v>532266.67000000004</v>
          </cell>
        </row>
        <row r="176">
          <cell r="B176">
            <v>211110</v>
          </cell>
          <cell r="C176" t="str">
            <v>Provisões p/ Contingências</v>
          </cell>
          <cell r="D176">
            <v>-2801632.42</v>
          </cell>
          <cell r="E176">
            <v>0</v>
          </cell>
          <cell r="F176">
            <v>-12933.06</v>
          </cell>
          <cell r="G176">
            <v>2814565.48</v>
          </cell>
        </row>
        <row r="177">
          <cell r="B177">
            <v>211111</v>
          </cell>
          <cell r="C177" t="str">
            <v>Provisão p/ Contingências Trabalhistas</v>
          </cell>
          <cell r="D177">
            <v>-2801632.42</v>
          </cell>
          <cell r="E177">
            <v>0</v>
          </cell>
          <cell r="F177">
            <v>-12933.06</v>
          </cell>
          <cell r="G177">
            <v>2814565.48</v>
          </cell>
        </row>
        <row r="178">
          <cell r="B178">
            <v>21114</v>
          </cell>
          <cell r="C178" t="str">
            <v>Obrigações com a Cessão de Pessoal</v>
          </cell>
          <cell r="D178">
            <v>-41393.81</v>
          </cell>
          <cell r="E178">
            <v>32898.67</v>
          </cell>
          <cell r="F178">
            <v>-32898.67</v>
          </cell>
          <cell r="G178">
            <v>41393.81</v>
          </cell>
        </row>
        <row r="179">
          <cell r="B179">
            <v>211145</v>
          </cell>
          <cell r="C179" t="str">
            <v>Obrigações com o STJ</v>
          </cell>
          <cell r="D179">
            <v>-24403.53</v>
          </cell>
          <cell r="E179">
            <v>24403.53</v>
          </cell>
          <cell r="F179">
            <v>-24403.53</v>
          </cell>
          <cell r="G179">
            <v>24403.53</v>
          </cell>
        </row>
        <row r="180">
          <cell r="B180">
            <v>211147</v>
          </cell>
          <cell r="C180" t="str">
            <v>Obrigações com a USP</v>
          </cell>
          <cell r="D180">
            <v>-16990.28</v>
          </cell>
          <cell r="E180">
            <v>8495.14</v>
          </cell>
          <cell r="F180">
            <v>-8495.14</v>
          </cell>
          <cell r="G180">
            <v>16990.28</v>
          </cell>
        </row>
        <row r="181">
          <cell r="B181">
            <v>21115</v>
          </cell>
          <cell r="C181" t="str">
            <v>Previdência Privada Complementar</v>
          </cell>
          <cell r="D181">
            <v>-329466.18</v>
          </cell>
          <cell r="E181">
            <v>329466.18</v>
          </cell>
          <cell r="F181">
            <v>-326418.81</v>
          </cell>
          <cell r="G181">
            <v>326418.81</v>
          </cell>
        </row>
        <row r="182">
          <cell r="B182">
            <v>211151</v>
          </cell>
          <cell r="C182" t="str">
            <v>Fundação ELETROS</v>
          </cell>
          <cell r="D182">
            <v>-329466.18</v>
          </cell>
          <cell r="E182">
            <v>329466.18</v>
          </cell>
          <cell r="F182">
            <v>-326418.81</v>
          </cell>
          <cell r="G182">
            <v>326418.81</v>
          </cell>
        </row>
        <row r="183">
          <cell r="B183">
            <v>22</v>
          </cell>
          <cell r="C183" t="str">
            <v>Passivo Não Circulante</v>
          </cell>
          <cell r="D183">
            <v>-7035275.1500000004</v>
          </cell>
          <cell r="E183">
            <v>0</v>
          </cell>
          <cell r="F183">
            <v>-53397.9</v>
          </cell>
          <cell r="G183">
            <v>7088673.0499999998</v>
          </cell>
        </row>
        <row r="184">
          <cell r="B184">
            <v>221</v>
          </cell>
          <cell r="C184" t="str">
            <v>Obrigações de Longo Prazo</v>
          </cell>
          <cell r="D184">
            <v>-7035275.1500000004</v>
          </cell>
          <cell r="E184">
            <v>0</v>
          </cell>
          <cell r="F184">
            <v>-53397.9</v>
          </cell>
          <cell r="G184">
            <v>7088673.0499999998</v>
          </cell>
        </row>
        <row r="185">
          <cell r="B185">
            <v>2215</v>
          </cell>
          <cell r="C185" t="str">
            <v>Provisões p/ Contingências</v>
          </cell>
          <cell r="D185">
            <v>-7035275.1500000004</v>
          </cell>
          <cell r="E185">
            <v>0</v>
          </cell>
          <cell r="F185">
            <v>-53397.9</v>
          </cell>
          <cell r="G185">
            <v>7088673.0499999998</v>
          </cell>
        </row>
        <row r="186">
          <cell r="B186">
            <v>22151</v>
          </cell>
          <cell r="C186" t="str">
            <v>Provisão p/ Contingências Trabalhistas</v>
          </cell>
          <cell r="D186">
            <v>-400410.97</v>
          </cell>
          <cell r="E186">
            <v>0</v>
          </cell>
          <cell r="F186">
            <v>-1615.87</v>
          </cell>
          <cell r="G186">
            <v>402026.84</v>
          </cell>
        </row>
        <row r="187">
          <cell r="B187">
            <v>22152</v>
          </cell>
          <cell r="C187" t="str">
            <v>Provisão p/ Contingências Civeis</v>
          </cell>
          <cell r="D187">
            <v>-1187.67</v>
          </cell>
          <cell r="E187">
            <v>0</v>
          </cell>
          <cell r="F187">
            <v>-5.48</v>
          </cell>
          <cell r="G187">
            <v>1193.1500000000001</v>
          </cell>
        </row>
        <row r="188">
          <cell r="B188">
            <v>22153</v>
          </cell>
          <cell r="C188" t="str">
            <v>Provisão p/ Contingências Fiscais</v>
          </cell>
          <cell r="D188">
            <v>-6631319.3300000001</v>
          </cell>
          <cell r="E188">
            <v>0</v>
          </cell>
          <cell r="F188">
            <v>-51765.67</v>
          </cell>
          <cell r="G188">
            <v>6683085</v>
          </cell>
        </row>
        <row r="189">
          <cell r="B189">
            <v>22154</v>
          </cell>
          <cell r="C189" t="str">
            <v>Provisões p/ Contingências Processo Administrativo</v>
          </cell>
          <cell r="D189">
            <v>-2357.1799999999998</v>
          </cell>
          <cell r="E189">
            <v>0</v>
          </cell>
          <cell r="F189">
            <v>-10.88</v>
          </cell>
          <cell r="G189">
            <v>2368.06</v>
          </cell>
        </row>
        <row r="190">
          <cell r="B190" t="str">
            <v>PL</v>
          </cell>
          <cell r="C190" t="str">
            <v>Patrimônio Líquido</v>
          </cell>
          <cell r="D190">
            <v>-27640128.550000001</v>
          </cell>
          <cell r="E190">
            <v>2951140.21</v>
          </cell>
          <cell r="F190">
            <v>-427550</v>
          </cell>
          <cell r="G190">
            <v>25116538.34</v>
          </cell>
        </row>
        <row r="191">
          <cell r="B191">
            <v>241</v>
          </cell>
          <cell r="C191" t="str">
            <v>Capital Social</v>
          </cell>
          <cell r="D191">
            <v>-28468909.870000001</v>
          </cell>
          <cell r="E191">
            <v>0</v>
          </cell>
          <cell r="F191">
            <v>0</v>
          </cell>
          <cell r="G191">
            <v>28468909.870000001</v>
          </cell>
        </row>
        <row r="192">
          <cell r="B192">
            <v>2411</v>
          </cell>
          <cell r="C192" t="str">
            <v>Capital Subscrito</v>
          </cell>
          <cell r="D192">
            <v>-28468909.870000001</v>
          </cell>
          <cell r="E192">
            <v>0</v>
          </cell>
          <cell r="F192">
            <v>0</v>
          </cell>
          <cell r="G192">
            <v>28468909.870000001</v>
          </cell>
        </row>
        <row r="193">
          <cell r="B193">
            <v>24111</v>
          </cell>
          <cell r="C193" t="str">
            <v>Capital Subscrito</v>
          </cell>
          <cell r="D193">
            <v>-28468909.870000001</v>
          </cell>
          <cell r="E193">
            <v>0</v>
          </cell>
          <cell r="F193">
            <v>0</v>
          </cell>
          <cell r="G193">
            <v>28468909.870000001</v>
          </cell>
        </row>
        <row r="194">
          <cell r="B194">
            <v>243</v>
          </cell>
          <cell r="C194" t="str">
            <v>Aj de av.patrimonial</v>
          </cell>
          <cell r="D194">
            <v>29.32</v>
          </cell>
          <cell r="E194">
            <v>0</v>
          </cell>
          <cell r="F194">
            <v>0</v>
          </cell>
          <cell r="G194">
            <v>29.32</v>
          </cell>
        </row>
        <row r="195">
          <cell r="B195">
            <v>2431</v>
          </cell>
          <cell r="C195" t="str">
            <v>Aj. de av. patrimonial</v>
          </cell>
          <cell r="D195">
            <v>29.32</v>
          </cell>
          <cell r="E195">
            <v>0</v>
          </cell>
          <cell r="F195">
            <v>0</v>
          </cell>
          <cell r="G195">
            <v>29.32</v>
          </cell>
        </row>
        <row r="196">
          <cell r="B196">
            <v>24311</v>
          </cell>
          <cell r="C196" t="str">
            <v>Aj.de av. patrimonial</v>
          </cell>
          <cell r="D196">
            <v>29.32</v>
          </cell>
          <cell r="E196">
            <v>0</v>
          </cell>
          <cell r="F196">
            <v>0</v>
          </cell>
          <cell r="G196">
            <v>29.32</v>
          </cell>
        </row>
        <row r="197">
          <cell r="B197">
            <v>246</v>
          </cell>
          <cell r="C197" t="str">
            <v>Lucros ou Prejuízos Acumulados</v>
          </cell>
          <cell r="D197">
            <v>2742314.59</v>
          </cell>
          <cell r="E197">
            <v>2951140.21</v>
          </cell>
          <cell r="F197">
            <v>0</v>
          </cell>
          <cell r="G197">
            <v>5693454.7999999998</v>
          </cell>
        </row>
        <row r="198">
          <cell r="B198">
            <v>2462</v>
          </cell>
          <cell r="C198" t="str">
            <v>(-) Prejuízos Acumulados</v>
          </cell>
          <cell r="D198">
            <v>3358482.06</v>
          </cell>
          <cell r="E198">
            <v>0</v>
          </cell>
          <cell r="F198">
            <v>0</v>
          </cell>
          <cell r="G198">
            <v>3358482.06</v>
          </cell>
        </row>
        <row r="199">
          <cell r="B199">
            <v>24622</v>
          </cell>
          <cell r="C199" t="str">
            <v>(-) Prejuízo Acumulado</v>
          </cell>
          <cell r="D199">
            <v>3358482.06</v>
          </cell>
          <cell r="E199">
            <v>0</v>
          </cell>
          <cell r="F199">
            <v>0</v>
          </cell>
          <cell r="G199">
            <v>3358482.06</v>
          </cell>
        </row>
        <row r="200">
          <cell r="B200">
            <v>24699</v>
          </cell>
          <cell r="C200" t="str">
            <v>Resultado do Exercício</v>
          </cell>
          <cell r="D200">
            <v>-616167.47</v>
          </cell>
          <cell r="E200">
            <v>2951140.21</v>
          </cell>
          <cell r="F200">
            <v>0</v>
          </cell>
          <cell r="G200">
            <v>2334972.7400000002</v>
          </cell>
        </row>
        <row r="201">
          <cell r="B201">
            <v>246991</v>
          </cell>
          <cell r="C201" t="str">
            <v>Resultado do Exercício</v>
          </cell>
          <cell r="D201">
            <v>-616167.47</v>
          </cell>
          <cell r="E201">
            <v>2951140.21</v>
          </cell>
          <cell r="F201">
            <v>0</v>
          </cell>
          <cell r="G201">
            <v>2334972.7400000002</v>
          </cell>
        </row>
        <row r="202">
          <cell r="B202">
            <v>247</v>
          </cell>
          <cell r="C202" t="str">
            <v>Adiantamento p/Futuro Aumento de Capital</v>
          </cell>
          <cell r="D202">
            <v>-1913562.59</v>
          </cell>
          <cell r="E202">
            <v>0</v>
          </cell>
          <cell r="F202">
            <v>-427550</v>
          </cell>
          <cell r="G202">
            <v>2341112.59</v>
          </cell>
        </row>
        <row r="203">
          <cell r="B203">
            <v>2471</v>
          </cell>
          <cell r="C203" t="str">
            <v>Adiantamento p/Futuro Aumento de Capital</v>
          </cell>
          <cell r="D203">
            <v>-1913562.59</v>
          </cell>
          <cell r="E203">
            <v>0</v>
          </cell>
          <cell r="F203">
            <v>-427550</v>
          </cell>
          <cell r="G203">
            <v>2341112.59</v>
          </cell>
        </row>
        <row r="204">
          <cell r="B204">
            <v>24711</v>
          </cell>
          <cell r="C204" t="str">
            <v>Adiantamento p/Futuro Aumento de Capital</v>
          </cell>
          <cell r="D204">
            <v>-1913562.59</v>
          </cell>
          <cell r="E204">
            <v>0</v>
          </cell>
          <cell r="F204">
            <v>-427550</v>
          </cell>
          <cell r="G204">
            <v>2341112.59</v>
          </cell>
        </row>
        <row r="205">
          <cell r="B205">
            <v>3</v>
          </cell>
          <cell r="C205" t="str">
            <v>Receitas</v>
          </cell>
          <cell r="D205">
            <v>-97854416.489999995</v>
          </cell>
          <cell r="E205">
            <v>21397.07</v>
          </cell>
          <cell r="F205">
            <v>-8600864.1799999997</v>
          </cell>
          <cell r="G205">
            <v>106433883.59999999</v>
          </cell>
        </row>
        <row r="206">
          <cell r="B206">
            <v>31</v>
          </cell>
          <cell r="C206" t="str">
            <v>Subsídios Públicos</v>
          </cell>
          <cell r="D206">
            <v>-90226493.879999995</v>
          </cell>
          <cell r="E206">
            <v>0</v>
          </cell>
          <cell r="F206">
            <v>-8579467.1099999994</v>
          </cell>
          <cell r="G206">
            <v>98805960.989999995</v>
          </cell>
        </row>
        <row r="207">
          <cell r="B207">
            <v>311</v>
          </cell>
          <cell r="C207" t="str">
            <v>Subsídios do Tesouro Nacional</v>
          </cell>
          <cell r="D207">
            <v>-90226493.879999995</v>
          </cell>
          <cell r="E207">
            <v>0</v>
          </cell>
          <cell r="F207">
            <v>-8579467.1099999994</v>
          </cell>
          <cell r="G207">
            <v>98805960.989999995</v>
          </cell>
        </row>
        <row r="208">
          <cell r="B208">
            <v>3111</v>
          </cell>
          <cell r="C208" t="str">
            <v>Subsídios do Tesouro Nacional</v>
          </cell>
          <cell r="D208">
            <v>-90226493.879999995</v>
          </cell>
          <cell r="E208">
            <v>0</v>
          </cell>
          <cell r="F208">
            <v>-8579467.1099999994</v>
          </cell>
          <cell r="G208">
            <v>98805960.989999995</v>
          </cell>
        </row>
        <row r="209">
          <cell r="B209">
            <v>31111</v>
          </cell>
          <cell r="C209" t="str">
            <v>Recursos Recebidos do Tesouro Nacional</v>
          </cell>
          <cell r="D209">
            <v>-90226493.879999995</v>
          </cell>
          <cell r="E209">
            <v>0</v>
          </cell>
          <cell r="F209">
            <v>-8579467.1099999994</v>
          </cell>
          <cell r="G209">
            <v>98805960.989999995</v>
          </cell>
        </row>
        <row r="210">
          <cell r="B210">
            <v>33</v>
          </cell>
          <cell r="C210" t="str">
            <v>Outras Receitas Operacionais</v>
          </cell>
          <cell r="D210">
            <v>-7627922.6100000003</v>
          </cell>
          <cell r="E210">
            <v>21397.07</v>
          </cell>
          <cell r="F210">
            <v>-21397.07</v>
          </cell>
          <cell r="G210">
            <v>7627922.6100000003</v>
          </cell>
        </row>
        <row r="211">
          <cell r="B211">
            <v>331</v>
          </cell>
          <cell r="C211" t="str">
            <v>Receitas Financeiras</v>
          </cell>
          <cell r="D211">
            <v>-940023.79</v>
          </cell>
          <cell r="E211">
            <v>21397.07</v>
          </cell>
          <cell r="F211">
            <v>-21397.07</v>
          </cell>
          <cell r="G211">
            <v>940023.79</v>
          </cell>
        </row>
        <row r="212">
          <cell r="B212">
            <v>3311</v>
          </cell>
          <cell r="C212" t="str">
            <v>Receitas Financ./ Prest. de Serviços</v>
          </cell>
          <cell r="D212">
            <v>-940023.79</v>
          </cell>
          <cell r="E212">
            <v>21397.07</v>
          </cell>
          <cell r="F212">
            <v>-21397.07</v>
          </cell>
          <cell r="G212">
            <v>940023.79</v>
          </cell>
        </row>
        <row r="213">
          <cell r="B213">
            <v>33113</v>
          </cell>
          <cell r="C213" t="str">
            <v>Rendas de Variações Monetárias</v>
          </cell>
          <cell r="D213">
            <v>-939364.51</v>
          </cell>
          <cell r="E213">
            <v>21397.07</v>
          </cell>
          <cell r="F213">
            <v>-21397.07</v>
          </cell>
          <cell r="G213">
            <v>939364.51</v>
          </cell>
        </row>
        <row r="214">
          <cell r="B214">
            <v>33114</v>
          </cell>
          <cell r="C214" t="str">
            <v>Descontos Obtidos</v>
          </cell>
          <cell r="D214">
            <v>-659.28</v>
          </cell>
          <cell r="E214">
            <v>0</v>
          </cell>
          <cell r="F214">
            <v>0</v>
          </cell>
          <cell r="G214">
            <v>659.28</v>
          </cell>
        </row>
        <row r="215">
          <cell r="B215">
            <v>332</v>
          </cell>
          <cell r="C215" t="str">
            <v>Reembolso de Custos e Despesas</v>
          </cell>
          <cell r="D215">
            <v>-6292672.7599999998</v>
          </cell>
          <cell r="E215">
            <v>0</v>
          </cell>
          <cell r="F215">
            <v>0</v>
          </cell>
          <cell r="G215">
            <v>6292672.7599999998</v>
          </cell>
        </row>
        <row r="216">
          <cell r="B216">
            <v>3321</v>
          </cell>
          <cell r="C216" t="str">
            <v>Reversão de Custos e Despesas</v>
          </cell>
          <cell r="D216">
            <v>-6292672.7599999998</v>
          </cell>
          <cell r="E216">
            <v>0</v>
          </cell>
          <cell r="F216">
            <v>0</v>
          </cell>
          <cell r="G216">
            <v>6292672.7599999998</v>
          </cell>
        </row>
        <row r="217">
          <cell r="B217">
            <v>33212</v>
          </cell>
          <cell r="C217" t="str">
            <v>Leilões ANEEL – Transmissão de Energia</v>
          </cell>
          <cell r="D217">
            <v>-6222722.1900000004</v>
          </cell>
          <cell r="E217">
            <v>0</v>
          </cell>
          <cell r="F217">
            <v>0</v>
          </cell>
          <cell r="G217">
            <v>6222722.1900000004</v>
          </cell>
        </row>
        <row r="218">
          <cell r="B218">
            <v>33213</v>
          </cell>
          <cell r="C218" t="str">
            <v>Recuperação de Despesa e Custo</v>
          </cell>
          <cell r="D218">
            <v>-69950.570000000007</v>
          </cell>
          <cell r="E218">
            <v>0</v>
          </cell>
          <cell r="F218">
            <v>0</v>
          </cell>
          <cell r="G218">
            <v>69950.570000000007</v>
          </cell>
        </row>
        <row r="219">
          <cell r="B219">
            <v>336</v>
          </cell>
          <cell r="C219" t="str">
            <v>Reversão de Provisões</v>
          </cell>
          <cell r="D219">
            <v>-22976.05</v>
          </cell>
          <cell r="E219">
            <v>0</v>
          </cell>
          <cell r="F219">
            <v>0</v>
          </cell>
          <cell r="G219">
            <v>22976.05</v>
          </cell>
        </row>
        <row r="220">
          <cell r="B220">
            <v>3361</v>
          </cell>
          <cell r="C220" t="str">
            <v>Reversão de Provisões - Contingência</v>
          </cell>
          <cell r="D220">
            <v>-22976.05</v>
          </cell>
          <cell r="E220">
            <v>0</v>
          </cell>
          <cell r="F220">
            <v>0</v>
          </cell>
          <cell r="G220">
            <v>22976.05</v>
          </cell>
        </row>
        <row r="221">
          <cell r="B221">
            <v>33612</v>
          </cell>
          <cell r="C221" t="str">
            <v>Contingência Civis</v>
          </cell>
          <cell r="D221">
            <v>-22976.05</v>
          </cell>
          <cell r="E221">
            <v>0</v>
          </cell>
          <cell r="F221">
            <v>0</v>
          </cell>
          <cell r="G221">
            <v>22976.05</v>
          </cell>
        </row>
        <row r="222">
          <cell r="B222">
            <v>339</v>
          </cell>
          <cell r="C222" t="str">
            <v>Outras Receitas</v>
          </cell>
          <cell r="D222">
            <v>-372250.01</v>
          </cell>
          <cell r="E222">
            <v>0</v>
          </cell>
          <cell r="F222">
            <v>0</v>
          </cell>
          <cell r="G222">
            <v>372250.01</v>
          </cell>
        </row>
        <row r="223">
          <cell r="B223">
            <v>3399</v>
          </cell>
          <cell r="C223" t="str">
            <v>Receita Concurso Público</v>
          </cell>
          <cell r="D223">
            <v>-372250.01</v>
          </cell>
          <cell r="E223">
            <v>0</v>
          </cell>
          <cell r="F223">
            <v>0</v>
          </cell>
          <cell r="G223">
            <v>372250.01</v>
          </cell>
        </row>
        <row r="224">
          <cell r="B224">
            <v>33991</v>
          </cell>
          <cell r="C224" t="str">
            <v>Receita de Concurso Público</v>
          </cell>
          <cell r="D224">
            <v>-372250.01</v>
          </cell>
          <cell r="E224">
            <v>0</v>
          </cell>
          <cell r="F224">
            <v>0</v>
          </cell>
          <cell r="G224">
            <v>372250.01</v>
          </cell>
        </row>
        <row r="225">
          <cell r="B225">
            <v>4</v>
          </cell>
          <cell r="C225" t="str">
            <v>Custos e Despesas</v>
          </cell>
          <cell r="D225">
            <v>97238249.019999996</v>
          </cell>
          <cell r="E225">
            <v>11756856.34</v>
          </cell>
          <cell r="F225">
            <v>-226249.02</v>
          </cell>
          <cell r="G225">
            <v>108768856.34</v>
          </cell>
        </row>
        <row r="226">
          <cell r="B226">
            <v>41</v>
          </cell>
          <cell r="C226" t="str">
            <v>Custos</v>
          </cell>
          <cell r="D226">
            <v>61446149.049999997</v>
          </cell>
          <cell r="E226">
            <v>8035798.0599999996</v>
          </cell>
          <cell r="F226">
            <v>-204291.43</v>
          </cell>
          <cell r="G226">
            <v>69277655.680000007</v>
          </cell>
        </row>
        <row r="227">
          <cell r="B227">
            <v>411</v>
          </cell>
          <cell r="C227" t="str">
            <v>Gastos com Pessoal - Serviços</v>
          </cell>
          <cell r="D227">
            <v>49543792.229999997</v>
          </cell>
          <cell r="E227">
            <v>4970788.1900000004</v>
          </cell>
          <cell r="F227">
            <v>-199376.68</v>
          </cell>
          <cell r="G227">
            <v>54315203.740000002</v>
          </cell>
        </row>
        <row r="228">
          <cell r="B228">
            <v>4111</v>
          </cell>
          <cell r="C228" t="str">
            <v>Remunerações</v>
          </cell>
          <cell r="D228">
            <v>34507513.390000001</v>
          </cell>
          <cell r="E228">
            <v>3452629.58</v>
          </cell>
          <cell r="F228">
            <v>-152712.94</v>
          </cell>
          <cell r="G228">
            <v>37807430.030000001</v>
          </cell>
        </row>
        <row r="229">
          <cell r="B229">
            <v>41111</v>
          </cell>
          <cell r="C229" t="str">
            <v>Salários</v>
          </cell>
          <cell r="D229">
            <v>27910937.210000001</v>
          </cell>
          <cell r="E229">
            <v>2856192.48</v>
          </cell>
          <cell r="F229">
            <v>-25768.7</v>
          </cell>
          <cell r="G229">
            <v>30741360.989999998</v>
          </cell>
        </row>
        <row r="230">
          <cell r="B230">
            <v>41117</v>
          </cell>
          <cell r="C230" t="str">
            <v>Provisão de Férias e Encargos Sociais</v>
          </cell>
          <cell r="D230">
            <v>3574907.75</v>
          </cell>
          <cell r="E230">
            <v>315739.40999999997</v>
          </cell>
          <cell r="F230">
            <v>-126944.24</v>
          </cell>
          <cell r="G230">
            <v>3763702.92</v>
          </cell>
        </row>
        <row r="231">
          <cell r="B231">
            <v>41118</v>
          </cell>
          <cell r="C231" t="str">
            <v>Abono Pecuniário de Férias</v>
          </cell>
          <cell r="D231">
            <v>316468.01</v>
          </cell>
          <cell r="E231">
            <v>24590.12</v>
          </cell>
          <cell r="F231">
            <v>0</v>
          </cell>
          <cell r="G231">
            <v>341058.13</v>
          </cell>
        </row>
        <row r="232">
          <cell r="B232">
            <v>41119</v>
          </cell>
          <cell r="C232" t="str">
            <v>Provisão de 13º Salários e Enc. Sociais</v>
          </cell>
          <cell r="D232">
            <v>2626072.09</v>
          </cell>
          <cell r="E232">
            <v>256107.57</v>
          </cell>
          <cell r="F232">
            <v>0</v>
          </cell>
          <cell r="G232">
            <v>2882179.66</v>
          </cell>
        </row>
        <row r="233">
          <cell r="B233">
            <v>411111</v>
          </cell>
          <cell r="C233" t="str">
            <v>Salario Maternidade - Prorrogação</v>
          </cell>
          <cell r="D233">
            <v>47574.65</v>
          </cell>
          <cell r="E233">
            <v>0</v>
          </cell>
          <cell r="F233">
            <v>0</v>
          </cell>
          <cell r="G233">
            <v>47574.65</v>
          </cell>
        </row>
        <row r="234">
          <cell r="B234">
            <v>411113</v>
          </cell>
          <cell r="C234" t="str">
            <v>Licença Paternidade Prorrogação</v>
          </cell>
          <cell r="D234">
            <v>31553.68</v>
          </cell>
          <cell r="E234">
            <v>0</v>
          </cell>
          <cell r="F234">
            <v>0</v>
          </cell>
          <cell r="G234">
            <v>31553.68</v>
          </cell>
        </row>
        <row r="235">
          <cell r="B235">
            <v>4112</v>
          </cell>
          <cell r="C235" t="str">
            <v>Encargos Sociais</v>
          </cell>
          <cell r="D235">
            <v>9955815.3000000007</v>
          </cell>
          <cell r="E235">
            <v>1002577.66</v>
          </cell>
          <cell r="F235">
            <v>-43728.13</v>
          </cell>
          <cell r="G235">
            <v>10914664.83</v>
          </cell>
        </row>
        <row r="236">
          <cell r="B236">
            <v>41121</v>
          </cell>
          <cell r="C236" t="str">
            <v>INSS</v>
          </cell>
          <cell r="D236">
            <v>5943555.8799999999</v>
          </cell>
          <cell r="E236">
            <v>605826.93000000005</v>
          </cell>
          <cell r="F236">
            <v>0</v>
          </cell>
          <cell r="G236">
            <v>6549382.8099999996</v>
          </cell>
        </row>
        <row r="237">
          <cell r="B237">
            <v>41122</v>
          </cell>
          <cell r="C237" t="str">
            <v>FGTS</v>
          </cell>
          <cell r="D237">
            <v>2271728.94</v>
          </cell>
          <cell r="E237">
            <v>230914.91</v>
          </cell>
          <cell r="F237">
            <v>0</v>
          </cell>
          <cell r="G237">
            <v>2502643.85</v>
          </cell>
        </row>
        <row r="238">
          <cell r="B238">
            <v>41124</v>
          </cell>
          <cell r="C238" t="str">
            <v>INSS s/ 13º Salário</v>
          </cell>
          <cell r="D238">
            <v>549878.93000000005</v>
          </cell>
          <cell r="E238">
            <v>53782.61</v>
          </cell>
          <cell r="F238">
            <v>0</v>
          </cell>
          <cell r="G238">
            <v>603661.54</v>
          </cell>
        </row>
        <row r="239">
          <cell r="B239">
            <v>41125</v>
          </cell>
          <cell r="C239" t="str">
            <v>INSS s/ Férias</v>
          </cell>
          <cell r="D239">
            <v>710665.6</v>
          </cell>
          <cell r="E239">
            <v>66305.2</v>
          </cell>
          <cell r="F239">
            <v>-31665.200000000001</v>
          </cell>
          <cell r="G239">
            <v>745305.59999999998</v>
          </cell>
        </row>
        <row r="240">
          <cell r="B240">
            <v>41126</v>
          </cell>
          <cell r="C240" t="str">
            <v>FGTS s/ Férias</v>
          </cell>
          <cell r="D240">
            <v>270508.18</v>
          </cell>
          <cell r="E240">
            <v>25259.23</v>
          </cell>
          <cell r="F240">
            <v>-12062.93</v>
          </cell>
          <cell r="G240">
            <v>283704.48</v>
          </cell>
        </row>
        <row r="241">
          <cell r="B241">
            <v>41127</v>
          </cell>
          <cell r="C241" t="str">
            <v>FGTS s/ 13º Salário</v>
          </cell>
          <cell r="D241">
            <v>209477.77</v>
          </cell>
          <cell r="E241">
            <v>20488.78</v>
          </cell>
          <cell r="F241">
            <v>0</v>
          </cell>
          <cell r="G241">
            <v>229966.55</v>
          </cell>
        </row>
        <row r="242">
          <cell r="B242">
            <v>4113</v>
          </cell>
          <cell r="C242" t="str">
            <v>Benefícios</v>
          </cell>
          <cell r="D242">
            <v>5080463.54</v>
          </cell>
          <cell r="E242">
            <v>515580.95</v>
          </cell>
          <cell r="F242">
            <v>-2935.61</v>
          </cell>
          <cell r="G242">
            <v>5593108.8799999999</v>
          </cell>
        </row>
        <row r="243">
          <cell r="B243">
            <v>41131</v>
          </cell>
          <cell r="C243" t="str">
            <v>Previdência Privada Complementar</v>
          </cell>
          <cell r="D243">
            <v>2189440.6</v>
          </cell>
          <cell r="E243">
            <v>224084.37</v>
          </cell>
          <cell r="F243">
            <v>0</v>
          </cell>
          <cell r="G243">
            <v>2413524.9700000002</v>
          </cell>
        </row>
        <row r="244">
          <cell r="B244">
            <v>41132</v>
          </cell>
          <cell r="C244" t="str">
            <v>Auxílio Alimentação</v>
          </cell>
          <cell r="D244">
            <v>1461175.56</v>
          </cell>
          <cell r="E244">
            <v>142940.54999999999</v>
          </cell>
          <cell r="F244">
            <v>-431.25</v>
          </cell>
          <cell r="G244">
            <v>1603684.86</v>
          </cell>
        </row>
        <row r="245">
          <cell r="B245">
            <v>41133</v>
          </cell>
          <cell r="C245" t="str">
            <v>Auxílio Transporte</v>
          </cell>
          <cell r="D245">
            <v>965.74</v>
          </cell>
          <cell r="E245">
            <v>2270.36</v>
          </cell>
          <cell r="F245">
            <v>-2270.36</v>
          </cell>
          <cell r="G245">
            <v>965.74</v>
          </cell>
        </row>
        <row r="246">
          <cell r="B246">
            <v>41135</v>
          </cell>
          <cell r="C246" t="str">
            <v>Auxílio Creche</v>
          </cell>
          <cell r="D246">
            <v>426951.86</v>
          </cell>
          <cell r="E246">
            <v>44678.37</v>
          </cell>
          <cell r="F246">
            <v>0</v>
          </cell>
          <cell r="G246">
            <v>471630.23</v>
          </cell>
        </row>
        <row r="247">
          <cell r="B247">
            <v>41136</v>
          </cell>
          <cell r="C247" t="str">
            <v>Assistência Médica e  Odontológica</v>
          </cell>
          <cell r="D247">
            <v>978892.72</v>
          </cell>
          <cell r="E247">
            <v>98896.07</v>
          </cell>
          <cell r="F247">
            <v>0</v>
          </cell>
          <cell r="G247">
            <v>1077788.79</v>
          </cell>
        </row>
        <row r="248">
          <cell r="B248">
            <v>411310</v>
          </cell>
          <cell r="C248" t="str">
            <v>Vale Cultura</v>
          </cell>
          <cell r="D248">
            <v>4244</v>
          </cell>
          <cell r="E248">
            <v>650</v>
          </cell>
          <cell r="F248">
            <v>-234</v>
          </cell>
          <cell r="G248">
            <v>4660</v>
          </cell>
        </row>
        <row r="249">
          <cell r="B249">
            <v>411311</v>
          </cell>
          <cell r="C249" t="str">
            <v>Saúde Ocupacional</v>
          </cell>
          <cell r="D249">
            <v>18793.060000000001</v>
          </cell>
          <cell r="E249">
            <v>2061.23</v>
          </cell>
          <cell r="F249">
            <v>0</v>
          </cell>
          <cell r="G249">
            <v>20854.29</v>
          </cell>
        </row>
        <row r="250">
          <cell r="B250">
            <v>413</v>
          </cell>
          <cell r="C250" t="str">
            <v>Custos c/ Serviços de Terceiros - Serv.</v>
          </cell>
          <cell r="D250">
            <v>5175880.5199999996</v>
          </cell>
          <cell r="E250">
            <v>2379307.23</v>
          </cell>
          <cell r="F250">
            <v>0</v>
          </cell>
          <cell r="G250">
            <v>7555187.75</v>
          </cell>
        </row>
        <row r="251">
          <cell r="B251">
            <v>4131</v>
          </cell>
          <cell r="C251" t="str">
            <v>Serviços de Terceiros</v>
          </cell>
          <cell r="D251">
            <v>5175880.5199999996</v>
          </cell>
          <cell r="E251">
            <v>2379307.23</v>
          </cell>
          <cell r="F251">
            <v>0</v>
          </cell>
          <cell r="G251">
            <v>7555187.75</v>
          </cell>
        </row>
        <row r="252">
          <cell r="B252">
            <v>41311</v>
          </cell>
          <cell r="C252" t="str">
            <v>Serviços de Consultoria</v>
          </cell>
          <cell r="D252">
            <v>3351795.71</v>
          </cell>
          <cell r="E252">
            <v>2201098.84</v>
          </cell>
          <cell r="F252">
            <v>0</v>
          </cell>
          <cell r="G252">
            <v>5552894.5499999998</v>
          </cell>
        </row>
        <row r="253">
          <cell r="B253">
            <v>41312</v>
          </cell>
          <cell r="C253" t="str">
            <v>Serviços de Apoio Técnico e/ou Administrativo</v>
          </cell>
          <cell r="D253">
            <v>828506.97</v>
          </cell>
          <cell r="E253">
            <v>79329.86</v>
          </cell>
          <cell r="F253">
            <v>0</v>
          </cell>
          <cell r="G253">
            <v>907836.83</v>
          </cell>
        </row>
        <row r="254">
          <cell r="B254">
            <v>41313</v>
          </cell>
          <cell r="C254" t="str">
            <v>Cessão ou Requisição de Pessoal</v>
          </cell>
          <cell r="D254">
            <v>122324.06</v>
          </cell>
          <cell r="E254">
            <v>8495.14</v>
          </cell>
          <cell r="F254">
            <v>0</v>
          </cell>
          <cell r="G254">
            <v>130819.2</v>
          </cell>
        </row>
        <row r="255">
          <cell r="B255">
            <v>41315</v>
          </cell>
          <cell r="C255" t="str">
            <v>Cursos, Seminários e Convenções</v>
          </cell>
          <cell r="D255">
            <v>439633.12</v>
          </cell>
          <cell r="E255">
            <v>38065.5</v>
          </cell>
          <cell r="F255">
            <v>0</v>
          </cell>
          <cell r="G255">
            <v>477698.62</v>
          </cell>
        </row>
        <row r="256">
          <cell r="B256">
            <v>413114</v>
          </cell>
          <cell r="C256" t="str">
            <v>Cessão Temporária e Manutenção de Softwa</v>
          </cell>
          <cell r="D256">
            <v>161103.69</v>
          </cell>
          <cell r="E256">
            <v>21154.9</v>
          </cell>
          <cell r="F256">
            <v>0</v>
          </cell>
          <cell r="G256">
            <v>182258.59</v>
          </cell>
        </row>
        <row r="257">
          <cell r="B257">
            <v>413117</v>
          </cell>
          <cell r="C257" t="str">
            <v>Custos com Estagiarios</v>
          </cell>
          <cell r="D257">
            <v>258390.78</v>
          </cell>
          <cell r="E257">
            <v>31162.99</v>
          </cell>
          <cell r="F257">
            <v>0</v>
          </cell>
          <cell r="G257">
            <v>289553.77</v>
          </cell>
        </row>
        <row r="258">
          <cell r="B258">
            <v>4131997</v>
          </cell>
          <cell r="C258" t="str">
            <v>Serviço Prestado PF</v>
          </cell>
          <cell r="D258">
            <v>14126.19</v>
          </cell>
          <cell r="E258">
            <v>0</v>
          </cell>
          <cell r="F258">
            <v>0</v>
          </cell>
          <cell r="G258">
            <v>14126.19</v>
          </cell>
        </row>
        <row r="259">
          <cell r="B259">
            <v>414</v>
          </cell>
          <cell r="C259" t="str">
            <v>Custos c/ Tributos - Serviços</v>
          </cell>
          <cell r="D259">
            <v>245288.18</v>
          </cell>
          <cell r="E259">
            <v>23222.78</v>
          </cell>
          <cell r="F259">
            <v>0</v>
          </cell>
          <cell r="G259">
            <v>268510.96000000002</v>
          </cell>
        </row>
        <row r="260">
          <cell r="B260">
            <v>4141</v>
          </cell>
          <cell r="C260" t="str">
            <v>Impostos, Taxas e Contribuições</v>
          </cell>
          <cell r="D260">
            <v>245288.18</v>
          </cell>
          <cell r="E260">
            <v>23222.78</v>
          </cell>
          <cell r="F260">
            <v>0</v>
          </cell>
          <cell r="G260">
            <v>268510.96000000002</v>
          </cell>
        </row>
        <row r="261">
          <cell r="B261">
            <v>41412</v>
          </cell>
          <cell r="C261" t="str">
            <v>IPTU</v>
          </cell>
          <cell r="D261">
            <v>234550.02</v>
          </cell>
          <cell r="E261">
            <v>23222.78</v>
          </cell>
          <cell r="F261">
            <v>0</v>
          </cell>
          <cell r="G261">
            <v>257772.79999999999</v>
          </cell>
        </row>
        <row r="262">
          <cell r="B262">
            <v>41418</v>
          </cell>
          <cell r="C262" t="str">
            <v>Taxas Estaduais</v>
          </cell>
          <cell r="D262">
            <v>10738.16</v>
          </cell>
          <cell r="E262">
            <v>0</v>
          </cell>
          <cell r="F262">
            <v>0</v>
          </cell>
          <cell r="G262">
            <v>10738.16</v>
          </cell>
        </row>
        <row r="263">
          <cell r="B263">
            <v>416</v>
          </cell>
          <cell r="C263" t="str">
            <v>Custos Gerais - Serviços</v>
          </cell>
          <cell r="D263">
            <v>6481188.1200000001</v>
          </cell>
          <cell r="E263">
            <v>662479.86</v>
          </cell>
          <cell r="F263">
            <v>-4914.75</v>
          </cell>
          <cell r="G263">
            <v>7138753.2300000004</v>
          </cell>
        </row>
        <row r="264">
          <cell r="B264">
            <v>4161</v>
          </cell>
          <cell r="C264" t="str">
            <v>Custos de Funcionamento das Instalações</v>
          </cell>
          <cell r="D264">
            <v>3514999.87</v>
          </cell>
          <cell r="E264">
            <v>412352</v>
          </cell>
          <cell r="F264">
            <v>0</v>
          </cell>
          <cell r="G264">
            <v>3927351.87</v>
          </cell>
        </row>
        <row r="265">
          <cell r="B265">
            <v>41611</v>
          </cell>
          <cell r="C265" t="str">
            <v>Aluguéis</v>
          </cell>
          <cell r="D265">
            <v>1656832.6</v>
          </cell>
          <cell r="E265">
            <v>195461.32</v>
          </cell>
          <cell r="F265">
            <v>0</v>
          </cell>
          <cell r="G265">
            <v>1852293.92</v>
          </cell>
        </row>
        <row r="266">
          <cell r="B266">
            <v>41614</v>
          </cell>
          <cell r="C266" t="str">
            <v>Energia Elétrica</v>
          </cell>
          <cell r="D266">
            <v>481747.18</v>
          </cell>
          <cell r="E266">
            <v>43854.82</v>
          </cell>
          <cell r="F266">
            <v>0</v>
          </cell>
          <cell r="G266">
            <v>525602</v>
          </cell>
        </row>
        <row r="267">
          <cell r="B267">
            <v>41616</v>
          </cell>
          <cell r="C267" t="str">
            <v>Telecomunicações</v>
          </cell>
          <cell r="D267">
            <v>29848.77</v>
          </cell>
          <cell r="E267">
            <v>3389.39</v>
          </cell>
          <cell r="F267">
            <v>0</v>
          </cell>
          <cell r="G267">
            <v>33238.160000000003</v>
          </cell>
        </row>
        <row r="268">
          <cell r="B268">
            <v>416110</v>
          </cell>
          <cell r="C268" t="str">
            <v>Conduções e Lanches</v>
          </cell>
          <cell r="D268">
            <v>129.47</v>
          </cell>
          <cell r="E268">
            <v>120</v>
          </cell>
          <cell r="F268">
            <v>0</v>
          </cell>
          <cell r="G268">
            <v>249.47</v>
          </cell>
        </row>
        <row r="269">
          <cell r="B269">
            <v>416112</v>
          </cell>
          <cell r="C269" t="str">
            <v>Alugueis de Móveis, Máquinas e Equip.</v>
          </cell>
          <cell r="D269">
            <v>4668.8900000000003</v>
          </cell>
          <cell r="E269">
            <v>353.37</v>
          </cell>
          <cell r="F269">
            <v>0</v>
          </cell>
          <cell r="G269">
            <v>5022.26</v>
          </cell>
        </row>
        <row r="270">
          <cell r="B270">
            <v>416114</v>
          </cell>
          <cell r="C270" t="str">
            <v>Serviço de Limpeza e Higiene</v>
          </cell>
          <cell r="D270">
            <v>366570.62</v>
          </cell>
          <cell r="E270">
            <v>59645.1</v>
          </cell>
          <cell r="F270">
            <v>0</v>
          </cell>
          <cell r="G270">
            <v>426215.72</v>
          </cell>
        </row>
        <row r="271">
          <cell r="B271">
            <v>416115</v>
          </cell>
          <cell r="C271" t="str">
            <v>Serviços Gerais</v>
          </cell>
          <cell r="D271">
            <v>252516.18</v>
          </cell>
          <cell r="E271">
            <v>36882.99</v>
          </cell>
          <cell r="F271">
            <v>0</v>
          </cell>
          <cell r="G271">
            <v>289399.17</v>
          </cell>
        </row>
        <row r="272">
          <cell r="B272">
            <v>416116</v>
          </cell>
          <cell r="C272" t="str">
            <v>Condomínios</v>
          </cell>
          <cell r="D272">
            <v>722686.16</v>
          </cell>
          <cell r="E272">
            <v>72645.009999999995</v>
          </cell>
          <cell r="F272">
            <v>0</v>
          </cell>
          <cell r="G272">
            <v>795331.17</v>
          </cell>
        </row>
        <row r="273">
          <cell r="B273">
            <v>4162</v>
          </cell>
          <cell r="C273" t="str">
            <v>Custos Gerais da Administração</v>
          </cell>
          <cell r="D273">
            <v>2966188.25</v>
          </cell>
          <cell r="E273">
            <v>250127.86</v>
          </cell>
          <cell r="F273">
            <v>-4914.75</v>
          </cell>
          <cell r="G273">
            <v>3211401.36</v>
          </cell>
        </row>
        <row r="274">
          <cell r="B274">
            <v>41621</v>
          </cell>
          <cell r="C274" t="str">
            <v>Honorários da Diretoria</v>
          </cell>
          <cell r="D274">
            <v>734755.08</v>
          </cell>
          <cell r="E274">
            <v>80361.36</v>
          </cell>
          <cell r="F274">
            <v>0</v>
          </cell>
          <cell r="G274">
            <v>815116.44</v>
          </cell>
        </row>
        <row r="275">
          <cell r="B275">
            <v>41624</v>
          </cell>
          <cell r="C275" t="str">
            <v>Custos de Viagens - Passagens Aéreas</v>
          </cell>
          <cell r="D275">
            <v>542037.23</v>
          </cell>
          <cell r="E275">
            <v>50513.32</v>
          </cell>
          <cell r="F275">
            <v>0</v>
          </cell>
          <cell r="G275">
            <v>592550.55000000005</v>
          </cell>
        </row>
        <row r="276">
          <cell r="B276">
            <v>41625</v>
          </cell>
          <cell r="C276" t="str">
            <v>Custos de Viagens - Hospedagens</v>
          </cell>
          <cell r="D276">
            <v>1253.04</v>
          </cell>
          <cell r="E276">
            <v>0</v>
          </cell>
          <cell r="F276">
            <v>0</v>
          </cell>
          <cell r="G276">
            <v>1253.04</v>
          </cell>
        </row>
        <row r="277">
          <cell r="B277">
            <v>41626</v>
          </cell>
          <cell r="C277" t="str">
            <v>Custos de Viagens - Outros</v>
          </cell>
          <cell r="D277">
            <v>180005.45</v>
          </cell>
          <cell r="E277">
            <v>17337.16</v>
          </cell>
          <cell r="F277">
            <v>-4914.75</v>
          </cell>
          <cell r="G277">
            <v>192427.86</v>
          </cell>
        </row>
        <row r="278">
          <cell r="B278">
            <v>41627</v>
          </cell>
          <cell r="C278" t="str">
            <v>Assinatura Banco de Dados e Portais</v>
          </cell>
          <cell r="D278">
            <v>1186526.82</v>
          </cell>
          <cell r="E278">
            <v>101916.02</v>
          </cell>
          <cell r="F278">
            <v>0</v>
          </cell>
          <cell r="G278">
            <v>1288442.8400000001</v>
          </cell>
        </row>
        <row r="279">
          <cell r="B279">
            <v>416210</v>
          </cell>
          <cell r="C279" t="str">
            <v>Custo de Viagem ao Exterior</v>
          </cell>
          <cell r="D279">
            <v>321610.63</v>
          </cell>
          <cell r="E279">
            <v>0</v>
          </cell>
          <cell r="F279">
            <v>0</v>
          </cell>
          <cell r="G279">
            <v>321610.63</v>
          </cell>
        </row>
        <row r="280">
          <cell r="B280">
            <v>42</v>
          </cell>
          <cell r="C280" t="str">
            <v>Despesas</v>
          </cell>
          <cell r="D280">
            <v>35792099.969999999</v>
          </cell>
          <cell r="E280">
            <v>3721058.28</v>
          </cell>
          <cell r="F280">
            <v>-21957.59</v>
          </cell>
          <cell r="G280">
            <v>39491200.659999996</v>
          </cell>
        </row>
        <row r="281">
          <cell r="B281">
            <v>421</v>
          </cell>
          <cell r="C281" t="str">
            <v>Despesas com Pessoal</v>
          </cell>
          <cell r="D281">
            <v>21499855.899999999</v>
          </cell>
          <cell r="E281">
            <v>2246980.67</v>
          </cell>
          <cell r="F281">
            <v>-19853</v>
          </cell>
          <cell r="G281">
            <v>23726983.57</v>
          </cell>
        </row>
        <row r="282">
          <cell r="B282">
            <v>4211</v>
          </cell>
          <cell r="C282" t="str">
            <v>Remunerações</v>
          </cell>
          <cell r="D282">
            <v>14779063.310000001</v>
          </cell>
          <cell r="E282">
            <v>1547245.75</v>
          </cell>
          <cell r="F282">
            <v>-12547.57</v>
          </cell>
          <cell r="G282">
            <v>16313761.49</v>
          </cell>
        </row>
        <row r="283">
          <cell r="B283">
            <v>42111</v>
          </cell>
          <cell r="C283" t="str">
            <v>Salários</v>
          </cell>
          <cell r="D283">
            <v>11840063.789999999</v>
          </cell>
          <cell r="E283">
            <v>1274831.1599999999</v>
          </cell>
          <cell r="F283">
            <v>-269.3</v>
          </cell>
          <cell r="G283">
            <v>13114625.65</v>
          </cell>
        </row>
        <row r="284">
          <cell r="B284">
            <v>42117</v>
          </cell>
          <cell r="C284" t="str">
            <v>Provisão de Férias e Encargos Sociais</v>
          </cell>
          <cell r="D284">
            <v>1564472.96</v>
          </cell>
          <cell r="E284">
            <v>149424.47</v>
          </cell>
          <cell r="F284">
            <v>-12278.27</v>
          </cell>
          <cell r="G284">
            <v>1701619.16</v>
          </cell>
        </row>
        <row r="285">
          <cell r="B285">
            <v>42118</v>
          </cell>
          <cell r="C285" t="str">
            <v>Abono Pecuniário de Férias</v>
          </cell>
          <cell r="D285">
            <v>156316.71</v>
          </cell>
          <cell r="E285">
            <v>10126.48</v>
          </cell>
          <cell r="F285">
            <v>0</v>
          </cell>
          <cell r="G285">
            <v>166443.19</v>
          </cell>
        </row>
        <row r="286">
          <cell r="B286">
            <v>42119</v>
          </cell>
          <cell r="C286" t="str">
            <v>Provisão de 13º Salários e Encargos</v>
          </cell>
          <cell r="D286">
            <v>1134082.23</v>
          </cell>
          <cell r="E286">
            <v>112863.64</v>
          </cell>
          <cell r="F286">
            <v>0</v>
          </cell>
          <cell r="G286">
            <v>1246945.8700000001</v>
          </cell>
        </row>
        <row r="287">
          <cell r="B287">
            <v>421110</v>
          </cell>
          <cell r="C287" t="str">
            <v>Salario Maternidade - Prorrogação</v>
          </cell>
          <cell r="D287">
            <v>84127.62</v>
          </cell>
          <cell r="E287">
            <v>0</v>
          </cell>
          <cell r="F287">
            <v>0</v>
          </cell>
          <cell r="G287">
            <v>84127.62</v>
          </cell>
        </row>
        <row r="288">
          <cell r="B288">
            <v>4212</v>
          </cell>
          <cell r="C288" t="str">
            <v>Encargos Sociais</v>
          </cell>
          <cell r="D288">
            <v>4422305.5599999996</v>
          </cell>
          <cell r="E288">
            <v>460423.14</v>
          </cell>
          <cell r="F288">
            <v>-3560.71</v>
          </cell>
          <cell r="G288">
            <v>4879167.99</v>
          </cell>
        </row>
        <row r="289">
          <cell r="B289">
            <v>42121</v>
          </cell>
          <cell r="C289" t="str">
            <v>INSS</v>
          </cell>
          <cell r="D289">
            <v>2657972.9900000002</v>
          </cell>
          <cell r="E289">
            <v>279320.27</v>
          </cell>
          <cell r="F289">
            <v>0</v>
          </cell>
          <cell r="G289">
            <v>2937293.26</v>
          </cell>
        </row>
        <row r="290">
          <cell r="B290">
            <v>42122</v>
          </cell>
          <cell r="C290" t="str">
            <v>FGTS</v>
          </cell>
          <cell r="D290">
            <v>1007496.7</v>
          </cell>
          <cell r="E290">
            <v>106487.52</v>
          </cell>
          <cell r="F290">
            <v>0</v>
          </cell>
          <cell r="G290">
            <v>1113984.22</v>
          </cell>
        </row>
        <row r="291">
          <cell r="B291">
            <v>42124</v>
          </cell>
          <cell r="C291" t="str">
            <v>INSS s/ 13º Salário</v>
          </cell>
          <cell r="D291">
            <v>233661.29</v>
          </cell>
          <cell r="E291">
            <v>23251.919999999998</v>
          </cell>
          <cell r="F291">
            <v>0</v>
          </cell>
          <cell r="G291">
            <v>256913.21</v>
          </cell>
        </row>
        <row r="292">
          <cell r="B292">
            <v>42125</v>
          </cell>
          <cell r="C292" t="str">
            <v>INSS s/ Férias</v>
          </cell>
          <cell r="D292">
            <v>314311.24</v>
          </cell>
          <cell r="E292">
            <v>30779.84</v>
          </cell>
          <cell r="F292">
            <v>-2578.44</v>
          </cell>
          <cell r="G292">
            <v>342512.64000000001</v>
          </cell>
        </row>
        <row r="293">
          <cell r="B293">
            <v>42126</v>
          </cell>
          <cell r="C293" t="str">
            <v>FGTS s/ Férias</v>
          </cell>
          <cell r="D293">
            <v>119831.85</v>
          </cell>
          <cell r="E293">
            <v>11725.68</v>
          </cell>
          <cell r="F293">
            <v>-982.27</v>
          </cell>
          <cell r="G293">
            <v>130575.26</v>
          </cell>
        </row>
        <row r="294">
          <cell r="B294">
            <v>42127</v>
          </cell>
          <cell r="C294" t="str">
            <v>FGTS s/ 13º Salário</v>
          </cell>
          <cell r="D294">
            <v>89031.49</v>
          </cell>
          <cell r="E294">
            <v>8857.91</v>
          </cell>
          <cell r="F294">
            <v>0</v>
          </cell>
          <cell r="G294">
            <v>97889.4</v>
          </cell>
        </row>
        <row r="295">
          <cell r="B295">
            <v>4213</v>
          </cell>
          <cell r="C295" t="str">
            <v>Benefícios</v>
          </cell>
          <cell r="D295">
            <v>2298487.0299999998</v>
          </cell>
          <cell r="E295">
            <v>239311.78</v>
          </cell>
          <cell r="F295">
            <v>-3744.72</v>
          </cell>
          <cell r="G295">
            <v>2534054.09</v>
          </cell>
        </row>
        <row r="296">
          <cell r="B296">
            <v>42131</v>
          </cell>
          <cell r="C296" t="str">
            <v>Previdência Privada Complementar</v>
          </cell>
          <cell r="D296">
            <v>983872.98</v>
          </cell>
          <cell r="E296">
            <v>102334.44</v>
          </cell>
          <cell r="F296">
            <v>0</v>
          </cell>
          <cell r="G296">
            <v>1086207.42</v>
          </cell>
        </row>
        <row r="297">
          <cell r="B297">
            <v>42132</v>
          </cell>
          <cell r="C297" t="str">
            <v>Auxílio Alimentação</v>
          </cell>
          <cell r="D297">
            <v>670023.73</v>
          </cell>
          <cell r="E297">
            <v>65730.27</v>
          </cell>
          <cell r="F297">
            <v>0</v>
          </cell>
          <cell r="G297">
            <v>735754</v>
          </cell>
        </row>
        <row r="298">
          <cell r="B298">
            <v>42133</v>
          </cell>
          <cell r="C298" t="str">
            <v>Auxílio Transporte</v>
          </cell>
          <cell r="D298">
            <v>19539.8</v>
          </cell>
          <cell r="E298">
            <v>5139.96</v>
          </cell>
          <cell r="F298">
            <v>-3562.72</v>
          </cell>
          <cell r="G298">
            <v>21117.040000000001</v>
          </cell>
        </row>
        <row r="299">
          <cell r="B299">
            <v>42134</v>
          </cell>
          <cell r="C299" t="str">
            <v>Auxílio Moradia</v>
          </cell>
          <cell r="D299">
            <v>39000</v>
          </cell>
          <cell r="E299">
            <v>3900</v>
          </cell>
          <cell r="F299">
            <v>0</v>
          </cell>
          <cell r="G299">
            <v>42900</v>
          </cell>
        </row>
        <row r="300">
          <cell r="B300">
            <v>42135</v>
          </cell>
          <cell r="C300" t="str">
            <v>Auxílio Creche</v>
          </cell>
          <cell r="D300">
            <v>133133.89000000001</v>
          </cell>
          <cell r="E300">
            <v>16985.28</v>
          </cell>
          <cell r="F300">
            <v>0</v>
          </cell>
          <cell r="G300">
            <v>150119.17000000001</v>
          </cell>
        </row>
        <row r="301">
          <cell r="B301">
            <v>42136</v>
          </cell>
          <cell r="C301" t="str">
            <v>Assistência Médica e  Odontológica</v>
          </cell>
          <cell r="D301">
            <v>395993.53</v>
          </cell>
          <cell r="E301">
            <v>40818.839999999997</v>
          </cell>
          <cell r="F301">
            <v>0</v>
          </cell>
          <cell r="G301">
            <v>436812.37</v>
          </cell>
        </row>
        <row r="302">
          <cell r="B302">
            <v>421310</v>
          </cell>
          <cell r="C302" t="str">
            <v>Vale Cultura</v>
          </cell>
          <cell r="D302">
            <v>6436</v>
          </cell>
          <cell r="E302">
            <v>800</v>
          </cell>
          <cell r="F302">
            <v>-182</v>
          </cell>
          <cell r="G302">
            <v>7054</v>
          </cell>
        </row>
        <row r="303">
          <cell r="B303">
            <v>421311</v>
          </cell>
          <cell r="C303" t="str">
            <v>Saúde Ocupacional</v>
          </cell>
          <cell r="D303">
            <v>50487.1</v>
          </cell>
          <cell r="E303">
            <v>3602.99</v>
          </cell>
          <cell r="F303">
            <v>0</v>
          </cell>
          <cell r="G303">
            <v>54090.09</v>
          </cell>
        </row>
        <row r="304">
          <cell r="B304">
            <v>422</v>
          </cell>
          <cell r="C304" t="str">
            <v>Despesas Com Materiais</v>
          </cell>
          <cell r="D304">
            <v>132482.03</v>
          </cell>
          <cell r="E304">
            <v>5297.1</v>
          </cell>
          <cell r="F304">
            <v>-320</v>
          </cell>
          <cell r="G304">
            <v>137459.13</v>
          </cell>
        </row>
        <row r="305">
          <cell r="B305">
            <v>4221</v>
          </cell>
          <cell r="C305" t="str">
            <v>Despesas com Materiais Nacionais</v>
          </cell>
          <cell r="D305">
            <v>132482.03</v>
          </cell>
          <cell r="E305">
            <v>5297.1</v>
          </cell>
          <cell r="F305">
            <v>-320</v>
          </cell>
          <cell r="G305">
            <v>137459.13</v>
          </cell>
        </row>
        <row r="306">
          <cell r="B306">
            <v>42211</v>
          </cell>
          <cell r="C306" t="str">
            <v>Materiais Adm. e de Expediente</v>
          </cell>
          <cell r="D306">
            <v>130414.03</v>
          </cell>
          <cell r="E306">
            <v>5297.1</v>
          </cell>
          <cell r="F306">
            <v>-320</v>
          </cell>
          <cell r="G306">
            <v>135391.13</v>
          </cell>
        </row>
        <row r="307">
          <cell r="B307">
            <v>42213</v>
          </cell>
          <cell r="C307" t="str">
            <v>Materiais e Equipamentos</v>
          </cell>
          <cell r="D307">
            <v>2068</v>
          </cell>
          <cell r="E307">
            <v>0</v>
          </cell>
          <cell r="F307">
            <v>0</v>
          </cell>
          <cell r="G307">
            <v>2068</v>
          </cell>
        </row>
        <row r="308">
          <cell r="B308">
            <v>423</v>
          </cell>
          <cell r="C308" t="str">
            <v>Desp.c/Serv. de Terceiros</v>
          </cell>
          <cell r="D308">
            <v>3851711.78</v>
          </cell>
          <cell r="E308">
            <v>623849.68000000005</v>
          </cell>
          <cell r="F308">
            <v>-1036.6099999999999</v>
          </cell>
          <cell r="G308">
            <v>4474524.8499999996</v>
          </cell>
        </row>
        <row r="309">
          <cell r="B309">
            <v>4231</v>
          </cell>
          <cell r="C309" t="str">
            <v>Desp.c/Serv. de Terceiros</v>
          </cell>
          <cell r="D309">
            <v>3851711.78</v>
          </cell>
          <cell r="E309">
            <v>623849.68000000005</v>
          </cell>
          <cell r="F309">
            <v>-1036.6099999999999</v>
          </cell>
          <cell r="G309">
            <v>4474524.8499999996</v>
          </cell>
        </row>
        <row r="310">
          <cell r="B310">
            <v>42311</v>
          </cell>
          <cell r="C310" t="str">
            <v>Serviços de Consultoria</v>
          </cell>
          <cell r="D310">
            <v>554996</v>
          </cell>
          <cell r="E310">
            <v>46525</v>
          </cell>
          <cell r="F310">
            <v>0</v>
          </cell>
          <cell r="G310">
            <v>601521</v>
          </cell>
        </row>
        <row r="311">
          <cell r="B311">
            <v>42312</v>
          </cell>
          <cell r="C311" t="str">
            <v>Serviços de Apoio Técnico e/ou Administrativo</v>
          </cell>
          <cell r="D311">
            <v>1346651.42</v>
          </cell>
          <cell r="E311">
            <v>308899.62</v>
          </cell>
          <cell r="F311">
            <v>0</v>
          </cell>
          <cell r="G311">
            <v>1655551.04</v>
          </cell>
        </row>
        <row r="312">
          <cell r="B312">
            <v>42313</v>
          </cell>
          <cell r="C312" t="str">
            <v>Cessão ou Requisição de Pessoal</v>
          </cell>
          <cell r="D312">
            <v>250373.1</v>
          </cell>
          <cell r="E312">
            <v>24403.53</v>
          </cell>
          <cell r="F312">
            <v>0</v>
          </cell>
          <cell r="G312">
            <v>274776.63</v>
          </cell>
        </row>
        <row r="313">
          <cell r="B313">
            <v>42315</v>
          </cell>
          <cell r="C313" t="str">
            <v>Cursos, Seminários e Convenções</v>
          </cell>
          <cell r="D313">
            <v>341890.81</v>
          </cell>
          <cell r="E313">
            <v>72233.73</v>
          </cell>
          <cell r="F313">
            <v>0</v>
          </cell>
          <cell r="G313">
            <v>414124.54</v>
          </cell>
        </row>
        <row r="314">
          <cell r="B314">
            <v>42316</v>
          </cell>
          <cell r="C314" t="str">
            <v>Serviços de Processamentos de Dados</v>
          </cell>
          <cell r="D314">
            <v>228554.6</v>
          </cell>
          <cell r="E314">
            <v>0</v>
          </cell>
          <cell r="F314">
            <v>0</v>
          </cell>
          <cell r="G314">
            <v>228554.6</v>
          </cell>
        </row>
        <row r="315">
          <cell r="B315">
            <v>42317</v>
          </cell>
          <cell r="C315" t="str">
            <v>Serviços Manut. Equipamentos Informática</v>
          </cell>
          <cell r="D315">
            <v>293394.92</v>
          </cell>
          <cell r="E315">
            <v>18286.63</v>
          </cell>
          <cell r="F315">
            <v>0</v>
          </cell>
          <cell r="G315">
            <v>311681.55</v>
          </cell>
        </row>
        <row r="316">
          <cell r="B316">
            <v>42318</v>
          </cell>
          <cell r="C316" t="str">
            <v>Serv. Tributários e Auditoria</v>
          </cell>
          <cell r="D316">
            <v>161706.49</v>
          </cell>
          <cell r="E316">
            <v>24223.29</v>
          </cell>
          <cell r="F316">
            <v>0</v>
          </cell>
          <cell r="G316">
            <v>185929.78</v>
          </cell>
        </row>
        <row r="317">
          <cell r="B317">
            <v>423111</v>
          </cell>
          <cell r="C317" t="str">
            <v>Serviços de Reforma das Instalações</v>
          </cell>
          <cell r="D317">
            <v>11753.5</v>
          </cell>
          <cell r="E317">
            <v>0</v>
          </cell>
          <cell r="F317">
            <v>0</v>
          </cell>
          <cell r="G317">
            <v>11753.5</v>
          </cell>
        </row>
        <row r="318">
          <cell r="B318">
            <v>423113</v>
          </cell>
          <cell r="C318" t="str">
            <v>Locação de Veículos</v>
          </cell>
          <cell r="D318">
            <v>0</v>
          </cell>
          <cell r="E318">
            <v>10921.43</v>
          </cell>
          <cell r="F318">
            <v>0</v>
          </cell>
          <cell r="G318">
            <v>10921.43</v>
          </cell>
        </row>
        <row r="319">
          <cell r="B319">
            <v>423114</v>
          </cell>
          <cell r="C319" t="str">
            <v>Cessão Temporária e Manut. de Software</v>
          </cell>
          <cell r="D319">
            <v>433313.12</v>
          </cell>
          <cell r="E319">
            <v>92761.08</v>
          </cell>
          <cell r="F319">
            <v>0</v>
          </cell>
          <cell r="G319">
            <v>526074.19999999995</v>
          </cell>
        </row>
        <row r="320">
          <cell r="B320">
            <v>423117</v>
          </cell>
          <cell r="C320" t="str">
            <v>Despesas com Estagiarios</v>
          </cell>
          <cell r="D320">
            <v>204249.28</v>
          </cell>
          <cell r="E320">
            <v>25595.37</v>
          </cell>
          <cell r="F320">
            <v>0</v>
          </cell>
          <cell r="G320">
            <v>229844.65</v>
          </cell>
        </row>
        <row r="321">
          <cell r="B321">
            <v>423119</v>
          </cell>
          <cell r="C321" t="str">
            <v>Despesas com Jovem Aprendiz</v>
          </cell>
          <cell r="D321">
            <v>24828.54</v>
          </cell>
          <cell r="E321">
            <v>0</v>
          </cell>
          <cell r="F321">
            <v>-1036.6099999999999</v>
          </cell>
          <cell r="G321">
            <v>23791.93</v>
          </cell>
        </row>
        <row r="322">
          <cell r="B322">
            <v>424</v>
          </cell>
          <cell r="C322" t="str">
            <v>Desp.c/Tributos</v>
          </cell>
          <cell r="D322">
            <v>760509.21</v>
          </cell>
          <cell r="E322">
            <v>9610.2099999999991</v>
          </cell>
          <cell r="F322">
            <v>0</v>
          </cell>
          <cell r="G322">
            <v>770119.42</v>
          </cell>
        </row>
        <row r="323">
          <cell r="B323">
            <v>4241</v>
          </cell>
          <cell r="C323" t="str">
            <v>Desp.c/Tributos-Imp.,Txs e Contribuições</v>
          </cell>
          <cell r="D323">
            <v>760509.21</v>
          </cell>
          <cell r="E323">
            <v>9610.2099999999991</v>
          </cell>
          <cell r="F323">
            <v>0</v>
          </cell>
          <cell r="G323">
            <v>770119.42</v>
          </cell>
        </row>
        <row r="324">
          <cell r="B324">
            <v>42412</v>
          </cell>
          <cell r="C324" t="str">
            <v>IPTU</v>
          </cell>
          <cell r="D324">
            <v>97063.21</v>
          </cell>
          <cell r="E324">
            <v>9610.2099999999991</v>
          </cell>
          <cell r="F324">
            <v>0</v>
          </cell>
          <cell r="G324">
            <v>106673.42</v>
          </cell>
        </row>
        <row r="325">
          <cell r="B325">
            <v>42415</v>
          </cell>
          <cell r="C325" t="str">
            <v>PIS s/ Outras Receitas</v>
          </cell>
          <cell r="D325">
            <v>114927.21</v>
          </cell>
          <cell r="E325">
            <v>0</v>
          </cell>
          <cell r="F325">
            <v>0</v>
          </cell>
          <cell r="G325">
            <v>114927.21</v>
          </cell>
        </row>
        <row r="326">
          <cell r="B326">
            <v>42416</v>
          </cell>
          <cell r="C326" t="str">
            <v>COFINS s/ outras Receitas</v>
          </cell>
          <cell r="D326">
            <v>538818.84</v>
          </cell>
          <cell r="E326">
            <v>0</v>
          </cell>
          <cell r="F326">
            <v>0</v>
          </cell>
          <cell r="G326">
            <v>538818.84</v>
          </cell>
        </row>
        <row r="327">
          <cell r="B327">
            <v>42418</v>
          </cell>
          <cell r="C327" t="str">
            <v>Outros Impostos e Taxas</v>
          </cell>
          <cell r="D327">
            <v>317.56</v>
          </cell>
          <cell r="E327">
            <v>0</v>
          </cell>
          <cell r="F327">
            <v>0</v>
          </cell>
          <cell r="G327">
            <v>317.56</v>
          </cell>
        </row>
        <row r="328">
          <cell r="B328">
            <v>424112</v>
          </cell>
          <cell r="C328" t="str">
            <v>Taxas Estaduais</v>
          </cell>
          <cell r="D328">
            <v>9382.39</v>
          </cell>
          <cell r="E328">
            <v>0</v>
          </cell>
          <cell r="F328">
            <v>0</v>
          </cell>
          <cell r="G328">
            <v>9382.39</v>
          </cell>
        </row>
        <row r="329">
          <cell r="B329">
            <v>425</v>
          </cell>
          <cell r="C329" t="str">
            <v>Despesas com Provisôes</v>
          </cell>
          <cell r="D329">
            <v>662659.38</v>
          </cell>
          <cell r="E329">
            <v>0</v>
          </cell>
          <cell r="F329">
            <v>0</v>
          </cell>
          <cell r="G329">
            <v>662659.38</v>
          </cell>
        </row>
        <row r="330">
          <cell r="B330">
            <v>4251</v>
          </cell>
          <cell r="C330" t="str">
            <v>Imposto de Renda</v>
          </cell>
          <cell r="D330">
            <v>215987.71</v>
          </cell>
          <cell r="E330">
            <v>0</v>
          </cell>
          <cell r="F330">
            <v>0</v>
          </cell>
          <cell r="G330">
            <v>215987.71</v>
          </cell>
        </row>
        <row r="331">
          <cell r="B331">
            <v>42511</v>
          </cell>
          <cell r="C331" t="str">
            <v>Provisão p/ IRPJ</v>
          </cell>
          <cell r="D331">
            <v>215987.71</v>
          </cell>
          <cell r="E331">
            <v>0</v>
          </cell>
          <cell r="F331">
            <v>0</v>
          </cell>
          <cell r="G331">
            <v>215987.71</v>
          </cell>
        </row>
        <row r="332">
          <cell r="B332">
            <v>4252</v>
          </cell>
          <cell r="C332" t="str">
            <v>Contribuição Social s/ Lucro Líquido</v>
          </cell>
          <cell r="D332">
            <v>210374.3</v>
          </cell>
          <cell r="E332">
            <v>0</v>
          </cell>
          <cell r="F332">
            <v>0</v>
          </cell>
          <cell r="G332">
            <v>210374.3</v>
          </cell>
        </row>
        <row r="333">
          <cell r="B333">
            <v>42521</v>
          </cell>
          <cell r="C333" t="str">
            <v>Provisão p/ CSLL</v>
          </cell>
          <cell r="D333">
            <v>210374.3</v>
          </cell>
          <cell r="E333">
            <v>0</v>
          </cell>
          <cell r="F333">
            <v>0</v>
          </cell>
          <cell r="G333">
            <v>210374.3</v>
          </cell>
        </row>
        <row r="334">
          <cell r="B334">
            <v>4254</v>
          </cell>
          <cell r="C334" t="str">
            <v>Despesas c/ Provisões - p/ Contingências</v>
          </cell>
          <cell r="D334">
            <v>236297.37</v>
          </cell>
          <cell r="E334">
            <v>0</v>
          </cell>
          <cell r="F334">
            <v>0</v>
          </cell>
          <cell r="G334">
            <v>236297.37</v>
          </cell>
        </row>
        <row r="335">
          <cell r="B335">
            <v>42541</v>
          </cell>
          <cell r="C335" t="str">
            <v>Provisões p/ Contingências Trabalhistas</v>
          </cell>
          <cell r="D335">
            <v>228883.71</v>
          </cell>
          <cell r="E335">
            <v>0</v>
          </cell>
          <cell r="F335">
            <v>0</v>
          </cell>
          <cell r="G335">
            <v>228883.71</v>
          </cell>
        </row>
        <row r="336">
          <cell r="B336">
            <v>42543</v>
          </cell>
          <cell r="C336" t="str">
            <v>Provisões p/ Contingências Fiscais</v>
          </cell>
          <cell r="D336">
            <v>5067.3599999999997</v>
          </cell>
          <cell r="E336">
            <v>0</v>
          </cell>
          <cell r="F336">
            <v>0</v>
          </cell>
          <cell r="G336">
            <v>5067.3599999999997</v>
          </cell>
        </row>
        <row r="337">
          <cell r="B337">
            <v>42544</v>
          </cell>
          <cell r="C337" t="str">
            <v>Provisões p/ Contingências Processos Administrativos</v>
          </cell>
          <cell r="D337">
            <v>2346.3000000000002</v>
          </cell>
          <cell r="E337">
            <v>0</v>
          </cell>
          <cell r="F337">
            <v>0</v>
          </cell>
          <cell r="G337">
            <v>2346.3000000000002</v>
          </cell>
        </row>
        <row r="338">
          <cell r="B338">
            <v>426</v>
          </cell>
          <cell r="C338" t="str">
            <v>Despesas Gerais</v>
          </cell>
          <cell r="D338">
            <v>7265377.0800000001</v>
          </cell>
          <cell r="E338">
            <v>768989.66</v>
          </cell>
          <cell r="F338">
            <v>-747.98</v>
          </cell>
          <cell r="G338">
            <v>8033618.7599999998</v>
          </cell>
        </row>
        <row r="339">
          <cell r="B339">
            <v>4261</v>
          </cell>
          <cell r="C339" t="str">
            <v>Desp. Gerais Funcionamento Instalações</v>
          </cell>
          <cell r="D339">
            <v>4003853.73</v>
          </cell>
          <cell r="E339">
            <v>416006.03</v>
          </cell>
          <cell r="F339">
            <v>-199</v>
          </cell>
          <cell r="G339">
            <v>4419660.76</v>
          </cell>
        </row>
        <row r="340">
          <cell r="B340">
            <v>42611</v>
          </cell>
          <cell r="C340" t="str">
            <v>Aluguéis</v>
          </cell>
          <cell r="D340">
            <v>693357.34</v>
          </cell>
          <cell r="E340">
            <v>80887.22</v>
          </cell>
          <cell r="F340">
            <v>0</v>
          </cell>
          <cell r="G340">
            <v>774244.56</v>
          </cell>
        </row>
        <row r="341">
          <cell r="B341">
            <v>42613</v>
          </cell>
          <cell r="C341" t="str">
            <v>Manutenção e Reparos</v>
          </cell>
          <cell r="D341">
            <v>100060.25</v>
          </cell>
          <cell r="E341">
            <v>4600</v>
          </cell>
          <cell r="F341">
            <v>-199</v>
          </cell>
          <cell r="G341">
            <v>104461.25</v>
          </cell>
        </row>
        <row r="342">
          <cell r="B342">
            <v>42614</v>
          </cell>
          <cell r="C342" t="str">
            <v>Energia Elétrica</v>
          </cell>
          <cell r="D342">
            <v>198359.72</v>
          </cell>
          <cell r="E342">
            <v>18148.32</v>
          </cell>
          <cell r="F342">
            <v>0</v>
          </cell>
          <cell r="G342">
            <v>216508.04</v>
          </cell>
        </row>
        <row r="343">
          <cell r="B343">
            <v>42616</v>
          </cell>
          <cell r="C343" t="str">
            <v>Telecomunicações</v>
          </cell>
          <cell r="D343">
            <v>12946.52</v>
          </cell>
          <cell r="E343">
            <v>1402.61</v>
          </cell>
          <cell r="F343">
            <v>0</v>
          </cell>
          <cell r="G343">
            <v>14349.13</v>
          </cell>
        </row>
        <row r="344">
          <cell r="B344">
            <v>42617</v>
          </cell>
          <cell r="C344" t="str">
            <v>Correios e Malotes</v>
          </cell>
          <cell r="D344">
            <v>2494.06</v>
          </cell>
          <cell r="E344">
            <v>188.7</v>
          </cell>
          <cell r="F344">
            <v>0</v>
          </cell>
          <cell r="G344">
            <v>2682.76</v>
          </cell>
        </row>
        <row r="345">
          <cell r="B345">
            <v>42618</v>
          </cell>
          <cell r="C345" t="str">
            <v>Reproduções</v>
          </cell>
          <cell r="D345">
            <v>9204.7000000000007</v>
          </cell>
          <cell r="E345">
            <v>0</v>
          </cell>
          <cell r="F345">
            <v>0</v>
          </cell>
          <cell r="G345">
            <v>9204.7000000000007</v>
          </cell>
        </row>
        <row r="346">
          <cell r="B346">
            <v>426111</v>
          </cell>
          <cell r="C346" t="str">
            <v>Depreciação e Amortização</v>
          </cell>
          <cell r="D346">
            <v>2429618.0699999998</v>
          </cell>
          <cell r="E346">
            <v>240062.72</v>
          </cell>
          <cell r="F346">
            <v>0</v>
          </cell>
          <cell r="G346">
            <v>2669680.79</v>
          </cell>
        </row>
        <row r="347">
          <cell r="B347">
            <v>426112</v>
          </cell>
          <cell r="C347" t="str">
            <v>Alugueis de Móveis, Máquinas e Equip.</v>
          </cell>
          <cell r="D347">
            <v>1462.31</v>
          </cell>
          <cell r="E347">
            <v>709.18</v>
          </cell>
          <cell r="F347">
            <v>0</v>
          </cell>
          <cell r="G347">
            <v>2171.4899999999998</v>
          </cell>
        </row>
        <row r="348">
          <cell r="B348">
            <v>426114</v>
          </cell>
          <cell r="C348" t="str">
            <v>Serviço de Limpeza e Higiene</v>
          </cell>
          <cell r="D348">
            <v>152785.93</v>
          </cell>
          <cell r="E348">
            <v>24681.99</v>
          </cell>
          <cell r="F348">
            <v>0</v>
          </cell>
          <cell r="G348">
            <v>177467.92</v>
          </cell>
        </row>
        <row r="349">
          <cell r="B349">
            <v>426116</v>
          </cell>
          <cell r="C349" t="str">
            <v>Condomínios</v>
          </cell>
          <cell r="D349">
            <v>299067.21999999997</v>
          </cell>
          <cell r="E349">
            <v>30062.49</v>
          </cell>
          <cell r="F349">
            <v>0</v>
          </cell>
          <cell r="G349">
            <v>329129.71000000002</v>
          </cell>
        </row>
        <row r="350">
          <cell r="B350">
            <v>426117</v>
          </cell>
          <cell r="C350" t="str">
            <v>Serviços Gerais</v>
          </cell>
          <cell r="D350">
            <v>104497.61</v>
          </cell>
          <cell r="E350">
            <v>15262.8</v>
          </cell>
          <cell r="F350">
            <v>0</v>
          </cell>
          <cell r="G350">
            <v>119760.41</v>
          </cell>
        </row>
        <row r="351">
          <cell r="B351">
            <v>4262</v>
          </cell>
          <cell r="C351" t="str">
            <v>Despesas Gerais da Administração</v>
          </cell>
          <cell r="D351">
            <v>3261523.35</v>
          </cell>
          <cell r="E351">
            <v>352983.63</v>
          </cell>
          <cell r="F351">
            <v>-548.98</v>
          </cell>
          <cell r="G351">
            <v>3613958</v>
          </cell>
        </row>
        <row r="352">
          <cell r="B352">
            <v>42621</v>
          </cell>
          <cell r="C352" t="str">
            <v>Honorários da Diretoria</v>
          </cell>
          <cell r="D352">
            <v>682124.74</v>
          </cell>
          <cell r="E352">
            <v>64964.26</v>
          </cell>
          <cell r="F352">
            <v>0</v>
          </cell>
          <cell r="G352">
            <v>747089</v>
          </cell>
        </row>
        <row r="353">
          <cell r="B353">
            <v>42622</v>
          </cell>
          <cell r="C353" t="str">
            <v>Honorários Conselhos de Adm. e Fiscal</v>
          </cell>
          <cell r="D353">
            <v>306846.82</v>
          </cell>
          <cell r="E353">
            <v>29342.15</v>
          </cell>
          <cell r="F353">
            <v>0</v>
          </cell>
          <cell r="G353">
            <v>336188.97</v>
          </cell>
        </row>
        <row r="354">
          <cell r="B354">
            <v>42624</v>
          </cell>
          <cell r="C354" t="str">
            <v>Despesas de Viagens - Passagens Aéreas</v>
          </cell>
          <cell r="D354">
            <v>258882.7</v>
          </cell>
          <cell r="E354">
            <v>36176.879999999997</v>
          </cell>
          <cell r="F354">
            <v>0</v>
          </cell>
          <cell r="G354">
            <v>295059.58</v>
          </cell>
        </row>
        <row r="355">
          <cell r="B355">
            <v>42625</v>
          </cell>
          <cell r="C355" t="str">
            <v>Despesas de Viagens - Hospedagens</v>
          </cell>
          <cell r="D355">
            <v>13705.59</v>
          </cell>
          <cell r="E355">
            <v>5759.42</v>
          </cell>
          <cell r="F355">
            <v>0</v>
          </cell>
          <cell r="G355">
            <v>19465.009999999998</v>
          </cell>
        </row>
        <row r="356">
          <cell r="B356">
            <v>42626</v>
          </cell>
          <cell r="C356" t="str">
            <v>Despesas de Viagens - Outros</v>
          </cell>
          <cell r="D356">
            <v>56321.34</v>
          </cell>
          <cell r="E356">
            <v>12984.06</v>
          </cell>
          <cell r="F356">
            <v>-548.98</v>
          </cell>
          <cell r="G356">
            <v>68756.42</v>
          </cell>
        </row>
        <row r="357">
          <cell r="B357">
            <v>42627</v>
          </cell>
          <cell r="C357" t="str">
            <v>Assinaturas Banco de Dados e Portais</v>
          </cell>
          <cell r="D357">
            <v>1546350.91</v>
          </cell>
          <cell r="E357">
            <v>177201.37</v>
          </cell>
          <cell r="F357">
            <v>0</v>
          </cell>
          <cell r="G357">
            <v>1723552.28</v>
          </cell>
        </row>
        <row r="358">
          <cell r="B358">
            <v>42629</v>
          </cell>
          <cell r="C358" t="str">
            <v>Despesas Legais e Judiciais</v>
          </cell>
          <cell r="D358">
            <v>4760.91</v>
          </cell>
          <cell r="E358">
            <v>0</v>
          </cell>
          <cell r="F358">
            <v>0</v>
          </cell>
          <cell r="G358">
            <v>4760.91</v>
          </cell>
        </row>
        <row r="359">
          <cell r="B359">
            <v>426210</v>
          </cell>
          <cell r="C359" t="str">
            <v>Despesa de Viagem ao Exterior</v>
          </cell>
          <cell r="D359">
            <v>78253.83</v>
          </cell>
          <cell r="E359">
            <v>0</v>
          </cell>
          <cell r="F359">
            <v>0</v>
          </cell>
          <cell r="G359">
            <v>78253.83</v>
          </cell>
        </row>
        <row r="360">
          <cell r="B360">
            <v>426213</v>
          </cell>
          <cell r="C360" t="str">
            <v>DESPESAS NÃO DEDUTIVEIS</v>
          </cell>
          <cell r="D360">
            <v>40550.300000000003</v>
          </cell>
          <cell r="E360">
            <v>0</v>
          </cell>
          <cell r="F360">
            <v>0</v>
          </cell>
          <cell r="G360">
            <v>40550.300000000003</v>
          </cell>
        </row>
        <row r="361">
          <cell r="B361">
            <v>426214</v>
          </cell>
          <cell r="C361" t="str">
            <v>Honorários Comite de Auditoria</v>
          </cell>
          <cell r="D361">
            <v>100405.95</v>
          </cell>
          <cell r="E361">
            <v>10556.7</v>
          </cell>
          <cell r="F361">
            <v>0</v>
          </cell>
          <cell r="G361">
            <v>110962.65</v>
          </cell>
        </row>
        <row r="362">
          <cell r="B362">
            <v>426215</v>
          </cell>
          <cell r="C362" t="str">
            <v>Seguro de Responsabilidade Cívil</v>
          </cell>
          <cell r="D362">
            <v>173320.26</v>
          </cell>
          <cell r="E362">
            <v>15998.79</v>
          </cell>
          <cell r="F362">
            <v>0</v>
          </cell>
          <cell r="G362">
            <v>189319.05</v>
          </cell>
        </row>
        <row r="363">
          <cell r="B363">
            <v>427</v>
          </cell>
          <cell r="C363" t="str">
            <v>Despesas Financeiras</v>
          </cell>
          <cell r="D363">
            <v>869504.59</v>
          </cell>
          <cell r="E363">
            <v>66330.960000000006</v>
          </cell>
          <cell r="F363">
            <v>0</v>
          </cell>
          <cell r="G363">
            <v>935835.55</v>
          </cell>
        </row>
        <row r="364">
          <cell r="B364">
            <v>42701</v>
          </cell>
          <cell r="C364" t="str">
            <v>Despesas Financeiras</v>
          </cell>
          <cell r="D364">
            <v>869504.59</v>
          </cell>
          <cell r="E364">
            <v>66330.960000000006</v>
          </cell>
          <cell r="F364">
            <v>0</v>
          </cell>
          <cell r="G364">
            <v>935835.55</v>
          </cell>
        </row>
        <row r="365">
          <cell r="B365">
            <v>42711</v>
          </cell>
          <cell r="C365" t="str">
            <v>Juros Pagos ou Incorridos</v>
          </cell>
          <cell r="D365">
            <v>3.15</v>
          </cell>
          <cell r="E365">
            <v>0</v>
          </cell>
          <cell r="F365">
            <v>0</v>
          </cell>
          <cell r="G365">
            <v>3.15</v>
          </cell>
        </row>
        <row r="366">
          <cell r="B366">
            <v>42716</v>
          </cell>
          <cell r="C366" t="str">
            <v>Multas</v>
          </cell>
          <cell r="D366">
            <v>2346.33</v>
          </cell>
          <cell r="E366">
            <v>0</v>
          </cell>
          <cell r="F366">
            <v>0</v>
          </cell>
          <cell r="G366">
            <v>2346.33</v>
          </cell>
        </row>
        <row r="367">
          <cell r="B367">
            <v>42720</v>
          </cell>
          <cell r="C367" t="str">
            <v>Prov. Contingências Variações Monetárias</v>
          </cell>
          <cell r="D367">
            <v>867155.11</v>
          </cell>
          <cell r="E367">
            <v>66330.960000000006</v>
          </cell>
          <cell r="F367">
            <v>0</v>
          </cell>
          <cell r="G367">
            <v>933486.07</v>
          </cell>
        </row>
        <row r="368">
          <cell r="B368">
            <v>429</v>
          </cell>
          <cell r="C368" t="str">
            <v>Outras Despesas</v>
          </cell>
          <cell r="D368">
            <v>750000</v>
          </cell>
          <cell r="E368">
            <v>0</v>
          </cell>
          <cell r="F368">
            <v>0</v>
          </cell>
          <cell r="G368">
            <v>750000</v>
          </cell>
        </row>
        <row r="369">
          <cell r="B369">
            <v>42910</v>
          </cell>
          <cell r="C369" t="str">
            <v>Despesas Concurso Público</v>
          </cell>
          <cell r="D369">
            <v>750000</v>
          </cell>
          <cell r="E369">
            <v>0</v>
          </cell>
          <cell r="F369">
            <v>0</v>
          </cell>
          <cell r="G369">
            <v>750000</v>
          </cell>
        </row>
        <row r="370">
          <cell r="B370">
            <v>429101</v>
          </cell>
          <cell r="C370" t="str">
            <v>Despesa de Concurso Público</v>
          </cell>
          <cell r="D370">
            <v>750000</v>
          </cell>
          <cell r="E370">
            <v>0</v>
          </cell>
          <cell r="F370">
            <v>0</v>
          </cell>
          <cell r="G370">
            <v>750000</v>
          </cell>
        </row>
        <row r="371">
          <cell r="B371">
            <v>5</v>
          </cell>
          <cell r="C371" t="str">
            <v>Resultado do Período</v>
          </cell>
          <cell r="D371">
            <v>616167.47</v>
          </cell>
          <cell r="E371">
            <v>0</v>
          </cell>
          <cell r="F371">
            <v>-2951140.21</v>
          </cell>
          <cell r="G371">
            <v>2334972.7400000002</v>
          </cell>
        </row>
        <row r="372">
          <cell r="B372">
            <v>51</v>
          </cell>
          <cell r="C372" t="str">
            <v>Resultado do Período</v>
          </cell>
          <cell r="D372">
            <v>616167.47</v>
          </cell>
          <cell r="E372">
            <v>0</v>
          </cell>
          <cell r="F372">
            <v>-2951140.21</v>
          </cell>
          <cell r="G372">
            <v>2334972.7400000002</v>
          </cell>
        </row>
        <row r="373">
          <cell r="B373">
            <v>511</v>
          </cell>
          <cell r="C373" t="str">
            <v>Lucro do Período</v>
          </cell>
          <cell r="D373">
            <v>6440098.96</v>
          </cell>
          <cell r="E373">
            <v>0</v>
          </cell>
          <cell r="F373">
            <v>0</v>
          </cell>
          <cell r="G373">
            <v>6440098.96</v>
          </cell>
        </row>
        <row r="374">
          <cell r="B374">
            <v>5111</v>
          </cell>
          <cell r="C374" t="str">
            <v>Janeiro</v>
          </cell>
          <cell r="D374">
            <v>801472.64</v>
          </cell>
          <cell r="E374">
            <v>0</v>
          </cell>
          <cell r="F374">
            <v>0</v>
          </cell>
          <cell r="G374">
            <v>801472.64</v>
          </cell>
        </row>
        <row r="375">
          <cell r="B375">
            <v>5112</v>
          </cell>
          <cell r="C375" t="str">
            <v>Fevereiro</v>
          </cell>
          <cell r="D375">
            <v>935410.39</v>
          </cell>
          <cell r="E375">
            <v>0</v>
          </cell>
          <cell r="F375">
            <v>0</v>
          </cell>
          <cell r="G375">
            <v>935410.39</v>
          </cell>
        </row>
        <row r="376">
          <cell r="B376">
            <v>5114</v>
          </cell>
          <cell r="C376" t="str">
            <v>Abril</v>
          </cell>
          <cell r="D376">
            <v>3733895.49</v>
          </cell>
          <cell r="E376">
            <v>0</v>
          </cell>
          <cell r="F376">
            <v>0</v>
          </cell>
          <cell r="G376">
            <v>3733895.49</v>
          </cell>
        </row>
        <row r="377">
          <cell r="B377">
            <v>5117</v>
          </cell>
          <cell r="C377" t="str">
            <v>Julho</v>
          </cell>
          <cell r="D377">
            <v>387867.2</v>
          </cell>
          <cell r="E377">
            <v>0</v>
          </cell>
          <cell r="F377">
            <v>0</v>
          </cell>
          <cell r="G377">
            <v>387867.2</v>
          </cell>
        </row>
        <row r="378">
          <cell r="B378">
            <v>51110</v>
          </cell>
          <cell r="C378" t="str">
            <v>Outubro</v>
          </cell>
          <cell r="D378">
            <v>581453.24</v>
          </cell>
          <cell r="E378">
            <v>0</v>
          </cell>
          <cell r="F378">
            <v>0</v>
          </cell>
          <cell r="G378">
            <v>581453.24</v>
          </cell>
        </row>
        <row r="379">
          <cell r="B379">
            <v>512</v>
          </cell>
          <cell r="C379" t="str">
            <v>Prejuízo do Período</v>
          </cell>
          <cell r="D379">
            <v>-5823931.4900000002</v>
          </cell>
          <cell r="E379">
            <v>0</v>
          </cell>
          <cell r="F379">
            <v>-2951140.21</v>
          </cell>
          <cell r="G379">
            <v>8775071.6999999993</v>
          </cell>
        </row>
        <row r="380">
          <cell r="B380">
            <v>5123</v>
          </cell>
          <cell r="C380" t="str">
            <v>Março</v>
          </cell>
          <cell r="D380">
            <v>-2791988</v>
          </cell>
          <cell r="E380">
            <v>0</v>
          </cell>
          <cell r="F380">
            <v>0</v>
          </cell>
          <cell r="G380">
            <v>2791988</v>
          </cell>
        </row>
        <row r="381">
          <cell r="B381">
            <v>5125</v>
          </cell>
          <cell r="C381" t="str">
            <v>Maio</v>
          </cell>
          <cell r="D381">
            <v>-1383594.51</v>
          </cell>
          <cell r="E381">
            <v>0</v>
          </cell>
          <cell r="F381">
            <v>0</v>
          </cell>
          <cell r="G381">
            <v>1383594.51</v>
          </cell>
        </row>
        <row r="382">
          <cell r="B382">
            <v>5126</v>
          </cell>
          <cell r="C382" t="str">
            <v>Junho</v>
          </cell>
          <cell r="D382">
            <v>-1294145.93</v>
          </cell>
          <cell r="E382">
            <v>0</v>
          </cell>
          <cell r="F382">
            <v>0</v>
          </cell>
          <cell r="G382">
            <v>1294145.93</v>
          </cell>
        </row>
        <row r="383">
          <cell r="B383">
            <v>5128</v>
          </cell>
          <cell r="C383" t="str">
            <v>Agosto</v>
          </cell>
          <cell r="D383">
            <v>-77096.83</v>
          </cell>
          <cell r="E383">
            <v>0</v>
          </cell>
          <cell r="F383">
            <v>0</v>
          </cell>
          <cell r="G383">
            <v>77096.83</v>
          </cell>
        </row>
        <row r="384">
          <cell r="B384">
            <v>5129</v>
          </cell>
          <cell r="C384" t="str">
            <v>Setembro</v>
          </cell>
          <cell r="D384">
            <v>-277106.21999999997</v>
          </cell>
          <cell r="E384">
            <v>0</v>
          </cell>
          <cell r="F384">
            <v>0</v>
          </cell>
          <cell r="G384">
            <v>277106.21999999997</v>
          </cell>
        </row>
        <row r="385">
          <cell r="B385">
            <v>51211</v>
          </cell>
          <cell r="C385" t="str">
            <v>Novembro</v>
          </cell>
          <cell r="D385">
            <v>0</v>
          </cell>
          <cell r="E385">
            <v>0</v>
          </cell>
          <cell r="F385">
            <v>-2951140.21</v>
          </cell>
          <cell r="G385">
            <v>2951140.21</v>
          </cell>
        </row>
      </sheetData>
      <sheetData sheetId="20">
        <row r="235">
          <cell r="G235">
            <v>1461175.56</v>
          </cell>
        </row>
        <row r="288">
          <cell r="G288">
            <v>670023.73</v>
          </cell>
        </row>
      </sheetData>
      <sheetData sheetId="21">
        <row r="229">
          <cell r="G229">
            <v>1317533.83</v>
          </cell>
        </row>
      </sheetData>
      <sheetData sheetId="22">
        <row r="205">
          <cell r="G205">
            <v>22945.54</v>
          </cell>
        </row>
      </sheetData>
      <sheetData sheetId="23">
        <row r="226">
          <cell r="G226">
            <v>1028255.44</v>
          </cell>
        </row>
      </sheetData>
      <sheetData sheetId="24">
        <row r="2">
          <cell r="B2">
            <v>0</v>
          </cell>
        </row>
      </sheetData>
      <sheetData sheetId="25">
        <row r="4">
          <cell r="B4" t="str">
            <v>Reduzido</v>
          </cell>
        </row>
        <row r="1416">
          <cell r="G1416">
            <v>0</v>
          </cell>
        </row>
        <row r="1418">
          <cell r="G1418">
            <v>0</v>
          </cell>
        </row>
        <row r="1575">
          <cell r="G1575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748">
          <cell r="G1748">
            <v>0</v>
          </cell>
        </row>
      </sheetData>
      <sheetData sheetId="26"/>
      <sheetData sheetId="27"/>
      <sheetData sheetId="28"/>
      <sheetData sheetId="29">
        <row r="668">
          <cell r="G668">
            <v>0</v>
          </cell>
        </row>
        <row r="1449">
          <cell r="G1449">
            <v>0</v>
          </cell>
        </row>
        <row r="1566">
          <cell r="G1566">
            <v>0</v>
          </cell>
        </row>
      </sheetData>
      <sheetData sheetId="30">
        <row r="1361">
          <cell r="G1361">
            <v>-39850436.390000001</v>
          </cell>
        </row>
        <row r="1570">
          <cell r="G1570">
            <v>0</v>
          </cell>
        </row>
        <row r="1687">
          <cell r="G1687">
            <v>0</v>
          </cell>
        </row>
        <row r="1688">
          <cell r="G1688">
            <v>0</v>
          </cell>
        </row>
        <row r="1743">
          <cell r="G1743">
            <v>0</v>
          </cell>
        </row>
      </sheetData>
      <sheetData sheetId="31"/>
      <sheetData sheetId="32"/>
      <sheetData sheetId="33"/>
      <sheetData sheetId="3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erno_Cache_XXXXX"/>
      <sheetName val="Planilha1"/>
      <sheetName val="IRPJ_CSLL_2021"/>
      <sheetName val="12.2021"/>
      <sheetName val="11.2021"/>
      <sheetName val="10.2021"/>
      <sheetName val="01.2022"/>
      <sheetName val="02.2022"/>
      <sheetName val="EPE (2)"/>
      <sheetName val="IRPJ_CSLL_2022"/>
      <sheetName val="IRPJ_CSLL_2023"/>
      <sheetName val="09.2023"/>
      <sheetName val="08.2023"/>
      <sheetName val="07.2023"/>
      <sheetName val="06.2023"/>
      <sheetName val="EPE (3)"/>
      <sheetName val="05.2023"/>
      <sheetName val="04.2023"/>
      <sheetName val="03.2023"/>
      <sheetName val="02.2023"/>
      <sheetName val="01.2023"/>
      <sheetName val="12.2022"/>
      <sheetName val="11.2022"/>
      <sheetName val="10.2022"/>
      <sheetName val="09.2022"/>
      <sheetName val="08.2022"/>
      <sheetName val="07.2022"/>
      <sheetName val="06.2022"/>
      <sheetName val="05.2022"/>
      <sheetName val="07.2020"/>
      <sheetName val="08.2020"/>
      <sheetName val="Plan1"/>
      <sheetName val="03.2022"/>
      <sheetName val="04.2022"/>
      <sheetName val="06.2021"/>
      <sheetName val="07.2021"/>
      <sheetName val="08.2021"/>
      <sheetName val="09.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7">
          <cell r="J7">
            <v>68508548.799999997</v>
          </cell>
        </row>
      </sheetData>
      <sheetData sheetId="10">
        <row r="7">
          <cell r="J7">
            <v>74616030.650000006</v>
          </cell>
        </row>
        <row r="10">
          <cell r="L10">
            <v>755084.83000000007</v>
          </cell>
        </row>
        <row r="29">
          <cell r="J29">
            <v>0</v>
          </cell>
          <cell r="K29">
            <v>0</v>
          </cell>
          <cell r="L29">
            <v>12400</v>
          </cell>
        </row>
        <row r="30">
          <cell r="J30">
            <v>0</v>
          </cell>
          <cell r="K30">
            <v>0</v>
          </cell>
          <cell r="L30">
            <v>0</v>
          </cell>
        </row>
        <row r="31">
          <cell r="J31">
            <v>0</v>
          </cell>
          <cell r="K31">
            <v>0</v>
          </cell>
          <cell r="L31">
            <v>0</v>
          </cell>
        </row>
        <row r="73">
          <cell r="K73">
            <v>0</v>
          </cell>
        </row>
        <row r="74">
          <cell r="K74">
            <v>0</v>
          </cell>
        </row>
        <row r="87">
          <cell r="J87">
            <v>13623.975708000029</v>
          </cell>
          <cell r="K87">
            <v>14115.783906000055</v>
          </cell>
          <cell r="L87">
            <v>16948.462902000003</v>
          </cell>
        </row>
        <row r="88">
          <cell r="J88">
            <v>15848.95</v>
          </cell>
          <cell r="K88">
            <v>33396</v>
          </cell>
          <cell r="L88">
            <v>33962.03</v>
          </cell>
        </row>
        <row r="89">
          <cell r="J89">
            <v>51621.279999999999</v>
          </cell>
          <cell r="K89">
            <v>59872.6</v>
          </cell>
          <cell r="L89">
            <v>59872.6</v>
          </cell>
        </row>
        <row r="90">
          <cell r="J90">
            <v>27764.2</v>
          </cell>
          <cell r="K90">
            <v>43415.91</v>
          </cell>
          <cell r="L90">
            <v>53008.9</v>
          </cell>
        </row>
        <row r="91">
          <cell r="J91">
            <v>7573.41</v>
          </cell>
          <cell r="K91">
            <v>7573.41</v>
          </cell>
          <cell r="L91">
            <v>23536.07</v>
          </cell>
        </row>
        <row r="103">
          <cell r="J103">
            <v>4403156.1400000025</v>
          </cell>
          <cell r="K103">
            <v>4403156.1400000025</v>
          </cell>
          <cell r="L103">
            <v>4403156.1399999997</v>
          </cell>
        </row>
        <row r="109">
          <cell r="J109">
            <v>928611.32</v>
          </cell>
          <cell r="K109">
            <v>1078374.54</v>
          </cell>
          <cell r="L109">
            <v>1233061.29</v>
          </cell>
        </row>
        <row r="110">
          <cell r="J110">
            <v>426343.29</v>
          </cell>
          <cell r="K110">
            <v>495210.91</v>
          </cell>
          <cell r="L110">
            <v>565875.39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DRE"/>
      <sheetName val="DRA "/>
      <sheetName val="DMPL"/>
      <sheetName val="DFC "/>
      <sheetName val="DVA "/>
      <sheetName val="Reap."/>
      <sheetName val="NE"/>
      <sheetName val="Reembolso de custo"/>
      <sheetName val="Balancete 3ºtrim"/>
      <sheetName val="Balancete 01.2024"/>
      <sheetName val="Extrato SIAF"/>
      <sheetName val="DF's"/>
      <sheetName val="impostos a recupera"/>
      <sheetName val="Depósito judiciais"/>
      <sheetName val="Depósitos judiciais"/>
      <sheetName val="Provisão para contigencia"/>
      <sheetName val="IRPJ_CSLL_2023"/>
      <sheetName val="IRPJ_CSLL_2022"/>
      <sheetName val="IRPJ_CSLL_2024"/>
      <sheetName val="Reconciliação IRPJ e CSLL"/>
      <sheetName val="Mov imob"/>
      <sheetName val="Arrendamento"/>
      <sheetName val="NE (PASSIVO)"/>
      <sheetName val="NE (ATIVO)"/>
      <sheetName val="Cálculo 22_23"/>
      <sheetName val="Razão Provisões p. Contigências"/>
      <sheetName val="Impostos a recuperar"/>
      <sheetName val="DFC - Impostos a recuperar"/>
      <sheetName val="DFC - Depositos judiciais"/>
      <sheetName val="RAZÃO IMOBILIZADO"/>
      <sheetName val="Planilh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1">
          <cell r="F11">
            <v>3162345.2800000068</v>
          </cell>
          <cell r="I11">
            <v>3074926.6800000016</v>
          </cell>
        </row>
        <row r="13">
          <cell r="F13">
            <v>0</v>
          </cell>
          <cell r="I13">
            <v>0</v>
          </cell>
        </row>
        <row r="14">
          <cell r="F14">
            <v>5034.72</v>
          </cell>
          <cell r="I14">
            <v>51621.279999999999</v>
          </cell>
        </row>
        <row r="15">
          <cell r="G15">
            <v>1360</v>
          </cell>
          <cell r="I15">
            <v>2030</v>
          </cell>
        </row>
        <row r="17">
          <cell r="F17">
            <v>22715.26</v>
          </cell>
          <cell r="I17">
            <v>22715.26</v>
          </cell>
        </row>
        <row r="18">
          <cell r="F18">
            <v>7573.41</v>
          </cell>
          <cell r="I18">
            <v>7573.41</v>
          </cell>
        </row>
        <row r="19">
          <cell r="G19">
            <v>2502</v>
          </cell>
          <cell r="I19">
            <v>3751</v>
          </cell>
        </row>
        <row r="20">
          <cell r="F20">
            <v>0</v>
          </cell>
          <cell r="I20">
            <v>16350.89</v>
          </cell>
        </row>
        <row r="24">
          <cell r="F24">
            <v>1522061.72</v>
          </cell>
          <cell r="I24" t="e">
            <v>#REF!</v>
          </cell>
        </row>
      </sheetData>
      <sheetData sheetId="18">
        <row r="11">
          <cell r="F11">
            <v>-296602.9999999986</v>
          </cell>
          <cell r="I11">
            <v>137048.7899999982</v>
          </cell>
        </row>
        <row r="13">
          <cell r="F13">
            <v>0</v>
          </cell>
          <cell r="I13">
            <v>47574.65</v>
          </cell>
        </row>
        <row r="14">
          <cell r="F14">
            <v>16283.03</v>
          </cell>
          <cell r="I14">
            <v>25354.66</v>
          </cell>
        </row>
        <row r="15">
          <cell r="F15">
            <v>1314</v>
          </cell>
          <cell r="I15">
            <v>2580</v>
          </cell>
        </row>
        <row r="17">
          <cell r="F17">
            <v>0</v>
          </cell>
          <cell r="I17">
            <v>20913.98</v>
          </cell>
        </row>
        <row r="18">
          <cell r="F18">
            <v>0</v>
          </cell>
          <cell r="I18">
            <v>0</v>
          </cell>
        </row>
        <row r="19">
          <cell r="F19">
            <v>1989</v>
          </cell>
          <cell r="I19">
            <v>3964</v>
          </cell>
        </row>
        <row r="20">
          <cell r="F20">
            <v>0</v>
          </cell>
          <cell r="I20">
            <v>178512.66</v>
          </cell>
        </row>
        <row r="24">
          <cell r="F24">
            <v>283988.84000000003</v>
          </cell>
          <cell r="I24">
            <v>601833.38</v>
          </cell>
        </row>
        <row r="25">
          <cell r="F25">
            <v>31031.3</v>
          </cell>
          <cell r="I25">
            <v>39560.300000000003</v>
          </cell>
        </row>
        <row r="81">
          <cell r="F81">
            <v>22945.54</v>
          </cell>
          <cell r="I81">
            <v>22945.54</v>
          </cell>
        </row>
        <row r="82">
          <cell r="F82">
            <v>0</v>
          </cell>
          <cell r="I82">
            <v>0</v>
          </cell>
        </row>
        <row r="83">
          <cell r="F83">
            <v>15057.63000000138</v>
          </cell>
          <cell r="I83">
            <v>1034396.8799999983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Diogo Matheus Kranz" id="{15799ACE-7BBD-4A18-8F51-B32E39AF1520}" userId="S::diogo.kranz@berkan.com.br::500dd6cf-6196-4905-92b0-6c2d0e81c0c3" providerId="AD"/>
</personList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97" dT="2024-01-19T14:49:46.14" personId="{15799ACE-7BBD-4A18-8F51-B32E39AF1520}" id="{76814451-9F0E-42B5-BA32-379AFAE04A66}">
    <text>Verificar diferença</text>
  </threadedComment>
  <threadedComment ref="F409" dT="2024-01-19T16:08:46.09" personId="{15799ACE-7BBD-4A18-8F51-B32E39AF1520}" id="{7C033BF1-66F4-4E3B-968B-AD91A5866E3D}">
    <text>Verificar diferença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Relationship Id="rId4" Type="http://schemas.microsoft.com/office/2017/10/relationships/threadedComment" Target="../threadedComments/threadedComment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B2:R62"/>
  <sheetViews>
    <sheetView showGridLines="0" topLeftCell="A43" zoomScale="115" zoomScaleNormal="115" workbookViewId="0">
      <selection activeCell="G41" sqref="G41"/>
    </sheetView>
  </sheetViews>
  <sheetFormatPr defaultColWidth="9.28515625" defaultRowHeight="14.25" customHeight="1" outlineLevelCol="1"/>
  <cols>
    <col min="1" max="1" width="4.7109375" style="13" customWidth="1"/>
    <col min="2" max="2" width="38.5703125" style="13" customWidth="1"/>
    <col min="3" max="3" width="4.7109375" style="13" customWidth="1"/>
    <col min="4" max="4" width="11.85546875" style="14" hidden="1" customWidth="1" outlineLevel="1"/>
    <col min="5" max="5" width="4.7109375" style="13" hidden="1" customWidth="1" outlineLevel="1"/>
    <col min="6" max="6" width="6.7109375" style="14" customWidth="1" collapsed="1"/>
    <col min="7" max="7" width="12.28515625" style="14" customWidth="1"/>
    <col min="8" max="8" width="1.140625" style="13" customWidth="1"/>
    <col min="9" max="9" width="12.28515625" style="13" hidden="1" customWidth="1"/>
    <col min="10" max="10" width="2.7109375" style="13" customWidth="1"/>
    <col min="11" max="11" width="14.85546875" style="14" bestFit="1" customWidth="1"/>
    <col min="12" max="12" width="1.140625" style="14" customWidth="1"/>
    <col min="13" max="13" width="14.85546875" style="13" hidden="1" customWidth="1"/>
    <col min="14" max="14" width="10.28515625" style="867" hidden="1" customWidth="1"/>
    <col min="15" max="15" width="10.28515625" style="25" bestFit="1" customWidth="1"/>
    <col min="16" max="16" width="9.28515625" style="25"/>
    <col min="17" max="16384" width="9.28515625" style="13"/>
  </cols>
  <sheetData>
    <row r="2" spans="2:14" ht="14.25" customHeight="1">
      <c r="B2" s="1054" t="str">
        <f>[2]BP!B2</f>
        <v>Empresa de Pesquisa Energética - EPE</v>
      </c>
      <c r="C2" s="1054"/>
      <c r="D2" s="1054"/>
      <c r="E2" s="1054"/>
      <c r="F2" s="1054"/>
      <c r="G2" s="1054"/>
      <c r="H2" s="1054"/>
      <c r="I2" s="1054"/>
      <c r="J2" s="1054"/>
      <c r="K2" s="1054"/>
      <c r="L2" s="1054"/>
    </row>
    <row r="3" spans="2:14" ht="14.25" customHeight="1">
      <c r="B3" s="1055" t="str">
        <f>[2]BP!B3</f>
        <v>CNPJ 06.977.747/0001-80</v>
      </c>
      <c r="C3" s="1055"/>
      <c r="D3" s="1055"/>
      <c r="E3" s="1055"/>
      <c r="F3" s="1055"/>
      <c r="G3" s="1055"/>
      <c r="H3" s="1055"/>
      <c r="I3" s="1055"/>
      <c r="J3" s="1055"/>
      <c r="K3" s="1055"/>
      <c r="L3" s="1055"/>
    </row>
    <row r="4" spans="2:14" ht="14.25" customHeight="1">
      <c r="B4" s="1054" t="s">
        <v>0</v>
      </c>
      <c r="C4" s="1054"/>
      <c r="D4" s="1054"/>
      <c r="E4" s="1054"/>
      <c r="F4" s="1054"/>
      <c r="G4" s="1054"/>
      <c r="H4" s="1054"/>
      <c r="I4" s="1054"/>
      <c r="J4" s="1054"/>
      <c r="K4" s="1054"/>
      <c r="L4" s="1054"/>
    </row>
    <row r="5" spans="2:14" ht="14.25" customHeight="1">
      <c r="B5" s="1055" t="str">
        <f>[2]BP!B5</f>
        <v>(em milhares de reais)</v>
      </c>
      <c r="C5" s="1055"/>
      <c r="D5" s="1055"/>
      <c r="E5" s="1055"/>
      <c r="F5" s="1055"/>
      <c r="G5" s="1055"/>
      <c r="H5" s="1055"/>
      <c r="I5" s="1055"/>
      <c r="J5" s="1055"/>
      <c r="K5" s="1055"/>
      <c r="L5" s="1055"/>
    </row>
    <row r="6" spans="2:14" ht="20.25" customHeight="1"/>
    <row r="7" spans="2:14" ht="40.5" customHeight="1" thickBot="1">
      <c r="D7" s="602"/>
      <c r="F7" s="602" t="s">
        <v>1</v>
      </c>
      <c r="G7" s="28">
        <v>45747</v>
      </c>
      <c r="H7" s="24"/>
      <c r="I7" s="28" t="s">
        <v>2</v>
      </c>
      <c r="J7" s="602"/>
      <c r="K7" s="28">
        <v>45382</v>
      </c>
      <c r="L7" s="602"/>
      <c r="M7" s="28" t="s">
        <v>3</v>
      </c>
    </row>
    <row r="8" spans="2:14" ht="11.25" customHeight="1">
      <c r="D8" s="602"/>
      <c r="F8" s="602"/>
      <c r="G8" s="377"/>
      <c r="H8" s="24"/>
      <c r="I8" s="377"/>
      <c r="J8" s="602"/>
      <c r="K8" s="377"/>
      <c r="L8" s="602"/>
      <c r="M8" s="377"/>
    </row>
    <row r="9" spans="2:14" ht="15.95" customHeight="1">
      <c r="B9" s="22" t="s">
        <v>4</v>
      </c>
      <c r="D9" s="64"/>
      <c r="F9" s="64"/>
      <c r="G9" s="6">
        <v>0</v>
      </c>
      <c r="H9" s="18"/>
      <c r="I9" s="6">
        <f>G9</f>
        <v>0</v>
      </c>
      <c r="J9" s="16"/>
      <c r="K9" s="6">
        <v>0</v>
      </c>
      <c r="L9" s="6"/>
      <c r="M9" s="6">
        <v>0</v>
      </c>
    </row>
    <row r="10" spans="2:14" ht="10.5" customHeight="1">
      <c r="B10" s="603"/>
      <c r="D10" s="64"/>
      <c r="F10" s="64"/>
      <c r="G10" s="6"/>
      <c r="H10" s="18"/>
      <c r="I10" s="18"/>
      <c r="J10" s="18"/>
      <c r="K10" s="6"/>
      <c r="L10" s="6"/>
      <c r="M10" s="6"/>
    </row>
    <row r="11" spans="2:14" ht="14.25" customHeight="1">
      <c r="B11" s="22" t="s">
        <v>5</v>
      </c>
      <c r="D11" s="340"/>
      <c r="F11" s="340">
        <v>22</v>
      </c>
      <c r="G11" s="17"/>
      <c r="H11" s="341"/>
      <c r="I11" s="341"/>
      <c r="J11" s="341"/>
      <c r="K11" s="17"/>
      <c r="L11" s="17"/>
      <c r="M11" s="17"/>
    </row>
    <row r="12" spans="2:14" ht="14.25" customHeight="1">
      <c r="B12" s="13" t="s">
        <v>6</v>
      </c>
      <c r="D12" s="909" t="s">
        <v>7</v>
      </c>
      <c r="F12" s="340"/>
      <c r="G12" s="6">
        <f>SUM(-SUMIF('Balancete 06.2026'!C:C,4111,'Balancete 06.2026'!K:K),-SUMIF('Balancete 06.2026'!C:C,41110,'Balancete 06.2026'!K:K)-SUMIF('Balancete 06.2026'!C:C,413117,'Balancete 06.2026'!K:K)-SUMIF('Balancete 06.2026'!C:C,4112,'Balancete 06.2026'!K:K)-SUMIF('Balancete 06.2026'!C:C,4113,'Balancete 06.2026'!K:K))</f>
        <v>-52716</v>
      </c>
      <c r="H12" s="341"/>
      <c r="I12" s="6">
        <f>SUM(-SUMIF('Balancete trim'!B:B,4111,'Balancete trim'!J:J),-SUMIF('Balancete trim'!B:B,41110,'Balancete trim'!J:J),-SUMIF('Balancete trim'!B:B,413117,'Balancete trim'!J:J))</f>
        <v>-18880</v>
      </c>
      <c r="J12" s="16"/>
      <c r="K12" s="6">
        <f>-14413-4189-2340</f>
        <v>-20942</v>
      </c>
      <c r="L12" s="6"/>
      <c r="M12" s="6">
        <v>-11169</v>
      </c>
      <c r="N12" s="867">
        <f>IF(AND(G12=0,K12=0),0,IF(K12=0,1,IF(G12=0,-1,(G12-K12)/K12)))</f>
        <v>1.5172380861426797</v>
      </c>
    </row>
    <row r="13" spans="2:14" ht="14.25" hidden="1" customHeight="1">
      <c r="B13" s="13" t="s">
        <v>8</v>
      </c>
      <c r="D13" s="340"/>
      <c r="F13" s="340"/>
      <c r="G13" s="6">
        <v>0</v>
      </c>
      <c r="H13" s="341"/>
      <c r="I13" s="6">
        <f>-SUMIF('Balancete trim'!B:B,4112,'Balancete trim'!J:J)</f>
        <v>-5742</v>
      </c>
      <c r="J13" s="16"/>
      <c r="K13" s="6">
        <v>0</v>
      </c>
      <c r="L13" s="6"/>
      <c r="M13" s="6">
        <v>-3303</v>
      </c>
      <c r="N13" s="867">
        <f t="shared" ref="N13:N19" si="0">IF(AND(G13=0,K13=0),0,IF(K13=0,1,IF(G13=0,-1,(G13-K13)/K13)))</f>
        <v>0</v>
      </c>
    </row>
    <row r="14" spans="2:14" ht="14.25" hidden="1" customHeight="1">
      <c r="B14" s="13" t="s">
        <v>9</v>
      </c>
      <c r="D14" s="340"/>
      <c r="F14" s="340"/>
      <c r="G14" s="6">
        <v>0</v>
      </c>
      <c r="H14" s="341"/>
      <c r="I14" s="6">
        <f>-SUMIF('Balancete trim'!B:B,4113,'Balancete trim'!J:J)</f>
        <v>-3005</v>
      </c>
      <c r="J14" s="16"/>
      <c r="K14" s="6">
        <v>0</v>
      </c>
      <c r="L14" s="6"/>
      <c r="M14" s="6">
        <v>-1631</v>
      </c>
      <c r="N14" s="869">
        <f t="shared" si="0"/>
        <v>0</v>
      </c>
    </row>
    <row r="15" spans="2:14" ht="13.15" hidden="1">
      <c r="B15" s="13" t="s">
        <v>10</v>
      </c>
      <c r="D15" s="340"/>
      <c r="F15" s="340"/>
      <c r="G15" s="6">
        <v>0</v>
      </c>
      <c r="H15" s="341"/>
      <c r="I15" s="6">
        <f>G15</f>
        <v>0</v>
      </c>
      <c r="J15" s="16"/>
      <c r="K15" s="6">
        <v>0</v>
      </c>
      <c r="L15" s="6"/>
      <c r="M15" s="6">
        <v>0</v>
      </c>
      <c r="N15" s="867">
        <f t="shared" si="0"/>
        <v>0</v>
      </c>
    </row>
    <row r="16" spans="2:14" ht="14.25" customHeight="1">
      <c r="B16" s="13" t="s">
        <v>11</v>
      </c>
      <c r="D16" s="340" t="s">
        <v>12</v>
      </c>
      <c r="F16" s="340"/>
      <c r="G16" s="6">
        <f>-SUMIF('Balancete 06.2026'!C:C,413,'Balancete 06.2026'!K:K)+SUMIF('Balancete 06.2026'!C:C,413117,'Balancete 06.2026'!K:K)</f>
        <v>-5048</v>
      </c>
      <c r="H16" s="341"/>
      <c r="I16" s="6">
        <f>-SUMIF('Balancete trim'!B:B,413,'Balancete trim'!J:J)+SUMIF('Balancete trim'!B:B,413117,'Balancete trim'!J:J)</f>
        <v>-2577</v>
      </c>
      <c r="J16" s="16"/>
      <c r="K16" s="6">
        <v>-940</v>
      </c>
      <c r="L16" s="6"/>
      <c r="M16" s="6">
        <v>-1250</v>
      </c>
      <c r="N16" s="867">
        <f t="shared" si="0"/>
        <v>4.3702127659574472</v>
      </c>
    </row>
    <row r="17" spans="2:15" ht="14.25" customHeight="1">
      <c r="B17" s="13" t="s">
        <v>13</v>
      </c>
      <c r="D17" s="340" t="s">
        <v>14</v>
      </c>
      <c r="F17" s="340"/>
      <c r="G17" s="6">
        <f>-SUMIF('Balancete 06.2026'!C:C,4161,'Balancete 06.2026'!K:K)</f>
        <v>-1292</v>
      </c>
      <c r="H17" s="341"/>
      <c r="I17" s="6">
        <f>-SUMIF('Balancete trim'!B:B,4161,'Balancete trim'!J:J)</f>
        <v>-643</v>
      </c>
      <c r="J17" s="16"/>
      <c r="K17" s="6">
        <v>-631</v>
      </c>
      <c r="L17" s="6"/>
      <c r="M17" s="6">
        <f>-1250+604</f>
        <v>-646</v>
      </c>
      <c r="N17" s="867">
        <f t="shared" si="0"/>
        <v>1.0475435816164818</v>
      </c>
    </row>
    <row r="18" spans="2:15" ht="14.25" customHeight="1">
      <c r="B18" s="13" t="s">
        <v>15</v>
      </c>
      <c r="D18" s="340" t="s">
        <v>16</v>
      </c>
      <c r="F18" s="340"/>
      <c r="G18" s="6">
        <f>-SUMIF('Balancete 06.2026'!C:C,4162,'Balancete 06.2026'!K:K)</f>
        <v>-2554</v>
      </c>
      <c r="H18" s="341"/>
      <c r="I18" s="6">
        <f>-SUMIF('Balancete trim'!B:B,4162,'Balancete trim'!J:J)</f>
        <v>-1293</v>
      </c>
      <c r="J18" s="16"/>
      <c r="K18" s="6">
        <v>-817</v>
      </c>
      <c r="L18" s="6"/>
      <c r="M18" s="6">
        <v>-1240</v>
      </c>
      <c r="N18" s="867">
        <f t="shared" si="0"/>
        <v>2.1260709914320683</v>
      </c>
    </row>
    <row r="19" spans="2:15" ht="14.25" customHeight="1" thickBot="1">
      <c r="B19" s="13" t="s">
        <v>17</v>
      </c>
      <c r="D19" s="340" t="s">
        <v>18</v>
      </c>
      <c r="F19" s="340"/>
      <c r="G19" s="16">
        <f>-SUMIF('Balancete 06.2026'!C:C,4141,'Balancete 06.2026'!K:K)</f>
        <v>-186</v>
      </c>
      <c r="H19" s="341"/>
      <c r="I19" s="6">
        <f>-SUMIF('Balancete trim'!B:B,4141,'Balancete trim'!J:J)</f>
        <v>-86</v>
      </c>
      <c r="J19" s="16"/>
      <c r="K19" s="6">
        <v>-100</v>
      </c>
      <c r="L19" s="6"/>
      <c r="M19" s="6">
        <v>-80</v>
      </c>
      <c r="N19" s="867">
        <f t="shared" si="0"/>
        <v>0.86</v>
      </c>
      <c r="O19" s="342"/>
    </row>
    <row r="20" spans="2:15" ht="14.25" customHeight="1">
      <c r="D20" s="604"/>
      <c r="F20" s="604"/>
      <c r="G20" s="35">
        <f>SUM(G12:G19)</f>
        <v>-61796</v>
      </c>
      <c r="H20" s="605"/>
      <c r="I20" s="35">
        <f>SUM(I12:I19)</f>
        <v>-32226</v>
      </c>
      <c r="J20" s="5"/>
      <c r="K20" s="35">
        <f>SUM(K12:K19)</f>
        <v>-23430</v>
      </c>
      <c r="L20" s="5"/>
      <c r="M20" s="35">
        <f>SUM(M12:M19)</f>
        <v>-19319</v>
      </c>
    </row>
    <row r="21" spans="2:15" ht="14.25" customHeight="1">
      <c r="D21" s="65"/>
      <c r="F21" s="65"/>
      <c r="G21" s="594"/>
      <c r="H21"/>
      <c r="I21" s="594"/>
      <c r="J21" s="594"/>
      <c r="K21" s="594"/>
      <c r="L21" s="594"/>
      <c r="M21" s="594"/>
    </row>
    <row r="22" spans="2:15" ht="14.25" customHeight="1">
      <c r="B22" s="22" t="s">
        <v>19</v>
      </c>
      <c r="D22" s="66"/>
      <c r="F22" s="66"/>
      <c r="G22" s="19">
        <f>+G9+G20</f>
        <v>-61796</v>
      </c>
      <c r="H22" s="341"/>
      <c r="I22" s="19">
        <f>+I9+I20</f>
        <v>-32226</v>
      </c>
      <c r="J22" s="5"/>
      <c r="K22" s="19">
        <f>K9+K20</f>
        <v>-23430</v>
      </c>
      <c r="L22" s="5"/>
      <c r="M22" s="19">
        <f>M9+M20</f>
        <v>-19319</v>
      </c>
    </row>
    <row r="23" spans="2:15" ht="14.25" customHeight="1">
      <c r="B23" s="603"/>
      <c r="D23" s="67"/>
      <c r="F23" s="67"/>
      <c r="G23" s="20"/>
      <c r="H23" s="341"/>
      <c r="I23" s="20"/>
      <c r="J23" s="17"/>
      <c r="K23" s="20"/>
      <c r="L23" s="20"/>
      <c r="M23" s="20"/>
    </row>
    <row r="24" spans="2:15" ht="14.25" customHeight="1">
      <c r="B24" s="22" t="s">
        <v>20</v>
      </c>
      <c r="D24" s="340"/>
      <c r="F24" s="340">
        <v>22</v>
      </c>
      <c r="G24" s="17"/>
      <c r="H24" s="341"/>
      <c r="I24" s="17"/>
      <c r="J24" s="17"/>
      <c r="K24" s="17"/>
      <c r="L24" s="17"/>
      <c r="M24" s="17"/>
    </row>
    <row r="25" spans="2:15" ht="14.25" customHeight="1">
      <c r="B25" s="13" t="s">
        <v>6</v>
      </c>
      <c r="D25" s="909" t="s">
        <v>21</v>
      </c>
      <c r="F25" s="340"/>
      <c r="G25" s="6">
        <f>-SUMIF('Balancete 06.2026'!C:C,4211,'Balancete 06.2026'!K:K)-SUMIF('Balancete 06.2026'!C:C,42313,'Balancete 06.2026'!K:K)-SUMIF('Balancete 06.2026'!C:C,423117,'Balancete 06.2026'!K:K)-SUMIF('Balancete 06.2026'!C:C,423119,'Balancete 06.2026'!K:K)-SUMIF('Balancete 06.2026'!C:C,4212,'Balancete 06.2026'!K:K)-SUMIF('Balancete 06.2026'!C:C,4213,'Balancete 06.2026'!K:K)</f>
        <v>-25070</v>
      </c>
      <c r="H25" s="17"/>
      <c r="I25" s="6">
        <f>SUM(-SUMIF('Balancete trim'!B:B,4211,'Balancete trim'!J:J),-SUMIF('Balancete trim'!B:B,42313,'Balancete trim'!J:J),-SUMIF('Balancete trim'!B:B,423117,'Balancete trim'!J:J),-SUMIF('Balancete trim'!B:B,423119,'Balancete trim'!J:J))</f>
        <v>-9092</v>
      </c>
      <c r="J25" s="16"/>
      <c r="K25" s="6">
        <f>-5803-1563-1044</f>
        <v>-8410</v>
      </c>
      <c r="L25" s="6"/>
      <c r="M25" s="6">
        <v>-4460</v>
      </c>
      <c r="N25" s="867">
        <f t="shared" ref="N25:N33" si="1">IF(AND(G25=0,K25=0),0,IF(K25=0,1,IF(G25=0,-1,(G25-K25)/K25)))</f>
        <v>1.9809750297265161</v>
      </c>
    </row>
    <row r="26" spans="2:15" ht="14.25" hidden="1" customHeight="1">
      <c r="B26" s="13" t="s">
        <v>8</v>
      </c>
      <c r="D26" s="340"/>
      <c r="F26" s="340"/>
      <c r="G26" s="6">
        <v>0</v>
      </c>
      <c r="H26" s="17"/>
      <c r="I26" s="6">
        <f>-SUMIF('Balancete trim'!B:B,4212,'Balancete trim'!J:J)</f>
        <v>-2619</v>
      </c>
      <c r="J26" s="16"/>
      <c r="K26" s="6">
        <v>0</v>
      </c>
      <c r="L26" s="6"/>
      <c r="M26" s="6">
        <v>-1310</v>
      </c>
      <c r="N26" s="867">
        <f t="shared" si="1"/>
        <v>0</v>
      </c>
    </row>
    <row r="27" spans="2:15" ht="14.25" hidden="1" customHeight="1">
      <c r="B27" s="13" t="s">
        <v>9</v>
      </c>
      <c r="D27" s="340"/>
      <c r="F27" s="340"/>
      <c r="G27" s="6">
        <v>0</v>
      </c>
      <c r="H27" s="17"/>
      <c r="I27" s="6">
        <f>-SUMIF('Balancete trim'!B:B,4213,'Balancete trim'!J:J)</f>
        <v>-1385</v>
      </c>
      <c r="J27" s="16"/>
      <c r="K27" s="6">
        <v>0</v>
      </c>
      <c r="L27" s="6"/>
      <c r="M27" s="6">
        <v>-708</v>
      </c>
      <c r="N27" s="869">
        <f t="shared" si="1"/>
        <v>0</v>
      </c>
    </row>
    <row r="28" spans="2:15" ht="14.25" customHeight="1">
      <c r="B28" s="13" t="s">
        <v>10</v>
      </c>
      <c r="D28" s="340" t="s">
        <v>22</v>
      </c>
      <c r="F28" s="340"/>
      <c r="G28" s="6">
        <f>-SUMIF('Balancete 06.2026'!C:C,422,'Balancete 06.2026'!K:K)</f>
        <v>-22</v>
      </c>
      <c r="H28" s="17"/>
      <c r="I28" s="6">
        <f>-SUMIF('Balancete trim'!B:B,422,'Balancete trim'!J:J)</f>
        <v>-5</v>
      </c>
      <c r="J28" s="16"/>
      <c r="K28" s="6">
        <v>-5</v>
      </c>
      <c r="L28" s="6"/>
      <c r="M28" s="6">
        <v>-7</v>
      </c>
      <c r="N28" s="867">
        <f t="shared" si="1"/>
        <v>3.4</v>
      </c>
    </row>
    <row r="29" spans="2:15" ht="14.25" customHeight="1">
      <c r="B29" s="13" t="s">
        <v>11</v>
      </c>
      <c r="D29" s="340" t="s">
        <v>23</v>
      </c>
      <c r="F29" s="340"/>
      <c r="G29" s="6">
        <f>-SUMIF('Balancete 06.2026'!C:C,423,'Balancete 06.2026'!K:K)+SUMIF('Balancete 06.2026'!C:C,42313,'Balancete 06.2026'!K:K)+SUMIF('Balancete 06.2026'!C:C,423117,'Balancete 06.2026'!K:K)+SUMIF('Balancete 06.2026'!C:C,423119,'Balancete 06.2026'!K:K)</f>
        <v>-4300</v>
      </c>
      <c r="H29" s="17"/>
      <c r="I29" s="6">
        <f>-SUMIF('Balancete trim'!B:B,423,'Balancete trim'!J:J)+SUMIF('Balancete trim'!B:B,42313,'Balancete trim'!J:J)+SUMIF('Balancete trim'!B:B,423117,'Balancete trim'!J:J)+SUMIF('Balancete trim'!B:B,423119,'Balancete trim'!J:J)-SUMIF('Balancete trim'!B:B,33213,'Balancete trim'!J:J)</f>
        <v>-2499</v>
      </c>
      <c r="J29" s="16"/>
      <c r="K29" s="6">
        <v>-1567</v>
      </c>
      <c r="L29" s="6"/>
      <c r="M29" s="6">
        <v>-1559</v>
      </c>
      <c r="N29" s="867">
        <f t="shared" si="1"/>
        <v>1.7440970006381622</v>
      </c>
      <c r="O29" s="342"/>
    </row>
    <row r="30" spans="2:15" ht="14.25" customHeight="1">
      <c r="B30" s="13" t="s">
        <v>17</v>
      </c>
      <c r="D30" s="340" t="s">
        <v>24</v>
      </c>
      <c r="F30" s="340"/>
      <c r="G30" s="6">
        <f>-SUMIF('Balancete 06.2026'!C:C,424,'Balancete 06.2026'!K:K)</f>
        <v>-454</v>
      </c>
      <c r="H30" s="17"/>
      <c r="I30" s="6">
        <f>-SUMIF('Balancete trim'!B:B,424,'Balancete trim'!J:J)</f>
        <v>-113</v>
      </c>
      <c r="J30" s="16"/>
      <c r="K30" s="6">
        <v>-913</v>
      </c>
      <c r="L30" s="6"/>
      <c r="M30" s="6">
        <v>-282</v>
      </c>
      <c r="N30" s="869">
        <f t="shared" si="1"/>
        <v>-0.50273822562979187</v>
      </c>
    </row>
    <row r="31" spans="2:15" ht="14.25" customHeight="1">
      <c r="B31" s="13" t="s">
        <v>13</v>
      </c>
      <c r="D31" s="340" t="s">
        <v>25</v>
      </c>
      <c r="F31" s="340"/>
      <c r="G31" s="6">
        <f>-SUMIF('Balancete 06.2026'!C:C,4261,'Balancete 06.2026'!K:K)-SUMIF('Balancete 06.2026'!C:C,42994,'Balancete 06.2026'!K:K)</f>
        <v>-3281</v>
      </c>
      <c r="H31" s="17"/>
      <c r="I31" s="6">
        <f>-SUMIF('Balancete trim'!B:B,4261,'Balancete trim'!J:J)-SUMIF('Balancete trim'!B:B,42994,'Balancete trim'!J:J)</f>
        <v>-1647</v>
      </c>
      <c r="J31" s="16"/>
      <c r="K31" s="6">
        <v>-1714</v>
      </c>
      <c r="L31" s="6"/>
      <c r="M31" s="6">
        <f>-1322+250-681</f>
        <v>-1753</v>
      </c>
      <c r="N31" s="867">
        <f t="shared" si="1"/>
        <v>0.91423570595099179</v>
      </c>
    </row>
    <row r="32" spans="2:15" ht="14.25" customHeight="1" thickBot="1">
      <c r="B32" s="13" t="s">
        <v>15</v>
      </c>
      <c r="D32" s="340" t="s">
        <v>26</v>
      </c>
      <c r="F32" s="340"/>
      <c r="G32" s="16">
        <f>-SUMIF('Balancete 06.2026'!C:C,4262,'Balancete 06.2026'!K:K)</f>
        <v>-2427</v>
      </c>
      <c r="H32" s="341"/>
      <c r="I32" s="6">
        <f>-SUMIF('Balancete trim'!B:B,4262,'Balancete trim'!J:J)</f>
        <v>-1256</v>
      </c>
      <c r="J32" s="16"/>
      <c r="K32" s="16">
        <v>-583</v>
      </c>
      <c r="L32" s="16"/>
      <c r="M32" s="16">
        <v>-812</v>
      </c>
      <c r="N32" s="867">
        <f t="shared" si="1"/>
        <v>3.16295025728988</v>
      </c>
    </row>
    <row r="33" spans="2:18" ht="14.25" hidden="1" customHeight="1" thickBot="1">
      <c r="B33" s="13" t="s">
        <v>27</v>
      </c>
      <c r="D33" s="340"/>
      <c r="F33" s="340"/>
      <c r="G33" s="16">
        <f>-SUMIF('Balancete 06.2026'!C:C,42541,'Balancete 06.2026'!K:K)-SUMIF('Balancete 06.2026'!C:C,42811,'Balancete 06.2026'!K:K)</f>
        <v>0</v>
      </c>
      <c r="H33" s="341"/>
      <c r="I33" s="6">
        <f>-SUMIF('Balancete trim'!B:B,3361,'Balancete trim'!J:J)-SUMIF('Balancete trim'!B:B,42541,'Balancete trim'!J:J)-SUMIF('Balancete trim'!B:B,42811,'Balancete trim'!J:J)</f>
        <v>3112</v>
      </c>
      <c r="J33" s="16"/>
      <c r="K33" s="16">
        <v>0</v>
      </c>
      <c r="L33" s="16"/>
      <c r="M33" s="16">
        <v>12</v>
      </c>
      <c r="N33" s="869">
        <f t="shared" si="1"/>
        <v>0</v>
      </c>
    </row>
    <row r="34" spans="2:18" ht="14.25" customHeight="1">
      <c r="D34" s="65"/>
      <c r="F34" s="65"/>
      <c r="G34" s="35">
        <f>SUM(G25:G33)</f>
        <v>-35554</v>
      </c>
      <c r="H34" s="18"/>
      <c r="I34" s="35">
        <f>SUM(I25:I33)</f>
        <v>-15504</v>
      </c>
      <c r="J34" s="5"/>
      <c r="K34" s="35">
        <f>SUM(K25:K33)</f>
        <v>-13192</v>
      </c>
      <c r="L34" s="5"/>
      <c r="M34" s="35">
        <f>SUM(M25:M33)</f>
        <v>-10879</v>
      </c>
    </row>
    <row r="35" spans="2:18" ht="14.25" customHeight="1">
      <c r="D35" s="65"/>
      <c r="F35" s="65"/>
      <c r="G35" s="5"/>
      <c r="H35" s="18"/>
      <c r="I35" s="5"/>
      <c r="J35" s="5"/>
      <c r="K35" s="5"/>
      <c r="L35" s="5"/>
      <c r="M35" s="5"/>
      <c r="O35" s="342"/>
    </row>
    <row r="36" spans="2:18" ht="14.25" customHeight="1">
      <c r="B36" s="22" t="s">
        <v>28</v>
      </c>
      <c r="D36" s="340"/>
      <c r="F36" s="340"/>
      <c r="G36" s="6"/>
      <c r="H36" s="17"/>
      <c r="I36" s="6"/>
      <c r="J36" s="16"/>
      <c r="K36" s="6"/>
      <c r="L36" s="6"/>
      <c r="M36" s="6"/>
    </row>
    <row r="37" spans="2:18" ht="14.25" customHeight="1">
      <c r="B37" s="13" t="s">
        <v>29</v>
      </c>
      <c r="D37" s="340" t="s">
        <v>30</v>
      </c>
      <c r="F37" s="340">
        <v>23</v>
      </c>
      <c r="G37" s="16">
        <f>-SUMIF('Balancete 06.2026'!C:C,311,'Balancete 06.2026'!K:K)</f>
        <v>75966</v>
      </c>
      <c r="H37" s="341"/>
      <c r="I37" s="6">
        <f>-SUMIF('Balancete trim'!B:B,311,'Balancete trim'!J:J)</f>
        <v>32704</v>
      </c>
      <c r="J37" s="16"/>
      <c r="K37" s="6">
        <v>38281</v>
      </c>
      <c r="L37" s="6"/>
      <c r="M37" s="6">
        <v>27759</v>
      </c>
      <c r="N37" s="867">
        <f>IF(AND(G37=0,K37=0),0,IF(K37=0,1,IF(G37=0,-1,(G37-K37)/K37)))</f>
        <v>0.98443091873253052</v>
      </c>
    </row>
    <row r="38" spans="2:18" ht="14.25" customHeight="1">
      <c r="B38" s="13" t="s">
        <v>31</v>
      </c>
      <c r="D38" s="340"/>
      <c r="F38" s="340">
        <v>24</v>
      </c>
      <c r="G38" s="16">
        <f>-SUMIF('Balancete 06.2026'!C:C,33212,'Balancete 06.2026'!K:K)</f>
        <v>3818</v>
      </c>
      <c r="H38" s="341"/>
      <c r="I38" s="6">
        <f>-SUMIF('Balancete trim'!B:B,33212,'Balancete trim'!J:J)</f>
        <v>671</v>
      </c>
      <c r="J38" s="16"/>
      <c r="K38" s="6">
        <v>6851</v>
      </c>
      <c r="L38" s="6"/>
      <c r="M38" s="6">
        <v>2238</v>
      </c>
      <c r="N38" s="869">
        <f>IF(AND(G38=0,K38=0),0,IF(K38=0,1,IF(G38=0,-1,(G38-K38)/K38)))</f>
        <v>-0.44270909356298349</v>
      </c>
    </row>
    <row r="39" spans="2:18" ht="13.9" thickBot="1">
      <c r="B39" s="13" t="s">
        <v>32</v>
      </c>
      <c r="D39" s="340" t="s">
        <v>33</v>
      </c>
      <c r="F39" s="340"/>
      <c r="G39" s="16">
        <f>-SUMIF('Balancete 06.2026'!C:C,3361,'Balancete 06.2026'!K:K)</f>
        <v>3112</v>
      </c>
      <c r="H39" s="341"/>
      <c r="I39" s="6">
        <v>0</v>
      </c>
      <c r="J39" s="16"/>
      <c r="K39" s="6">
        <v>213</v>
      </c>
      <c r="L39" s="6"/>
      <c r="M39" s="6">
        <v>0</v>
      </c>
      <c r="N39" s="867">
        <f>IF(AND(G39=0,K39=0),0,IF(K39=0,1,IF(G39=0,-1,(G39-K39)/K39)))</f>
        <v>13.610328638497652</v>
      </c>
      <c r="O39" s="342"/>
    </row>
    <row r="40" spans="2:18" ht="14.25" hidden="1" customHeight="1" thickBot="1">
      <c r="B40" s="13" t="s">
        <v>34</v>
      </c>
      <c r="D40" s="340"/>
      <c r="F40" s="340"/>
      <c r="G40" s="16">
        <f>-SUMIF('Balancete 06.2026'!C:C,33991,'Balancete 06.2026'!K:K)-SUMIF('Balancete 06.2026'!C:C,33910,'Balancete 06.2026'!K:K)</f>
        <v>0</v>
      </c>
      <c r="H40" s="341"/>
      <c r="I40" s="6">
        <f>-SUMIF('Balancete trim'!B:B,33991,'Balancete trim'!J:J)</f>
        <v>0</v>
      </c>
      <c r="J40" s="16"/>
      <c r="K40" s="6">
        <v>0</v>
      </c>
      <c r="L40" s="6"/>
      <c r="M40" s="6">
        <f>-SUMIF('Balancete trim 2023'!B:B,33991,'Balancete trim 2023'!J:J)</f>
        <v>0</v>
      </c>
      <c r="N40" s="867">
        <f>IF(AND(G40=0,K40=0),0,IF(K40=0,1,IF(G40=0,-1,(G40-K40)/K40)))</f>
        <v>0</v>
      </c>
    </row>
    <row r="41" spans="2:18" ht="14.25" customHeight="1">
      <c r="B41" s="603"/>
      <c r="D41" s="68"/>
      <c r="F41" s="68"/>
      <c r="G41" s="21">
        <f>SUM(G37:G40)</f>
        <v>82896</v>
      </c>
      <c r="H41" s="605"/>
      <c r="I41" s="21">
        <f>SUM(I37:I40)</f>
        <v>33375</v>
      </c>
      <c r="J41" s="5"/>
      <c r="K41" s="21">
        <f>SUM(K37:K40)</f>
        <v>45345</v>
      </c>
      <c r="L41" s="5"/>
      <c r="M41" s="21">
        <f>SUM(M37:M40)</f>
        <v>29997</v>
      </c>
    </row>
    <row r="42" spans="2:18" ht="14.25" customHeight="1">
      <c r="B42" s="603"/>
      <c r="D42" s="64"/>
      <c r="F42" s="64"/>
      <c r="G42" s="18"/>
      <c r="H42" s="18"/>
      <c r="I42" s="18"/>
      <c r="J42" s="18"/>
      <c r="K42" s="18"/>
      <c r="L42" s="18"/>
      <c r="M42" s="18"/>
    </row>
    <row r="43" spans="2:18" ht="27.2" customHeight="1">
      <c r="B43" s="606" t="s">
        <v>35</v>
      </c>
      <c r="D43" s="66"/>
      <c r="F43" s="66"/>
      <c r="G43" s="4">
        <f>G41+G34+G22</f>
        <v>-14454</v>
      </c>
      <c r="H43" s="341"/>
      <c r="I43" s="4">
        <f>I41+I34+I22</f>
        <v>-14355</v>
      </c>
      <c r="J43" s="5"/>
      <c r="K43" s="4">
        <f>K41+K34+K22</f>
        <v>8723</v>
      </c>
      <c r="L43" s="4"/>
      <c r="M43" s="4">
        <f>M41+M34+M22</f>
        <v>-201</v>
      </c>
    </row>
    <row r="44" spans="2:18" ht="9.1999999999999993" customHeight="1">
      <c r="B44" s="603"/>
      <c r="D44" s="64"/>
      <c r="F44" s="64"/>
      <c r="G44"/>
      <c r="H44"/>
      <c r="I44"/>
      <c r="J44"/>
      <c r="K44"/>
      <c r="L44"/>
      <c r="M44"/>
    </row>
    <row r="45" spans="2:18" ht="14.25" customHeight="1">
      <c r="B45" s="13" t="s">
        <v>36</v>
      </c>
      <c r="D45" s="340" t="s">
        <v>37</v>
      </c>
      <c r="F45" s="340">
        <v>25</v>
      </c>
      <c r="G45" s="6">
        <f>-SUMIF('Balancete 06.2026'!C:C,331,'Balancete 06.2026'!K:K)</f>
        <v>539</v>
      </c>
      <c r="H45" s="18"/>
      <c r="I45" s="6">
        <f>-SUMIF('Balancete trim'!B:B,331,'Balancete trim'!J:J)</f>
        <v>253</v>
      </c>
      <c r="J45" s="16"/>
      <c r="K45" s="6">
        <v>354</v>
      </c>
      <c r="L45" s="6"/>
      <c r="M45" s="6">
        <v>189</v>
      </c>
      <c r="N45" s="869">
        <f>IF(AND(G45=0,K45=0),0,IF(K45=0,1,IF(G45=0,-1,(G45-K45)/K45)))</f>
        <v>0.52259887005649719</v>
      </c>
      <c r="R45" s="911"/>
    </row>
    <row r="46" spans="2:18" ht="14.25" customHeight="1">
      <c r="B46" s="13" t="s">
        <v>38</v>
      </c>
      <c r="D46" s="340" t="s">
        <v>39</v>
      </c>
      <c r="F46" s="340">
        <v>25</v>
      </c>
      <c r="G46" s="6">
        <f>-SUMIF('Balancete 06.2026'!C:C,427,'Balancete 06.2026'!K:K)</f>
        <v>-766</v>
      </c>
      <c r="H46" s="17"/>
      <c r="I46" s="6">
        <f>-SUMIF('Balancete trim'!B:B,427,'Balancete trim'!J:J)</f>
        <v>-439</v>
      </c>
      <c r="J46" s="16"/>
      <c r="K46" s="6">
        <v>-569</v>
      </c>
      <c r="L46" s="6"/>
      <c r="M46" s="6">
        <v>-945</v>
      </c>
      <c r="N46" s="867">
        <f>IF(AND(G46=0,K46=0),0,IF(K46=0,1,IF(G46=0,-1,(G46-K46)/K46)))</f>
        <v>0.34622144112478032</v>
      </c>
    </row>
    <row r="47" spans="2:18" ht="6.75" customHeight="1" thickBot="1">
      <c r="B47" s="603"/>
      <c r="D47" s="64"/>
      <c r="F47" s="64"/>
      <c r="G47" s="116"/>
      <c r="H47" s="18"/>
      <c r="I47" s="116"/>
      <c r="J47" s="18"/>
      <c r="K47" s="116"/>
      <c r="L47" s="18"/>
      <c r="M47" s="116"/>
    </row>
    <row r="48" spans="2:18" ht="14.25" customHeight="1">
      <c r="C48" s="607"/>
      <c r="D48" s="68"/>
      <c r="E48" s="607"/>
      <c r="F48" s="68"/>
      <c r="G48" s="4">
        <f>SUM(G45:G47)</f>
        <v>-227</v>
      </c>
      <c r="H48" s="36"/>
      <c r="I48" s="4">
        <f>SUM(I45:I47)</f>
        <v>-186</v>
      </c>
      <c r="J48" s="5"/>
      <c r="K48" s="4">
        <f>SUM(K45:K47)</f>
        <v>-215</v>
      </c>
      <c r="L48" s="4"/>
      <c r="M48" s="4">
        <f>SUM(M45:M47)</f>
        <v>-756</v>
      </c>
    </row>
    <row r="49" spans="2:18" ht="14.25" customHeight="1">
      <c r="C49" s="607"/>
      <c r="D49" s="69"/>
      <c r="E49" s="607"/>
      <c r="F49" s="69"/>
      <c r="G49" s="37"/>
      <c r="H49" s="36"/>
      <c r="I49" s="37"/>
      <c r="J49" s="26"/>
      <c r="K49" s="37"/>
      <c r="L49" s="26"/>
      <c r="M49" s="37"/>
      <c r="R49" s="912"/>
    </row>
    <row r="50" spans="2:18" s="22" customFormat="1" ht="14.25" customHeight="1">
      <c r="B50" s="22" t="s">
        <v>40</v>
      </c>
      <c r="C50" s="608"/>
      <c r="D50" s="69"/>
      <c r="E50" s="608"/>
      <c r="F50" s="69"/>
      <c r="G50" s="4">
        <f>+G43+G48</f>
        <v>-14681</v>
      </c>
      <c r="H50" s="26"/>
      <c r="I50" s="4">
        <f>+I43+I48</f>
        <v>-14541</v>
      </c>
      <c r="J50" s="5"/>
      <c r="K50" s="4">
        <f>+K43+K48</f>
        <v>8508</v>
      </c>
      <c r="L50" s="4"/>
      <c r="M50" s="4">
        <f>+M43+M48</f>
        <v>-957</v>
      </c>
      <c r="N50" s="867"/>
      <c r="O50" s="342"/>
      <c r="P50" s="342"/>
    </row>
    <row r="51" spans="2:18" ht="6.75" customHeight="1">
      <c r="C51" s="607"/>
      <c r="D51" s="69"/>
      <c r="E51" s="607"/>
      <c r="F51" s="69"/>
      <c r="G51" s="26"/>
      <c r="H51" s="36"/>
      <c r="I51" s="26"/>
      <c r="J51" s="26"/>
      <c r="K51" s="26"/>
      <c r="L51" s="26"/>
      <c r="M51" s="26"/>
    </row>
    <row r="52" spans="2:18" ht="14.25" customHeight="1">
      <c r="B52" s="607" t="s">
        <v>41</v>
      </c>
      <c r="C52" s="603"/>
      <c r="D52" s="340"/>
      <c r="E52" s="603"/>
      <c r="F52" s="340">
        <v>26</v>
      </c>
      <c r="G52" s="6">
        <f>SUM(-SUMIF('Balancete 06.2026'!C:C,4251,'Balancete 06.2026'!K:K),-SUMIF('Balancete 06.2026'!C:C,4252,'Balancete 06.2026'!K:K))</f>
        <v>-6</v>
      </c>
      <c r="H52" s="17"/>
      <c r="I52" s="6">
        <f>-SUMIF('Balancete trim'!B:B,4251,'Balancete trim'!J:J)-SUMIF('Balancete trim'!B:B,4252,'Balancete trim'!J:J)</f>
        <v>0</v>
      </c>
      <c r="J52" s="16"/>
      <c r="K52" s="6">
        <v>-1989</v>
      </c>
      <c r="L52" s="6"/>
      <c r="M52" s="6">
        <v>120</v>
      </c>
      <c r="R52" s="911"/>
    </row>
    <row r="53" spans="2:18" ht="15" customHeight="1" thickBot="1">
      <c r="B53" s="607"/>
      <c r="C53" s="603"/>
      <c r="D53" s="340"/>
      <c r="E53" s="603"/>
      <c r="F53" s="340"/>
      <c r="G53" s="27"/>
      <c r="H53" s="15"/>
      <c r="I53" s="27"/>
      <c r="J53" s="15"/>
      <c r="K53" s="27"/>
      <c r="L53" s="15"/>
      <c r="M53" s="27"/>
    </row>
    <row r="54" spans="2:18" ht="14.25" customHeight="1" thickBot="1">
      <c r="B54" s="608" t="s">
        <v>42</v>
      </c>
      <c r="D54" s="340"/>
      <c r="F54" s="340"/>
      <c r="G54" s="38">
        <f>+G50+G52</f>
        <v>-14687</v>
      </c>
      <c r="H54" s="5"/>
      <c r="I54" s="38">
        <f>+I50+I52</f>
        <v>-14541</v>
      </c>
      <c r="J54" s="5"/>
      <c r="K54" s="38">
        <f>+K50+K52</f>
        <v>6519</v>
      </c>
      <c r="L54" s="5"/>
      <c r="M54" s="38">
        <f>+M50+M52</f>
        <v>-837</v>
      </c>
    </row>
    <row r="55" spans="2:18" ht="14.25" customHeight="1" thickTop="1">
      <c r="C55" s="341"/>
      <c r="D55" s="11"/>
      <c r="E55" s="341"/>
      <c r="F55" s="11"/>
      <c r="G55" s="11"/>
      <c r="K55" s="11"/>
      <c r="L55" s="11"/>
    </row>
    <row r="56" spans="2:18" ht="14.25" customHeight="1">
      <c r="B56" s="13" t="str">
        <f>BP!B56</f>
        <v>As notas explicativas são parte integrante das informações financeiras intermediárias.</v>
      </c>
      <c r="C56" s="341"/>
      <c r="D56" s="11"/>
      <c r="E56" s="341"/>
      <c r="F56" s="11"/>
      <c r="G56" s="11"/>
      <c r="K56" s="11"/>
      <c r="L56" s="11"/>
    </row>
    <row r="57" spans="2:18" ht="25.5" customHeight="1">
      <c r="C57" s="341"/>
      <c r="D57" s="11"/>
      <c r="E57" s="341"/>
      <c r="F57" s="11"/>
      <c r="G57" s="11">
        <f>G54+626</f>
        <v>-14061</v>
      </c>
      <c r="I57" s="11">
        <f>I54+2242</f>
        <v>-12299</v>
      </c>
      <c r="K57" s="11">
        <f>K54-6519</f>
        <v>0</v>
      </c>
      <c r="L57" s="11"/>
      <c r="M57" s="11">
        <f>M54+837</f>
        <v>0</v>
      </c>
    </row>
    <row r="58" spans="2:18" ht="14.25" customHeight="1">
      <c r="D58" s="11"/>
      <c r="F58" s="11"/>
      <c r="G58" s="11"/>
      <c r="K58" s="11"/>
      <c r="L58" s="11"/>
    </row>
    <row r="59" spans="2:18" ht="14.25" customHeight="1">
      <c r="D59" s="11"/>
      <c r="F59" s="11"/>
      <c r="G59" s="11"/>
      <c r="K59" s="11"/>
      <c r="L59" s="11"/>
    </row>
    <row r="60" spans="2:18" ht="14.25" customHeight="1">
      <c r="G60" s="61"/>
    </row>
    <row r="61" spans="2:18" ht="14.25" customHeight="1">
      <c r="G61" s="61"/>
    </row>
    <row r="62" spans="2:18" ht="14.25" customHeight="1">
      <c r="G62" s="62"/>
    </row>
  </sheetData>
  <mergeCells count="4">
    <mergeCell ref="B2:L2"/>
    <mergeCell ref="B3:L3"/>
    <mergeCell ref="B4:L4"/>
    <mergeCell ref="B5:L5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V89"/>
  <sheetViews>
    <sheetView showGridLines="0" showZeros="0" tabSelected="1" zoomScale="115" zoomScaleNormal="115" workbookViewId="0">
      <selection activeCell="T19" sqref="T19"/>
    </sheetView>
  </sheetViews>
  <sheetFormatPr defaultColWidth="9.28515625" defaultRowHeight="13.15" outlineLevelCol="1"/>
  <cols>
    <col min="1" max="1" width="2.28515625" style="13" customWidth="1"/>
    <col min="2" max="2" width="37.28515625" style="13" customWidth="1"/>
    <col min="3" max="3" width="12.28515625" style="13" customWidth="1"/>
    <col min="4" max="4" width="15.7109375" style="13" hidden="1" customWidth="1" outlineLevel="1"/>
    <col min="5" max="5" width="12.28515625" style="13" hidden="1" customWidth="1" outlineLevel="1"/>
    <col min="6" max="6" width="17.42578125" style="14" customWidth="1" collapsed="1"/>
    <col min="7" max="7" width="2.7109375" style="14" customWidth="1"/>
    <col min="8" max="8" width="17.42578125" style="14" customWidth="1"/>
    <col min="9" max="9" width="2.7109375" style="14" customWidth="1"/>
    <col min="10" max="10" width="17.42578125" style="14" hidden="1" customWidth="1"/>
    <col min="11" max="11" width="3.140625" style="13" hidden="1" customWidth="1"/>
    <col min="12" max="12" width="17.42578125" style="14" hidden="1" customWidth="1"/>
    <col min="13" max="13" width="4.28515625" style="14" hidden="1" customWidth="1"/>
    <col min="14" max="14" width="9.28515625" style="13" hidden="1" customWidth="1"/>
    <col min="15" max="15" width="8.5703125" style="13" hidden="1" customWidth="1"/>
    <col min="16" max="16" width="11.42578125" style="865" hidden="1" customWidth="1"/>
    <col min="17" max="17" width="10.42578125" style="110" customWidth="1"/>
    <col min="18" max="18" width="9.28515625" style="110" customWidth="1"/>
    <col min="19" max="19" width="10.28515625" style="110" bestFit="1" customWidth="1"/>
    <col min="20" max="21" width="9.28515625" style="13"/>
    <col min="22" max="22" width="13.140625" style="1027" bestFit="1" customWidth="1"/>
    <col min="23" max="16384" width="9.28515625" style="13"/>
  </cols>
  <sheetData>
    <row r="1" spans="2:20">
      <c r="B1" s="1054"/>
      <c r="C1" s="1054"/>
      <c r="D1" s="1054"/>
      <c r="E1" s="1054"/>
      <c r="F1" s="1054"/>
      <c r="G1" s="1054"/>
      <c r="H1" s="1054"/>
      <c r="I1" s="1054"/>
      <c r="J1" s="1054"/>
      <c r="L1" s="13"/>
      <c r="M1" s="13"/>
    </row>
    <row r="2" spans="2:20">
      <c r="B2" s="1054" t="s">
        <v>43</v>
      </c>
      <c r="C2" s="1054"/>
      <c r="D2" s="1054"/>
      <c r="E2" s="1054"/>
      <c r="F2" s="1054"/>
      <c r="G2" s="1054"/>
      <c r="H2" s="1054"/>
      <c r="I2" s="1054"/>
      <c r="J2" s="1054"/>
      <c r="L2" s="13"/>
      <c r="M2" s="13"/>
    </row>
    <row r="3" spans="2:20">
      <c r="B3" s="1055" t="s">
        <v>44</v>
      </c>
      <c r="C3" s="1055"/>
      <c r="D3" s="1055"/>
      <c r="E3" s="1055"/>
      <c r="F3" s="1055"/>
      <c r="G3" s="1055"/>
      <c r="H3" s="1055"/>
      <c r="I3" s="1055"/>
      <c r="J3" s="1055"/>
      <c r="L3" s="13"/>
      <c r="M3" s="13"/>
    </row>
    <row r="4" spans="2:20">
      <c r="B4" s="1054" t="s">
        <v>45</v>
      </c>
      <c r="C4" s="1054"/>
      <c r="D4" s="1054"/>
      <c r="E4" s="1054"/>
      <c r="F4" s="1054"/>
      <c r="G4" s="1054"/>
      <c r="H4" s="1054"/>
      <c r="I4" s="1054"/>
      <c r="J4" s="1054"/>
      <c r="L4" s="13"/>
      <c r="M4" s="13"/>
    </row>
    <row r="5" spans="2:20">
      <c r="B5" s="1055" t="s">
        <v>46</v>
      </c>
      <c r="C5" s="1055"/>
      <c r="D5" s="1055"/>
      <c r="E5" s="1055"/>
      <c r="F5" s="1055"/>
      <c r="G5" s="1055"/>
      <c r="H5" s="1055"/>
      <c r="I5" s="1055"/>
      <c r="J5" s="1055"/>
      <c r="L5" s="13"/>
      <c r="M5" s="13"/>
      <c r="N5" s="13" t="s">
        <v>47</v>
      </c>
    </row>
    <row r="6" spans="2:20">
      <c r="B6" s="340"/>
      <c r="C6" s="340"/>
      <c r="D6" s="340"/>
      <c r="E6" s="340"/>
      <c r="F6" s="340"/>
      <c r="G6" s="340"/>
      <c r="H6" s="340"/>
      <c r="I6" s="340"/>
      <c r="J6" s="340"/>
      <c r="L6" s="13"/>
      <c r="M6" s="13"/>
    </row>
    <row r="7" spans="2:20" ht="13.9" thickBot="1">
      <c r="C7" s="914" t="s">
        <v>1</v>
      </c>
      <c r="D7" s="914"/>
      <c r="E7" s="914"/>
      <c r="F7" s="28">
        <v>46203</v>
      </c>
      <c r="G7" s="915"/>
      <c r="H7" s="28">
        <v>46022</v>
      </c>
      <c r="I7" s="915"/>
      <c r="J7" s="28">
        <v>45838</v>
      </c>
      <c r="L7" s="28">
        <v>45657</v>
      </c>
      <c r="M7" s="377"/>
      <c r="P7" s="28" t="s">
        <v>48</v>
      </c>
    </row>
    <row r="8" spans="2:20">
      <c r="B8" s="22" t="s">
        <v>49</v>
      </c>
    </row>
    <row r="9" spans="2:20">
      <c r="T9" s="110"/>
    </row>
    <row r="10" spans="2:20">
      <c r="B10" s="22" t="s">
        <v>50</v>
      </c>
      <c r="T10" s="110"/>
    </row>
    <row r="11" spans="2:20">
      <c r="B11" s="916" t="s">
        <v>51</v>
      </c>
      <c r="C11" s="340">
        <v>5</v>
      </c>
      <c r="D11" s="340" t="s">
        <v>52</v>
      </c>
      <c r="E11" s="340"/>
      <c r="F11" s="6">
        <f>SUMIF('Balancete 06.2026'!C:C,1112,'Balancete 06.2026'!K:K)</f>
        <v>33419</v>
      </c>
      <c r="G11" s="6"/>
      <c r="H11" s="11">
        <v>44517</v>
      </c>
      <c r="I11" s="6"/>
      <c r="J11" s="11">
        <v>51043</v>
      </c>
      <c r="K11" s="11"/>
      <c r="L11" s="11">
        <v>44468</v>
      </c>
      <c r="M11" s="11"/>
      <c r="N11" s="11">
        <f>H11-F11</f>
        <v>11098</v>
      </c>
      <c r="O11" s="11">
        <f>L11-J11</f>
        <v>-6575</v>
      </c>
      <c r="P11" s="868">
        <f>IF(AND(F11=0,H11=0),0,IF(H11=0,1,IF(F11=0,-1,(F11-H11)/H11)))</f>
        <v>-0.24929802098074894</v>
      </c>
      <c r="T11" s="110"/>
    </row>
    <row r="12" spans="2:20">
      <c r="B12" s="916" t="s">
        <v>53</v>
      </c>
      <c r="C12" s="340">
        <v>6</v>
      </c>
      <c r="D12" s="340" t="s">
        <v>54</v>
      </c>
      <c r="E12" s="340"/>
      <c r="F12" s="913">
        <f>SUMIF('Balancete 06.2026'!C:C,1123,'Balancete 06.2026'!K:K)</f>
        <v>262</v>
      </c>
      <c r="G12" s="6"/>
      <c r="H12" s="11">
        <v>1110</v>
      </c>
      <c r="I12" s="6"/>
      <c r="J12" s="11">
        <v>1056</v>
      </c>
      <c r="K12" s="11"/>
      <c r="L12" s="11">
        <v>1926</v>
      </c>
      <c r="M12" s="11"/>
      <c r="N12" s="11">
        <f>H12-F12</f>
        <v>848</v>
      </c>
      <c r="O12" s="11">
        <f>L12-J12</f>
        <v>870</v>
      </c>
      <c r="P12" s="865">
        <f>IF(AND(F12=0,H12=0),0,IF(H12=0,1,IF(F12=0,-1,(F12-H12)/H12)))</f>
        <v>-0.76396396396396393</v>
      </c>
      <c r="T12" s="110"/>
    </row>
    <row r="13" spans="2:20">
      <c r="B13" s="916" t="s">
        <v>55</v>
      </c>
      <c r="C13" s="340">
        <v>7</v>
      </c>
      <c r="D13" s="340" t="s">
        <v>56</v>
      </c>
      <c r="E13" s="340"/>
      <c r="F13" s="6">
        <f>SUM(SUMIF('Balancete 06.2026'!C:C,1124,'Balancete 06.2026'!K:K),SUMIF('Balancete 06.2026'!C:C,1129,'Balancete 06.2026'!K:K),SUMIF('Balancete 06.2026'!C:C,1125,'Balancete 06.2026'!K:K))</f>
        <v>4312</v>
      </c>
      <c r="G13" s="6"/>
      <c r="H13" s="11">
        <v>634</v>
      </c>
      <c r="I13" s="6"/>
      <c r="J13" s="11">
        <v>3677</v>
      </c>
      <c r="K13" s="11"/>
      <c r="L13" s="11">
        <v>773</v>
      </c>
      <c r="M13" s="11"/>
      <c r="N13" s="11">
        <f>H13-F13</f>
        <v>-3678</v>
      </c>
      <c r="O13" s="11">
        <f>L13-J13</f>
        <v>-2904</v>
      </c>
      <c r="P13" s="868">
        <f>IF(AND(F13=0,H13=0),0,IF(H13=0,1,IF(F13=0,-1,(F13-H13)/H13)))</f>
        <v>5.8012618296529972</v>
      </c>
      <c r="T13" s="110"/>
    </row>
    <row r="14" spans="2:20">
      <c r="B14" s="916" t="s">
        <v>57</v>
      </c>
      <c r="C14" s="340">
        <v>8</v>
      </c>
      <c r="D14" s="340" t="s">
        <v>58</v>
      </c>
      <c r="E14" s="340"/>
      <c r="F14" s="6">
        <f>SUMIF('Balancete 06.2026'!C:C,113,'Balancete 06.2026'!K:K)</f>
        <v>4652</v>
      </c>
      <c r="G14" s="6"/>
      <c r="H14" s="11">
        <v>7810</v>
      </c>
      <c r="I14" s="6"/>
      <c r="J14" s="11">
        <v>3986</v>
      </c>
      <c r="K14" s="11"/>
      <c r="L14" s="11">
        <v>4762</v>
      </c>
      <c r="M14" s="11"/>
      <c r="N14" s="11">
        <f>H14-F14</f>
        <v>3158</v>
      </c>
      <c r="O14" s="11">
        <f>L14-J14</f>
        <v>776</v>
      </c>
      <c r="P14" s="868">
        <f>IF(AND(F14=0,H14=0),0,IF(H14=0,1,IF(F14=0,-1,(F14-H14)/H14)))</f>
        <v>-0.40435339308578744</v>
      </c>
      <c r="T14" s="110"/>
    </row>
    <row r="15" spans="2:20" ht="12" customHeight="1">
      <c r="B15" s="916" t="s">
        <v>59</v>
      </c>
      <c r="C15" s="917"/>
      <c r="D15" s="917"/>
      <c r="E15" s="917"/>
      <c r="F15" s="6">
        <f>SUMIF('Balancete 06.2026'!C:C,11299,'Balancete 06.2026'!K:K)</f>
        <v>107</v>
      </c>
      <c r="G15" s="6"/>
      <c r="H15" s="6">
        <v>0</v>
      </c>
      <c r="I15" s="6"/>
      <c r="J15" s="6">
        <v>0</v>
      </c>
      <c r="K15" s="11"/>
      <c r="L15" s="6">
        <v>0</v>
      </c>
      <c r="M15" s="6"/>
      <c r="N15" s="11">
        <f>H15-F15</f>
        <v>-107</v>
      </c>
      <c r="O15" s="11">
        <f>L15-J15</f>
        <v>0</v>
      </c>
      <c r="P15" s="865">
        <f>IF(AND(F15=0,H15=0),0,IF(H15=0,1,IF(F15=0,-1,(F15-H15)/H15)))</f>
        <v>1</v>
      </c>
      <c r="T15" s="110"/>
    </row>
    <row r="16" spans="2:20">
      <c r="C16" s="918"/>
      <c r="D16" s="918"/>
      <c r="E16" s="918"/>
      <c r="F16" s="19">
        <f>SUM(F11:F15)</f>
        <v>42752</v>
      </c>
      <c r="G16" s="6"/>
      <c r="H16" s="19">
        <f>SUM(H11:H15)</f>
        <v>54071</v>
      </c>
      <c r="I16" s="6"/>
      <c r="J16" s="19">
        <f>SUM(J11:J15)</f>
        <v>59762</v>
      </c>
      <c r="K16" s="11"/>
      <c r="L16" s="19">
        <f>SUM(L11:L15)</f>
        <v>51929</v>
      </c>
      <c r="M16" s="5"/>
      <c r="T16" s="110"/>
    </row>
    <row r="17" spans="2:22">
      <c r="C17" s="918"/>
      <c r="D17" s="918"/>
      <c r="E17" s="918"/>
      <c r="F17" s="5"/>
      <c r="G17" s="6"/>
      <c r="H17" s="5"/>
      <c r="I17" s="6"/>
      <c r="J17" s="5"/>
      <c r="K17" s="11"/>
      <c r="L17" s="5"/>
      <c r="M17" s="5"/>
      <c r="T17" s="110"/>
    </row>
    <row r="18" spans="2:22">
      <c r="B18" s="22" t="s">
        <v>60</v>
      </c>
      <c r="C18" s="918"/>
      <c r="D18" s="918"/>
      <c r="E18" s="918"/>
      <c r="F18" s="4"/>
      <c r="G18" s="6"/>
      <c r="H18" s="4"/>
      <c r="I18" s="6"/>
      <c r="J18" s="4"/>
      <c r="K18" s="11"/>
      <c r="L18" s="4"/>
      <c r="M18" s="4"/>
      <c r="T18" s="110"/>
    </row>
    <row r="19" spans="2:22" s="23" customFormat="1">
      <c r="B19" s="919" t="s">
        <v>53</v>
      </c>
      <c r="C19" s="340">
        <v>6</v>
      </c>
      <c r="D19" s="340" t="s">
        <v>61</v>
      </c>
      <c r="E19" s="340"/>
      <c r="F19" s="6">
        <f>SUMIF('Balancete 06.2026'!C:C,1213,'Balancete 06.2026'!K:K)</f>
        <v>3684</v>
      </c>
      <c r="G19" s="11"/>
      <c r="H19" s="11">
        <v>3011</v>
      </c>
      <c r="I19" s="11"/>
      <c r="J19" s="11">
        <v>2861</v>
      </c>
      <c r="K19" s="11"/>
      <c r="L19" s="11">
        <v>1553</v>
      </c>
      <c r="M19" s="11"/>
      <c r="N19" s="11">
        <f t="shared" ref="N19:N24" si="0">H19-F19</f>
        <v>-673</v>
      </c>
      <c r="O19" s="11">
        <f t="shared" ref="O19:O24" si="1">L19-J19</f>
        <v>-1308</v>
      </c>
      <c r="P19" s="865">
        <f>IF(AND(F19=0,H19=0),0,IF(H19=0,1,IF(F19=0,-1,(F19-H19)/H19)))</f>
        <v>0.22351378279641315</v>
      </c>
      <c r="Q19" s="110"/>
      <c r="R19" s="110"/>
      <c r="S19" s="110"/>
      <c r="T19" s="110"/>
      <c r="V19" s="1027"/>
    </row>
    <row r="20" spans="2:22">
      <c r="B20" s="919" t="s">
        <v>62</v>
      </c>
      <c r="C20" s="340">
        <v>9</v>
      </c>
      <c r="D20" s="340" t="s">
        <v>63</v>
      </c>
      <c r="E20" s="340"/>
      <c r="F20" s="6">
        <f>SUMIF('Balancete 06.2026'!C:C,1218,'Balancete 06.2026'!K:K)</f>
        <v>6817</v>
      </c>
      <c r="G20" s="6"/>
      <c r="H20" s="11">
        <v>5272</v>
      </c>
      <c r="I20" s="6"/>
      <c r="J20" s="11">
        <v>5889</v>
      </c>
      <c r="K20" s="11"/>
      <c r="L20" s="11">
        <v>6758</v>
      </c>
      <c r="M20" s="11"/>
      <c r="N20" s="11">
        <f t="shared" si="0"/>
        <v>-1545</v>
      </c>
      <c r="O20" s="11">
        <f t="shared" si="1"/>
        <v>869</v>
      </c>
      <c r="P20" s="865">
        <f>IF(AND(F20=0,H20=0),0,IF(H20=0,1,IF(F20=0,-1,(F20-H20)/H20)))</f>
        <v>0.29305766312594839</v>
      </c>
      <c r="T20" s="110"/>
    </row>
    <row r="21" spans="2:22" hidden="1">
      <c r="B21" s="919" t="s">
        <v>64</v>
      </c>
      <c r="C21" s="340">
        <v>7</v>
      </c>
      <c r="D21" s="340"/>
      <c r="E21" s="340"/>
      <c r="F21" s="6">
        <f>SUMIF('Balancete 06.2026'!C:C,1216,'Balancete 06.2026'!I:I)</f>
        <v>0</v>
      </c>
      <c r="G21" s="6"/>
      <c r="H21" s="11">
        <v>0</v>
      </c>
      <c r="I21" s="6"/>
      <c r="J21" s="11">
        <v>0</v>
      </c>
      <c r="K21" s="11"/>
      <c r="L21" s="11">
        <v>0</v>
      </c>
      <c r="M21" s="11"/>
      <c r="N21" s="11">
        <f t="shared" si="0"/>
        <v>0</v>
      </c>
      <c r="O21" s="11">
        <f t="shared" si="1"/>
        <v>0</v>
      </c>
      <c r="P21" s="866"/>
      <c r="T21" s="110"/>
    </row>
    <row r="22" spans="2:22">
      <c r="B22" s="919" t="s">
        <v>65</v>
      </c>
      <c r="C22" s="340">
        <v>10</v>
      </c>
      <c r="D22" s="340" t="s">
        <v>66</v>
      </c>
      <c r="E22" s="340"/>
      <c r="F22" s="6">
        <f>SUMIF('Balancete 06.2026'!C:C,123,'Balancete 06.2026'!K:K)</f>
        <v>5527</v>
      </c>
      <c r="G22" s="6"/>
      <c r="H22" s="11">
        <v>5869</v>
      </c>
      <c r="I22" s="6"/>
      <c r="J22" s="11">
        <v>5839</v>
      </c>
      <c r="K22" s="11"/>
      <c r="L22" s="11">
        <v>6128</v>
      </c>
      <c r="M22" s="11"/>
      <c r="N22" s="11">
        <f t="shared" si="0"/>
        <v>342</v>
      </c>
      <c r="O22" s="11">
        <f t="shared" si="1"/>
        <v>289</v>
      </c>
      <c r="P22" s="865">
        <f>IF(AND(F22=0,H22=0),0,IF(H22=0,1,IF(F22=0,-1,(F22-H22)/H22)))</f>
        <v>-5.8272278071221671E-2</v>
      </c>
      <c r="T22" s="110"/>
    </row>
    <row r="23" spans="2:22">
      <c r="B23" s="919" t="s">
        <v>67</v>
      </c>
      <c r="C23" s="340">
        <v>11</v>
      </c>
      <c r="D23" s="340" t="s">
        <v>68</v>
      </c>
      <c r="E23" s="340"/>
      <c r="F23" s="6">
        <f>SUMIF('Balancete 06.2026'!C:C,125,'Balancete 06.2026'!K:K)</f>
        <v>11821</v>
      </c>
      <c r="G23" s="6"/>
      <c r="H23" s="11">
        <v>13299</v>
      </c>
      <c r="I23" s="6"/>
      <c r="J23" s="11">
        <v>13964</v>
      </c>
      <c r="K23" s="11"/>
      <c r="L23" s="11">
        <v>15360</v>
      </c>
      <c r="M23" s="11"/>
      <c r="N23" s="11">
        <f>H23-F23</f>
        <v>1478</v>
      </c>
      <c r="O23" s="11">
        <f t="shared" si="1"/>
        <v>1396</v>
      </c>
      <c r="P23" s="865">
        <f>IF(AND(F23=0,H23=0),0,IF(H23=0,1,IF(F23=0,-1,(F23-H23)/H23)))</f>
        <v>-0.11113617565230469</v>
      </c>
      <c r="T23" s="110"/>
    </row>
    <row r="24" spans="2:22">
      <c r="B24" s="919" t="s">
        <v>69</v>
      </c>
      <c r="C24" s="340">
        <v>12</v>
      </c>
      <c r="D24" s="340" t="s">
        <v>70</v>
      </c>
      <c r="E24" s="340"/>
      <c r="F24" s="6">
        <f>SUMIF('Balancete 06.2026'!C:C,124,'Balancete 06.2026'!K:K)</f>
        <v>1705</v>
      </c>
      <c r="G24" s="6"/>
      <c r="H24" s="11">
        <v>1184</v>
      </c>
      <c r="I24" s="6"/>
      <c r="J24" s="11">
        <v>1560</v>
      </c>
      <c r="K24" s="11"/>
      <c r="L24" s="11">
        <v>2064</v>
      </c>
      <c r="M24" s="11"/>
      <c r="N24" s="11">
        <f t="shared" si="0"/>
        <v>-521</v>
      </c>
      <c r="O24" s="11">
        <f t="shared" si="1"/>
        <v>504</v>
      </c>
      <c r="P24" s="865">
        <f>IF(AND(F24=0,H24=0),0,IF(H24=0,1,IF(F24=0,-1,(F24-H24)/H24)))</f>
        <v>0.44003378378378377</v>
      </c>
      <c r="T24" s="110"/>
    </row>
    <row r="25" spans="2:22">
      <c r="C25" s="918"/>
      <c r="D25" s="918"/>
      <c r="E25" s="918"/>
      <c r="F25" s="19">
        <f>SUM(F19:F24)</f>
        <v>29554</v>
      </c>
      <c r="G25" s="6"/>
      <c r="H25" s="19">
        <f>SUM(H19:H24)</f>
        <v>28635</v>
      </c>
      <c r="I25" s="6"/>
      <c r="J25" s="19">
        <f>SUM(J19:J24)</f>
        <v>30113</v>
      </c>
      <c r="K25" s="11"/>
      <c r="L25" s="19">
        <f>SUM(L19:L24)</f>
        <v>31863</v>
      </c>
      <c r="M25" s="5"/>
    </row>
    <row r="26" spans="2:22">
      <c r="C26" s="918"/>
      <c r="D26" s="918"/>
      <c r="E26" s="918"/>
      <c r="F26" s="5"/>
      <c r="G26" s="6"/>
      <c r="H26" s="5"/>
      <c r="I26" s="6"/>
      <c r="J26" s="5"/>
      <c r="K26" s="11"/>
      <c r="L26" s="5"/>
      <c r="M26" s="5"/>
    </row>
    <row r="27" spans="2:22">
      <c r="C27" s="918"/>
      <c r="D27" s="918"/>
      <c r="E27" s="918"/>
      <c r="F27" s="5"/>
      <c r="G27" s="6"/>
      <c r="H27" s="5"/>
      <c r="I27" s="6"/>
      <c r="J27" s="5"/>
      <c r="K27" s="11"/>
      <c r="L27" s="5"/>
      <c r="M27" s="5"/>
    </row>
    <row r="28" spans="2:22" ht="13.9" thickBot="1">
      <c r="B28" s="915" t="s">
        <v>71</v>
      </c>
      <c r="C28" s="920"/>
      <c r="D28" s="920"/>
      <c r="E28" s="920"/>
      <c r="F28" s="3">
        <f>F16+F25</f>
        <v>72306</v>
      </c>
      <c r="G28" s="5"/>
      <c r="H28" s="3">
        <f>H16+H25</f>
        <v>82706</v>
      </c>
      <c r="I28" s="5"/>
      <c r="J28" s="3">
        <f>J16+J25</f>
        <v>89875</v>
      </c>
      <c r="K28" s="11"/>
      <c r="L28" s="3">
        <f>L16+L25</f>
        <v>83792</v>
      </c>
      <c r="M28" s="5"/>
    </row>
    <row r="29" spans="2:22" ht="15" thickTop="1">
      <c r="C29" s="918"/>
      <c r="D29" s="918"/>
      <c r="E29" s="918"/>
      <c r="F29" s="5"/>
      <c r="G29" s="24"/>
      <c r="H29" s="5"/>
      <c r="I29" s="24"/>
      <c r="J29" s="5"/>
      <c r="K29" s="11"/>
      <c r="L29" s="5"/>
      <c r="M29" s="5"/>
      <c r="P29" s="867"/>
      <c r="Q29" s="25"/>
      <c r="R29" s="25"/>
      <c r="U29" s="94"/>
    </row>
    <row r="30" spans="2:22" ht="14.45">
      <c r="B30" s="22" t="s">
        <v>72</v>
      </c>
      <c r="C30" s="918"/>
      <c r="D30" s="918"/>
      <c r="E30" s="918"/>
      <c r="F30" s="11"/>
      <c r="G30" s="11"/>
      <c r="H30" s="11"/>
      <c r="I30" s="11"/>
      <c r="J30" s="11"/>
      <c r="K30" s="11"/>
      <c r="L30" s="11"/>
      <c r="M30" s="11"/>
      <c r="P30" s="867"/>
      <c r="Q30" s="25"/>
      <c r="R30" s="25"/>
      <c r="S30" s="25"/>
      <c r="U30" s="94"/>
    </row>
    <row r="31" spans="2:22">
      <c r="B31" s="921" t="s">
        <v>50</v>
      </c>
      <c r="C31" s="918"/>
      <c r="D31" s="918"/>
      <c r="E31" s="918"/>
      <c r="F31" s="11"/>
      <c r="G31" s="11"/>
      <c r="H31" s="11"/>
      <c r="I31" s="11"/>
      <c r="J31" s="11"/>
      <c r="K31" s="11"/>
      <c r="L31" s="11"/>
      <c r="M31" s="11"/>
      <c r="P31" s="867"/>
      <c r="Q31" s="25"/>
      <c r="R31" s="25"/>
      <c r="S31" s="25"/>
    </row>
    <row r="32" spans="2:22">
      <c r="B32" s="916" t="s">
        <v>73</v>
      </c>
      <c r="C32" s="340">
        <v>13</v>
      </c>
      <c r="D32" s="340" t="str">
        <f>'[1]Balancete 03.2025'!A84</f>
        <v>2.1.1.04</v>
      </c>
      <c r="E32" s="340"/>
      <c r="F32" s="6">
        <f>-SUMIF('Balancete 06.2026'!C:C,2114,'Balancete 06.2026'!K:K)</f>
        <v>1165</v>
      </c>
      <c r="G32" s="6"/>
      <c r="H32" s="11">
        <v>196</v>
      </c>
      <c r="I32" s="6"/>
      <c r="J32" s="11">
        <v>1019</v>
      </c>
      <c r="K32" s="11"/>
      <c r="L32" s="11">
        <v>361</v>
      </c>
      <c r="M32" s="11"/>
      <c r="N32" s="11">
        <f>F32-H32</f>
        <v>969</v>
      </c>
      <c r="O32" s="11">
        <f>J32-L32</f>
        <v>658</v>
      </c>
      <c r="P32" s="865">
        <f>IF(AND(F32=0,H32=0),0,IF(H32=0,1,IF(F32=0,-1,(F32-H32)/H32)))</f>
        <v>4.9438775510204085</v>
      </c>
      <c r="Q32" s="25"/>
      <c r="R32" s="25"/>
      <c r="S32" s="25"/>
    </row>
    <row r="33" spans="2:22">
      <c r="B33" s="916" t="s">
        <v>74</v>
      </c>
      <c r="C33" s="340">
        <v>14</v>
      </c>
      <c r="D33" s="909" t="s">
        <v>75</v>
      </c>
      <c r="E33" s="340"/>
      <c r="F33" s="6">
        <f>-SUM(SUMIF('Balancete 06.2026'!C:C,2116,'Balancete 06.2026'!K:K),SUMIF('Balancete 06.2026'!C:C,2117,'Balancete 06.2026'!K:K))</f>
        <v>3174</v>
      </c>
      <c r="G33" s="6"/>
      <c r="H33" s="11">
        <v>5289</v>
      </c>
      <c r="I33" s="6"/>
      <c r="J33" s="11">
        <v>2737</v>
      </c>
      <c r="K33" s="11"/>
      <c r="L33" s="11">
        <v>4093</v>
      </c>
      <c r="M33" s="11"/>
      <c r="N33" s="11">
        <f t="shared" ref="N33:N38" si="2">F33-H33</f>
        <v>-2115</v>
      </c>
      <c r="O33" s="11">
        <f t="shared" ref="O33:O38" si="3">J33-L33</f>
        <v>-1356</v>
      </c>
      <c r="P33" s="865">
        <f>IF(AND(F33=0,H33=0),0,IF(H33=0,1,IF(F33=0,-1,(F33-H33)/H33)))</f>
        <v>-0.39988655700510495</v>
      </c>
      <c r="Q33" s="25"/>
      <c r="R33" s="25"/>
      <c r="S33" s="25"/>
    </row>
    <row r="34" spans="2:22">
      <c r="B34" s="916" t="s">
        <v>76</v>
      </c>
      <c r="C34" s="340">
        <v>15</v>
      </c>
      <c r="D34" s="909" t="s">
        <v>77</v>
      </c>
      <c r="E34" s="340"/>
      <c r="F34" s="6">
        <f>-SUM(SUMIF('Balancete 06.2026'!C:C,2118,'Balancete 06.2026'!K:K),-SUMIF('Balancete 06.2026'!C:C,21189,'Balancete 06.2026'!K:K),)-SUMIF('Balancete 06.2026'!C:C,211920,'Balancete 06.2026'!K:K)</f>
        <v>31903</v>
      </c>
      <c r="G34" s="6"/>
      <c r="H34" s="11">
        <v>25015</v>
      </c>
      <c r="I34" s="6"/>
      <c r="J34" s="11">
        <v>27121</v>
      </c>
      <c r="K34" s="11"/>
      <c r="L34" s="11">
        <v>17894</v>
      </c>
      <c r="M34" s="11"/>
      <c r="N34" s="11">
        <f>F34-H34</f>
        <v>6888</v>
      </c>
      <c r="O34" s="11">
        <f t="shared" si="3"/>
        <v>9227</v>
      </c>
      <c r="P34" s="865">
        <f>IF(AND(F34=0,H34=0),0,IF(H34=0,1,IF(F34=0,-1,(F34-H34)/H34)))</f>
        <v>0.27535478712772338</v>
      </c>
      <c r="Q34" s="25"/>
      <c r="R34" s="25"/>
      <c r="S34" s="25"/>
    </row>
    <row r="35" spans="2:22" hidden="1">
      <c r="B35" s="916" t="s">
        <v>78</v>
      </c>
      <c r="C35" s="340">
        <v>15</v>
      </c>
      <c r="D35" s="909"/>
      <c r="E35" s="340"/>
      <c r="F35" s="6">
        <f>-SUMIF('Balancete 06.2026'!C:C,211110,'Balancete 06.2026'!K:K)</f>
        <v>0</v>
      </c>
      <c r="G35" s="6"/>
      <c r="H35" s="11">
        <v>0</v>
      </c>
      <c r="I35" s="6"/>
      <c r="J35" s="11">
        <v>0</v>
      </c>
      <c r="K35" s="11"/>
      <c r="L35" s="11">
        <v>0</v>
      </c>
      <c r="M35" s="11"/>
      <c r="N35" s="11">
        <f t="shared" si="2"/>
        <v>0</v>
      </c>
      <c r="O35" s="11">
        <f t="shared" si="3"/>
        <v>0</v>
      </c>
      <c r="P35" s="867"/>
      <c r="Q35" s="25"/>
      <c r="R35" s="25"/>
      <c r="S35" s="25"/>
    </row>
    <row r="36" spans="2:22">
      <c r="B36" s="916" t="s">
        <v>79</v>
      </c>
      <c r="C36" s="340"/>
      <c r="D36" s="340" t="s">
        <v>80</v>
      </c>
      <c r="E36" s="340"/>
      <c r="F36" s="6">
        <f>-SUMIF('Balancete 06.2026'!C:C,21114,'Balancete 06.2026'!K:K)-SUMIF('Balancete 06.2026'!C:C,21199,'Balancete 06.2026'!K:K)</f>
        <v>68</v>
      </c>
      <c r="G36" s="6"/>
      <c r="H36" s="11">
        <v>67</v>
      </c>
      <c r="I36" s="6"/>
      <c r="J36" s="11">
        <v>98</v>
      </c>
      <c r="K36" s="11"/>
      <c r="L36" s="11">
        <v>97</v>
      </c>
      <c r="M36" s="11"/>
      <c r="N36" s="11">
        <f t="shared" si="2"/>
        <v>1</v>
      </c>
      <c r="O36" s="11">
        <f t="shared" si="3"/>
        <v>1</v>
      </c>
      <c r="P36" s="865">
        <f>IF(AND(F36=0,H36=0),0,IF(H36=0,1,IF(F36=0,-1,(F36-H36)/H36)))</f>
        <v>1.4925373134328358E-2</v>
      </c>
      <c r="Q36" s="25"/>
      <c r="R36" s="25"/>
      <c r="S36" s="25"/>
    </row>
    <row r="37" spans="2:22">
      <c r="B37" s="916" t="s">
        <v>81</v>
      </c>
      <c r="C37" s="340">
        <v>17</v>
      </c>
      <c r="D37" s="909" t="s">
        <v>82</v>
      </c>
      <c r="E37" s="340"/>
      <c r="F37" s="6">
        <f>-SUM(SUMIF('Balancete 06.2026'!C:C,21115,'Balancete 06.2026'!K:K),SUMIF('Balancete 06.2026'!C:C,21189,'Balancete 06.2026'!K:K))</f>
        <v>1060</v>
      </c>
      <c r="G37" s="6"/>
      <c r="H37" s="11">
        <v>0</v>
      </c>
      <c r="I37" s="6"/>
      <c r="J37" s="11">
        <v>923</v>
      </c>
      <c r="K37" s="11"/>
      <c r="L37" s="11">
        <v>822</v>
      </c>
      <c r="M37" s="11"/>
      <c r="N37" s="11">
        <f t="shared" si="2"/>
        <v>1060</v>
      </c>
      <c r="O37" s="11">
        <f t="shared" si="3"/>
        <v>101</v>
      </c>
      <c r="P37" s="865">
        <f>IF(AND(F37=0,H37=0),0,IF(H37=0,1,IF(F37=0,-1,(F37-H37)/H37)))</f>
        <v>1</v>
      </c>
      <c r="Q37" s="25"/>
      <c r="R37" s="25"/>
      <c r="S37" s="25"/>
    </row>
    <row r="38" spans="2:22">
      <c r="B38" s="916" t="s">
        <v>83</v>
      </c>
      <c r="C38" s="340">
        <v>11</v>
      </c>
      <c r="D38" s="340" t="s">
        <v>84</v>
      </c>
      <c r="E38" s="340"/>
      <c r="F38" s="6">
        <f>-SUM(SUMIF('Balancete 06.2026'!C:C,21116,'Balancete 06.2026'!K:K))</f>
        <v>3135</v>
      </c>
      <c r="G38" s="6"/>
      <c r="H38" s="11">
        <v>3059</v>
      </c>
      <c r="I38" s="6"/>
      <c r="J38" s="11">
        <v>2838</v>
      </c>
      <c r="K38" s="11"/>
      <c r="L38" s="11">
        <v>2770</v>
      </c>
      <c r="M38" s="11"/>
      <c r="N38" s="11">
        <f t="shared" si="2"/>
        <v>76</v>
      </c>
      <c r="O38" s="11">
        <f t="shared" si="3"/>
        <v>68</v>
      </c>
      <c r="P38" s="865">
        <f>IF(AND(F38=0,H38=0),0,IF(H38=0,1,IF(F38=0,-1,(F38-H38)/H38)))</f>
        <v>2.4844720496894408E-2</v>
      </c>
      <c r="Q38" s="25"/>
      <c r="R38" s="25"/>
      <c r="S38" s="25"/>
    </row>
    <row r="39" spans="2:22">
      <c r="C39" s="918"/>
      <c r="D39" s="918"/>
      <c r="E39" s="918"/>
      <c r="F39" s="19">
        <f>SUM(F32:F38)</f>
        <v>40505</v>
      </c>
      <c r="G39" s="4"/>
      <c r="H39" s="19">
        <f>SUM(H32:H38)</f>
        <v>33626</v>
      </c>
      <c r="I39" s="4"/>
      <c r="J39" s="19">
        <f>SUM(J32:J38)</f>
        <v>34736</v>
      </c>
      <c r="K39" s="11"/>
      <c r="L39" s="19">
        <f>SUM(L32:L38)</f>
        <v>26037</v>
      </c>
      <c r="M39" s="5"/>
      <c r="P39" s="867"/>
      <c r="Q39" s="25"/>
      <c r="R39" s="25"/>
      <c r="S39" s="25"/>
    </row>
    <row r="40" spans="2:22">
      <c r="C40" s="918"/>
      <c r="D40" s="918"/>
      <c r="E40" s="918"/>
      <c r="F40" s="5"/>
      <c r="G40" s="6"/>
      <c r="H40" s="5"/>
      <c r="I40" s="6"/>
      <c r="J40" s="5"/>
      <c r="K40" s="11"/>
      <c r="L40" s="5"/>
      <c r="M40" s="5"/>
      <c r="P40" s="867"/>
      <c r="Q40" s="25"/>
      <c r="R40" s="25"/>
      <c r="S40" s="25"/>
    </row>
    <row r="41" spans="2:22">
      <c r="B41" s="921" t="s">
        <v>60</v>
      </c>
      <c r="C41" s="918"/>
      <c r="D41" s="918"/>
      <c r="E41" s="918"/>
      <c r="F41" s="5"/>
      <c r="G41" s="6"/>
      <c r="H41" s="5"/>
      <c r="I41" s="6"/>
      <c r="J41" s="5"/>
      <c r="K41" s="11"/>
      <c r="L41" s="5"/>
      <c r="M41" s="5"/>
      <c r="P41" s="867"/>
      <c r="Q41" s="25"/>
      <c r="R41" s="25"/>
      <c r="S41" s="25"/>
    </row>
    <row r="42" spans="2:22">
      <c r="B42" s="916" t="s">
        <v>78</v>
      </c>
      <c r="C42" s="340">
        <v>16</v>
      </c>
      <c r="D42" s="340" t="s">
        <v>85</v>
      </c>
      <c r="E42" s="340"/>
      <c r="F42" s="6">
        <f>-SUMIF('Balancete 06.2026'!C:C,2215,'Balancete 06.2026'!K:K)</f>
        <v>9750</v>
      </c>
      <c r="G42" s="6"/>
      <c r="H42" s="11">
        <v>12448</v>
      </c>
      <c r="I42" s="6"/>
      <c r="J42" s="11">
        <v>10665</v>
      </c>
      <c r="K42" s="11"/>
      <c r="L42" s="11">
        <v>11864</v>
      </c>
      <c r="M42" s="11"/>
      <c r="N42" s="11">
        <f>F42-H42</f>
        <v>-2698</v>
      </c>
      <c r="O42" s="11">
        <f>J42-L42</f>
        <v>-1199</v>
      </c>
      <c r="P42" s="865">
        <f>IF(AND(F42=0,H42=0),0,IF(H42=0,1,IF(F42=0,-1,(F42-H42)/H42)))</f>
        <v>-0.21674164524421594</v>
      </c>
      <c r="Q42" s="25"/>
      <c r="R42" s="25"/>
      <c r="S42" s="25"/>
    </row>
    <row r="43" spans="2:22">
      <c r="B43" s="916" t="s">
        <v>83</v>
      </c>
      <c r="C43" s="340">
        <v>11</v>
      </c>
      <c r="D43" s="340" t="s">
        <v>86</v>
      </c>
      <c r="E43" s="340"/>
      <c r="F43" s="6">
        <f>-SUMIF('Balancete 06.2026'!C:C,2218,'Balancete 06.2026'!K:K)</f>
        <v>10376</v>
      </c>
      <c r="G43" s="6"/>
      <c r="H43" s="11">
        <v>11962</v>
      </c>
      <c r="I43" s="6"/>
      <c r="J43" s="11">
        <v>12845</v>
      </c>
      <c r="K43" s="11"/>
      <c r="L43" s="11">
        <v>14281</v>
      </c>
      <c r="M43" s="11"/>
      <c r="N43" s="11">
        <f>F43-H43</f>
        <v>-1586</v>
      </c>
      <c r="O43" s="11">
        <f>J43-L43</f>
        <v>-1436</v>
      </c>
      <c r="P43" s="865">
        <f>IF(AND(F43=0,H43=0),0,IF(H43=0,1,IF(F43=0,-1,(F43-H43)/H43)))</f>
        <v>-0.13258652399264337</v>
      </c>
      <c r="Q43" s="25"/>
      <c r="R43" s="25"/>
      <c r="S43" s="25"/>
    </row>
    <row r="44" spans="2:22" s="23" customFormat="1">
      <c r="B44" s="916"/>
      <c r="C44" s="922"/>
      <c r="D44" s="922"/>
      <c r="E44" s="922"/>
      <c r="F44" s="19">
        <f>SUM(F42:F43)</f>
        <v>20126</v>
      </c>
      <c r="G44" s="4"/>
      <c r="H44" s="19">
        <f>SUM(H42:H43)</f>
        <v>24410</v>
      </c>
      <c r="I44" s="4"/>
      <c r="J44" s="19">
        <f>SUM(J42:J43)</f>
        <v>23510</v>
      </c>
      <c r="K44" s="11"/>
      <c r="L44" s="19">
        <f>SUM(L42:L43)</f>
        <v>26145</v>
      </c>
      <c r="M44" s="5"/>
      <c r="P44" s="865"/>
      <c r="Q44" s="110"/>
      <c r="R44" s="110"/>
      <c r="S44" s="25"/>
      <c r="V44" s="1027"/>
    </row>
    <row r="45" spans="2:22">
      <c r="C45" s="922"/>
      <c r="D45" s="922"/>
      <c r="E45" s="922"/>
      <c r="F45" s="5"/>
      <c r="G45" s="6"/>
      <c r="H45" s="5"/>
      <c r="I45" s="6"/>
      <c r="J45" s="5"/>
      <c r="K45" s="11"/>
      <c r="L45" s="5"/>
      <c r="M45" s="5"/>
      <c r="P45" s="867"/>
      <c r="Q45" s="25"/>
      <c r="R45" s="25"/>
    </row>
    <row r="46" spans="2:22">
      <c r="B46" s="921" t="s">
        <v>87</v>
      </c>
      <c r="C46" s="922"/>
      <c r="D46" s="922"/>
      <c r="E46" s="922"/>
      <c r="F46" s="5"/>
      <c r="G46" s="6"/>
      <c r="H46" s="5"/>
      <c r="I46" s="6"/>
      <c r="J46" s="5"/>
      <c r="K46" s="11"/>
      <c r="L46" s="5"/>
      <c r="M46" s="5"/>
      <c r="P46" s="867"/>
      <c r="Q46" s="25"/>
      <c r="R46" s="25"/>
      <c r="S46" s="25"/>
    </row>
    <row r="47" spans="2:22">
      <c r="B47" s="916" t="s">
        <v>88</v>
      </c>
      <c r="C47" s="340">
        <v>18</v>
      </c>
      <c r="D47" s="340" t="s">
        <v>89</v>
      </c>
      <c r="E47" s="340"/>
      <c r="F47" s="6">
        <f>-SUMIF('Balancete 06.2026'!C:C,241,'Balancete 06.2026'!K:K)</f>
        <v>36154</v>
      </c>
      <c r="G47" s="6"/>
      <c r="H47" s="11">
        <v>34444</v>
      </c>
      <c r="I47" s="6"/>
      <c r="J47" s="11">
        <v>34444</v>
      </c>
      <c r="K47" s="11"/>
      <c r="L47" s="11">
        <v>31458</v>
      </c>
      <c r="M47" s="11"/>
      <c r="N47" s="11">
        <f>F47-H47</f>
        <v>1710</v>
      </c>
      <c r="O47" s="11">
        <f>J47-L47</f>
        <v>2986</v>
      </c>
      <c r="P47" s="865">
        <f>IF(AND(F47=0,H47=0),0,IF(H47=0,1,IF(F47=0,-1,(F47-H47)/H47)))</f>
        <v>4.9645801881314601E-2</v>
      </c>
      <c r="Q47" s="25"/>
      <c r="R47" s="25"/>
      <c r="S47" s="25"/>
    </row>
    <row r="48" spans="2:22" s="23" customFormat="1" ht="12.75" hidden="1" customHeight="1">
      <c r="B48" s="916" t="s">
        <v>90</v>
      </c>
      <c r="C48" s="340"/>
      <c r="D48" s="340"/>
      <c r="E48" s="340"/>
      <c r="F48" s="6">
        <v>0</v>
      </c>
      <c r="G48" s="6"/>
      <c r="H48" s="11">
        <v>0</v>
      </c>
      <c r="I48" s="6"/>
      <c r="J48" s="11">
        <v>0</v>
      </c>
      <c r="K48" s="11"/>
      <c r="L48" s="11">
        <v>0</v>
      </c>
      <c r="M48" s="11"/>
      <c r="N48" s="11">
        <f>F48-H48</f>
        <v>0</v>
      </c>
      <c r="O48" s="11">
        <f>J48-L48</f>
        <v>0</v>
      </c>
      <c r="P48" s="865"/>
      <c r="Q48" s="110"/>
      <c r="R48" s="25"/>
      <c r="S48" s="110"/>
      <c r="V48" s="1027"/>
    </row>
    <row r="49" spans="2:22" s="23" customFormat="1">
      <c r="B49" s="916" t="s">
        <v>91</v>
      </c>
      <c r="C49" s="340">
        <v>19</v>
      </c>
      <c r="D49" s="340" t="s">
        <v>92</v>
      </c>
      <c r="E49" s="340"/>
      <c r="F49" s="6">
        <f>-SUMIF('Balancete 06.2026'!C:C,247,'Balancete 06.2026'!K:K)</f>
        <v>1687</v>
      </c>
      <c r="G49" s="6"/>
      <c r="H49" s="11">
        <v>1711</v>
      </c>
      <c r="I49" s="6"/>
      <c r="J49" s="11">
        <v>695</v>
      </c>
      <c r="K49" s="11"/>
      <c r="L49" s="11">
        <v>2986</v>
      </c>
      <c r="M49" s="11"/>
      <c r="N49" s="11">
        <f>F49-H49</f>
        <v>-24</v>
      </c>
      <c r="O49" s="11">
        <f>J49-L49</f>
        <v>-2291</v>
      </c>
      <c r="P49" s="868">
        <f>IF(AND(F49=0,H49=0),0,IF(H49=0,1,IF(F49=0,-1,(F49-H49)/H49)))</f>
        <v>-1.4026884862653419E-2</v>
      </c>
      <c r="Q49" s="110"/>
      <c r="R49" s="25"/>
      <c r="S49" s="110"/>
      <c r="V49" s="1027"/>
    </row>
    <row r="50" spans="2:22" s="23" customFormat="1">
      <c r="B50" s="916" t="s">
        <v>93</v>
      </c>
      <c r="C50" s="340">
        <v>20</v>
      </c>
      <c r="D50" s="340" t="s">
        <v>94</v>
      </c>
      <c r="E50" s="340"/>
      <c r="F50" s="6">
        <f>-SUM(SUMIF('Balancete 06.2026'!C:C,246,'Balancete 06.2026'!K:K),SUMIF('Balancete 06.2026'!C:C,243,'Balancete 06.2026'!K:K))</f>
        <v>-26166</v>
      </c>
      <c r="G50" s="6"/>
      <c r="H50" s="11">
        <v>-11485</v>
      </c>
      <c r="I50" s="6"/>
      <c r="J50" s="11">
        <v>-3510</v>
      </c>
      <c r="K50" s="11"/>
      <c r="L50" s="11">
        <v>-2834</v>
      </c>
      <c r="M50" s="11"/>
      <c r="N50" s="11">
        <f>F50-H50</f>
        <v>-14681</v>
      </c>
      <c r="O50" s="11">
        <f>J50-L50</f>
        <v>-676</v>
      </c>
      <c r="P50" s="868">
        <f>IF(AND(F50=0,H50=0),0,IF(H50=0,1,IF(F50=0,-1,(F50-H50)/H50)))</f>
        <v>1.2782760121898129</v>
      </c>
      <c r="Q50" s="110"/>
      <c r="R50" s="25"/>
      <c r="S50" s="110"/>
      <c r="V50" s="1027"/>
    </row>
    <row r="51" spans="2:22">
      <c r="F51" s="19">
        <f>SUM(F47:F50)</f>
        <v>11675</v>
      </c>
      <c r="G51" s="6"/>
      <c r="H51" s="19">
        <f>SUM(H47:H50)</f>
        <v>24670</v>
      </c>
      <c r="I51" s="6"/>
      <c r="J51" s="19">
        <f>SUM(J47:J50)</f>
        <v>31629</v>
      </c>
      <c r="K51" s="11"/>
      <c r="L51" s="19">
        <f>SUM(L47:L50)</f>
        <v>31610</v>
      </c>
      <c r="M51" s="5"/>
      <c r="P51" s="867"/>
      <c r="Q51" s="25"/>
      <c r="R51" s="25"/>
    </row>
    <row r="52" spans="2:22">
      <c r="F52" s="5"/>
      <c r="G52" s="6"/>
      <c r="H52" s="5"/>
      <c r="I52" s="6"/>
      <c r="J52" s="5"/>
      <c r="K52" s="11"/>
      <c r="L52" s="5"/>
      <c r="M52" s="5"/>
      <c r="P52" s="867"/>
      <c r="Q52" s="25"/>
      <c r="R52" s="25"/>
      <c r="S52" s="25"/>
    </row>
    <row r="53" spans="2:22">
      <c r="F53" s="5"/>
      <c r="G53" s="6"/>
      <c r="H53" s="5"/>
      <c r="I53" s="6"/>
      <c r="J53" s="5"/>
      <c r="L53" s="5"/>
      <c r="M53" s="5"/>
      <c r="P53" s="867"/>
      <c r="Q53" s="25"/>
      <c r="R53" s="25"/>
      <c r="S53" s="25"/>
    </row>
    <row r="54" spans="2:22" ht="13.9" thickBot="1">
      <c r="B54" s="915" t="s">
        <v>95</v>
      </c>
      <c r="F54" s="3">
        <f>F39+F44+F51</f>
        <v>72306</v>
      </c>
      <c r="G54" s="4"/>
      <c r="H54" s="3">
        <f>H51+H44+H39</f>
        <v>82706</v>
      </c>
      <c r="I54" s="4"/>
      <c r="J54" s="3">
        <f>J51+J44+J39</f>
        <v>89875</v>
      </c>
      <c r="L54" s="3">
        <f>L51+L44+L39</f>
        <v>83792</v>
      </c>
      <c r="M54" s="5"/>
      <c r="P54" s="867"/>
      <c r="Q54" s="25"/>
      <c r="R54" s="25"/>
      <c r="S54" s="25"/>
    </row>
    <row r="55" spans="2:22" ht="13.9" thickTop="1">
      <c r="C55" s="22"/>
      <c r="D55" s="22"/>
      <c r="E55" s="22"/>
      <c r="F55" s="5"/>
      <c r="G55" s="6"/>
      <c r="H55" s="5"/>
      <c r="I55" s="6"/>
      <c r="J55" s="5"/>
      <c r="L55" s="5"/>
      <c r="M55" s="5"/>
      <c r="P55" s="867"/>
      <c r="Q55" s="25"/>
      <c r="S55" s="25"/>
    </row>
    <row r="56" spans="2:22">
      <c r="B56" s="13" t="s">
        <v>96</v>
      </c>
      <c r="F56" s="25"/>
      <c r="G56" s="25"/>
      <c r="H56" s="25"/>
      <c r="I56" s="25"/>
      <c r="J56" s="25"/>
      <c r="L56" s="25"/>
      <c r="M56" s="25"/>
      <c r="P56" s="867"/>
      <c r="Q56" s="25"/>
      <c r="R56" s="25"/>
      <c r="S56" s="25"/>
    </row>
    <row r="57" spans="2:22">
      <c r="P57" s="867"/>
      <c r="Q57" s="25"/>
      <c r="R57" s="25"/>
      <c r="S57" s="25"/>
    </row>
    <row r="58" spans="2:22">
      <c r="F58" s="61">
        <f>F28-F54</f>
        <v>0</v>
      </c>
      <c r="H58" s="61">
        <f>H28-H54</f>
        <v>0</v>
      </c>
      <c r="J58" s="61">
        <f>J28-J54</f>
        <v>0</v>
      </c>
      <c r="L58" s="61">
        <f>L28-L54</f>
        <v>0</v>
      </c>
      <c r="M58" s="61"/>
      <c r="N58" s="61">
        <f>SUM(N2:N57)</f>
        <v>0</v>
      </c>
      <c r="O58" s="61">
        <f>SUM(O3:O57)</f>
        <v>0</v>
      </c>
      <c r="P58" s="867"/>
      <c r="Q58" s="25"/>
      <c r="R58" s="25"/>
      <c r="S58" s="25"/>
    </row>
    <row r="59" spans="2:22" ht="14.45">
      <c r="F59" s="94"/>
      <c r="S59" s="25"/>
    </row>
    <row r="60" spans="2:22" ht="14.45">
      <c r="F60" s="94"/>
    </row>
    <row r="89" spans="10:10">
      <c r="J89" s="14">
        <f>BP!J470</f>
        <v>0</v>
      </c>
    </row>
  </sheetData>
  <mergeCells count="5">
    <mergeCell ref="B1:J1"/>
    <mergeCell ref="B2:J2"/>
    <mergeCell ref="B3:J3"/>
    <mergeCell ref="B4:J4"/>
    <mergeCell ref="B5:J5"/>
  </mergeCells>
  <printOptions horizontalCentered="1"/>
  <pageMargins left="0.39370078740157483" right="0.39370078740157483" top="0.98425196850393704" bottom="0.78740157480314965" header="0.39370078740157483" footer="0.39370078740157483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  <pageSetUpPr fitToPage="1"/>
  </sheetPr>
  <dimension ref="B2:R62"/>
  <sheetViews>
    <sheetView showGridLines="0" topLeftCell="A34" zoomScale="115" zoomScaleNormal="115" workbookViewId="0">
      <selection activeCell="R52" sqref="R52"/>
    </sheetView>
  </sheetViews>
  <sheetFormatPr defaultColWidth="9.28515625" defaultRowHeight="14.25" customHeight="1" outlineLevelCol="1"/>
  <cols>
    <col min="1" max="1" width="4.7109375" style="13" customWidth="1"/>
    <col min="2" max="2" width="42" style="13" customWidth="1"/>
    <col min="3" max="3" width="4.7109375" style="13" customWidth="1"/>
    <col min="4" max="4" width="11.85546875" style="14" hidden="1" customWidth="1" outlineLevel="1"/>
    <col min="5" max="5" width="4.7109375" style="13" hidden="1" customWidth="1" outlineLevel="1"/>
    <col min="6" max="6" width="6.140625" style="14" bestFit="1" customWidth="1" collapsed="1"/>
    <col min="7" max="7" width="12.42578125" style="14" customWidth="1"/>
    <col min="8" max="8" width="1.140625" style="13" customWidth="1"/>
    <col min="9" max="9" width="12.28515625" style="13" customWidth="1"/>
    <col min="10" max="10" width="1.140625" style="13" customWidth="1"/>
    <col min="11" max="11" width="14.85546875" style="14" bestFit="1" customWidth="1"/>
    <col min="12" max="12" width="1.140625" style="14" customWidth="1"/>
    <col min="13" max="13" width="14.85546875" style="13" customWidth="1"/>
    <col min="14" max="14" width="10.28515625" style="867" hidden="1" customWidth="1"/>
    <col min="15" max="16" width="10.28515625" style="25" bestFit="1" customWidth="1"/>
    <col min="17" max="16384" width="9.28515625" style="13"/>
  </cols>
  <sheetData>
    <row r="2" spans="2:14" ht="14.25" customHeight="1">
      <c r="B2" s="1054" t="str">
        <f>[2]BP!B2</f>
        <v>Empresa de Pesquisa Energética - EPE</v>
      </c>
      <c r="C2" s="1054"/>
      <c r="D2" s="1054"/>
      <c r="E2" s="1054"/>
      <c r="F2" s="1054"/>
      <c r="G2" s="1054"/>
      <c r="H2" s="1054"/>
      <c r="I2" s="1054"/>
      <c r="J2" s="1054"/>
      <c r="K2" s="1054"/>
      <c r="L2" s="1054"/>
    </row>
    <row r="3" spans="2:14" ht="14.25" customHeight="1">
      <c r="B3" s="1055" t="str">
        <f>[2]BP!B3</f>
        <v>CNPJ 06.977.747/0001-80</v>
      </c>
      <c r="C3" s="1055"/>
      <c r="D3" s="1055"/>
      <c r="E3" s="1055"/>
      <c r="F3" s="1055"/>
      <c r="G3" s="1055"/>
      <c r="H3" s="1055"/>
      <c r="I3" s="1055"/>
      <c r="J3" s="1055"/>
      <c r="K3" s="1055"/>
      <c r="L3" s="1055"/>
    </row>
    <row r="4" spans="2:14" ht="14.25" customHeight="1">
      <c r="B4" s="1054" t="s">
        <v>97</v>
      </c>
      <c r="C4" s="1054"/>
      <c r="D4" s="1054"/>
      <c r="E4" s="1054"/>
      <c r="F4" s="1054"/>
      <c r="G4" s="1054"/>
      <c r="H4" s="1054"/>
      <c r="I4" s="1054"/>
      <c r="J4" s="1054"/>
      <c r="K4" s="1054"/>
      <c r="L4" s="1054"/>
    </row>
    <row r="5" spans="2:14" ht="14.25" customHeight="1">
      <c r="B5" s="1055" t="s">
        <v>46</v>
      </c>
      <c r="C5" s="1055"/>
      <c r="D5" s="1055"/>
      <c r="E5" s="1055"/>
      <c r="F5" s="1055"/>
      <c r="G5" s="1055"/>
      <c r="H5" s="1055"/>
      <c r="I5" s="1055"/>
      <c r="J5" s="1055"/>
      <c r="K5" s="1055"/>
      <c r="L5" s="1055"/>
    </row>
    <row r="6" spans="2:14" ht="20.25" customHeight="1"/>
    <row r="7" spans="2:14" ht="43.5" customHeight="1" thickBot="1">
      <c r="D7" s="602"/>
      <c r="F7" s="602" t="s">
        <v>1</v>
      </c>
      <c r="G7" s="1044" t="s">
        <v>98</v>
      </c>
      <c r="H7" s="24"/>
      <c r="I7" s="28" t="s">
        <v>99</v>
      </c>
      <c r="J7" s="602"/>
      <c r="K7" s="1044" t="s">
        <v>100</v>
      </c>
      <c r="L7" s="602"/>
      <c r="M7" s="28" t="s">
        <v>101</v>
      </c>
    </row>
    <row r="8" spans="2:14" ht="11.25" customHeight="1">
      <c r="D8" s="602"/>
      <c r="F8" s="602"/>
      <c r="G8" s="377"/>
      <c r="H8" s="24"/>
      <c r="I8" s="377"/>
      <c r="J8" s="602"/>
      <c r="K8" s="377"/>
      <c r="L8" s="602"/>
      <c r="M8" s="377"/>
    </row>
    <row r="9" spans="2:14" ht="15.95" hidden="1" customHeight="1">
      <c r="B9" s="22" t="s">
        <v>4</v>
      </c>
      <c r="D9" s="64"/>
      <c r="F9" s="13"/>
      <c r="G9" s="1011">
        <v>0</v>
      </c>
      <c r="H9" s="22"/>
      <c r="I9" s="1011">
        <v>0</v>
      </c>
      <c r="J9" s="22"/>
      <c r="K9" s="1011">
        <v>0</v>
      </c>
      <c r="L9" s="6"/>
      <c r="M9" s="6">
        <v>0</v>
      </c>
    </row>
    <row r="10" spans="2:14" ht="10.5" customHeight="1">
      <c r="B10" s="603"/>
      <c r="D10" s="64"/>
      <c r="F10" s="64"/>
      <c r="G10" s="6"/>
      <c r="H10" s="18"/>
      <c r="I10" s="18"/>
      <c r="J10" s="18"/>
      <c r="K10" s="6"/>
      <c r="L10" s="6"/>
      <c r="M10" s="6"/>
    </row>
    <row r="11" spans="2:14" ht="14.25" customHeight="1">
      <c r="B11" s="22" t="s">
        <v>5</v>
      </c>
      <c r="D11" s="340"/>
      <c r="F11" s="340">
        <v>22</v>
      </c>
      <c r="G11" s="17"/>
      <c r="H11" s="341"/>
      <c r="I11" s="341"/>
      <c r="J11" s="341"/>
      <c r="K11" s="17"/>
      <c r="L11" s="17"/>
      <c r="M11" s="17"/>
    </row>
    <row r="12" spans="2:14" ht="13.9" customHeight="1">
      <c r="B12" s="13" t="s">
        <v>6</v>
      </c>
      <c r="D12" s="909" t="s">
        <v>7</v>
      </c>
      <c r="F12" s="340"/>
      <c r="G12" s="6">
        <f>SUM(-SUMIF('Balancete 06.2026'!C:C,4111,'Balancete 06.2026'!K:K),-SUMIF('Balancete 06.2026'!C:C,41110,'Balancete 06.2026'!K:K)-SUMIF('Balancete 06.2026'!C:C,413117,'Balancete 06.2026'!K:K)-SUMIF('Balancete 06.2026'!C:C,4112,'Balancete 06.2026'!K:K)-SUMIF('Balancete 06.2026'!C:C,4113,'Balancete 06.2026'!K:K))</f>
        <v>-52716</v>
      </c>
      <c r="H12" s="341"/>
      <c r="I12" s="6">
        <f>SUM(-SUMIF('Balancete trim'!B:B,4111,'Balancete trim'!J:J),-SUMIF('Balancete trim'!B:B,41110,'Balancete trim'!J:J),-SUMIF('Balancete trim'!B:B,413117,'Balancete trim'!J:J),-SUMIF('Balancete trim'!B:B,4112,'Balancete trim'!J:J),-SUMIF('Balancete trim'!B:B,4113,'Balancete trim'!J:J))</f>
        <v>-27627</v>
      </c>
      <c r="J12" s="16"/>
      <c r="K12" s="6">
        <v>-49010</v>
      </c>
      <c r="L12" s="6"/>
      <c r="M12" s="6">
        <v>-24557</v>
      </c>
      <c r="N12" s="867">
        <f>IF(AND(G12=0,K12=0),0,IF(K12=0,1,IF(G12=0,-1,(G12-K12)/K12)))</f>
        <v>7.5617220975311164E-2</v>
      </c>
    </row>
    <row r="13" spans="2:14" ht="14.25" hidden="1" customHeight="1">
      <c r="B13" s="13" t="s">
        <v>8</v>
      </c>
      <c r="D13" s="340"/>
      <c r="F13" s="340"/>
      <c r="G13" s="6">
        <v>0</v>
      </c>
      <c r="H13" s="341"/>
      <c r="I13" s="6">
        <v>0</v>
      </c>
      <c r="J13" s="16"/>
      <c r="K13" s="6">
        <v>0</v>
      </c>
      <c r="L13" s="6"/>
      <c r="M13" s="6">
        <v>0</v>
      </c>
      <c r="N13" s="867">
        <f t="shared" ref="N13:N19" si="0">IF(AND(G13=0,K13=0),0,IF(K13=0,1,IF(G13=0,-1,(G13-K13)/K13)))</f>
        <v>0</v>
      </c>
    </row>
    <row r="14" spans="2:14" ht="14.25" hidden="1" customHeight="1">
      <c r="B14" s="13" t="s">
        <v>9</v>
      </c>
      <c r="D14" s="340"/>
      <c r="F14" s="340"/>
      <c r="G14" s="6">
        <v>0</v>
      </c>
      <c r="H14" s="341"/>
      <c r="I14" s="6">
        <v>0</v>
      </c>
      <c r="J14" s="16"/>
      <c r="K14" s="6">
        <v>0</v>
      </c>
      <c r="L14" s="6"/>
      <c r="M14" s="6">
        <v>0</v>
      </c>
      <c r="N14" s="869">
        <f t="shared" si="0"/>
        <v>0</v>
      </c>
    </row>
    <row r="15" spans="2:14" ht="13.15" hidden="1">
      <c r="B15" s="13" t="s">
        <v>10</v>
      </c>
      <c r="D15" s="340"/>
      <c r="F15" s="340"/>
      <c r="G15" s="6">
        <v>0</v>
      </c>
      <c r="H15" s="341"/>
      <c r="I15" s="6">
        <f>G15</f>
        <v>0</v>
      </c>
      <c r="J15" s="16"/>
      <c r="K15" s="6">
        <v>0</v>
      </c>
      <c r="L15" s="6"/>
      <c r="M15" s="6">
        <v>0</v>
      </c>
      <c r="N15" s="867">
        <f t="shared" si="0"/>
        <v>0</v>
      </c>
    </row>
    <row r="16" spans="2:14" ht="14.25" customHeight="1">
      <c r="B16" s="13" t="s">
        <v>11</v>
      </c>
      <c r="D16" s="340" t="s">
        <v>12</v>
      </c>
      <c r="F16" s="340"/>
      <c r="G16" s="6">
        <f>-SUMIF('Balancete 06.2026'!C:C,413,'Balancete 06.2026'!K:K)+SUMIF('Balancete 06.2026'!C:C,413117,'Balancete 06.2026'!K:K)</f>
        <v>-5048</v>
      </c>
      <c r="H16" s="341"/>
      <c r="I16" s="6">
        <f>-SUMIF('Balancete trim'!B:B,413,'Balancete trim'!J:J)+SUMIF('Balancete trim'!B:B,413117,'Balancete trim'!J:J)</f>
        <v>-2577</v>
      </c>
      <c r="J16" s="16"/>
      <c r="K16" s="6">
        <v>-3630</v>
      </c>
      <c r="L16" s="6"/>
      <c r="M16" s="6">
        <v>-1331</v>
      </c>
      <c r="N16" s="867">
        <f t="shared" si="0"/>
        <v>0.39063360881542702</v>
      </c>
    </row>
    <row r="17" spans="2:15" ht="14.25" customHeight="1">
      <c r="B17" s="13" t="s">
        <v>13</v>
      </c>
      <c r="D17" s="340" t="s">
        <v>14</v>
      </c>
      <c r="F17" s="340"/>
      <c r="G17" s="6">
        <f>-SUMIF('Balancete 06.2026'!C:C,4161,'Balancete 06.2026'!K:K)</f>
        <v>-1292</v>
      </c>
      <c r="H17" s="341"/>
      <c r="I17" s="6">
        <f>-SUMIF('Balancete trim'!B:B,4161,'Balancete trim'!J:J)</f>
        <v>-643</v>
      </c>
      <c r="J17" s="16"/>
      <c r="K17" s="6">
        <v>-1369</v>
      </c>
      <c r="L17" s="6"/>
      <c r="M17" s="6">
        <v>-675</v>
      </c>
      <c r="N17" s="867">
        <f t="shared" si="0"/>
        <v>-5.6245434623813005E-2</v>
      </c>
    </row>
    <row r="18" spans="2:15" ht="14.25" customHeight="1">
      <c r="B18" s="13" t="s">
        <v>15</v>
      </c>
      <c r="D18" s="340" t="s">
        <v>16</v>
      </c>
      <c r="F18" s="340"/>
      <c r="G18" s="6">
        <f>-SUMIF('Balancete 06.2026'!C:C,4162,'Balancete 06.2026'!K:K)</f>
        <v>-2554</v>
      </c>
      <c r="H18" s="341"/>
      <c r="I18" s="6">
        <f>-SUMIF('Balancete trim'!B:B,4162,'Balancete trim'!J:J)</f>
        <v>-1293</v>
      </c>
      <c r="J18" s="16"/>
      <c r="K18" s="6">
        <v>-1457</v>
      </c>
      <c r="L18" s="6"/>
      <c r="M18" s="6">
        <v>-672</v>
      </c>
      <c r="N18" s="867">
        <f t="shared" si="0"/>
        <v>0.75291695264241587</v>
      </c>
    </row>
    <row r="19" spans="2:15" ht="14.25" customHeight="1" thickBot="1">
      <c r="B19" s="13" t="s">
        <v>17</v>
      </c>
      <c r="D19" s="340" t="s">
        <v>18</v>
      </c>
      <c r="F19" s="340"/>
      <c r="G19" s="16">
        <f>-SUMIF('Balancete 06.2026'!C:C,4141,'Balancete 06.2026'!K:K)</f>
        <v>-186</v>
      </c>
      <c r="H19" s="341"/>
      <c r="I19" s="6">
        <f>-SUMIF('Balancete trim'!B:B,4141,'Balancete trim'!J:J)</f>
        <v>-86</v>
      </c>
      <c r="J19" s="16"/>
      <c r="K19" s="6">
        <v>-189</v>
      </c>
      <c r="L19" s="6"/>
      <c r="M19" s="6">
        <v>-88</v>
      </c>
      <c r="N19" s="867">
        <f t="shared" si="0"/>
        <v>-1.5873015873015872E-2</v>
      </c>
      <c r="O19" s="342"/>
    </row>
    <row r="20" spans="2:15" ht="14.25" customHeight="1">
      <c r="D20" s="604"/>
      <c r="F20" s="604"/>
      <c r="G20" s="35">
        <f>SUM(G12:G19)</f>
        <v>-61796</v>
      </c>
      <c r="H20" s="605"/>
      <c r="I20" s="35">
        <f>SUM(I12:I19)</f>
        <v>-32226</v>
      </c>
      <c r="J20" s="5"/>
      <c r="K20" s="35">
        <f>SUM(K12:K19)</f>
        <v>-55655</v>
      </c>
      <c r="L20" s="5"/>
      <c r="M20" s="35">
        <f>SUM(M12:M19)</f>
        <v>-27323</v>
      </c>
    </row>
    <row r="21" spans="2:15" ht="14.25" customHeight="1">
      <c r="D21" s="65"/>
      <c r="F21" s="65"/>
      <c r="G21" s="594"/>
      <c r="H21"/>
      <c r="I21" s="594"/>
      <c r="J21" s="594"/>
      <c r="K21" s="594"/>
      <c r="L21" s="594"/>
      <c r="M21" s="594"/>
    </row>
    <row r="22" spans="2:15" ht="14.25" customHeight="1">
      <c r="B22" s="22" t="s">
        <v>19</v>
      </c>
      <c r="D22" s="66"/>
      <c r="F22" s="66"/>
      <c r="G22" s="19">
        <f>G9+G20</f>
        <v>-61796</v>
      </c>
      <c r="H22" s="341"/>
      <c r="I22" s="19">
        <f>I20+I9</f>
        <v>-32226</v>
      </c>
      <c r="J22" s="5"/>
      <c r="K22" s="19">
        <f>K9+K20</f>
        <v>-55655</v>
      </c>
      <c r="L22" s="5"/>
      <c r="M22" s="19">
        <f>M9+M20</f>
        <v>-27323</v>
      </c>
    </row>
    <row r="23" spans="2:15" ht="14.25" customHeight="1">
      <c r="B23" s="603"/>
      <c r="D23" s="67"/>
      <c r="F23" s="67"/>
      <c r="G23" s="20"/>
      <c r="H23" s="341"/>
      <c r="I23" s="20"/>
      <c r="J23" s="17"/>
      <c r="K23" s="20"/>
      <c r="L23" s="20"/>
      <c r="M23" s="20"/>
    </row>
    <row r="24" spans="2:15" ht="14.25" customHeight="1">
      <c r="B24" s="22" t="s">
        <v>20</v>
      </c>
      <c r="D24" s="340"/>
      <c r="F24" s="340">
        <v>22</v>
      </c>
      <c r="G24" s="17"/>
      <c r="H24" s="341"/>
      <c r="I24" s="17"/>
      <c r="J24" s="17"/>
      <c r="K24" s="17"/>
      <c r="L24" s="17"/>
      <c r="M24" s="17"/>
    </row>
    <row r="25" spans="2:15" ht="14.25" customHeight="1">
      <c r="B25" s="13" t="s">
        <v>6</v>
      </c>
      <c r="D25" s="909" t="s">
        <v>21</v>
      </c>
      <c r="F25" s="340"/>
      <c r="G25" s="6">
        <f>-SUMIF('Balancete 06.2026'!C:C,4211,'Balancete 06.2026'!K:K)-SUMIF('Balancete 06.2026'!C:C,42313,'Balancete 06.2026'!K:K)-SUMIF('Balancete 06.2026'!C:C,423117,'Balancete 06.2026'!K:K)-SUMIF('Balancete 06.2026'!C:C,423119,'Balancete 06.2026'!K:K)-SUMIF('Balancete 06.2026'!C:C,4212,'Balancete 06.2026'!K:K)-SUMIF('Balancete 06.2026'!C:C,4213,'Balancete 06.2026'!K:K)</f>
        <v>-25070</v>
      </c>
      <c r="H25" s="17"/>
      <c r="I25" s="6">
        <f>SUM(-SUMIF('Balancete trim'!B:B,4211,'Balancete trim'!J:J),-SUMIF('Balancete trim'!B:B,42313,'Balancete trim'!J:J),-SUMIF('Balancete trim'!B:B,423117,'Balancete trim'!J:J),-SUMIF('Balancete trim'!B:B,423119,'Balancete trim'!J:J)-SUMIF('Balancete trim'!B:B,4212,'Balancete trim'!J:J)-SUMIF('Balancete trim'!B:B,4213,'Balancete trim'!J:J))</f>
        <v>-13096</v>
      </c>
      <c r="J25" s="16"/>
      <c r="K25" s="6">
        <v>-22778</v>
      </c>
      <c r="L25" s="6"/>
      <c r="M25" s="6">
        <v>-11292</v>
      </c>
      <c r="N25" s="867">
        <f t="shared" ref="N25:N31" si="1">IF(AND(G25=0,K25=0),0,IF(K25=0,1,IF(G25=0,-1,(G25-K25)/K25)))</f>
        <v>0.10062340855211169</v>
      </c>
    </row>
    <row r="26" spans="2:15" ht="14.25" hidden="1" customHeight="1">
      <c r="B26" s="13" t="s">
        <v>8</v>
      </c>
      <c r="D26" s="340"/>
      <c r="F26" s="340"/>
      <c r="G26" s="6">
        <v>0</v>
      </c>
      <c r="H26" s="17"/>
      <c r="I26" s="6">
        <v>0</v>
      </c>
      <c r="J26" s="16"/>
      <c r="K26" s="6">
        <v>0</v>
      </c>
      <c r="L26" s="6"/>
      <c r="M26" s="6">
        <v>0</v>
      </c>
      <c r="N26" s="867">
        <f t="shared" si="1"/>
        <v>0</v>
      </c>
    </row>
    <row r="27" spans="2:15" ht="14.25" hidden="1" customHeight="1">
      <c r="B27" s="13" t="s">
        <v>9</v>
      </c>
      <c r="D27" s="340"/>
      <c r="F27" s="340"/>
      <c r="G27" s="6">
        <v>0</v>
      </c>
      <c r="H27" s="17"/>
      <c r="I27" s="6">
        <v>0</v>
      </c>
      <c r="J27" s="16"/>
      <c r="K27" s="6">
        <v>0</v>
      </c>
      <c r="L27" s="6"/>
      <c r="M27" s="6">
        <v>0</v>
      </c>
      <c r="N27" s="869">
        <f t="shared" si="1"/>
        <v>0</v>
      </c>
    </row>
    <row r="28" spans="2:15" ht="14.25" customHeight="1">
      <c r="B28" s="13" t="s">
        <v>10</v>
      </c>
      <c r="D28" s="340" t="s">
        <v>22</v>
      </c>
      <c r="F28" s="340"/>
      <c r="G28" s="6">
        <f>-SUMIF('Balancete 06.2026'!C:C,422,'Balancete 06.2026'!K:K)</f>
        <v>-22</v>
      </c>
      <c r="H28" s="17"/>
      <c r="I28" s="6">
        <f>-SUMIF('Balancete trim'!B:B,422,'Balancete trim'!J:J)</f>
        <v>-5</v>
      </c>
      <c r="J28" s="16"/>
      <c r="K28" s="6">
        <v>-48</v>
      </c>
      <c r="L28" s="6"/>
      <c r="M28" s="6">
        <v>-2</v>
      </c>
      <c r="N28" s="867">
        <f t="shared" si="1"/>
        <v>-0.54166666666666663</v>
      </c>
    </row>
    <row r="29" spans="2:15" ht="14.25" customHeight="1">
      <c r="B29" s="13" t="s">
        <v>11</v>
      </c>
      <c r="D29" s="340" t="s">
        <v>23</v>
      </c>
      <c r="F29" s="340"/>
      <c r="G29" s="6">
        <f>-SUMIF('Balancete 06.2026'!C:C,423,'Balancete 06.2026'!K:K)+SUMIF('Balancete 06.2026'!C:C,42313,'Balancete 06.2026'!K:K)+SUMIF('Balancete 06.2026'!C:C,423117,'Balancete 06.2026'!K:K)+SUMIF('Balancete 06.2026'!C:C,423119,'Balancete 06.2026'!K:K)-SUMIF('Balancete 06.2026'!C:C,33213,'Balancete 06.2026'!K:K)</f>
        <v>-4294</v>
      </c>
      <c r="H29" s="17"/>
      <c r="I29" s="6">
        <f>-SUMIF('Balancete trim'!B:B,423,'Balancete trim'!J:J)+SUMIF('Balancete trim'!B:B,42313,'Balancete trim'!J:J)+SUMIF('Balancete trim'!B:B,423117,'Balancete trim'!J:J)+SUMIF('Balancete trim'!B:B,423119,'Balancete trim'!J:J)-SUMIF('Balancete trim'!B:B,33213,'Balancete trim'!J:J)</f>
        <v>-2499</v>
      </c>
      <c r="J29" s="16"/>
      <c r="K29" s="6">
        <v>-3393</v>
      </c>
      <c r="L29" s="6"/>
      <c r="M29" s="6">
        <v>-1958</v>
      </c>
      <c r="N29" s="867">
        <f t="shared" si="1"/>
        <v>0.26554671382257589</v>
      </c>
      <c r="O29" s="342"/>
    </row>
    <row r="30" spans="2:15" ht="14.25" customHeight="1">
      <c r="B30" s="13" t="s">
        <v>13</v>
      </c>
      <c r="D30" s="340" t="s">
        <v>25</v>
      </c>
      <c r="F30" s="340"/>
      <c r="G30" s="6">
        <f>-SUMIF('Balancete 06.2026'!C:C,4261,'Balancete 06.2026'!K:K)-SUMIF('Balancete 06.2026'!C:C,42994,'Balancete 06.2026'!K:K)</f>
        <v>-3281</v>
      </c>
      <c r="H30" s="17"/>
      <c r="I30" s="6">
        <f>-SUMIF('Balancete trim'!B:B,4261,'Balancete trim'!J:J)-SUMIF('Balancete trim'!B:B,42994,'Balancete trim'!J:J)</f>
        <v>-1647</v>
      </c>
      <c r="J30" s="16"/>
      <c r="K30" s="6">
        <v>-3430</v>
      </c>
      <c r="L30" s="6"/>
      <c r="M30" s="6">
        <v>-1707</v>
      </c>
      <c r="N30" s="867">
        <f t="shared" si="1"/>
        <v>-4.3440233236151607E-2</v>
      </c>
    </row>
    <row r="31" spans="2:15" ht="14.25" customHeight="1">
      <c r="B31" s="13" t="s">
        <v>15</v>
      </c>
      <c r="D31" s="340" t="s">
        <v>26</v>
      </c>
      <c r="F31" s="340"/>
      <c r="G31" s="16">
        <f>-SUMIF('Balancete 06.2026'!C:C,4262,'Balancete 06.2026'!K:K)</f>
        <v>-2427</v>
      </c>
      <c r="H31" s="341"/>
      <c r="I31" s="6">
        <f>-SUMIF('Balancete trim'!B:B,4262,'Balancete trim'!J:J)</f>
        <v>-1256</v>
      </c>
      <c r="J31" s="16"/>
      <c r="K31" s="16">
        <v>-1250</v>
      </c>
      <c r="L31" s="16"/>
      <c r="M31" s="16">
        <v>-617</v>
      </c>
      <c r="N31" s="867">
        <f t="shared" si="1"/>
        <v>0.94159999999999999</v>
      </c>
    </row>
    <row r="32" spans="2:15" ht="14.25" customHeight="1" thickBot="1">
      <c r="B32" s="13" t="s">
        <v>17</v>
      </c>
      <c r="D32" s="340" t="s">
        <v>24</v>
      </c>
      <c r="F32" s="340"/>
      <c r="G32" s="6">
        <f>-SUMIF('Balancete 06.2026'!C:C,424,'Balancete 06.2026'!K:K)</f>
        <v>-454</v>
      </c>
      <c r="H32" s="17"/>
      <c r="I32" s="6">
        <f>-SUMIF('Balancete trim'!B:B,424,'Balancete trim'!J:J)</f>
        <v>-113</v>
      </c>
      <c r="J32" s="16"/>
      <c r="K32" s="6">
        <v>-103</v>
      </c>
      <c r="L32" s="6"/>
      <c r="M32" s="6">
        <v>-48</v>
      </c>
      <c r="N32" s="869">
        <f>IF(AND(G32=0,K32=0),0,IF(K32=0,1,IF(G32=0,-1,(G32-K32)/K32)))</f>
        <v>3.407766990291262</v>
      </c>
    </row>
    <row r="33" spans="2:18" ht="14.25" hidden="1" customHeight="1" thickBot="1">
      <c r="B33" s="13" t="s">
        <v>102</v>
      </c>
      <c r="D33" s="340"/>
      <c r="F33" s="340"/>
      <c r="G33" s="6">
        <f>-SUMIF('Balancete 06.2026'!C:C,42541,'Balancete 06.2026'!K:K)</f>
        <v>0</v>
      </c>
      <c r="H33" s="17"/>
      <c r="I33" s="6">
        <f>-SUMIF('Balancete trim'!B:B,42541,'Balancete trim'!J:J)</f>
        <v>0</v>
      </c>
      <c r="J33" s="16"/>
      <c r="K33" s="6">
        <v>0</v>
      </c>
      <c r="L33" s="6"/>
      <c r="M33" s="6">
        <v>0</v>
      </c>
      <c r="N33" s="869"/>
    </row>
    <row r="34" spans="2:18" ht="14.25" customHeight="1">
      <c r="D34" s="65"/>
      <c r="F34" s="65"/>
      <c r="G34" s="35">
        <f>SUM(G25:G33)</f>
        <v>-35548</v>
      </c>
      <c r="H34" s="18"/>
      <c r="I34" s="35">
        <f>SUM(I25:I33)</f>
        <v>-18616</v>
      </c>
      <c r="J34" s="5"/>
      <c r="K34" s="35">
        <f>SUM(K25:K33)</f>
        <v>-31002</v>
      </c>
      <c r="L34" s="5"/>
      <c r="M34" s="35">
        <f>SUM(M25:M33)</f>
        <v>-15624</v>
      </c>
    </row>
    <row r="35" spans="2:18" ht="14.25" customHeight="1">
      <c r="D35" s="65"/>
      <c r="F35" s="65"/>
      <c r="G35" s="5"/>
      <c r="H35" s="18"/>
      <c r="I35" s="5"/>
      <c r="J35" s="5"/>
      <c r="K35" s="5"/>
      <c r="L35" s="5"/>
      <c r="M35" s="5"/>
      <c r="O35" s="342"/>
    </row>
    <row r="36" spans="2:18" ht="14.25" customHeight="1">
      <c r="B36" s="22" t="s">
        <v>28</v>
      </c>
      <c r="D36" s="340"/>
      <c r="F36" s="340"/>
      <c r="G36" s="16"/>
      <c r="H36" s="17"/>
      <c r="I36" s="16"/>
      <c r="J36" s="16"/>
      <c r="K36" s="16"/>
      <c r="L36" s="16"/>
      <c r="M36" s="16"/>
    </row>
    <row r="37" spans="2:18" ht="13.15">
      <c r="B37" s="13" t="s">
        <v>29</v>
      </c>
      <c r="D37" s="602"/>
      <c r="F37" s="340">
        <v>23</v>
      </c>
      <c r="G37" s="16">
        <f>-SUMIF('Balancete 06.2026'!C:C,311,'Balancete 06.2026'!K:K)</f>
        <v>75966</v>
      </c>
      <c r="H37" s="341"/>
      <c r="I37" s="16">
        <f>-SUMIF('Balancete trim'!B:B,311,'Balancete trim'!J:J)</f>
        <v>32704</v>
      </c>
      <c r="J37" s="16"/>
      <c r="K37" s="16">
        <v>85919</v>
      </c>
      <c r="L37" s="602"/>
      <c r="M37" s="16">
        <v>43033</v>
      </c>
    </row>
    <row r="38" spans="2:18" ht="14.25" customHeight="1">
      <c r="B38" s="13" t="s">
        <v>31</v>
      </c>
      <c r="D38" s="340"/>
      <c r="F38" s="340">
        <v>24</v>
      </c>
      <c r="G38" s="16">
        <f>-SUMIF('Balancete 06.2026'!C:C,33212,'Balancete 06.2026'!K:K)</f>
        <v>3818</v>
      </c>
      <c r="H38" s="341"/>
      <c r="I38" s="16">
        <f>-SUMIF('Balancete trim'!B:B,33212,'Balancete trim'!J:J)</f>
        <v>671</v>
      </c>
      <c r="J38" s="16"/>
      <c r="K38" s="16">
        <v>0</v>
      </c>
      <c r="L38" s="16"/>
      <c r="M38" s="16">
        <v>0</v>
      </c>
      <c r="N38" s="869">
        <f>IF(AND(G38=0,K38=0),0,IF(K38=0,1,IF(G38=0,-1,(G38-K38)/K38)))</f>
        <v>1</v>
      </c>
    </row>
    <row r="39" spans="2:18" ht="13.9" thickBot="1">
      <c r="B39" s="13" t="s">
        <v>32</v>
      </c>
      <c r="D39" s="340" t="s">
        <v>33</v>
      </c>
      <c r="F39" s="340"/>
      <c r="G39" s="16">
        <f>-SUMIF('Balancete 06.2026'!C:C,3361,'Balancete 06.2026'!K:K)-SUMIF('Balancete 06.2026'!C:C,33910,'Balancete 06.2026'!K:K)</f>
        <v>3112</v>
      </c>
      <c r="H39" s="341"/>
      <c r="I39" s="6">
        <f>-SUMIF('Balancete trim'!B:B,3361,'Balancete trim'!J:J)</f>
        <v>3112</v>
      </c>
      <c r="J39" s="16"/>
      <c r="K39" s="6">
        <v>473</v>
      </c>
      <c r="L39" s="6"/>
      <c r="M39" s="6">
        <v>1</v>
      </c>
      <c r="N39" s="867">
        <f>IF(AND(G39=0,K39=0),0,IF(K39=0,1,IF(G39=0,-1,(G39-K39)/K39)))</f>
        <v>5.5792811839323466</v>
      </c>
      <c r="O39" s="342"/>
    </row>
    <row r="40" spans="2:18" ht="14.25" hidden="1" customHeight="1" thickBot="1">
      <c r="B40" s="13" t="s">
        <v>34</v>
      </c>
      <c r="D40" s="340"/>
      <c r="F40" s="340"/>
      <c r="G40" s="16">
        <v>0</v>
      </c>
      <c r="H40" s="341"/>
      <c r="I40" s="6">
        <v>0</v>
      </c>
      <c r="J40" s="16"/>
      <c r="K40" s="6">
        <v>0</v>
      </c>
      <c r="L40" s="6"/>
      <c r="M40" s="6">
        <f>-SUMIF('Balancete trim 2023'!B:B,33991,'Balancete trim 2023'!J:J)</f>
        <v>0</v>
      </c>
      <c r="N40" s="867">
        <f>IF(AND(G40=0,K40=0),0,IF(K40=0,1,IF(G40=0,-1,(G40-K40)/K40)))</f>
        <v>0</v>
      </c>
    </row>
    <row r="41" spans="2:18" ht="14.25" customHeight="1">
      <c r="B41" s="603"/>
      <c r="D41" s="68"/>
      <c r="F41" s="68"/>
      <c r="G41" s="21">
        <f>SUM(G37:G40)</f>
        <v>82896</v>
      </c>
      <c r="H41" s="605"/>
      <c r="I41" s="21">
        <f>SUM(I37:I40)</f>
        <v>36487</v>
      </c>
      <c r="J41" s="5"/>
      <c r="K41" s="21">
        <f>SUM(K37:K40)</f>
        <v>86392</v>
      </c>
      <c r="L41" s="5"/>
      <c r="M41" s="21">
        <f>SUM(M37:M40)</f>
        <v>43034</v>
      </c>
    </row>
    <row r="42" spans="2:18" ht="14.25" customHeight="1">
      <c r="B42" s="603"/>
      <c r="D42" s="64"/>
      <c r="F42" s="64"/>
      <c r="G42" s="18"/>
      <c r="H42" s="18"/>
      <c r="I42" s="18"/>
      <c r="J42" s="18"/>
      <c r="K42" s="18"/>
      <c r="L42" s="18"/>
      <c r="M42" s="18"/>
    </row>
    <row r="43" spans="2:18" ht="27.2" customHeight="1">
      <c r="B43" s="606" t="s">
        <v>35</v>
      </c>
      <c r="D43" s="66"/>
      <c r="F43" s="66"/>
      <c r="G43" s="4">
        <f>G41+G34+G22</f>
        <v>-14448</v>
      </c>
      <c r="H43" s="341"/>
      <c r="I43" s="4">
        <f>I41+I34+I22</f>
        <v>-14355</v>
      </c>
      <c r="J43" s="5"/>
      <c r="K43" s="4">
        <f>K41+K34+K22</f>
        <v>-265</v>
      </c>
      <c r="L43" s="4"/>
      <c r="M43" s="4">
        <f>M41+M34+M22</f>
        <v>87</v>
      </c>
    </row>
    <row r="44" spans="2:18" ht="9.1999999999999993" customHeight="1">
      <c r="B44" s="603"/>
      <c r="D44" s="64"/>
      <c r="F44" s="64"/>
      <c r="G44"/>
      <c r="H44"/>
      <c r="I44"/>
      <c r="J44"/>
      <c r="K44"/>
      <c r="L44"/>
      <c r="M44"/>
    </row>
    <row r="45" spans="2:18" ht="14.25" customHeight="1">
      <c r="B45" s="13" t="s">
        <v>36</v>
      </c>
      <c r="D45" s="340" t="s">
        <v>37</v>
      </c>
      <c r="F45" s="340">
        <v>25</v>
      </c>
      <c r="G45" s="6">
        <f>-SUMIF('Balancete 06.2026'!C:C,331,'Balancete 06.2026'!K:K)</f>
        <v>539</v>
      </c>
      <c r="H45" s="18"/>
      <c r="I45" s="6">
        <f>-SUMIF('Balancete trim'!B:B,331,'Balancete trim'!J:J)</f>
        <v>253</v>
      </c>
      <c r="J45" s="16"/>
      <c r="K45" s="6">
        <v>392</v>
      </c>
      <c r="L45" s="6"/>
      <c r="M45" s="6">
        <v>168</v>
      </c>
      <c r="N45" s="869">
        <f>IF(AND(G45=0,K45=0),0,IF(K45=0,1,IF(G45=0,-1,(G45-K45)/K45)))</f>
        <v>0.375</v>
      </c>
      <c r="R45" s="911"/>
    </row>
    <row r="46" spans="2:18" ht="14.25" customHeight="1">
      <c r="B46" s="13" t="s">
        <v>38</v>
      </c>
      <c r="D46" s="340" t="s">
        <v>39</v>
      </c>
      <c r="F46" s="340">
        <v>25</v>
      </c>
      <c r="G46" s="6">
        <f>-SUMIF('Balancete 06.2026'!C:C,427,'Balancete 06.2026'!K:K)</f>
        <v>-766</v>
      </c>
      <c r="H46" s="17"/>
      <c r="I46" s="6">
        <f>-SUMIF('Balancete trim'!B:B,427,'Balancete trim'!J:J)</f>
        <v>-439</v>
      </c>
      <c r="J46" s="16"/>
      <c r="K46" s="6">
        <v>-803</v>
      </c>
      <c r="L46" s="6"/>
      <c r="M46" s="6">
        <v>-306</v>
      </c>
      <c r="N46" s="867">
        <f>IF(AND(G46=0,K46=0),0,IF(K46=0,1,IF(G46=0,-1,(G46-K46)/K46)))</f>
        <v>-4.6077210460772101E-2</v>
      </c>
    </row>
    <row r="47" spans="2:18" ht="3" customHeight="1" thickBot="1">
      <c r="B47" s="603"/>
      <c r="D47" s="64"/>
      <c r="F47" s="64"/>
      <c r="G47" s="116"/>
      <c r="H47" s="18"/>
      <c r="I47" s="116"/>
      <c r="J47" s="18"/>
      <c r="K47" s="116"/>
      <c r="L47" s="18"/>
      <c r="M47" s="116"/>
    </row>
    <row r="48" spans="2:18" ht="14.25" customHeight="1">
      <c r="C48" s="607"/>
      <c r="D48" s="68"/>
      <c r="E48" s="607"/>
      <c r="F48" s="68"/>
      <c r="G48" s="4">
        <f>SUM(G45:G47)</f>
        <v>-227</v>
      </c>
      <c r="H48" s="36"/>
      <c r="I48" s="4">
        <f>SUM(I45:I47)</f>
        <v>-186</v>
      </c>
      <c r="J48" s="5"/>
      <c r="K48" s="4">
        <f>SUM(K45:K47)</f>
        <v>-411</v>
      </c>
      <c r="L48" s="4"/>
      <c r="M48" s="4">
        <f>SUM(M45:M47)</f>
        <v>-138</v>
      </c>
    </row>
    <row r="49" spans="2:18" ht="14.25" customHeight="1">
      <c r="C49" s="607"/>
      <c r="D49" s="69"/>
      <c r="E49" s="607"/>
      <c r="F49" s="69"/>
      <c r="G49" s="37"/>
      <c r="H49" s="36"/>
      <c r="I49" s="37"/>
      <c r="J49" s="26"/>
      <c r="K49" s="37"/>
      <c r="L49" s="26"/>
      <c r="M49" s="37"/>
      <c r="R49" s="912"/>
    </row>
    <row r="50" spans="2:18" s="22" customFormat="1" ht="14.25" customHeight="1">
      <c r="B50" s="22" t="s">
        <v>103</v>
      </c>
      <c r="C50" s="608"/>
      <c r="D50" s="69"/>
      <c r="E50" s="608"/>
      <c r="F50" s="69"/>
      <c r="G50" s="4">
        <f>+G43+G48</f>
        <v>-14675</v>
      </c>
      <c r="H50" s="26"/>
      <c r="I50" s="4">
        <f>+I43+I48</f>
        <v>-14541</v>
      </c>
      <c r="J50" s="5"/>
      <c r="K50" s="4">
        <f>+K43+K48</f>
        <v>-676</v>
      </c>
      <c r="L50" s="4"/>
      <c r="M50" s="4">
        <f>+M43+M48</f>
        <v>-51</v>
      </c>
      <c r="N50" s="867"/>
      <c r="O50" s="342"/>
      <c r="P50" s="342"/>
    </row>
    <row r="51" spans="2:18" ht="6.75" customHeight="1">
      <c r="C51" s="607"/>
      <c r="D51" s="69"/>
      <c r="E51" s="607"/>
      <c r="F51" s="69"/>
      <c r="G51" s="26"/>
      <c r="H51" s="36"/>
      <c r="I51" s="26"/>
      <c r="J51" s="26"/>
      <c r="K51" s="26"/>
      <c r="L51" s="26"/>
      <c r="M51" s="26"/>
    </row>
    <row r="52" spans="2:18" ht="14.25" customHeight="1">
      <c r="B52" s="607" t="s">
        <v>41</v>
      </c>
      <c r="C52" s="603"/>
      <c r="D52" s="340"/>
      <c r="E52" s="603"/>
      <c r="F52" s="340">
        <v>26</v>
      </c>
      <c r="G52" s="6">
        <f>SUM(-SUMIF('Balancete 06.2026'!C:C,4251,'Balancete 06.2026'!K:K),-SUMIF('Balancete 06.2026'!C:C,4252,'Balancete 06.2026'!K:K))</f>
        <v>-6</v>
      </c>
      <c r="H52" s="17"/>
      <c r="I52" s="6">
        <f>-SUMIF('Balancete trim'!B:B,4251,'Balancete trim'!J:J)-SUMIF('Balancete trim'!B:B,4252,'Balancete trim'!J:J)</f>
        <v>0</v>
      </c>
      <c r="J52" s="16"/>
      <c r="K52" s="6">
        <v>0</v>
      </c>
      <c r="L52" s="6"/>
      <c r="M52" s="6">
        <v>0</v>
      </c>
      <c r="R52" s="911"/>
    </row>
    <row r="53" spans="2:18" ht="15" customHeight="1" thickBot="1">
      <c r="B53" s="607"/>
      <c r="C53" s="603"/>
      <c r="D53" s="340"/>
      <c r="E53" s="603"/>
      <c r="F53" s="340"/>
      <c r="G53" s="27"/>
      <c r="H53" s="15"/>
      <c r="I53" s="27"/>
      <c r="J53" s="15"/>
      <c r="K53" s="27"/>
      <c r="L53" s="15"/>
      <c r="M53" s="27"/>
    </row>
    <row r="54" spans="2:18" ht="14.25" customHeight="1" thickBot="1">
      <c r="B54" s="608" t="s">
        <v>104</v>
      </c>
      <c r="D54" s="340"/>
      <c r="F54" s="340"/>
      <c r="G54" s="38">
        <f>+G50+G52</f>
        <v>-14681</v>
      </c>
      <c r="H54" s="5"/>
      <c r="I54" s="38">
        <f>+I50+I52</f>
        <v>-14541</v>
      </c>
      <c r="J54" s="5"/>
      <c r="K54" s="38">
        <f>+K50+K52</f>
        <v>-676</v>
      </c>
      <c r="L54" s="5"/>
      <c r="M54" s="38">
        <f>+M50+M52</f>
        <v>-51</v>
      </c>
    </row>
    <row r="55" spans="2:18" ht="14.25" customHeight="1" thickTop="1">
      <c r="C55" s="341"/>
      <c r="D55" s="11"/>
      <c r="E55" s="341"/>
      <c r="F55" s="11"/>
      <c r="G55" s="11"/>
      <c r="K55" s="11"/>
      <c r="L55" s="11"/>
    </row>
    <row r="56" spans="2:18" ht="14.25" customHeight="1">
      <c r="B56" s="13" t="str">
        <f>BP!B56</f>
        <v>As notas explicativas são parte integrante das informações financeiras intermediárias.</v>
      </c>
      <c r="C56" s="341"/>
      <c r="D56" s="11"/>
      <c r="E56" s="341"/>
      <c r="F56" s="11"/>
      <c r="G56" s="11"/>
      <c r="K56" s="11"/>
      <c r="L56" s="11"/>
    </row>
    <row r="57" spans="2:18" ht="25.5" customHeight="1">
      <c r="C57" s="341"/>
      <c r="D57" s="11"/>
      <c r="E57" s="341"/>
      <c r="F57" s="11"/>
      <c r="G57" s="11">
        <f>G54+14681</f>
        <v>0</v>
      </c>
      <c r="I57" s="11">
        <f>I54+14541</f>
        <v>0</v>
      </c>
      <c r="K57" s="11">
        <f>K54+676</f>
        <v>0</v>
      </c>
      <c r="L57" s="11"/>
      <c r="M57" s="11">
        <f>M54+51</f>
        <v>0</v>
      </c>
    </row>
    <row r="58" spans="2:18" ht="14.25" customHeight="1">
      <c r="D58" s="11"/>
      <c r="F58" s="11"/>
      <c r="G58" s="11"/>
      <c r="K58" s="11"/>
      <c r="L58" s="11"/>
    </row>
    <row r="59" spans="2:18" ht="14.25" customHeight="1">
      <c r="D59" s="11"/>
      <c r="F59" s="11"/>
      <c r="G59" s="11"/>
      <c r="K59" s="11"/>
      <c r="L59" s="11"/>
    </row>
    <row r="60" spans="2:18" ht="14.25" customHeight="1">
      <c r="G60" s="61"/>
    </row>
    <row r="61" spans="2:18" ht="14.25" customHeight="1">
      <c r="G61" s="61"/>
    </row>
    <row r="62" spans="2:18" ht="14.25" customHeight="1">
      <c r="G62" s="62"/>
    </row>
  </sheetData>
  <mergeCells count="4">
    <mergeCell ref="B2:L2"/>
    <mergeCell ref="B3:L3"/>
    <mergeCell ref="B4:L4"/>
    <mergeCell ref="B5:L5"/>
  </mergeCells>
  <printOptions horizontalCentered="1"/>
  <pageMargins left="0.39370078740157483" right="0.39370078740157483" top="0.98425196850393704" bottom="0.78740157480314965" header="0.39370078740157483" footer="0.39370078740157483"/>
  <pageSetup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  <pageSetUpPr fitToPage="1"/>
  </sheetPr>
  <dimension ref="A2:P22"/>
  <sheetViews>
    <sheetView showGridLines="0" topLeftCell="A4" zoomScale="145" zoomScaleNormal="145" workbookViewId="0">
      <selection activeCell="G19" sqref="G19"/>
    </sheetView>
  </sheetViews>
  <sheetFormatPr defaultColWidth="9.28515625" defaultRowHeight="14.25" customHeight="1"/>
  <cols>
    <col min="1" max="1" width="2.42578125" style="1" customWidth="1"/>
    <col min="2" max="2" width="30.5703125" style="1" customWidth="1"/>
    <col min="3" max="3" width="9.28515625" style="1" customWidth="1"/>
    <col min="4" max="5" width="2.7109375" style="1" customWidth="1"/>
    <col min="6" max="6" width="1.28515625" style="10" customWidth="1"/>
    <col min="7" max="7" width="13.5703125" style="14" customWidth="1"/>
    <col min="8" max="8" width="2.7109375" style="14" customWidth="1"/>
    <col min="9" max="9" width="13.5703125" style="14" customWidth="1"/>
    <col min="10" max="10" width="2.140625" style="1" customWidth="1"/>
    <col min="11" max="11" width="15.28515625" style="1" customWidth="1"/>
    <col min="12" max="12" width="2.7109375" style="1" customWidth="1"/>
    <col min="13" max="13" width="12.85546875" style="1" customWidth="1"/>
    <col min="14" max="14" width="14.5703125" style="7" bestFit="1" customWidth="1"/>
    <col min="15" max="15" width="12.7109375" style="7" bestFit="1" customWidth="1"/>
    <col min="16" max="16" width="11.5703125" style="1" bestFit="1" customWidth="1"/>
    <col min="17" max="16384" width="9.28515625" style="1"/>
  </cols>
  <sheetData>
    <row r="2" spans="1:16" ht="14.25" customHeight="1">
      <c r="B2" s="1054" t="str">
        <f>[2]BP!B2</f>
        <v>Empresa de Pesquisa Energética - EPE</v>
      </c>
      <c r="C2" s="1054"/>
      <c r="D2" s="1054"/>
      <c r="E2" s="1054"/>
      <c r="F2" s="1054"/>
      <c r="G2" s="1054"/>
      <c r="H2" s="1054"/>
      <c r="I2" s="1054"/>
      <c r="J2" s="1054"/>
      <c r="K2" s="1054"/>
      <c r="L2" s="1054"/>
    </row>
    <row r="3" spans="1:16" ht="14.25" customHeight="1">
      <c r="B3" s="1055" t="str">
        <f>[2]BP!B3</f>
        <v>CNPJ 06.977.747/0001-80</v>
      </c>
      <c r="C3" s="1055"/>
      <c r="D3" s="1055"/>
      <c r="E3" s="1055"/>
      <c r="F3" s="1055"/>
      <c r="G3" s="1055"/>
      <c r="H3" s="1055"/>
      <c r="I3" s="1055"/>
      <c r="J3" s="1055"/>
      <c r="K3" s="1055"/>
      <c r="L3" s="1055"/>
    </row>
    <row r="4" spans="1:16" ht="14.25" customHeight="1">
      <c r="B4" s="1054" t="s">
        <v>105</v>
      </c>
      <c r="C4" s="1054"/>
      <c r="D4" s="1054"/>
      <c r="E4" s="1054"/>
      <c r="F4" s="1054"/>
      <c r="G4" s="1054"/>
      <c r="H4" s="1054"/>
      <c r="I4" s="1054"/>
      <c r="J4" s="1054"/>
      <c r="K4" s="1054"/>
      <c r="L4" s="1054"/>
    </row>
    <row r="5" spans="1:16" ht="14.25" customHeight="1">
      <c r="B5" s="1055" t="s">
        <v>46</v>
      </c>
      <c r="C5" s="1055"/>
      <c r="D5" s="1055"/>
      <c r="E5" s="1055"/>
      <c r="F5" s="1055"/>
      <c r="G5" s="1055"/>
      <c r="H5" s="1055"/>
      <c r="I5" s="1055"/>
      <c r="J5" s="1055"/>
      <c r="K5" s="1055"/>
      <c r="L5" s="1055"/>
    </row>
    <row r="6" spans="1:16" ht="14.25" customHeight="1">
      <c r="B6" s="13"/>
      <c r="C6" s="13"/>
      <c r="D6" s="13"/>
      <c r="E6" s="13"/>
      <c r="F6" s="14"/>
      <c r="J6" s="13"/>
      <c r="K6" s="13"/>
      <c r="L6" s="13"/>
    </row>
    <row r="7" spans="1:16" ht="40.15" thickBot="1">
      <c r="B7" s="13"/>
      <c r="C7" s="13"/>
      <c r="D7" s="13"/>
      <c r="E7" s="13"/>
      <c r="F7" s="602"/>
      <c r="G7" s="1010" t="str">
        <f>DRE!G7</f>
        <v>01/01/2026 a 30/06/2026 (Acumulado)</v>
      </c>
      <c r="H7" s="377"/>
      <c r="I7" s="1010" t="str">
        <f>DRE!I7</f>
        <v>01/04/2026 a 30/06/2026 (Trimestre)</v>
      </c>
      <c r="J7" s="24"/>
      <c r="K7" s="1010" t="str">
        <f>DRE!K7</f>
        <v>01/01/2025 a 30/06/2025 (Acumulado)</v>
      </c>
      <c r="L7" s="13"/>
      <c r="M7" s="1010" t="str">
        <f>DRE!M7</f>
        <v>01/04/2025 a 30/06/2025 (Trimestre)</v>
      </c>
    </row>
    <row r="8" spans="1:16" ht="13.15">
      <c r="B8" s="607"/>
      <c r="C8" s="603"/>
      <c r="D8" s="13"/>
      <c r="E8" s="13"/>
      <c r="F8" s="15"/>
      <c r="G8" s="15"/>
      <c r="H8" s="15"/>
      <c r="I8" s="15"/>
      <c r="J8" s="15"/>
      <c r="K8" s="15"/>
      <c r="L8" s="13"/>
    </row>
    <row r="9" spans="1:16" ht="14.25" customHeight="1">
      <c r="B9" s="608" t="s">
        <v>104</v>
      </c>
      <c r="C9" s="13"/>
      <c r="D9" s="13"/>
      <c r="E9" s="13"/>
      <c r="F9" s="5"/>
      <c r="G9" s="5">
        <f>DRE!G54</f>
        <v>-14681</v>
      </c>
      <c r="H9" s="5"/>
      <c r="I9" s="5">
        <f>DRE!I54</f>
        <v>-14541</v>
      </c>
      <c r="J9" s="5"/>
      <c r="K9" s="5">
        <f>DRE!K54</f>
        <v>-676</v>
      </c>
      <c r="L9" s="13"/>
      <c r="M9" s="5">
        <f>DRE!M54</f>
        <v>-51</v>
      </c>
    </row>
    <row r="10" spans="1:16" ht="14.25" customHeight="1">
      <c r="B10" s="608"/>
      <c r="C10" s="341"/>
      <c r="D10" s="13"/>
      <c r="E10" s="13"/>
      <c r="F10" s="11"/>
      <c r="G10" s="11"/>
      <c r="H10" s="11"/>
      <c r="I10" s="13"/>
      <c r="J10" s="13"/>
      <c r="K10" s="11"/>
      <c r="L10" s="13"/>
    </row>
    <row r="11" spans="1:16" ht="13.15">
      <c r="B11" s="607" t="s">
        <v>106</v>
      </c>
      <c r="C11" s="341"/>
      <c r="D11" s="13"/>
      <c r="E11" s="13"/>
      <c r="F11" s="11"/>
      <c r="G11" s="11">
        <v>0</v>
      </c>
      <c r="H11" s="11"/>
      <c r="I11" s="11">
        <v>0</v>
      </c>
      <c r="J11" s="13"/>
      <c r="K11" s="11">
        <v>0</v>
      </c>
      <c r="L11" s="13"/>
      <c r="M11" s="11">
        <v>0</v>
      </c>
    </row>
    <row r="12" spans="1:16" ht="14.25" customHeight="1">
      <c r="B12" s="13"/>
      <c r="C12" s="13"/>
      <c r="D12" s="13"/>
      <c r="E12" s="13"/>
      <c r="F12" s="11"/>
      <c r="G12" s="16"/>
      <c r="H12" s="16"/>
      <c r="I12" s="13"/>
      <c r="J12" s="13"/>
      <c r="K12" s="16"/>
      <c r="L12" s="13"/>
    </row>
    <row r="13" spans="1:16" s="10" customFormat="1" ht="14.25" customHeight="1" thickBot="1">
      <c r="A13" s="1"/>
      <c r="B13" s="608" t="s">
        <v>107</v>
      </c>
      <c r="C13" s="13"/>
      <c r="D13" s="13"/>
      <c r="E13" s="13"/>
      <c r="F13" s="14"/>
      <c r="G13" s="910">
        <f>SUM(G9:G12)</f>
        <v>-14681</v>
      </c>
      <c r="H13" s="321"/>
      <c r="I13" s="910">
        <f>SUM(I9:I12)</f>
        <v>-14541</v>
      </c>
      <c r="J13" s="5"/>
      <c r="K13" s="3">
        <f>SUM(K9:K12)</f>
        <v>-676</v>
      </c>
      <c r="L13" s="13"/>
      <c r="M13" s="910">
        <f>SUM(M9:M12)</f>
        <v>-51</v>
      </c>
      <c r="N13" s="7"/>
      <c r="O13" s="7"/>
      <c r="P13" s="1"/>
    </row>
    <row r="14" spans="1:16" s="10" customFormat="1" ht="14.25" hidden="1" customHeight="1">
      <c r="A14" s="1"/>
      <c r="B14" s="13"/>
      <c r="C14" s="13"/>
      <c r="D14" s="13"/>
      <c r="E14" s="13"/>
      <c r="F14" s="14"/>
      <c r="G14" s="14">
        <f>SUM(G9:G12)</f>
        <v>-14681</v>
      </c>
      <c r="H14" s="14"/>
      <c r="I14" s="14"/>
      <c r="J14" s="13"/>
      <c r="K14" s="14">
        <f>SUM(K9:K12)</f>
        <v>-676</v>
      </c>
      <c r="L14" s="13"/>
      <c r="M14" s="1"/>
      <c r="N14" s="7"/>
      <c r="O14" s="7"/>
      <c r="P14" s="1"/>
    </row>
    <row r="15" spans="1:16" ht="14.25" customHeight="1" thickTop="1">
      <c r="B15" s="13"/>
      <c r="C15" s="13"/>
      <c r="D15" s="13"/>
      <c r="E15" s="13"/>
      <c r="F15" s="14"/>
      <c r="J15" s="13"/>
      <c r="K15" s="13"/>
      <c r="L15" s="13"/>
    </row>
    <row r="16" spans="1:16" ht="14.25" customHeight="1">
      <c r="B16" s="13" t="str">
        <f>BP!B56</f>
        <v>As notas explicativas são parte integrante das informações financeiras intermediárias.</v>
      </c>
      <c r="C16" s="13"/>
      <c r="D16" s="13"/>
      <c r="E16" s="13"/>
      <c r="F16" s="14"/>
      <c r="J16" s="13"/>
      <c r="K16" s="13"/>
      <c r="L16" s="13"/>
    </row>
    <row r="21" spans="7:13" ht="14.25" customHeight="1">
      <c r="G21" s="9">
        <f>G13-DRE!G54</f>
        <v>0</v>
      </c>
      <c r="I21" s="9">
        <f>I13-DRE!I54</f>
        <v>0</v>
      </c>
      <c r="K21" s="9">
        <f>K13-DRE!K54</f>
        <v>0</v>
      </c>
      <c r="M21" s="9">
        <f>M13-DRE!M54</f>
        <v>0</v>
      </c>
    </row>
    <row r="22" spans="7:13" ht="14.25" customHeight="1">
      <c r="I22" s="9"/>
    </row>
  </sheetData>
  <mergeCells count="4">
    <mergeCell ref="B2:L2"/>
    <mergeCell ref="B3:L3"/>
    <mergeCell ref="B4:L4"/>
    <mergeCell ref="B5:L5"/>
  </mergeCells>
  <printOptions horizontalCentered="1"/>
  <pageMargins left="0.39370078740157483" right="0.39370078740157483" top="0.98425196850393704" bottom="0.78740157480314965" header="0.39370078740157483" footer="0.3937007874015748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B5:Q68"/>
  <sheetViews>
    <sheetView showGridLines="0" topLeftCell="A11" zoomScale="115" zoomScaleNormal="115" zoomScaleSheetLayoutView="90" workbookViewId="0">
      <selection activeCell="J70" sqref="J70"/>
    </sheetView>
  </sheetViews>
  <sheetFormatPr defaultColWidth="9.28515625" defaultRowHeight="13.15"/>
  <cols>
    <col min="1" max="1" width="3" style="1" customWidth="1"/>
    <col min="2" max="2" width="34.28515625" style="1" customWidth="1"/>
    <col min="3" max="3" width="12.28515625" style="1" customWidth="1"/>
    <col min="4" max="4" width="15" style="1" customWidth="1"/>
    <col min="5" max="5" width="1.5703125" style="1" customWidth="1"/>
    <col min="6" max="6" width="14.7109375" style="1" hidden="1" customWidth="1"/>
    <col min="7" max="7" width="2.7109375" style="1" hidden="1" customWidth="1"/>
    <col min="8" max="8" width="9" style="1" hidden="1" customWidth="1"/>
    <col min="9" max="9" width="2.7109375" style="1" hidden="1" customWidth="1"/>
    <col min="10" max="10" width="19.28515625" style="1" customWidth="1"/>
    <col min="11" max="11" width="2.7109375" style="1" customWidth="1"/>
    <col min="12" max="12" width="16.28515625" style="1" customWidth="1"/>
    <col min="13" max="13" width="2.7109375" style="1" bestFit="1" customWidth="1"/>
    <col min="14" max="14" width="20" style="1" customWidth="1"/>
    <col min="15" max="15" width="7.85546875" style="1" bestFit="1" customWidth="1"/>
    <col min="16" max="16384" width="9.28515625" style="1"/>
  </cols>
  <sheetData>
    <row r="5" spans="2:15">
      <c r="B5" s="1054" t="str">
        <f>BP!B2</f>
        <v>Empresa de Pesquisa Energética - EPE</v>
      </c>
      <c r="C5" s="1054"/>
      <c r="D5" s="1054"/>
      <c r="E5" s="1054"/>
      <c r="F5" s="1054"/>
      <c r="G5" s="1054"/>
      <c r="H5" s="1054"/>
      <c r="I5" s="1054"/>
      <c r="J5" s="1054"/>
      <c r="K5" s="1054"/>
      <c r="L5" s="1054"/>
      <c r="M5" s="1054"/>
      <c r="N5" s="1054"/>
    </row>
    <row r="6" spans="2:15">
      <c r="B6" s="1055" t="str">
        <f>BP!B3</f>
        <v>CNPJ 06.977.747/0001-80</v>
      </c>
      <c r="C6" s="1055"/>
      <c r="D6" s="1055"/>
      <c r="E6" s="1055"/>
      <c r="F6" s="1055"/>
      <c r="G6" s="1055"/>
      <c r="H6" s="1055"/>
      <c r="I6" s="1055"/>
      <c r="J6" s="1055"/>
      <c r="K6" s="1055"/>
      <c r="L6" s="1055"/>
      <c r="M6" s="1055"/>
      <c r="N6" s="1055"/>
    </row>
    <row r="7" spans="2:15">
      <c r="B7" s="1054" t="s">
        <v>108</v>
      </c>
      <c r="C7" s="1054"/>
      <c r="D7" s="1054"/>
      <c r="E7" s="1054"/>
      <c r="F7" s="1054"/>
      <c r="G7" s="1054"/>
      <c r="H7" s="1054"/>
      <c r="I7" s="1054"/>
      <c r="J7" s="1054"/>
      <c r="K7" s="1054"/>
      <c r="L7" s="1054"/>
      <c r="M7" s="1054"/>
      <c r="N7" s="1054"/>
    </row>
    <row r="8" spans="2:15">
      <c r="B8" s="1055" t="str">
        <f>BP!B5</f>
        <v>(em milhares de reais)</v>
      </c>
      <c r="C8" s="1055"/>
      <c r="D8" s="1055"/>
      <c r="E8" s="1055"/>
      <c r="F8" s="1055"/>
      <c r="G8" s="1055"/>
      <c r="H8" s="1055"/>
      <c r="I8" s="1055"/>
      <c r="J8" s="1055"/>
      <c r="K8" s="1055"/>
      <c r="L8" s="1055"/>
      <c r="M8" s="1055"/>
      <c r="N8" s="1055"/>
    </row>
    <row r="9" spans="2:1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2:15" ht="52.9">
      <c r="B10" s="13"/>
      <c r="C10" s="914" t="s">
        <v>1</v>
      </c>
      <c r="E10" s="923"/>
      <c r="F10" s="923" t="s">
        <v>109</v>
      </c>
      <c r="G10" s="923"/>
      <c r="H10" s="923" t="s">
        <v>110</v>
      </c>
      <c r="I10" s="924"/>
      <c r="K10" s="924"/>
      <c r="M10" s="923"/>
    </row>
    <row r="11" spans="2:15">
      <c r="B11" s="13"/>
      <c r="C11" s="340"/>
      <c r="D11" s="11"/>
      <c r="E11" s="11"/>
      <c r="F11" s="11"/>
      <c r="G11" s="11"/>
      <c r="H11" s="11"/>
      <c r="I11" s="11"/>
      <c r="J11" s="11"/>
      <c r="K11" s="11"/>
      <c r="L11" s="6"/>
      <c r="M11" s="11"/>
      <c r="N11" s="6"/>
    </row>
    <row r="12" spans="2:15" ht="13.5" hidden="1" customHeight="1" thickBot="1">
      <c r="B12" s="22" t="s">
        <v>111</v>
      </c>
      <c r="C12" s="340"/>
      <c r="D12" s="83">
        <v>20544</v>
      </c>
      <c r="E12" s="4"/>
      <c r="F12" s="83">
        <v>163</v>
      </c>
      <c r="G12" s="5"/>
      <c r="H12" s="83">
        <v>0</v>
      </c>
      <c r="I12" s="4"/>
      <c r="J12" s="83">
        <v>5667</v>
      </c>
      <c r="K12" s="4"/>
      <c r="L12" s="3">
        <v>0</v>
      </c>
      <c r="M12" s="4"/>
      <c r="N12" s="3">
        <f t="shared" ref="N12:N17" si="0">SUM(D12:L12)</f>
        <v>26374</v>
      </c>
      <c r="O12" s="10"/>
    </row>
    <row r="13" spans="2:15" ht="13.5" hidden="1" customHeight="1" thickTop="1">
      <c r="B13" s="22"/>
      <c r="C13" s="340"/>
      <c r="D13" s="5"/>
      <c r="E13" s="4"/>
      <c r="F13" s="5"/>
      <c r="G13" s="5"/>
      <c r="H13" s="5"/>
      <c r="I13" s="4"/>
      <c r="J13" s="5"/>
      <c r="K13" s="4"/>
      <c r="L13" s="5"/>
      <c r="M13" s="4"/>
      <c r="N13" s="6">
        <f t="shared" si="0"/>
        <v>0</v>
      </c>
      <c r="O13" s="10"/>
    </row>
    <row r="14" spans="2:15" ht="12.75" hidden="1" customHeight="1">
      <c r="B14" s="13" t="s">
        <v>112</v>
      </c>
      <c r="C14" s="340">
        <v>17</v>
      </c>
      <c r="D14" s="16">
        <f>J12</f>
        <v>5667</v>
      </c>
      <c r="E14" s="6"/>
      <c r="F14" s="16">
        <v>0</v>
      </c>
      <c r="G14" s="16"/>
      <c r="H14" s="16"/>
      <c r="I14" s="6"/>
      <c r="J14" s="16">
        <f>-D14</f>
        <v>-5667</v>
      </c>
      <c r="K14" s="6"/>
      <c r="L14" s="16">
        <v>0</v>
      </c>
      <c r="M14" s="6"/>
      <c r="N14" s="6">
        <f t="shared" si="0"/>
        <v>0</v>
      </c>
      <c r="O14" s="9"/>
    </row>
    <row r="15" spans="2:15" ht="12.75" hidden="1" customHeight="1">
      <c r="B15" s="13" t="s">
        <v>91</v>
      </c>
      <c r="C15" s="340">
        <v>18</v>
      </c>
      <c r="D15" s="6">
        <v>0</v>
      </c>
      <c r="E15" s="11"/>
      <c r="F15" s="6">
        <v>0</v>
      </c>
      <c r="G15" s="11"/>
      <c r="H15" s="6">
        <v>0</v>
      </c>
      <c r="I15" s="11"/>
      <c r="J15" s="6">
        <v>2258</v>
      </c>
      <c r="K15" s="11"/>
      <c r="L15" s="11">
        <v>0</v>
      </c>
      <c r="M15" s="11"/>
      <c r="N15" s="6">
        <f t="shared" si="0"/>
        <v>2258</v>
      </c>
    </row>
    <row r="16" spans="2:15" ht="12.75" hidden="1" customHeight="1">
      <c r="B16" s="13" t="s">
        <v>113</v>
      </c>
      <c r="C16" s="340">
        <v>19</v>
      </c>
      <c r="D16" s="11">
        <v>0</v>
      </c>
      <c r="E16" s="11"/>
      <c r="F16" s="11">
        <v>0</v>
      </c>
      <c r="G16" s="11"/>
      <c r="H16" s="11">
        <v>0</v>
      </c>
      <c r="I16" s="11"/>
      <c r="J16" s="11">
        <v>0</v>
      </c>
      <c r="K16" s="11"/>
      <c r="L16" s="6">
        <f>-3521</f>
        <v>-3521</v>
      </c>
      <c r="M16" s="11"/>
      <c r="N16" s="6">
        <f t="shared" si="0"/>
        <v>-3521</v>
      </c>
    </row>
    <row r="17" spans="2:17" ht="12.75" hidden="1" customHeight="1">
      <c r="B17" s="13" t="s">
        <v>114</v>
      </c>
      <c r="C17" s="340">
        <v>19</v>
      </c>
      <c r="D17" s="63" t="s">
        <v>115</v>
      </c>
      <c r="E17" s="11"/>
      <c r="F17" s="6">
        <v>-163</v>
      </c>
      <c r="G17" s="11"/>
      <c r="H17" s="6">
        <v>0</v>
      </c>
      <c r="I17" s="11"/>
      <c r="J17" s="6">
        <v>0</v>
      </c>
      <c r="K17" s="11"/>
      <c r="L17" s="11">
        <f>-F17-H17</f>
        <v>163</v>
      </c>
      <c r="M17" s="11"/>
      <c r="N17" s="6">
        <f t="shared" si="0"/>
        <v>0</v>
      </c>
    </row>
    <row r="18" spans="2:17" ht="39.6">
      <c r="B18" s="13"/>
      <c r="C18" s="340"/>
      <c r="D18" s="923" t="s">
        <v>88</v>
      </c>
      <c r="E18" s="11"/>
      <c r="F18" s="11"/>
      <c r="G18" s="11"/>
      <c r="H18" s="11"/>
      <c r="I18" s="11"/>
      <c r="J18" s="924" t="s">
        <v>116</v>
      </c>
      <c r="K18" s="11"/>
      <c r="L18" s="923" t="s">
        <v>117</v>
      </c>
      <c r="M18" s="11"/>
      <c r="N18" s="923" t="s">
        <v>118</v>
      </c>
    </row>
    <row r="19" spans="2:17" ht="13.5" hidden="1" customHeight="1" thickBot="1">
      <c r="B19" s="22" t="s">
        <v>119</v>
      </c>
      <c r="C19" s="340"/>
      <c r="D19" s="3">
        <f>SUM(D12:D18)</f>
        <v>26211</v>
      </c>
      <c r="E19" s="4"/>
      <c r="F19" s="3">
        <f>SUM(F12:F18)</f>
        <v>0</v>
      </c>
      <c r="G19" s="5"/>
      <c r="H19" s="3">
        <f>SUM(H12:H18)</f>
        <v>0</v>
      </c>
      <c r="I19" s="4"/>
      <c r="J19" s="3">
        <f>SUM(J12:J18)</f>
        <v>2258</v>
      </c>
      <c r="K19" s="4"/>
      <c r="L19" s="3">
        <v>-3358</v>
      </c>
      <c r="M19" s="4"/>
      <c r="N19" s="3">
        <f>SUM(D19:L19)</f>
        <v>25111</v>
      </c>
      <c r="O19" s="9">
        <f>N19-BP!J51</f>
        <v>-6518</v>
      </c>
      <c r="Q19" s="9"/>
    </row>
    <row r="20" spans="2:17" ht="13.5" hidden="1" customHeight="1" thickTop="1">
      <c r="B20" s="13"/>
      <c r="C20" s="340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1"/>
      <c r="O20" s="9"/>
    </row>
    <row r="21" spans="2:17" ht="12.75" hidden="1" customHeight="1">
      <c r="B21" s="13" t="s">
        <v>112</v>
      </c>
      <c r="C21" s="340">
        <v>17</v>
      </c>
      <c r="D21" s="11">
        <v>2258</v>
      </c>
      <c r="E21" s="11"/>
      <c r="F21" s="11">
        <v>0</v>
      </c>
      <c r="G21" s="11"/>
      <c r="H21" s="11">
        <v>0</v>
      </c>
      <c r="I21" s="11"/>
      <c r="J21" s="11">
        <v>-2258</v>
      </c>
      <c r="K21" s="11"/>
      <c r="L21" s="6">
        <v>0</v>
      </c>
      <c r="M21" s="11"/>
      <c r="N21" s="6">
        <f>SUM(D21:L21)</f>
        <v>0</v>
      </c>
    </row>
    <row r="22" spans="2:17" ht="12.75" hidden="1" customHeight="1">
      <c r="B22" s="13" t="s">
        <v>91</v>
      </c>
      <c r="C22" s="340"/>
      <c r="D22" s="6">
        <v>0</v>
      </c>
      <c r="E22" s="11"/>
      <c r="F22" s="6">
        <v>0</v>
      </c>
      <c r="G22" s="11"/>
      <c r="H22" s="6">
        <v>0</v>
      </c>
      <c r="I22" s="11"/>
      <c r="J22" s="6">
        <v>2550</v>
      </c>
      <c r="K22" s="11"/>
      <c r="L22" s="11">
        <v>0</v>
      </c>
      <c r="M22" s="11"/>
      <c r="N22" s="6">
        <f>SUM(D22:L22)</f>
        <v>2550</v>
      </c>
    </row>
    <row r="23" spans="2:17" ht="12.75" hidden="1" customHeight="1">
      <c r="B23" s="13" t="s">
        <v>120</v>
      </c>
      <c r="C23" s="340"/>
      <c r="D23" s="6">
        <v>0</v>
      </c>
      <c r="E23" s="11"/>
      <c r="F23" s="6"/>
      <c r="G23" s="11"/>
      <c r="H23" s="6"/>
      <c r="I23" s="11"/>
      <c r="J23" s="6">
        <v>0</v>
      </c>
      <c r="K23" s="11"/>
      <c r="L23" s="11">
        <v>0</v>
      </c>
      <c r="M23" s="11"/>
      <c r="N23" s="6">
        <f>SUM(D23:L23)</f>
        <v>0</v>
      </c>
    </row>
    <row r="24" spans="2:17" ht="12.75" hidden="1" customHeight="1">
      <c r="B24" s="13" t="s">
        <v>121</v>
      </c>
      <c r="C24" s="340"/>
      <c r="D24" s="63" t="s">
        <v>115</v>
      </c>
      <c r="E24" s="11"/>
      <c r="F24" s="6">
        <f>-F18</f>
        <v>0</v>
      </c>
      <c r="G24" s="11"/>
      <c r="H24" s="6">
        <v>0</v>
      </c>
      <c r="I24" s="11"/>
      <c r="J24" s="6">
        <v>0</v>
      </c>
      <c r="K24" s="11"/>
      <c r="L24" s="11">
        <v>-3379</v>
      </c>
      <c r="M24" s="11"/>
      <c r="N24" s="6">
        <f>SUM(D24:L24)</f>
        <v>-3379</v>
      </c>
    </row>
    <row r="25" spans="2:17" ht="12.75" hidden="1" customHeight="1">
      <c r="B25" s="13" t="s">
        <v>122</v>
      </c>
      <c r="C25" s="340"/>
      <c r="D25" s="63" t="s">
        <v>115</v>
      </c>
      <c r="E25" s="11"/>
      <c r="F25" s="6"/>
      <c r="G25" s="11"/>
      <c r="H25" s="6">
        <v>0</v>
      </c>
      <c r="I25" s="11"/>
      <c r="J25" s="6">
        <v>0</v>
      </c>
      <c r="K25" s="11"/>
      <c r="L25" s="11"/>
      <c r="M25" s="11"/>
      <c r="N25" s="6">
        <f>SUM(D25:L25)</f>
        <v>0</v>
      </c>
      <c r="P25" s="9"/>
    </row>
    <row r="26" spans="2:17" ht="12" hidden="1" customHeight="1">
      <c r="B26" s="13"/>
      <c r="C26" s="34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6"/>
    </row>
    <row r="27" spans="2:17" s="13" customFormat="1" ht="13.5" hidden="1" customHeight="1" thickBot="1">
      <c r="B27" s="22" t="s">
        <v>123</v>
      </c>
      <c r="C27" s="22"/>
      <c r="D27" s="3">
        <v>0</v>
      </c>
      <c r="E27" s="4">
        <f>SUM(E16:E22)</f>
        <v>0</v>
      </c>
      <c r="F27" s="3">
        <f>SUM(F19:F26)</f>
        <v>0</v>
      </c>
      <c r="G27" s="5">
        <f>SUM(G16:G22)</f>
        <v>0</v>
      </c>
      <c r="H27" s="3">
        <f>SUM(H16:H22)</f>
        <v>0</v>
      </c>
      <c r="I27" s="4">
        <f>SUM(I16:I22)</f>
        <v>0</v>
      </c>
      <c r="J27" s="3">
        <v>0</v>
      </c>
      <c r="K27" s="4"/>
      <c r="L27" s="3">
        <v>0</v>
      </c>
      <c r="M27" s="4"/>
      <c r="N27" s="3">
        <v>0</v>
      </c>
      <c r="O27" s="11"/>
      <c r="P27" s="11"/>
      <c r="Q27" s="11"/>
    </row>
    <row r="28" spans="2:17" s="13" customFormat="1" ht="13.5" hidden="1" customHeight="1" thickTop="1">
      <c r="C28" s="34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6"/>
    </row>
    <row r="29" spans="2:17" ht="12.75" hidden="1" customHeight="1">
      <c r="B29" s="13"/>
      <c r="C29" s="34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6"/>
    </row>
    <row r="30" spans="2:17" ht="13.9" hidden="1" thickBot="1">
      <c r="B30" s="22" t="s">
        <v>124</v>
      </c>
      <c r="C30" s="22"/>
      <c r="D30" s="3">
        <f>SUM(D19:D29)</f>
        <v>28469</v>
      </c>
      <c r="E30" s="4">
        <f>SUM(E19:E26)</f>
        <v>0</v>
      </c>
      <c r="F30" s="3">
        <f>SUM(F19:F26)</f>
        <v>0</v>
      </c>
      <c r="G30" s="5">
        <f>SUM(G19:G26)</f>
        <v>0</v>
      </c>
      <c r="H30" s="3">
        <f>SUM(H19:H26)</f>
        <v>0</v>
      </c>
      <c r="I30" s="4">
        <f>SUM(I19:I26)</f>
        <v>0</v>
      </c>
      <c r="J30" s="3">
        <f>SUM(J19:J29)</f>
        <v>2550</v>
      </c>
      <c r="K30" s="4"/>
      <c r="L30" s="3">
        <f>SUM(L19:L29)</f>
        <v>-6737</v>
      </c>
      <c r="M30" s="4"/>
      <c r="N30" s="3">
        <f>SUM(D30:L30)</f>
        <v>24282</v>
      </c>
      <c r="O30" s="9">
        <f>N30-24282</f>
        <v>0</v>
      </c>
    </row>
    <row r="31" spans="2:17" ht="13.5" hidden="1" customHeight="1" thickTop="1">
      <c r="B31" s="13" t="s">
        <v>112</v>
      </c>
      <c r="C31" s="340">
        <v>17</v>
      </c>
      <c r="D31" s="11">
        <v>0</v>
      </c>
      <c r="E31" s="11"/>
      <c r="F31" s="11">
        <v>0</v>
      </c>
      <c r="G31" s="11"/>
      <c r="H31" s="11">
        <v>0</v>
      </c>
      <c r="I31" s="11"/>
      <c r="J31" s="11">
        <f>-D31</f>
        <v>0</v>
      </c>
      <c r="K31" s="11"/>
      <c r="L31" s="6">
        <v>0</v>
      </c>
      <c r="M31" s="11"/>
      <c r="N31" s="6">
        <f>SUM(D31:L31)</f>
        <v>0</v>
      </c>
      <c r="O31" s="9"/>
    </row>
    <row r="32" spans="2:17" ht="13.9" hidden="1" thickTop="1">
      <c r="B32" s="13"/>
      <c r="C32" s="340"/>
      <c r="D32" s="11"/>
      <c r="E32" s="11"/>
      <c r="F32" s="11"/>
      <c r="G32" s="11"/>
      <c r="H32" s="11"/>
      <c r="I32" s="11"/>
      <c r="J32" s="11"/>
      <c r="K32" s="11"/>
      <c r="L32" s="6"/>
      <c r="M32" s="11"/>
      <c r="N32" s="6"/>
      <c r="O32" s="9"/>
    </row>
    <row r="33" spans="2:15" ht="12.75" hidden="1" customHeight="1">
      <c r="B33" s="13" t="s">
        <v>112</v>
      </c>
      <c r="C33" s="340">
        <v>18</v>
      </c>
      <c r="D33" s="11">
        <v>2550</v>
      </c>
      <c r="E33" s="11"/>
      <c r="F33" s="11"/>
      <c r="G33" s="11"/>
      <c r="H33" s="11"/>
      <c r="I33" s="11"/>
      <c r="J33" s="11">
        <v>-2550</v>
      </c>
      <c r="K33" s="11"/>
      <c r="L33" s="6">
        <v>0</v>
      </c>
      <c r="M33" s="11"/>
      <c r="N33" s="6">
        <f>SUM(D33:L33)</f>
        <v>0</v>
      </c>
      <c r="O33" s="9"/>
    </row>
    <row r="34" spans="2:15" hidden="1">
      <c r="B34" s="13" t="s">
        <v>91</v>
      </c>
      <c r="C34" s="340">
        <v>19</v>
      </c>
      <c r="D34" s="6">
        <v>0</v>
      </c>
      <c r="E34" s="11"/>
      <c r="F34" s="6">
        <v>0</v>
      </c>
      <c r="G34" s="11"/>
      <c r="H34" s="6">
        <v>0</v>
      </c>
      <c r="I34" s="11"/>
      <c r="J34" s="6">
        <v>439</v>
      </c>
      <c r="K34" s="11"/>
      <c r="L34" s="11">
        <v>0</v>
      </c>
      <c r="M34" s="11"/>
      <c r="N34" s="6">
        <f>SUM(D34:L34)</f>
        <v>439</v>
      </c>
      <c r="O34" s="9"/>
    </row>
    <row r="35" spans="2:15" ht="12.75" hidden="1" customHeight="1">
      <c r="B35" s="13" t="s">
        <v>120</v>
      </c>
      <c r="C35" s="340"/>
      <c r="D35" s="6">
        <v>0</v>
      </c>
      <c r="E35" s="11"/>
      <c r="F35" s="6"/>
      <c r="G35" s="11"/>
      <c r="H35" s="6"/>
      <c r="I35" s="11"/>
      <c r="J35" s="6">
        <v>0</v>
      </c>
      <c r="K35" s="11"/>
      <c r="L35" s="11">
        <v>0</v>
      </c>
      <c r="M35" s="11"/>
      <c r="N35" s="6">
        <f>SUM(D35:L35)</f>
        <v>0</v>
      </c>
      <c r="O35" s="9"/>
    </row>
    <row r="36" spans="2:15" hidden="1">
      <c r="B36" s="13" t="s">
        <v>121</v>
      </c>
      <c r="C36" s="340">
        <v>20</v>
      </c>
      <c r="D36" s="63">
        <v>0</v>
      </c>
      <c r="E36" s="11"/>
      <c r="F36" s="6">
        <f>-F25</f>
        <v>0</v>
      </c>
      <c r="G36" s="11"/>
      <c r="H36" s="6">
        <v>0</v>
      </c>
      <c r="I36" s="11"/>
      <c r="J36" s="6">
        <v>0</v>
      </c>
      <c r="K36" s="11"/>
      <c r="L36" s="11">
        <f>DRE!K54</f>
        <v>-676</v>
      </c>
      <c r="M36" s="11"/>
      <c r="N36" s="6">
        <f>SUM(D36:L36)</f>
        <v>-676</v>
      </c>
      <c r="O36" s="9"/>
    </row>
    <row r="37" spans="2:15" ht="12.75" hidden="1" customHeight="1">
      <c r="B37" s="13" t="s">
        <v>122</v>
      </c>
      <c r="C37" s="340"/>
      <c r="D37" s="63">
        <v>0</v>
      </c>
      <c r="E37" s="11"/>
      <c r="F37" s="6"/>
      <c r="G37" s="11"/>
      <c r="H37" s="6">
        <v>0</v>
      </c>
      <c r="I37" s="11"/>
      <c r="J37" s="6">
        <v>0</v>
      </c>
      <c r="K37" s="11"/>
      <c r="L37" s="11">
        <v>0</v>
      </c>
      <c r="M37" s="11"/>
      <c r="N37" s="6">
        <f>SUM(D37:L37)</f>
        <v>0</v>
      </c>
      <c r="O37" s="9"/>
    </row>
    <row r="38" spans="2:15" hidden="1">
      <c r="B38" s="13"/>
      <c r="C38" s="340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9"/>
    </row>
    <row r="39" spans="2:15" ht="13.9" hidden="1" thickBot="1">
      <c r="B39" s="22" t="s">
        <v>125</v>
      </c>
      <c r="C39" s="340"/>
      <c r="D39" s="3">
        <v>0</v>
      </c>
      <c r="E39" s="5"/>
      <c r="F39" s="3"/>
      <c r="G39" s="3"/>
      <c r="H39" s="6"/>
      <c r="I39" s="11"/>
      <c r="J39" s="3">
        <v>0</v>
      </c>
      <c r="K39" s="11">
        <v>0</v>
      </c>
      <c r="L39" s="3">
        <v>0</v>
      </c>
      <c r="M39" s="11"/>
      <c r="N39" s="3">
        <v>0</v>
      </c>
      <c r="O39" s="9">
        <v>0</v>
      </c>
    </row>
    <row r="40" spans="2:15" ht="17.25" hidden="1" customHeight="1">
      <c r="B40" s="22"/>
      <c r="C40" s="340"/>
      <c r="D40" s="5"/>
      <c r="E40" s="5"/>
      <c r="F40" s="5"/>
      <c r="G40" s="5"/>
      <c r="H40" s="6"/>
      <c r="I40" s="11"/>
      <c r="J40" s="5"/>
      <c r="K40" s="11"/>
      <c r="L40" s="5"/>
      <c r="M40" s="11"/>
      <c r="N40" s="5"/>
      <c r="O40" s="9"/>
    </row>
    <row r="41" spans="2:15" hidden="1">
      <c r="B41" s="13"/>
      <c r="C41" s="34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6"/>
      <c r="O41" s="9"/>
    </row>
    <row r="42" spans="2:15" ht="13.9" thickBot="1">
      <c r="B42" s="22" t="s">
        <v>126</v>
      </c>
      <c r="C42" s="22"/>
      <c r="D42" s="3">
        <v>31458</v>
      </c>
      <c r="E42" s="4">
        <f>SUM(E26:E41)</f>
        <v>0</v>
      </c>
      <c r="F42" s="3">
        <f>SUM(F26:F41)</f>
        <v>0</v>
      </c>
      <c r="G42" s="5">
        <f>SUM(G26:G41)</f>
        <v>0</v>
      </c>
      <c r="H42" s="3">
        <f>SUM(H26:H41)</f>
        <v>0</v>
      </c>
      <c r="I42" s="4">
        <f>SUM(I26:I41)</f>
        <v>0</v>
      </c>
      <c r="J42" s="3">
        <v>2986</v>
      </c>
      <c r="K42" s="4"/>
      <c r="L42" s="3">
        <v>-2834</v>
      </c>
      <c r="M42" s="4"/>
      <c r="N42" s="3">
        <v>31610</v>
      </c>
      <c r="O42" s="4"/>
    </row>
    <row r="43" spans="2:15" ht="13.9" thickTop="1">
      <c r="B43" s="22"/>
      <c r="C43" s="22"/>
      <c r="D43" s="5"/>
      <c r="E43" s="4"/>
      <c r="F43" s="5"/>
      <c r="G43" s="5"/>
      <c r="H43" s="5"/>
      <c r="I43" s="4"/>
      <c r="J43" s="5"/>
      <c r="K43" s="4"/>
      <c r="L43" s="5"/>
      <c r="M43" s="4"/>
      <c r="N43" s="5"/>
      <c r="O43" s="4"/>
    </row>
    <row r="44" spans="2:15" ht="12.75" customHeight="1">
      <c r="B44" s="13" t="s">
        <v>112</v>
      </c>
      <c r="C44" s="340">
        <v>18</v>
      </c>
      <c r="D44" s="11">
        <v>2986</v>
      </c>
      <c r="E44" s="11"/>
      <c r="F44" s="11"/>
      <c r="G44" s="11"/>
      <c r="H44" s="11"/>
      <c r="I44" s="11"/>
      <c r="J44" s="11">
        <v>-2986</v>
      </c>
      <c r="K44" s="11"/>
      <c r="L44" s="6">
        <v>0</v>
      </c>
      <c r="M44" s="11"/>
      <c r="N44" s="6">
        <v>0</v>
      </c>
      <c r="O44" s="4"/>
    </row>
    <row r="45" spans="2:15">
      <c r="B45" s="13" t="s">
        <v>91</v>
      </c>
      <c r="C45" s="340">
        <v>19</v>
      </c>
      <c r="D45" s="6">
        <v>0</v>
      </c>
      <c r="E45" s="11"/>
      <c r="F45" s="6">
        <v>0</v>
      </c>
      <c r="G45" s="11"/>
      <c r="H45" s="6">
        <v>0</v>
      </c>
      <c r="I45" s="11"/>
      <c r="J45" s="11">
        <v>695</v>
      </c>
      <c r="K45" s="11"/>
      <c r="L45" s="11">
        <v>0</v>
      </c>
      <c r="M45" s="11"/>
      <c r="N45" s="6">
        <f>SUM(D45:L45)</f>
        <v>695</v>
      </c>
    </row>
    <row r="46" spans="2:15" ht="12.75" hidden="1" customHeight="1">
      <c r="B46" s="13" t="s">
        <v>120</v>
      </c>
      <c r="C46" s="340"/>
      <c r="D46" s="6">
        <v>0</v>
      </c>
      <c r="E46" s="11"/>
      <c r="F46" s="6"/>
      <c r="G46" s="11"/>
      <c r="H46" s="6"/>
      <c r="I46" s="11"/>
      <c r="J46" s="6">
        <v>0</v>
      </c>
      <c r="K46" s="11"/>
      <c r="L46" s="11">
        <v>0</v>
      </c>
      <c r="M46" s="11"/>
      <c r="N46" s="6">
        <f>SUM(D46:L46)</f>
        <v>0</v>
      </c>
    </row>
    <row r="47" spans="2:15">
      <c r="B47" s="13" t="s">
        <v>127</v>
      </c>
      <c r="C47" s="340">
        <v>20</v>
      </c>
      <c r="D47" s="63">
        <v>0</v>
      </c>
      <c r="E47" s="11"/>
      <c r="F47" s="6">
        <f>-F32</f>
        <v>0</v>
      </c>
      <c r="G47" s="11"/>
      <c r="H47" s="6">
        <v>0</v>
      </c>
      <c r="I47" s="11"/>
      <c r="J47" s="6">
        <v>0</v>
      </c>
      <c r="K47" s="11"/>
      <c r="L47" s="11">
        <f>DRE!K54</f>
        <v>-676</v>
      </c>
      <c r="M47" s="11"/>
      <c r="N47" s="6">
        <f>SUM(D47:L47)</f>
        <v>-676</v>
      </c>
    </row>
    <row r="48" spans="2:15" ht="12.75" hidden="1" customHeight="1">
      <c r="B48" s="13" t="s">
        <v>122</v>
      </c>
      <c r="C48" s="340"/>
      <c r="D48" s="63">
        <v>0</v>
      </c>
      <c r="E48" s="11"/>
      <c r="F48" s="6"/>
      <c r="G48" s="11"/>
      <c r="H48" s="6">
        <v>0</v>
      </c>
      <c r="I48" s="11"/>
      <c r="J48" s="6">
        <v>0</v>
      </c>
      <c r="K48" s="11"/>
      <c r="L48" s="11">
        <v>0</v>
      </c>
      <c r="M48" s="11"/>
      <c r="N48" s="6">
        <f>SUM(D48:L48)</f>
        <v>0</v>
      </c>
    </row>
    <row r="49" spans="2:15" ht="12.75" customHeight="1">
      <c r="B49" s="13"/>
      <c r="C49" s="340"/>
      <c r="D49" s="63"/>
      <c r="E49" s="11"/>
      <c r="F49" s="6"/>
      <c r="G49" s="11"/>
      <c r="H49" s="6"/>
      <c r="I49" s="11"/>
      <c r="J49" s="6"/>
      <c r="K49" s="11"/>
      <c r="L49" s="11"/>
      <c r="M49" s="11"/>
      <c r="N49" s="6"/>
    </row>
    <row r="50" spans="2:15" ht="13.9" thickBot="1">
      <c r="B50" s="1043" t="str">
        <f>"Saldos em "&amp;DRE!K7</f>
        <v>Saldos em 01/01/2025 a 30/06/2025 (Acumulado)</v>
      </c>
      <c r="C50" s="22"/>
      <c r="D50" s="3">
        <f>SUM(D42:D49)</f>
        <v>34444</v>
      </c>
      <c r="E50" s="4">
        <f>SUM(E31:E48)</f>
        <v>0</v>
      </c>
      <c r="F50" s="3">
        <f>SUM(F31:F48)</f>
        <v>0</v>
      </c>
      <c r="G50" s="5">
        <f>SUM(G31:G48)</f>
        <v>0</v>
      </c>
      <c r="H50" s="3">
        <f>SUM(H31:H48)</f>
        <v>0</v>
      </c>
      <c r="I50" s="4">
        <f>SUM(I31:I48)</f>
        <v>0</v>
      </c>
      <c r="J50" s="3">
        <f>SUM(J40:J48)</f>
        <v>695</v>
      </c>
      <c r="K50" s="4"/>
      <c r="L50" s="3">
        <f>SUM(L40:L48)</f>
        <v>-3510</v>
      </c>
      <c r="M50" s="4"/>
      <c r="N50" s="3">
        <f>SUM(N40:N48)</f>
        <v>31629</v>
      </c>
      <c r="O50" s="350">
        <f>N50-BP!J51</f>
        <v>0</v>
      </c>
    </row>
    <row r="51" spans="2:15" ht="13.9" thickTop="1">
      <c r="B51" s="22"/>
      <c r="C51" s="22"/>
      <c r="D51" s="5"/>
      <c r="E51" s="4"/>
      <c r="F51" s="5"/>
      <c r="G51" s="5"/>
      <c r="H51" s="5"/>
      <c r="I51" s="4"/>
      <c r="J51" s="5"/>
      <c r="K51" s="4"/>
      <c r="L51" s="5"/>
      <c r="M51" s="4"/>
      <c r="N51" s="5"/>
      <c r="O51" s="350"/>
    </row>
    <row r="52" spans="2:15" ht="10.15" customHeight="1">
      <c r="B52" s="13"/>
      <c r="C52" s="340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6"/>
      <c r="O52" s="9"/>
    </row>
    <row r="53" spans="2:15" ht="13.9" thickBot="1">
      <c r="B53" s="22" t="s">
        <v>128</v>
      </c>
      <c r="C53" s="22"/>
      <c r="D53" s="3">
        <v>34444</v>
      </c>
      <c r="E53" s="4">
        <f>SUM(E33:E52)</f>
        <v>0</v>
      </c>
      <c r="F53" s="3">
        <f>SUM(F33:F52)</f>
        <v>0</v>
      </c>
      <c r="G53" s="5">
        <f>SUM(G33:G52)</f>
        <v>0</v>
      </c>
      <c r="H53" s="3">
        <f>SUM(H33:H52)</f>
        <v>0</v>
      </c>
      <c r="I53" s="4">
        <f>SUM(I33:I52)</f>
        <v>0</v>
      </c>
      <c r="J53" s="3">
        <v>1710</v>
      </c>
      <c r="K53" s="4"/>
      <c r="L53" s="3">
        <v>-11485</v>
      </c>
      <c r="M53" s="4"/>
      <c r="N53" s="3">
        <f>SUM(D53:L53)+1</f>
        <v>24670</v>
      </c>
      <c r="O53" s="350">
        <f>N53-BP!H51</f>
        <v>0</v>
      </c>
    </row>
    <row r="54" spans="2:15" ht="13.9" thickTop="1">
      <c r="B54" s="22"/>
      <c r="C54" s="22"/>
      <c r="D54" s="5"/>
      <c r="E54" s="4"/>
      <c r="F54" s="5"/>
      <c r="G54" s="5"/>
      <c r="H54" s="5"/>
      <c r="I54" s="4"/>
      <c r="J54" s="5"/>
      <c r="K54" s="4"/>
      <c r="L54" s="5"/>
      <c r="M54" s="4"/>
      <c r="N54" s="5"/>
      <c r="O54" s="350"/>
    </row>
    <row r="55" spans="2:15">
      <c r="B55" s="13" t="s">
        <v>112</v>
      </c>
      <c r="C55" s="340">
        <v>18</v>
      </c>
      <c r="D55" s="11">
        <v>1710</v>
      </c>
      <c r="E55" s="11">
        <v>0</v>
      </c>
      <c r="F55" s="11"/>
      <c r="G55" s="11"/>
      <c r="H55" s="11"/>
      <c r="I55" s="11"/>
      <c r="J55" s="11">
        <v>-1710</v>
      </c>
      <c r="K55" s="11"/>
      <c r="L55" s="6">
        <v>0</v>
      </c>
      <c r="M55" s="11"/>
      <c r="N55" s="6">
        <v>0</v>
      </c>
      <c r="O55" s="350"/>
    </row>
    <row r="56" spans="2:15">
      <c r="B56" s="13" t="s">
        <v>91</v>
      </c>
      <c r="C56" s="340">
        <v>19</v>
      </c>
      <c r="D56" s="6">
        <v>0</v>
      </c>
      <c r="E56" s="11"/>
      <c r="F56" s="6">
        <v>0</v>
      </c>
      <c r="G56" s="11"/>
      <c r="H56" s="6">
        <v>0</v>
      </c>
      <c r="I56" s="11"/>
      <c r="J56" s="11">
        <f>ROUND(-SUMIF('Balancete 06.2026'!C:C,24711,'Balancete 06.2026'!G:G)/1000,0)</f>
        <v>1687</v>
      </c>
      <c r="K56" s="11"/>
      <c r="L56" s="11">
        <v>0</v>
      </c>
      <c r="M56" s="11"/>
      <c r="N56" s="6">
        <f>SUM(D56:L56)</f>
        <v>1687</v>
      </c>
      <c r="O56" s="350"/>
    </row>
    <row r="57" spans="2:15" hidden="1">
      <c r="B57" s="13" t="s">
        <v>120</v>
      </c>
      <c r="C57" s="340"/>
      <c r="D57" s="6">
        <v>0</v>
      </c>
      <c r="E57" s="11"/>
      <c r="F57" s="6"/>
      <c r="G57" s="11"/>
      <c r="H57" s="6"/>
      <c r="I57" s="11"/>
      <c r="J57" s="6">
        <v>0</v>
      </c>
      <c r="K57" s="11"/>
      <c r="L57" s="11">
        <v>0</v>
      </c>
      <c r="M57" s="11"/>
      <c r="N57" s="6">
        <f>SUM(D57:L57)</f>
        <v>0</v>
      </c>
      <c r="O57" s="350"/>
    </row>
    <row r="58" spans="2:15">
      <c r="B58" s="13" t="s">
        <v>127</v>
      </c>
      <c r="C58" s="340">
        <v>20</v>
      </c>
      <c r="D58" s="63">
        <v>0</v>
      </c>
      <c r="E58" s="11"/>
      <c r="F58" s="6">
        <f>-F40</f>
        <v>0</v>
      </c>
      <c r="G58" s="11"/>
      <c r="H58" s="6">
        <v>0</v>
      </c>
      <c r="I58" s="11"/>
      <c r="J58" s="6">
        <v>0</v>
      </c>
      <c r="K58" s="11"/>
      <c r="L58" s="11">
        <f>DRE!G54</f>
        <v>-14681</v>
      </c>
      <c r="M58" s="11"/>
      <c r="N58" s="6">
        <f>SUM(D58:L58)</f>
        <v>-14681</v>
      </c>
      <c r="O58" s="350"/>
    </row>
    <row r="59" spans="2:15" hidden="1">
      <c r="B59" s="13" t="s">
        <v>122</v>
      </c>
      <c r="C59" s="340"/>
      <c r="D59" s="63">
        <v>0</v>
      </c>
      <c r="E59" s="11"/>
      <c r="F59" s="6"/>
      <c r="G59" s="11"/>
      <c r="H59" s="6">
        <v>0</v>
      </c>
      <c r="I59" s="11"/>
      <c r="J59" s="6">
        <v>0</v>
      </c>
      <c r="K59" s="11"/>
      <c r="L59" s="11">
        <v>0</v>
      </c>
      <c r="M59" s="11"/>
      <c r="N59" s="6">
        <f>SUM(D59:L59)</f>
        <v>0</v>
      </c>
      <c r="O59" s="350"/>
    </row>
    <row r="60" spans="2:15">
      <c r="B60" s="13"/>
      <c r="C60" s="340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6"/>
      <c r="O60" s="350"/>
    </row>
    <row r="61" spans="2:15" ht="13.9" thickBot="1">
      <c r="B61" s="22" t="str">
        <f>"Saldos em "&amp;DRE!G7</f>
        <v>Saldos em 01/01/2026 a 30/06/2026 (Acumulado)</v>
      </c>
      <c r="C61" s="22"/>
      <c r="D61" s="3">
        <f>SUM(D53:D60)</f>
        <v>36154</v>
      </c>
      <c r="E61" s="4">
        <f>SUM(E41:E60)</f>
        <v>0</v>
      </c>
      <c r="F61" s="3">
        <f>SUM(F41:F60)</f>
        <v>0</v>
      </c>
      <c r="G61" s="5">
        <f>SUM(G41:G60)</f>
        <v>0</v>
      </c>
      <c r="H61" s="3">
        <f>SUM(H41:H60)</f>
        <v>0</v>
      </c>
      <c r="I61" s="4">
        <f>SUM(I41:I60)</f>
        <v>0</v>
      </c>
      <c r="J61" s="3">
        <f>SUM(J53:J60)</f>
        <v>1687</v>
      </c>
      <c r="K61" s="4"/>
      <c r="L61" s="3">
        <f>SUM(L53:L60)</f>
        <v>-26166</v>
      </c>
      <c r="M61" s="4"/>
      <c r="N61" s="3">
        <f>SUM(D61:L61)</f>
        <v>11675</v>
      </c>
      <c r="O61" s="9">
        <f>N61-BP!F51</f>
        <v>0</v>
      </c>
    </row>
    <row r="62" spans="2:15" ht="13.9" thickTop="1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2:15">
      <c r="B63" s="13"/>
      <c r="C63" s="13"/>
      <c r="D63" s="11">
        <f>D61-BP!F47</f>
        <v>0</v>
      </c>
      <c r="E63" s="13"/>
      <c r="F63" s="13"/>
      <c r="G63" s="13"/>
      <c r="H63" s="13"/>
      <c r="I63" s="13"/>
      <c r="J63" s="11">
        <f>J61-BP!F49</f>
        <v>0</v>
      </c>
      <c r="K63" s="13"/>
      <c r="L63" s="11">
        <f>L61-BP!F50</f>
        <v>0</v>
      </c>
      <c r="M63" s="13"/>
      <c r="N63" s="11">
        <f>N61-BP!F51</f>
        <v>0</v>
      </c>
    </row>
    <row r="64" spans="2:1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2:14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2:14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2:14">
      <c r="B67" s="13" t="str">
        <f>BP!B56</f>
        <v>As notas explicativas são parte integrante das informações financeiras intermediárias.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2:14">
      <c r="F68" s="8"/>
      <c r="G68" s="8"/>
      <c r="H68" s="8"/>
    </row>
  </sheetData>
  <mergeCells count="4">
    <mergeCell ref="B5:N5"/>
    <mergeCell ref="B6:N6"/>
    <mergeCell ref="B7:N7"/>
    <mergeCell ref="B8:N8"/>
  </mergeCells>
  <printOptions horizontalCentered="1"/>
  <pageMargins left="0.39370078740157483" right="0.39370078740157483" top="0.98425196850393704" bottom="0.78740157480314965" header="0.39370078740157483" footer="0.39370078740157483"/>
  <pageSetup scale="74" orientation="portrait" r:id="rId1"/>
  <ignoredErrors>
    <ignoredError sqref="N15 N21 N45 N33:N34 N56 J50" formulaRange="1"/>
    <ignoredError sqref="E27:F2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/>
  </sheetPr>
  <dimension ref="B1:M97"/>
  <sheetViews>
    <sheetView showGridLines="0" topLeftCell="A40" zoomScale="130" zoomScaleNormal="130" workbookViewId="0">
      <selection activeCell="M56" sqref="M56"/>
    </sheetView>
  </sheetViews>
  <sheetFormatPr defaultColWidth="9.28515625" defaultRowHeight="13.15"/>
  <cols>
    <col min="1" max="1" width="4.7109375" style="12" customWidth="1"/>
    <col min="2" max="2" width="67.7109375" style="29" customWidth="1"/>
    <col min="3" max="3" width="9.7109375" style="351" hidden="1" customWidth="1"/>
    <col min="4" max="4" width="17.7109375" style="351" hidden="1" customWidth="1"/>
    <col min="5" max="5" width="17.5703125" style="351" hidden="1" customWidth="1"/>
    <col min="6" max="6" width="17.42578125" style="29" customWidth="1"/>
    <col min="7" max="7" width="17.42578125" style="29" hidden="1" customWidth="1"/>
    <col min="8" max="8" width="5.42578125" style="29" customWidth="1"/>
    <col min="9" max="9" width="14.5703125" style="29" customWidth="1"/>
    <col min="10" max="10" width="12.5703125" style="12" bestFit="1" customWidth="1"/>
    <col min="11" max="13" width="13.85546875" style="12" bestFit="1" customWidth="1"/>
    <col min="14" max="16384" width="9.28515625" style="12"/>
  </cols>
  <sheetData>
    <row r="1" spans="2:13">
      <c r="B1" s="1054" t="str">
        <f>BP!B2</f>
        <v>Empresa de Pesquisa Energética - EPE</v>
      </c>
      <c r="C1" s="1054"/>
      <c r="D1" s="1054"/>
      <c r="E1" s="1054"/>
      <c r="F1" s="1054"/>
      <c r="G1" s="1054"/>
      <c r="H1" s="1054"/>
      <c r="I1" s="1054"/>
      <c r="J1" s="22"/>
    </row>
    <row r="2" spans="2:13">
      <c r="B2" s="1055" t="str">
        <f>BP!B3</f>
        <v>CNPJ 06.977.747/0001-80</v>
      </c>
      <c r="C2" s="1055"/>
      <c r="D2" s="1055"/>
      <c r="E2" s="1055"/>
      <c r="F2" s="1055"/>
      <c r="G2" s="1055"/>
      <c r="H2" s="1055"/>
      <c r="I2" s="1055"/>
      <c r="J2" s="13"/>
    </row>
    <row r="3" spans="2:13">
      <c r="B3" s="1054" t="s">
        <v>129</v>
      </c>
      <c r="C3" s="1054"/>
      <c r="D3" s="1054"/>
      <c r="E3" s="1054"/>
      <c r="F3" s="1054"/>
      <c r="G3" s="1054"/>
      <c r="H3" s="1054"/>
      <c r="I3" s="1054"/>
      <c r="J3" s="22"/>
    </row>
    <row r="4" spans="2:13">
      <c r="B4" s="1055" t="str">
        <f>BP!B5</f>
        <v>(em milhares de reais)</v>
      </c>
      <c r="C4" s="1055"/>
      <c r="D4" s="1055"/>
      <c r="E4" s="1055"/>
      <c r="F4" s="1055"/>
      <c r="G4" s="1055"/>
      <c r="H4" s="1055"/>
      <c r="I4" s="1055"/>
      <c r="J4" s="13"/>
    </row>
    <row r="5" spans="2:13" ht="13.9" thickBot="1">
      <c r="B5" s="925"/>
      <c r="C5" s="926"/>
      <c r="D5" s="927" t="s">
        <v>130</v>
      </c>
      <c r="E5" s="927" t="s">
        <v>131</v>
      </c>
      <c r="F5" s="974">
        <f>BP!F7</f>
        <v>46203</v>
      </c>
      <c r="G5" s="975"/>
      <c r="H5" s="976"/>
      <c r="I5" s="977">
        <v>45838</v>
      </c>
    </row>
    <row r="6" spans="2:13">
      <c r="B6" s="928" t="s">
        <v>132</v>
      </c>
      <c r="C6" s="929"/>
      <c r="D6" s="929"/>
      <c r="E6" s="929"/>
      <c r="F6" s="928"/>
      <c r="G6" s="928"/>
      <c r="H6" s="930"/>
      <c r="I6" s="931"/>
    </row>
    <row r="7" spans="2:13">
      <c r="B7" s="932" t="s">
        <v>133</v>
      </c>
      <c r="C7" s="933"/>
      <c r="D7" s="934"/>
      <c r="E7" s="934"/>
      <c r="F7" s="935">
        <f>DRE!G54</f>
        <v>-14681</v>
      </c>
      <c r="G7" s="935" t="e">
        <f>SUMIFS(#REF!,#REF!,'DFC '!C7)</f>
        <v>#REF!</v>
      </c>
      <c r="H7" s="936"/>
      <c r="I7" s="937">
        <f>DRE!K54</f>
        <v>-676</v>
      </c>
      <c r="J7" s="596"/>
      <c r="K7" s="596"/>
    </row>
    <row r="8" spans="2:13">
      <c r="B8" s="938" t="s">
        <v>134</v>
      </c>
      <c r="C8" s="933">
        <f>IFERROR(VLOOKUP(B8,Listas!$B$21:$C$50,2,FALSE),"")</f>
        <v>600003</v>
      </c>
      <c r="D8" s="934">
        <f>SUMIFS('Balancete 06.2026'!O9:O807,'Balancete 06.2026'!M9:M807,'DFC '!C8)</f>
        <v>-75965949.219999999</v>
      </c>
      <c r="E8" s="934">
        <f>ROUND(D8/1000,0)</f>
        <v>-75966</v>
      </c>
      <c r="F8" s="935">
        <f>E8</f>
        <v>-75966</v>
      </c>
      <c r="G8" s="935" t="e">
        <f>SUMIFS(#REF!,#REF!,'DFC '!C8)</f>
        <v>#REF!</v>
      </c>
      <c r="H8" s="936"/>
      <c r="I8" s="937">
        <v>-85919</v>
      </c>
      <c r="J8" s="596"/>
      <c r="K8" s="596"/>
    </row>
    <row r="9" spans="2:13" hidden="1">
      <c r="B9" s="938" t="s">
        <v>120</v>
      </c>
      <c r="C9" s="933">
        <f>IFERROR(VLOOKUP(B9,Listas!$B$21:$C$50,2,FALSE),"")</f>
        <v>600004</v>
      </c>
      <c r="D9" s="934">
        <f>SUMIFS('Balancete 06.2026'!O10:O309,'Balancete 06.2026'!M10:M309,'DFC '!C9)</f>
        <v>0</v>
      </c>
      <c r="E9" s="934"/>
      <c r="F9" s="935">
        <v>0</v>
      </c>
      <c r="G9" s="935"/>
      <c r="H9" s="936"/>
      <c r="I9" s="937">
        <v>0</v>
      </c>
      <c r="K9" s="39"/>
      <c r="M9" s="39"/>
    </row>
    <row r="10" spans="2:13">
      <c r="B10" s="938" t="s">
        <v>135</v>
      </c>
      <c r="C10" s="933">
        <f>IFERROR(VLOOKUP(B10,Listas!$B$21:$C$50,2,FALSE),"")</f>
        <v>600005</v>
      </c>
      <c r="D10" s="934">
        <f>SUMIFS('Balancete 06.2026'!O11:O309,'Balancete 06.2026'!M11:M309,'DFC '!C10)</f>
        <v>1213227.5099999998</v>
      </c>
      <c r="E10" s="934">
        <f t="shared" ref="E10:E14" si="0">ROUND(D10/1000,0)</f>
        <v>1213</v>
      </c>
      <c r="F10" s="988">
        <f>SUMIF('Balancete 06.2026'!C:C,426111,'Balancete 06.2026'!K:K)+SUMIF('Balancete 06.2026'!C:C,426118,'Balancete 06.2026'!K:K)</f>
        <v>2691</v>
      </c>
      <c r="G10" s="935" t="e">
        <f>SUMIFS(#REF!,#REF!,'DFC '!C10)</f>
        <v>#REF!</v>
      </c>
      <c r="H10" s="935"/>
      <c r="I10" s="935">
        <v>2824</v>
      </c>
      <c r="J10" s="596"/>
      <c r="K10" s="596"/>
    </row>
    <row r="11" spans="2:13" hidden="1">
      <c r="B11" s="938" t="s">
        <v>136</v>
      </c>
      <c r="C11" s="933">
        <f>IFERROR(VLOOKUP(B11,Listas!$B$21:$C$50,2,FALSE),"")</f>
        <v>600006</v>
      </c>
      <c r="D11" s="934">
        <f>SUMIFS('Balancete 06.2026'!O12:O309,'Balancete 06.2026'!M12:M309,'DFC '!C11)</f>
        <v>1477644.3</v>
      </c>
      <c r="E11" s="934">
        <f t="shared" si="0"/>
        <v>1478</v>
      </c>
      <c r="F11" s="935">
        <v>0</v>
      </c>
      <c r="G11" s="935" t="e">
        <f>SUMIFS(#REF!,#REF!,'DFC '!C11)</f>
        <v>#REF!</v>
      </c>
      <c r="H11" s="935"/>
      <c r="I11" s="935">
        <v>0</v>
      </c>
    </row>
    <row r="12" spans="2:13">
      <c r="B12" s="938" t="s">
        <v>137</v>
      </c>
      <c r="C12" s="933">
        <f>IFERROR(VLOOKUP(B12,Listas!$B$21:$C$50,2,FALSE),"")</f>
        <v>600007</v>
      </c>
      <c r="D12" s="934">
        <f>SUMIFS('Balancete 06.2026'!O13:O309,'Balancete 06.2026'!M13:M309,'DFC '!C12)</f>
        <v>351869.36</v>
      </c>
      <c r="E12" s="934">
        <f>ROUND(D12/1000,0)</f>
        <v>352</v>
      </c>
      <c r="F12" s="935">
        <f>E12</f>
        <v>352</v>
      </c>
      <c r="G12" s="935" t="e">
        <f>SUMIFS(#REF!,#REF!,'DFC '!C12)</f>
        <v>#REF!</v>
      </c>
      <c r="H12" s="935"/>
      <c r="I12" s="935">
        <v>403</v>
      </c>
      <c r="L12" s="596"/>
    </row>
    <row r="13" spans="2:13" hidden="1">
      <c r="B13" s="938" t="s">
        <v>138</v>
      </c>
      <c r="C13" s="933">
        <v>600033</v>
      </c>
      <c r="D13" s="934">
        <f>SUMIFS('Balancete 06.2026'!O14:O582,'Balancete 06.2026'!M14:M582,'DFC '!C13)</f>
        <v>0</v>
      </c>
      <c r="E13" s="934">
        <f t="shared" si="0"/>
        <v>0</v>
      </c>
      <c r="F13" s="935">
        <v>0</v>
      </c>
      <c r="G13" s="935"/>
      <c r="H13" s="935"/>
      <c r="I13" s="935">
        <v>0</v>
      </c>
    </row>
    <row r="14" spans="2:13">
      <c r="B14" s="938" t="s">
        <v>139</v>
      </c>
      <c r="C14" s="933">
        <f>IFERROR(VLOOKUP(B14,Listas!$B$21:$C$50,2,FALSE),"")</f>
        <v>600008</v>
      </c>
      <c r="D14" s="934">
        <f>SUMIFS('Balancete 06.2026'!O14:O309,'Balancete 06.2026'!M14:M309,'DFC '!C14)</f>
        <v>-2697689.06</v>
      </c>
      <c r="E14" s="934">
        <f t="shared" si="0"/>
        <v>-2698</v>
      </c>
      <c r="F14" s="935">
        <f>E14</f>
        <v>-2698</v>
      </c>
      <c r="G14" s="935" t="e">
        <f>SUMIFS(#REF!,#REF!,'DFC '!C14)</f>
        <v>#REF!</v>
      </c>
      <c r="H14" s="935"/>
      <c r="I14" s="939">
        <v>-1199</v>
      </c>
    </row>
    <row r="15" spans="2:13">
      <c r="B15" s="938" t="s">
        <v>140</v>
      </c>
      <c r="C15" s="933">
        <f>IFERROR(VLOOKUP(B15,Listas!$B$21:$C$50,2,FALSE),"")</f>
        <v>600009</v>
      </c>
      <c r="D15" s="934">
        <f>+D16+D17</f>
        <v>-428</v>
      </c>
      <c r="E15" s="934">
        <f>ROUND(D15/1000,0)</f>
        <v>0</v>
      </c>
      <c r="F15" s="935">
        <f>D15</f>
        <v>-428</v>
      </c>
      <c r="G15" s="935"/>
      <c r="H15" s="935"/>
      <c r="I15" s="940">
        <v>-393</v>
      </c>
    </row>
    <row r="16" spans="2:13" s="339" customFormat="1" hidden="1">
      <c r="B16" s="941" t="s">
        <v>141</v>
      </c>
      <c r="C16" s="933"/>
      <c r="D16" s="934">
        <f>-'Impostos a recuperar 2026'!D204</f>
        <v>-207</v>
      </c>
      <c r="E16" s="934"/>
      <c r="F16" s="942"/>
      <c r="G16" s="942">
        <f>-'Impostos a recuperar 2023'!H96</f>
        <v>-30</v>
      </c>
      <c r="H16" s="942"/>
      <c r="I16" s="943"/>
    </row>
    <row r="17" spans="2:11" s="339" customFormat="1" hidden="1">
      <c r="B17" s="941" t="s">
        <v>142</v>
      </c>
      <c r="C17" s="933"/>
      <c r="D17" s="934">
        <f>-'Depositos 2026'!E45</f>
        <v>-221</v>
      </c>
      <c r="E17" s="934"/>
      <c r="F17" s="942"/>
      <c r="G17" s="942">
        <f>-'Depósitos judiciais 2023'!H30</f>
        <v>-63</v>
      </c>
      <c r="H17" s="942"/>
      <c r="I17" s="943"/>
    </row>
    <row r="18" spans="2:11">
      <c r="B18" s="938"/>
      <c r="C18" s="933" t="str">
        <f>IFERROR(VLOOKUP(B18,Listas!$B$21:$C$50,2,FALSE),"")</f>
        <v/>
      </c>
      <c r="D18" s="944"/>
      <c r="E18" s="944"/>
      <c r="F18" s="938"/>
      <c r="G18" s="938"/>
      <c r="H18" s="935"/>
      <c r="I18" s="945"/>
    </row>
    <row r="19" spans="2:11">
      <c r="B19" s="946" t="s">
        <v>143</v>
      </c>
      <c r="C19" s="933" t="str">
        <f>IFERROR(VLOOKUP(B19,Listas!$B$21:$C$50,2,FALSE),"")</f>
        <v/>
      </c>
      <c r="D19" s="947"/>
      <c r="E19" s="947"/>
      <c r="F19" s="946"/>
      <c r="G19" s="946"/>
      <c r="H19" s="948"/>
      <c r="I19" s="948"/>
    </row>
    <row r="20" spans="2:11" hidden="1">
      <c r="B20" s="938" t="s">
        <v>144</v>
      </c>
      <c r="C20" s="933">
        <f>IFERROR(VLOOKUP(B20,Listas!$B$21:$C$50,2,FALSE),"")</f>
        <v>600010</v>
      </c>
      <c r="D20" s="934">
        <f>SUMIFS('Balancete 06.2026'!O:O,'Balancete 06.2026'!M:M,'DFC '!C20)</f>
        <v>0</v>
      </c>
      <c r="E20" s="934"/>
      <c r="F20" s="935">
        <f>+D20/1000</f>
        <v>0</v>
      </c>
      <c r="G20" s="935"/>
      <c r="H20" s="948"/>
      <c r="I20" s="937">
        <v>0</v>
      </c>
    </row>
    <row r="21" spans="2:11">
      <c r="B21" s="938" t="s">
        <v>145</v>
      </c>
      <c r="C21" s="933">
        <f>IFERROR(VLOOKUP(B21,Listas!$B$21:$C$50,2,FALSE),"")</f>
        <v>600011</v>
      </c>
      <c r="D21" s="934">
        <f>SUMIFS('Balancete 06.2026'!O21:O309,'Balancete 06.2026'!M21:M309,'DFC '!C21)+1000</f>
        <v>-3677555.6599999997</v>
      </c>
      <c r="E21" s="934">
        <f>ROUND(D21/1000,0)</f>
        <v>-3678</v>
      </c>
      <c r="F21" s="935">
        <f>E21</f>
        <v>-3678</v>
      </c>
      <c r="G21" s="935" t="e">
        <f>SUMIFS(#REF!,#REF!,'DFC '!C21)</f>
        <v>#REF!</v>
      </c>
      <c r="H21" s="948"/>
      <c r="I21" s="937">
        <v>-2904</v>
      </c>
      <c r="J21" s="596"/>
      <c r="K21" s="596"/>
    </row>
    <row r="22" spans="2:11">
      <c r="B22" s="938" t="s">
        <v>57</v>
      </c>
      <c r="C22" s="933">
        <f>IFERROR(VLOOKUP(B22,Listas!$B$21:$C$50,2,FALSE),"")</f>
        <v>600012</v>
      </c>
      <c r="D22" s="934">
        <f>SUMIFS('Balancete 06.2026'!O:O,'Balancete 06.2026'!M:M,'DFC '!C22)-1000</f>
        <v>3157908.62</v>
      </c>
      <c r="E22" s="934">
        <f>ROUND(D22/1000,0)</f>
        <v>3158</v>
      </c>
      <c r="F22" s="935">
        <f>E22</f>
        <v>3158</v>
      </c>
      <c r="G22" s="935" t="e">
        <f>SUMIFS(#REF!,#REF!,'DFC '!C22)</f>
        <v>#REF!</v>
      </c>
      <c r="H22" s="948"/>
      <c r="I22" s="937">
        <v>776</v>
      </c>
      <c r="J22" s="596"/>
      <c r="K22" s="596"/>
    </row>
    <row r="23" spans="2:11">
      <c r="B23" s="938" t="s">
        <v>146</v>
      </c>
      <c r="C23" s="933">
        <f>IFERROR(VLOOKUP(B23,Listas!$B$21:$C$50,2,FALSE),"")</f>
        <v>600013</v>
      </c>
      <c r="D23" s="934">
        <f>SUMIFS('Balancete 06.2026'!O:O,'Balancete 06.2026'!M:M,'DFC '!C23)</f>
        <v>-1545126.52</v>
      </c>
      <c r="E23" s="934">
        <f>ROUND(D23/1000,0)</f>
        <v>-1545</v>
      </c>
      <c r="F23" s="935">
        <f>-'Depositos 2026'!E46</f>
        <v>-1324</v>
      </c>
      <c r="G23" s="935" t="e">
        <f>SUMIFS(#REF!,#REF!,'DFC '!C23)</f>
        <v>#REF!</v>
      </c>
      <c r="H23" s="948"/>
      <c r="I23" s="949">
        <v>1069</v>
      </c>
    </row>
    <row r="24" spans="2:11">
      <c r="B24" s="938" t="s">
        <v>147</v>
      </c>
      <c r="C24" s="933">
        <f>IFERROR(VLOOKUP(B24,Listas!$B$21:$C$50,2,FALSE),"")</f>
        <v>600014</v>
      </c>
      <c r="D24" s="934">
        <f>SUMIFS('Balancete 06.2026'!O:O,'Balancete 06.2026'!M:M,'DFC '!C24)</f>
        <v>236152.61</v>
      </c>
      <c r="E24" s="934">
        <f>ROUND(D24/1000,0)</f>
        <v>236</v>
      </c>
      <c r="F24" s="987">
        <f>-'Impostos a recuperar 2026'!D203</f>
        <v>382</v>
      </c>
      <c r="G24" s="935" t="e">
        <f>SUMIFS(#REF!,#REF!,'DFC '!C24)</f>
        <v>#REF!</v>
      </c>
      <c r="H24" s="948"/>
      <c r="I24" s="937">
        <v>-245</v>
      </c>
    </row>
    <row r="25" spans="2:11" hidden="1">
      <c r="B25" s="938" t="s">
        <v>148</v>
      </c>
      <c r="C25" s="933">
        <f>IFERROR(VLOOKUP(B25,Listas!$B$21:$C$50,2,FALSE),"")</f>
        <v>600015</v>
      </c>
      <c r="D25" s="934">
        <f>SUMIFS('Balancete 06.2026'!O:O,'Balancete 06.2026'!M:M,'DFC '!C25)</f>
        <v>0</v>
      </c>
      <c r="E25" s="934"/>
      <c r="F25" s="937">
        <f t="shared" ref="F25:F32" si="1">E25</f>
        <v>0</v>
      </c>
      <c r="G25" s="935"/>
      <c r="H25" s="948"/>
      <c r="I25" s="937">
        <v>0</v>
      </c>
    </row>
    <row r="26" spans="2:11">
      <c r="B26" s="938" t="s">
        <v>59</v>
      </c>
      <c r="C26" s="933">
        <f>IFERROR(VLOOKUP(B26,Listas!$B$21:$C$50,2,FALSE),"")</f>
        <v>600016</v>
      </c>
      <c r="D26" s="934">
        <f>SUMIFS('Balancete 06.2026'!O:O,'Balancete 06.2026'!M:M,'DFC '!C26)</f>
        <v>-106945.09</v>
      </c>
      <c r="E26" s="934">
        <f>ROUND(D26/1000,0)</f>
        <v>-107</v>
      </c>
      <c r="F26" s="937">
        <f t="shared" si="1"/>
        <v>-107</v>
      </c>
      <c r="G26" s="935"/>
      <c r="H26" s="948"/>
      <c r="I26" s="937">
        <v>0</v>
      </c>
    </row>
    <row r="27" spans="2:11">
      <c r="B27" s="938" t="s">
        <v>73</v>
      </c>
      <c r="C27" s="933">
        <f>IFERROR(VLOOKUP(B27,Listas!$B$21:$C$50,2,FALSE),"")</f>
        <v>600017</v>
      </c>
      <c r="D27" s="934">
        <f>SUMIFS('Balancete 06.2026'!O:O,'Balancete 06.2026'!M:M,'DFC '!C27)</f>
        <v>968809.61999999988</v>
      </c>
      <c r="E27" s="934">
        <f>ROUND(D27/1000,0)</f>
        <v>969</v>
      </c>
      <c r="F27" s="937">
        <f>E27</f>
        <v>969</v>
      </c>
      <c r="G27" s="935" t="e">
        <f>SUMIFS(#REF!,#REF!,'DFC '!C27)</f>
        <v>#REF!</v>
      </c>
      <c r="H27" s="948"/>
      <c r="I27" s="937">
        <v>658</v>
      </c>
    </row>
    <row r="28" spans="2:11">
      <c r="B28" s="938" t="s">
        <v>149</v>
      </c>
      <c r="C28" s="933">
        <f>IFERROR(VLOOKUP(B28,Listas!$B$21:$C$50,2,FALSE),"")</f>
        <v>600018</v>
      </c>
      <c r="D28" s="934">
        <f>SUMIFS('Balancete 06.2026'!O:O,'Balancete 06.2026'!M:M,'DFC '!C28)</f>
        <v>-2114584.73</v>
      </c>
      <c r="E28" s="934">
        <f>ROUND(D28/1000,0)</f>
        <v>-2115</v>
      </c>
      <c r="F28" s="937">
        <f>E28-F35</f>
        <v>-2109</v>
      </c>
      <c r="G28" s="935" t="e">
        <f>SUMIFS(#REF!,#REF!,'DFC '!C28)</f>
        <v>#REF!</v>
      </c>
      <c r="H28" s="948"/>
      <c r="I28" s="937">
        <v>-1111</v>
      </c>
    </row>
    <row r="29" spans="2:11">
      <c r="B29" s="938" t="s">
        <v>150</v>
      </c>
      <c r="C29" s="933">
        <f>IFERROR(VLOOKUP(B29,Listas!$B$21:$C$50,2,FALSE),"")</f>
        <v>600019</v>
      </c>
      <c r="D29" s="934">
        <f>SUMIFS('Balancete 06.2026'!O:O,'Balancete 06.2026'!M:M,'DFC '!C29)</f>
        <v>6887235.7800000003</v>
      </c>
      <c r="E29" s="934">
        <f>ROUND(D29/1000,0)+1</f>
        <v>6888</v>
      </c>
      <c r="F29" s="937">
        <f t="shared" si="1"/>
        <v>6888</v>
      </c>
      <c r="G29" s="935" t="e">
        <f>SUMIFS(#REF!,#REF!,'DFC '!C29)</f>
        <v>#REF!</v>
      </c>
      <c r="H29" s="948"/>
      <c r="I29" s="937">
        <v>9227</v>
      </c>
    </row>
    <row r="30" spans="2:11">
      <c r="B30" s="938" t="s">
        <v>151</v>
      </c>
      <c r="C30" s="933">
        <v>600032</v>
      </c>
      <c r="D30" s="934">
        <f>SUMIFS('Balancete 06.2026'!O:O,'Balancete 06.2026'!M:M,'DFC '!C30)</f>
        <v>1059799.8</v>
      </c>
      <c r="E30" s="934">
        <f>ROUND(D30/1000,0)</f>
        <v>1060</v>
      </c>
      <c r="F30" s="937">
        <f>E30</f>
        <v>1060</v>
      </c>
      <c r="G30" s="935"/>
      <c r="H30" s="948"/>
      <c r="I30" s="937">
        <v>101</v>
      </c>
    </row>
    <row r="31" spans="2:11" hidden="1">
      <c r="B31" s="938" t="s">
        <v>152</v>
      </c>
      <c r="C31" s="933">
        <f>IFERROR(VLOOKUP(B31,Listas!$B$21:$C$50,2,FALSE),"")</f>
        <v>600020</v>
      </c>
      <c r="D31" s="934">
        <f>SUMIFS('Balancete 06.2026'!O:O,'Balancete 06.2026'!M:M,'DFC '!C31)</f>
        <v>0</v>
      </c>
      <c r="E31" s="934"/>
      <c r="F31" s="937">
        <f t="shared" si="1"/>
        <v>0</v>
      </c>
      <c r="G31" s="935"/>
      <c r="H31" s="948"/>
      <c r="I31" s="937">
        <v>0</v>
      </c>
    </row>
    <row r="32" spans="2:11">
      <c r="B32" s="938" t="s">
        <v>153</v>
      </c>
      <c r="C32" s="933">
        <v>600021</v>
      </c>
      <c r="D32" s="934">
        <f>SUMIFS('Balancete 06.2026'!O:O,'Balancete 06.2026'!M:M,'DFC '!C32)+1000</f>
        <v>1409.06</v>
      </c>
      <c r="E32" s="934">
        <f>ROUND(D32/1000,0)</f>
        <v>1</v>
      </c>
      <c r="F32" s="1019">
        <f t="shared" si="1"/>
        <v>1</v>
      </c>
      <c r="G32" s="937" t="e">
        <f>SUMIFS(#REF!,#REF!,'DFC '!C32)</f>
        <v>#REF!</v>
      </c>
      <c r="H32" s="948"/>
      <c r="I32" s="1020">
        <v>1</v>
      </c>
    </row>
    <row r="33" spans="2:10" ht="13.9" hidden="1" thickBot="1">
      <c r="B33" s="938" t="s">
        <v>154</v>
      </c>
      <c r="C33" s="933"/>
      <c r="D33" s="934"/>
      <c r="E33" s="934"/>
      <c r="F33" s="951">
        <v>0</v>
      </c>
      <c r="G33" s="935"/>
      <c r="H33" s="948"/>
      <c r="I33" s="951">
        <v>0</v>
      </c>
    </row>
    <row r="34" spans="2:10">
      <c r="B34" s="952" t="s">
        <v>155</v>
      </c>
      <c r="C34" s="933" t="str">
        <f>IFERROR(VLOOKUP(B34,Listas!$B$21:$C$50,2,FALSE),"")</f>
        <v/>
      </c>
      <c r="D34" s="953">
        <f>SUM(D7:D15)+SUM(D20:D32)</f>
        <v>-70754221.620000005</v>
      </c>
      <c r="E34" s="934"/>
      <c r="F34" s="954">
        <f>SUM(F7:F33)</f>
        <v>-85490</v>
      </c>
      <c r="G34" s="954"/>
      <c r="H34" s="955"/>
      <c r="I34" s="956">
        <f>SUM(I7:I33)</f>
        <v>-77388</v>
      </c>
      <c r="J34" s="31"/>
    </row>
    <row r="35" spans="2:10" ht="13.9" thickBot="1">
      <c r="B35" s="957" t="s">
        <v>156</v>
      </c>
      <c r="C35" s="933"/>
      <c r="D35" s="958"/>
      <c r="E35" s="934"/>
      <c r="F35" s="989">
        <v>-6</v>
      </c>
      <c r="G35" s="949"/>
      <c r="H35" s="948"/>
      <c r="I35" s="951">
        <v>-245</v>
      </c>
    </row>
    <row r="36" spans="2:10" s="31" customFormat="1">
      <c r="B36" s="952" t="s">
        <v>157</v>
      </c>
      <c r="C36" s="959"/>
      <c r="D36" s="953"/>
      <c r="E36" s="953"/>
      <c r="F36" s="954">
        <f>SUM(F34,F35)</f>
        <v>-85496</v>
      </c>
      <c r="G36" s="954"/>
      <c r="H36" s="960"/>
      <c r="I36" s="954">
        <f>SUM(I34,I35)</f>
        <v>-77633</v>
      </c>
    </row>
    <row r="37" spans="2:10">
      <c r="B37" s="952"/>
      <c r="C37" s="933" t="str">
        <f>IFERROR(VLOOKUP(B37,Listas!$B$21:$C$50,2,FALSE),"")</f>
        <v/>
      </c>
      <c r="D37" s="961"/>
      <c r="E37" s="961"/>
      <c r="F37" s="952"/>
      <c r="G37" s="952"/>
      <c r="H37" s="948"/>
      <c r="I37" s="937"/>
    </row>
    <row r="38" spans="2:10">
      <c r="B38" s="952" t="s">
        <v>158</v>
      </c>
      <c r="C38" s="933" t="str">
        <f>IFERROR(VLOOKUP(B38,Listas!$B$21:$C$50,2,FALSE),"")</f>
        <v/>
      </c>
      <c r="D38" s="961"/>
      <c r="E38" s="961"/>
      <c r="F38" s="952"/>
      <c r="G38" s="952"/>
      <c r="H38" s="948"/>
      <c r="I38" s="937"/>
    </row>
    <row r="39" spans="2:10" hidden="1">
      <c r="B39" s="938" t="s">
        <v>159</v>
      </c>
      <c r="C39" s="933" t="str">
        <f>IFERROR(VLOOKUP(B39,Listas!$B$21:$C$50,2,FALSE),"")</f>
        <v/>
      </c>
      <c r="D39" s="934">
        <f>SUMIFS('Balancete 06.2026'!O:O,'Balancete 06.2026'!M:M,'DFC '!C39)</f>
        <v>0</v>
      </c>
      <c r="E39" s="934">
        <v>0</v>
      </c>
      <c r="F39" s="962">
        <v>0</v>
      </c>
      <c r="G39" s="935"/>
      <c r="H39" s="948"/>
      <c r="I39" s="945">
        <v>0</v>
      </c>
    </row>
    <row r="40" spans="2:10">
      <c r="B40" s="938" t="s">
        <v>160</v>
      </c>
      <c r="C40" s="933">
        <f>IFERROR(VLOOKUP(B40,Listas!$B$21:$C$50,2,FALSE),"")</f>
        <v>600023</v>
      </c>
      <c r="D40" s="934">
        <f>SUMIFS('Balancete 06.2026'!O:O,'Balancete 06.2026'!M:M,'DFC '!C40)</f>
        <v>-799729.77</v>
      </c>
      <c r="E40" s="934">
        <f>ROUND(D40/1000,0)</f>
        <v>-800</v>
      </c>
      <c r="F40" s="962">
        <f>E40</f>
        <v>-800</v>
      </c>
      <c r="G40" s="935"/>
      <c r="H40" s="948"/>
      <c r="I40" s="945">
        <v>0</v>
      </c>
    </row>
    <row r="41" spans="2:10" ht="13.9" thickBot="1">
      <c r="B41" s="938" t="s">
        <v>161</v>
      </c>
      <c r="C41" s="933">
        <f>IFERROR(VLOOKUP(B41,Listas!$B$21:$C$50,2,FALSE),"")</f>
        <v>600024</v>
      </c>
      <c r="D41" s="934">
        <f>SUMIFS('Balancete 06.2026'!O:O,'Balancete 06.2026'!M:M,'DFC '!C41)</f>
        <v>-591599.99</v>
      </c>
      <c r="E41" s="934">
        <f>ROUND(D41/1000,0)</f>
        <v>-592</v>
      </c>
      <c r="F41" s="950">
        <f>E41</f>
        <v>-592</v>
      </c>
      <c r="G41" s="937" t="e">
        <f>SUMIFS(#REF!,#REF!,'DFC '!C41)</f>
        <v>#REF!</v>
      </c>
      <c r="H41" s="948"/>
      <c r="I41" s="951">
        <v>-635</v>
      </c>
    </row>
    <row r="42" spans="2:10">
      <c r="B42" s="952" t="s">
        <v>162</v>
      </c>
      <c r="C42" s="933" t="str">
        <f>IFERROR(VLOOKUP(B42,Listas!$B$21:$C$50,2,FALSE),"")</f>
        <v/>
      </c>
      <c r="D42" s="953">
        <f>SUM(D39:D41)</f>
        <v>-1391329.76</v>
      </c>
      <c r="E42" s="953"/>
      <c r="F42" s="954">
        <f>SUM(F39:F41)</f>
        <v>-1392</v>
      </c>
      <c r="G42" s="956"/>
      <c r="H42" s="960"/>
      <c r="I42" s="956">
        <f>SUM(I39:I41)</f>
        <v>-635</v>
      </c>
      <c r="J42" s="31"/>
    </row>
    <row r="43" spans="2:10">
      <c r="B43" s="952"/>
      <c r="C43" s="933" t="str">
        <f>IFERROR(VLOOKUP(B43,Listas!$B$21:$C$50,2,FALSE),"")</f>
        <v/>
      </c>
      <c r="D43" s="961"/>
      <c r="E43" s="961"/>
      <c r="F43" s="952"/>
      <c r="G43" s="952"/>
      <c r="H43" s="948"/>
      <c r="I43" s="937"/>
    </row>
    <row r="44" spans="2:10">
      <c r="B44" s="952" t="s">
        <v>163</v>
      </c>
      <c r="C44" s="933" t="str">
        <f>IFERROR(VLOOKUP(B44,Listas!$B$21:$C$50,2,FALSE),"")</f>
        <v/>
      </c>
      <c r="D44" s="961"/>
      <c r="E44" s="961"/>
      <c r="F44" s="952"/>
      <c r="G44" s="952"/>
      <c r="H44" s="948"/>
      <c r="I44" s="937"/>
    </row>
    <row r="45" spans="2:10">
      <c r="B45" s="938" t="s">
        <v>164</v>
      </c>
      <c r="C45" s="933">
        <f>IFERROR(VLOOKUP(B45,Listas!$B$21:$C$50,2,FALSE),"")</f>
        <v>600026</v>
      </c>
      <c r="D45" s="934">
        <f>SUMIFS('Balancete 06.2026'!O:O,'Balancete 06.2026'!M:M,'DFC '!C45)</f>
        <v>-1862713.32</v>
      </c>
      <c r="E45" s="934">
        <f>ROUND(D45/1000,0)+1</f>
        <v>-1862</v>
      </c>
      <c r="F45" s="962">
        <f>E45</f>
        <v>-1862</v>
      </c>
      <c r="G45" s="935" t="e">
        <f>SUMIFS(#REF!,#REF!,'DFC '!C45)</f>
        <v>#REF!</v>
      </c>
      <c r="H45" s="948"/>
      <c r="I45" s="937">
        <v>-1771</v>
      </c>
    </row>
    <row r="46" spans="2:10">
      <c r="B46" s="938" t="s">
        <v>165</v>
      </c>
      <c r="C46" s="933">
        <f>IFERROR(VLOOKUP(B46,Listas!$B$21:$C$50,2,FALSE),"")</f>
        <v>600027</v>
      </c>
      <c r="D46" s="934">
        <f>SUMIFS('Balancete 06.2026'!O8:O807,'Balancete 06.2026'!M8:M807,'DFC '!C8)*-1</f>
        <v>75965949.219999999</v>
      </c>
      <c r="E46" s="934">
        <f>ROUND(D46/1000,0)</f>
        <v>75966</v>
      </c>
      <c r="F46" s="949">
        <f>E46</f>
        <v>75966</v>
      </c>
      <c r="G46" s="935" t="e">
        <f>SUMIFS(#REF!,#REF!,'DFC '!C46)</f>
        <v>#REF!</v>
      </c>
      <c r="H46" s="948"/>
      <c r="I46" s="937">
        <v>85919</v>
      </c>
    </row>
    <row r="47" spans="2:10" ht="13.9" thickBot="1">
      <c r="B47" s="938" t="s">
        <v>166</v>
      </c>
      <c r="C47" s="933">
        <f>IFERROR(VLOOKUP(B47,Listas!$B$21:$C$50,2,FALSE),"")</f>
        <v>600028</v>
      </c>
      <c r="D47" s="963">
        <f>SUMIFS('Balancete 06.2026'!O:O,'Balancete 06.2026'!M:M,'DFC '!C47)</f>
        <v>1687154.0399999998</v>
      </c>
      <c r="E47" s="934">
        <f>ROUND(D47/1000,0)-1</f>
        <v>1686</v>
      </c>
      <c r="F47" s="950">
        <f>E47</f>
        <v>1686</v>
      </c>
      <c r="G47" s="935" t="e">
        <f>SUMIFS(#REF!,#REF!,'DFC '!C47)</f>
        <v>#REF!</v>
      </c>
      <c r="H47" s="948"/>
      <c r="I47" s="951">
        <v>695</v>
      </c>
    </row>
    <row r="48" spans="2:10">
      <c r="B48" s="952" t="s">
        <v>167</v>
      </c>
      <c r="C48" s="933" t="str">
        <f>IFERROR(VLOOKUP(B48,Listas!$B$21:$C$50,2,FALSE),"")</f>
        <v/>
      </c>
      <c r="D48" s="953">
        <f>SUM(D45:D47)</f>
        <v>75790389.940000013</v>
      </c>
      <c r="E48" s="953"/>
      <c r="F48" s="954">
        <f>SUM(F45:F47)</f>
        <v>75790</v>
      </c>
      <c r="G48" s="956"/>
      <c r="H48" s="960"/>
      <c r="I48" s="956">
        <f>SUM(I45:I47)</f>
        <v>84843</v>
      </c>
      <c r="J48" s="31"/>
    </row>
    <row r="49" spans="2:12" ht="13.9" thickBot="1">
      <c r="B49" s="952"/>
      <c r="C49" s="933" t="str">
        <f>IFERROR(VLOOKUP(B49,Listas!$B$21:$C$50,2,FALSE),"")</f>
        <v/>
      </c>
      <c r="D49" s="963"/>
      <c r="E49" s="963"/>
      <c r="F49" s="950"/>
      <c r="G49" s="937"/>
      <c r="H49" s="948"/>
      <c r="I49" s="951"/>
    </row>
    <row r="50" spans="2:12" ht="13.9" thickBot="1">
      <c r="B50" s="952" t="s">
        <v>168</v>
      </c>
      <c r="C50" s="933" t="str">
        <f>IFERROR(VLOOKUP(B50,Listas!$B$21:$C$50,2,FALSE),"")</f>
        <v/>
      </c>
      <c r="D50" s="964">
        <f>D48+D34+D42</f>
        <v>3644838.560000008</v>
      </c>
      <c r="E50" s="964"/>
      <c r="F50" s="965">
        <f>F48+F36+F42</f>
        <v>-11098</v>
      </c>
      <c r="G50" s="966"/>
      <c r="H50" s="960"/>
      <c r="I50" s="967">
        <f>+I36+I42+I48</f>
        <v>6575</v>
      </c>
      <c r="J50" s="31"/>
    </row>
    <row r="51" spans="2:12" ht="13.9" thickTop="1">
      <c r="B51" s="952"/>
      <c r="C51" s="933" t="str">
        <f>IFERROR(VLOOKUP(B51,Listas!$B$21:$C$50,2,FALSE),"")</f>
        <v/>
      </c>
      <c r="D51" s="961"/>
      <c r="E51" s="961"/>
      <c r="F51" s="952"/>
      <c r="G51" s="952"/>
      <c r="H51" s="960"/>
      <c r="I51" s="956"/>
      <c r="J51" s="31"/>
    </row>
    <row r="52" spans="2:12">
      <c r="B52" s="968" t="s">
        <v>169</v>
      </c>
      <c r="C52" s="933">
        <f>IFERROR(VLOOKUP(B52,Listas!$B$21:$C$50,2,FALSE),"")</f>
        <v>600029</v>
      </c>
      <c r="D52" s="934"/>
      <c r="E52" s="934"/>
      <c r="F52" s="962">
        <f>BP!H11</f>
        <v>44517</v>
      </c>
      <c r="G52" s="969"/>
      <c r="H52" s="948"/>
      <c r="I52" s="937">
        <v>44468</v>
      </c>
    </row>
    <row r="53" spans="2:12">
      <c r="B53" s="968" t="s">
        <v>170</v>
      </c>
      <c r="C53" s="933">
        <f>IFERROR(VLOOKUP(B53,Listas!$B$21:$C$50,2,FALSE),"")</f>
        <v>600030</v>
      </c>
      <c r="D53" s="934"/>
      <c r="E53" s="934"/>
      <c r="F53" s="962">
        <f>+BP!F11</f>
        <v>33419</v>
      </c>
      <c r="G53" s="935"/>
      <c r="H53" s="948"/>
      <c r="I53" s="937">
        <v>51043</v>
      </c>
    </row>
    <row r="54" spans="2:12" ht="13.9" thickBot="1">
      <c r="B54" s="968"/>
      <c r="C54" s="933" t="str">
        <f>IFERROR(VLOOKUP(B54,Listas!$B$21:$C$50,2,FALSE),"")</f>
        <v/>
      </c>
      <c r="D54" s="970"/>
      <c r="E54" s="970"/>
      <c r="F54" s="968"/>
      <c r="G54" s="968"/>
      <c r="H54" s="948"/>
      <c r="I54" s="937"/>
    </row>
    <row r="55" spans="2:12" ht="13.9" thickBot="1">
      <c r="B55" s="952" t="s">
        <v>168</v>
      </c>
      <c r="C55" s="933" t="str">
        <f>IFERROR(VLOOKUP(B55,Listas!$B$21:$C$50,2,FALSE),"")</f>
        <v/>
      </c>
      <c r="D55" s="971">
        <f>(D52-D53)*-1</f>
        <v>0</v>
      </c>
      <c r="E55" s="971"/>
      <c r="F55" s="972">
        <f>(F52-F53)*-1</f>
        <v>-11098</v>
      </c>
      <c r="G55" s="956"/>
      <c r="H55" s="960"/>
      <c r="I55" s="967">
        <f>(+I52-I53)*-1</f>
        <v>6575</v>
      </c>
      <c r="J55" s="31"/>
    </row>
    <row r="56" spans="2:12" ht="13.9" thickTop="1">
      <c r="F56" s="973"/>
    </row>
    <row r="57" spans="2:12">
      <c r="B57" s="13" t="str">
        <f>BP!B56</f>
        <v>As notas explicativas são parte integrante das informações financeiras intermediárias.</v>
      </c>
      <c r="C57" s="352"/>
      <c r="D57" s="352"/>
      <c r="E57" s="352"/>
      <c r="F57" s="13"/>
      <c r="G57" s="13"/>
    </row>
    <row r="60" spans="2:12">
      <c r="D60" s="353"/>
      <c r="E60" s="353"/>
      <c r="F60" s="30">
        <f>F50-F55</f>
        <v>0</v>
      </c>
      <c r="G60" s="9"/>
      <c r="H60" s="30"/>
      <c r="I60" s="30">
        <f>I50-I55</f>
        <v>0</v>
      </c>
    </row>
    <row r="63" spans="2:12" ht="13.9" thickBot="1"/>
    <row r="64" spans="2:12" ht="15" thickBot="1">
      <c r="B64" s="1056" t="s">
        <v>171</v>
      </c>
      <c r="C64" s="1057"/>
      <c r="D64" s="1057"/>
      <c r="E64" s="1057"/>
      <c r="F64" s="1057"/>
      <c r="G64" s="1057"/>
      <c r="H64" s="1057"/>
      <c r="I64" s="1057"/>
      <c r="J64" s="1057"/>
      <c r="K64" s="1057"/>
      <c r="L64" s="1058"/>
    </row>
    <row r="65" spans="2:13" ht="15" thickBot="1">
      <c r="F65" s="397" t="s">
        <v>172</v>
      </c>
      <c r="J65" s="397" t="s">
        <v>173</v>
      </c>
    </row>
    <row r="66" spans="2:13" ht="15" thickBot="1">
      <c r="B66" s="371" t="s">
        <v>49</v>
      </c>
      <c r="C66" s="370"/>
      <c r="D66" s="370"/>
      <c r="J66" s="390">
        <f>[3]BP!J49-[3]BP!H49</f>
        <v>0</v>
      </c>
      <c r="K66" s="375">
        <f>F5</f>
        <v>46203</v>
      </c>
      <c r="L66" s="372"/>
      <c r="M66" s="376">
        <f>I5</f>
        <v>45838</v>
      </c>
    </row>
    <row r="67" spans="2:13" ht="14.45">
      <c r="B67" s="388" t="s">
        <v>174</v>
      </c>
      <c r="C67" s="389"/>
      <c r="D67" s="389"/>
      <c r="F67" s="390">
        <f>BP!H11-BP!F11</f>
        <v>11098</v>
      </c>
      <c r="J67" s="390">
        <f>BP!L11-BP!J11</f>
        <v>-6575</v>
      </c>
      <c r="K67" s="380">
        <f>F67+F50</f>
        <v>0</v>
      </c>
      <c r="L67" s="380"/>
      <c r="M67" s="380">
        <f>J67+I50</f>
        <v>0</v>
      </c>
    </row>
    <row r="68" spans="2:13" ht="14.45">
      <c r="B68" s="389" t="s">
        <v>175</v>
      </c>
      <c r="C68" s="389"/>
      <c r="D68" s="389"/>
      <c r="F68" s="609">
        <f>BP!H12-BP!F12</f>
        <v>848</v>
      </c>
      <c r="J68" s="390">
        <f>BP!L12-BP!J12</f>
        <v>870</v>
      </c>
      <c r="K68" s="380">
        <f>F68+F71+F72-F15-F24-F23</f>
        <v>0</v>
      </c>
      <c r="L68" s="380"/>
      <c r="M68" s="380">
        <f>J68+J71+J72-I15-I24-I23</f>
        <v>0</v>
      </c>
    </row>
    <row r="69" spans="2:13" ht="14.45">
      <c r="B69" s="389" t="s">
        <v>55</v>
      </c>
      <c r="C69" s="389"/>
      <c r="D69" s="389"/>
      <c r="F69" s="390">
        <f>BP!H13-BP!F13</f>
        <v>-3678</v>
      </c>
      <c r="J69" s="390">
        <f>BP!L13-BP!J13</f>
        <v>-2904</v>
      </c>
      <c r="K69" s="380">
        <f>F69-F21</f>
        <v>0</v>
      </c>
      <c r="L69" s="380"/>
      <c r="M69" s="380">
        <f>J69-I21</f>
        <v>0</v>
      </c>
    </row>
    <row r="70" spans="2:13" ht="14.45">
      <c r="B70" s="389" t="s">
        <v>176</v>
      </c>
      <c r="C70" s="389"/>
      <c r="D70" s="389"/>
      <c r="F70" s="390">
        <f>BP!H14-BP!F14</f>
        <v>3158</v>
      </c>
      <c r="J70" s="390">
        <f>BP!L14-BP!J14</f>
        <v>776</v>
      </c>
      <c r="K70" s="380">
        <f>F70-F22</f>
        <v>0</v>
      </c>
      <c r="L70" s="380"/>
      <c r="M70" s="380">
        <f>J70-I22+J73-I26</f>
        <v>0</v>
      </c>
    </row>
    <row r="71" spans="2:13" ht="14.45">
      <c r="B71" s="389" t="s">
        <v>175</v>
      </c>
      <c r="C71" s="389"/>
      <c r="D71" s="389"/>
      <c r="F71" s="390">
        <f>BP!H19-BP!F19</f>
        <v>-673</v>
      </c>
      <c r="J71" s="390">
        <f>BP!L19-BP!J19</f>
        <v>-1308</v>
      </c>
      <c r="K71" s="380" t="s">
        <v>177</v>
      </c>
      <c r="L71" s="380"/>
      <c r="M71" s="597" t="s">
        <v>177</v>
      </c>
    </row>
    <row r="72" spans="2:13" ht="14.45">
      <c r="B72" s="389" t="s">
        <v>62</v>
      </c>
      <c r="C72" s="389"/>
      <c r="D72" s="389"/>
      <c r="F72" s="390">
        <f>BP!H20-BP!F20</f>
        <v>-1545</v>
      </c>
      <c r="J72" s="390">
        <f>BP!L20-BP!J20</f>
        <v>869</v>
      </c>
      <c r="K72" s="380" t="s">
        <v>177</v>
      </c>
      <c r="L72" s="380"/>
      <c r="M72" s="597" t="s">
        <v>177</v>
      </c>
    </row>
    <row r="73" spans="2:13" ht="14.45">
      <c r="B73" s="389" t="s">
        <v>64</v>
      </c>
      <c r="C73" s="389"/>
      <c r="D73" s="389"/>
      <c r="F73" s="390">
        <f>BP!H21-BP!F21</f>
        <v>0</v>
      </c>
      <c r="J73" s="390">
        <f>BP!L17-BP!J17</f>
        <v>0</v>
      </c>
      <c r="K73" s="380" t="s">
        <v>177</v>
      </c>
      <c r="L73" s="380"/>
      <c r="M73" s="597" t="s">
        <v>177</v>
      </c>
    </row>
    <row r="74" spans="2:13" ht="14.45">
      <c r="B74" s="389" t="s">
        <v>59</v>
      </c>
      <c r="C74" s="389"/>
      <c r="D74" s="389"/>
      <c r="F74" s="390">
        <f>BP!H15-BP!F15</f>
        <v>-107</v>
      </c>
      <c r="J74" s="390">
        <f>BP!L18-BP!J18</f>
        <v>0</v>
      </c>
      <c r="K74" s="380">
        <f>F74-F26</f>
        <v>0</v>
      </c>
      <c r="L74" s="380"/>
      <c r="M74" s="597"/>
    </row>
    <row r="75" spans="2:13" ht="14.45">
      <c r="B75" s="389" t="s">
        <v>65</v>
      </c>
      <c r="C75" s="389"/>
      <c r="D75" s="389"/>
      <c r="F75" s="390">
        <f>BP!H22-BP!F22</f>
        <v>342</v>
      </c>
      <c r="J75" s="390">
        <f>BP!L22-BP!J22</f>
        <v>289</v>
      </c>
      <c r="K75" s="380">
        <f>F75+F76+F77-F41-F10-F13-F40-F39</f>
        <v>0</v>
      </c>
      <c r="L75" s="380"/>
      <c r="M75" s="597">
        <f>J75+J76+J77-I41-I10-I11-I13-I40</f>
        <v>0</v>
      </c>
    </row>
    <row r="76" spans="2:13" ht="14.45">
      <c r="B76" s="389" t="s">
        <v>178</v>
      </c>
      <c r="C76" s="389"/>
      <c r="D76" s="389"/>
      <c r="F76" s="390">
        <f>BP!H23-BP!F23</f>
        <v>1478</v>
      </c>
      <c r="J76" s="390">
        <f>BP!L23-BP!J23</f>
        <v>1396</v>
      </c>
      <c r="K76" s="380" t="s">
        <v>177</v>
      </c>
      <c r="L76" s="380"/>
      <c r="M76" s="597" t="s">
        <v>177</v>
      </c>
    </row>
    <row r="77" spans="2:13" ht="14.45">
      <c r="B77" s="389" t="s">
        <v>69</v>
      </c>
      <c r="C77" s="389"/>
      <c r="D77" s="389"/>
      <c r="F77" s="390">
        <f>BP!H24-BP!F24</f>
        <v>-521</v>
      </c>
      <c r="J77" s="390">
        <f>BP!L24-BP!J24</f>
        <v>504</v>
      </c>
      <c r="K77" s="380" t="s">
        <v>177</v>
      </c>
      <c r="L77" s="380"/>
      <c r="M77" s="597" t="s">
        <v>177</v>
      </c>
    </row>
    <row r="78" spans="2:13" ht="14.45">
      <c r="B78" s="389"/>
      <c r="C78" s="389"/>
      <c r="D78" s="389"/>
      <c r="F78" s="390"/>
      <c r="J78" s="392"/>
      <c r="K78" s="380"/>
      <c r="L78" s="380"/>
      <c r="M78" s="597"/>
    </row>
    <row r="79" spans="2:13" ht="14.45">
      <c r="B79" s="391" t="s">
        <v>179</v>
      </c>
      <c r="C79" s="391"/>
      <c r="D79" s="391"/>
      <c r="F79" s="392"/>
      <c r="G79" s="393"/>
      <c r="H79" s="393"/>
      <c r="J79" s="390"/>
      <c r="K79" s="394"/>
      <c r="L79" s="394"/>
      <c r="M79" s="598"/>
    </row>
    <row r="80" spans="2:13" ht="14.45">
      <c r="B80" s="389" t="s">
        <v>73</v>
      </c>
      <c r="C80" s="389"/>
      <c r="D80" s="389"/>
      <c r="F80" s="390">
        <f>BP!F32-BP!H32</f>
        <v>969</v>
      </c>
      <c r="J80" s="390">
        <f>BP!J32-BP!L32</f>
        <v>658</v>
      </c>
      <c r="K80" s="597">
        <f>F80-F27</f>
        <v>0</v>
      </c>
      <c r="L80" s="380"/>
      <c r="M80" s="597">
        <f>J80-I27</f>
        <v>0</v>
      </c>
    </row>
    <row r="81" spans="2:13" ht="14.45">
      <c r="B81" s="389" t="s">
        <v>180</v>
      </c>
      <c r="C81" s="389"/>
      <c r="D81" s="389"/>
      <c r="F81" s="390">
        <f>BP!F33-BP!H33</f>
        <v>-2115</v>
      </c>
      <c r="J81" s="390">
        <f>BP!J33-BP!L33</f>
        <v>-1356</v>
      </c>
      <c r="K81" s="380">
        <f>F81-F35-F28</f>
        <v>0</v>
      </c>
      <c r="L81" s="380"/>
      <c r="M81" s="597">
        <f>J81-I35-I28</f>
        <v>0</v>
      </c>
    </row>
    <row r="82" spans="2:13" ht="14.45">
      <c r="B82" s="389" t="s">
        <v>76</v>
      </c>
      <c r="C82" s="389"/>
      <c r="D82" s="389"/>
      <c r="F82" s="390">
        <f>BP!F34-BP!H34</f>
        <v>6888</v>
      </c>
      <c r="J82" s="390">
        <f>BP!J34-BP!L34</f>
        <v>9227</v>
      </c>
      <c r="K82" s="380">
        <f>F82-F29</f>
        <v>0</v>
      </c>
      <c r="L82" s="380"/>
      <c r="M82" s="597">
        <f>J82-I29</f>
        <v>0</v>
      </c>
    </row>
    <row r="83" spans="2:13" ht="14.45">
      <c r="B83" s="389" t="s">
        <v>78</v>
      </c>
      <c r="C83" s="389"/>
      <c r="D83" s="389"/>
      <c r="F83" s="390">
        <f>BP!H35-BP!F35</f>
        <v>0</v>
      </c>
      <c r="J83" s="390">
        <v>0</v>
      </c>
      <c r="K83" s="380">
        <f>F83+F87-F14-F33</f>
        <v>0</v>
      </c>
      <c r="L83" s="380"/>
      <c r="M83" s="597">
        <f>J83+J87-I14-I33</f>
        <v>0</v>
      </c>
    </row>
    <row r="84" spans="2:13" ht="14.45">
      <c r="B84" s="389" t="s">
        <v>79</v>
      </c>
      <c r="C84" s="389"/>
      <c r="D84" s="389"/>
      <c r="F84" s="390">
        <f>BP!F36-BP!H36</f>
        <v>1</v>
      </c>
      <c r="J84" s="390">
        <f>BP!J36-BP!L36</f>
        <v>1</v>
      </c>
      <c r="K84" s="380">
        <f>F84-F32</f>
        <v>0</v>
      </c>
      <c r="L84" s="380"/>
      <c r="M84" s="597">
        <f>J84-I32</f>
        <v>0</v>
      </c>
    </row>
    <row r="85" spans="2:13" ht="14.45">
      <c r="B85" s="389" t="s">
        <v>81</v>
      </c>
      <c r="C85" s="389"/>
      <c r="D85" s="389"/>
      <c r="F85" s="390">
        <f>BP!F37-BP!H37</f>
        <v>1060</v>
      </c>
      <c r="J85" s="390">
        <f>BP!J37-BP!L37</f>
        <v>101</v>
      </c>
      <c r="K85" s="380">
        <f>F85-F30</f>
        <v>0</v>
      </c>
      <c r="L85" s="380"/>
      <c r="M85" s="597">
        <f>J85-I30</f>
        <v>0</v>
      </c>
    </row>
    <row r="86" spans="2:13" ht="14.45">
      <c r="B86" s="389" t="s">
        <v>181</v>
      </c>
      <c r="C86" s="389"/>
      <c r="D86" s="389"/>
      <c r="F86" s="390">
        <f>BP!F38-BP!H38</f>
        <v>76</v>
      </c>
      <c r="J86" s="390">
        <f>BP!J38-BP!L38</f>
        <v>68</v>
      </c>
      <c r="K86" s="380">
        <f>F86+F88-F45-F12</f>
        <v>0</v>
      </c>
      <c r="L86" s="380"/>
      <c r="M86" s="597">
        <f>J86+J88-I45-I12</f>
        <v>0</v>
      </c>
    </row>
    <row r="87" spans="2:13" ht="14.45">
      <c r="B87" s="389" t="s">
        <v>78</v>
      </c>
      <c r="C87" s="389"/>
      <c r="D87" s="389"/>
      <c r="F87" s="390">
        <f>BP!F42-BP!H42</f>
        <v>-2698</v>
      </c>
      <c r="J87" s="390">
        <f>BP!J42-BP!L42</f>
        <v>-1199</v>
      </c>
      <c r="K87" s="380" t="s">
        <v>177</v>
      </c>
      <c r="L87" s="380"/>
      <c r="M87" s="597" t="s">
        <v>177</v>
      </c>
    </row>
    <row r="88" spans="2:13" ht="14.45">
      <c r="B88" s="389" t="s">
        <v>181</v>
      </c>
      <c r="C88" s="389"/>
      <c r="D88" s="389"/>
      <c r="F88" s="390">
        <f>BP!F43-BP!H43</f>
        <v>-1586</v>
      </c>
      <c r="J88" s="390">
        <f>BP!J43-BP!L43</f>
        <v>-1436</v>
      </c>
      <c r="K88" s="380" t="s">
        <v>177</v>
      </c>
      <c r="L88" s="380"/>
      <c r="M88" s="597" t="s">
        <v>177</v>
      </c>
    </row>
    <row r="89" spans="2:13" ht="14.45">
      <c r="B89" s="391"/>
      <c r="C89" s="389"/>
      <c r="D89" s="389"/>
      <c r="F89" s="390"/>
      <c r="J89" s="392"/>
      <c r="K89" s="380"/>
      <c r="L89" s="380"/>
      <c r="M89" s="597"/>
    </row>
    <row r="90" spans="2:13" ht="14.45">
      <c r="B90" s="391" t="s">
        <v>182</v>
      </c>
      <c r="C90" s="391"/>
      <c r="D90" s="391"/>
      <c r="F90" s="392"/>
      <c r="G90" s="393"/>
      <c r="H90" s="393"/>
      <c r="J90" s="390"/>
      <c r="K90" s="394"/>
      <c r="L90" s="394"/>
      <c r="M90" s="598"/>
    </row>
    <row r="91" spans="2:13" ht="14.45">
      <c r="B91" s="389" t="s">
        <v>88</v>
      </c>
      <c r="C91" s="389"/>
      <c r="D91" s="389"/>
      <c r="F91" s="390">
        <f>BP!F47-BP!H47</f>
        <v>1710</v>
      </c>
      <c r="J91" s="390">
        <f>BP!J47-BP!L47</f>
        <v>2986</v>
      </c>
      <c r="K91" s="395">
        <f>F91+F93-F47</f>
        <v>0</v>
      </c>
      <c r="L91" s="395"/>
      <c r="M91" s="599">
        <f>J91+J93-I47</f>
        <v>0</v>
      </c>
    </row>
    <row r="92" spans="2:13" ht="14.45">
      <c r="B92" s="389" t="s">
        <v>90</v>
      </c>
      <c r="C92" s="389"/>
      <c r="D92" s="389"/>
      <c r="F92" s="390">
        <v>0</v>
      </c>
      <c r="J92" s="390"/>
      <c r="K92" s="395"/>
      <c r="L92" s="395"/>
      <c r="M92" s="599"/>
    </row>
    <row r="93" spans="2:13" ht="14.45">
      <c r="B93" s="389" t="s">
        <v>91</v>
      </c>
      <c r="C93" s="389"/>
      <c r="D93" s="389"/>
      <c r="F93" s="390">
        <f>BP!F49-BP!H49</f>
        <v>-24</v>
      </c>
      <c r="J93" s="600">
        <f>BP!J49-BP!L49</f>
        <v>-2291</v>
      </c>
      <c r="K93" s="380" t="s">
        <v>177</v>
      </c>
      <c r="L93" s="395"/>
      <c r="M93" s="395">
        <v>0</v>
      </c>
    </row>
    <row r="94" spans="2:13" ht="15" thickBot="1">
      <c r="B94" s="389" t="s">
        <v>93</v>
      </c>
      <c r="C94" s="389"/>
      <c r="D94" s="389"/>
      <c r="F94" s="396">
        <f>BP!F50-BP!H50</f>
        <v>-14681</v>
      </c>
      <c r="J94" s="396">
        <f>BP!J50-BP!L50</f>
        <v>-676</v>
      </c>
      <c r="K94" s="395">
        <f>F94-F7</f>
        <v>0</v>
      </c>
      <c r="L94" s="395"/>
      <c r="M94" s="395">
        <f>J94-I7</f>
        <v>0</v>
      </c>
    </row>
    <row r="95" spans="2:13" ht="15" thickBot="1">
      <c r="B95" s="370"/>
      <c r="C95" s="370"/>
      <c r="D95" s="370"/>
      <c r="F95" s="392">
        <f>SUM(F67:F94)</f>
        <v>0</v>
      </c>
      <c r="J95" s="392">
        <f>SUM(J66:J94)</f>
        <v>0</v>
      </c>
      <c r="K95" s="373">
        <f>SUM(K67:K94)</f>
        <v>0</v>
      </c>
      <c r="L95" s="374"/>
      <c r="M95" s="373">
        <f>SUM(M67:M94)</f>
        <v>0</v>
      </c>
    </row>
    <row r="97" spans="6:6">
      <c r="F97" s="611"/>
    </row>
  </sheetData>
  <mergeCells count="5">
    <mergeCell ref="B64:L64"/>
    <mergeCell ref="B1:I1"/>
    <mergeCell ref="B2:I2"/>
    <mergeCell ref="B3:I3"/>
    <mergeCell ref="B4:I4"/>
  </mergeCells>
  <printOptions horizontalCentered="1"/>
  <pageMargins left="0.39370078740157483" right="0.39370078740157483" top="0.98425196850393704" bottom="0.78740157480314965" header="0.39370078740157483" footer="0.39370078740157483"/>
  <pageSetup scale="81" orientation="portrait" r:id="rId1"/>
  <ignoredErrors>
    <ignoredError sqref="F28 E2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</sheetPr>
  <dimension ref="A2:WUN91"/>
  <sheetViews>
    <sheetView showGridLines="0" zoomScaleNormal="100" workbookViewId="0">
      <selection activeCell="P20" sqref="P20"/>
    </sheetView>
  </sheetViews>
  <sheetFormatPr defaultRowHeight="13.15"/>
  <cols>
    <col min="1" max="1" width="3.7109375" style="1" customWidth="1"/>
    <col min="2" max="3" width="1.7109375" style="1" customWidth="1"/>
    <col min="4" max="4" width="50.7109375" style="1" customWidth="1"/>
    <col min="5" max="5" width="7" style="354" hidden="1" customWidth="1"/>
    <col min="6" max="6" width="12.42578125" style="369" hidden="1" customWidth="1"/>
    <col min="7" max="7" width="17.5703125" style="369" hidden="1" customWidth="1"/>
    <col min="8" max="8" width="21.28515625" style="1" customWidth="1"/>
    <col min="9" max="9" width="21.28515625" style="1" hidden="1" customWidth="1"/>
    <col min="10" max="10" width="7.85546875" style="1" hidden="1" customWidth="1"/>
    <col min="11" max="11" width="2.5703125" style="13" customWidth="1"/>
    <col min="12" max="12" width="17.7109375" style="13" customWidth="1"/>
    <col min="13" max="13" width="3" style="1" customWidth="1"/>
    <col min="14" max="14" width="10.28515625" style="1" bestFit="1" customWidth="1"/>
    <col min="15" max="15" width="14" style="7" bestFit="1" customWidth="1"/>
    <col min="16" max="16" width="14" style="1" bestFit="1" customWidth="1"/>
    <col min="17" max="18" width="10.28515625" style="1" bestFit="1" customWidth="1"/>
    <col min="19" max="226" width="9.28515625" style="1"/>
    <col min="227" max="227" width="3.7109375" style="1" customWidth="1"/>
    <col min="228" max="229" width="1.7109375" style="1" customWidth="1"/>
    <col min="230" max="230" width="45.28515625" style="1" customWidth="1"/>
    <col min="231" max="231" width="24.42578125" style="1" customWidth="1"/>
    <col min="232" max="232" width="15.5703125" style="1" customWidth="1"/>
    <col min="233" max="233" width="9.28515625" style="1"/>
    <col min="234" max="234" width="15.7109375" style="1" bestFit="1" customWidth="1"/>
    <col min="235" max="482" width="9.28515625" style="1"/>
    <col min="483" max="483" width="3.7109375" style="1" customWidth="1"/>
    <col min="484" max="485" width="1.7109375" style="1" customWidth="1"/>
    <col min="486" max="486" width="45.28515625" style="1" customWidth="1"/>
    <col min="487" max="487" width="24.42578125" style="1" customWidth="1"/>
    <col min="488" max="488" width="15.5703125" style="1" customWidth="1"/>
    <col min="489" max="489" width="9.28515625" style="1"/>
    <col min="490" max="490" width="15.7109375" style="1" bestFit="1" customWidth="1"/>
    <col min="491" max="738" width="9.28515625" style="1"/>
    <col min="739" max="739" width="3.7109375" style="1" customWidth="1"/>
    <col min="740" max="741" width="1.7109375" style="1" customWidth="1"/>
    <col min="742" max="742" width="45.28515625" style="1" customWidth="1"/>
    <col min="743" max="743" width="24.42578125" style="1" customWidth="1"/>
    <col min="744" max="744" width="15.5703125" style="1" customWidth="1"/>
    <col min="745" max="745" width="9.28515625" style="1"/>
    <col min="746" max="746" width="15.7109375" style="1" bestFit="1" customWidth="1"/>
    <col min="747" max="994" width="9.28515625" style="1"/>
    <col min="995" max="995" width="3.7109375" style="1" customWidth="1"/>
    <col min="996" max="997" width="1.7109375" style="1" customWidth="1"/>
    <col min="998" max="998" width="45.28515625" style="1" customWidth="1"/>
    <col min="999" max="999" width="24.42578125" style="1" customWidth="1"/>
    <col min="1000" max="1000" width="15.5703125" style="1" customWidth="1"/>
    <col min="1001" max="1001" width="9.28515625" style="1"/>
    <col min="1002" max="1002" width="15.7109375" style="1" bestFit="1" customWidth="1"/>
    <col min="1003" max="1250" width="9.28515625" style="1"/>
    <col min="1251" max="1251" width="3.7109375" style="1" customWidth="1"/>
    <col min="1252" max="1253" width="1.7109375" style="1" customWidth="1"/>
    <col min="1254" max="1254" width="45.28515625" style="1" customWidth="1"/>
    <col min="1255" max="1255" width="24.42578125" style="1" customWidth="1"/>
    <col min="1256" max="1256" width="15.5703125" style="1" customWidth="1"/>
    <col min="1257" max="1257" width="9.28515625" style="1"/>
    <col min="1258" max="1258" width="15.7109375" style="1" bestFit="1" customWidth="1"/>
    <col min="1259" max="1506" width="9.28515625" style="1"/>
    <col min="1507" max="1507" width="3.7109375" style="1" customWidth="1"/>
    <col min="1508" max="1509" width="1.7109375" style="1" customWidth="1"/>
    <col min="1510" max="1510" width="45.28515625" style="1" customWidth="1"/>
    <col min="1511" max="1511" width="24.42578125" style="1" customWidth="1"/>
    <col min="1512" max="1512" width="15.5703125" style="1" customWidth="1"/>
    <col min="1513" max="1513" width="9.28515625" style="1"/>
    <col min="1514" max="1514" width="15.7109375" style="1" bestFit="1" customWidth="1"/>
    <col min="1515" max="1762" width="9.28515625" style="1"/>
    <col min="1763" max="1763" width="3.7109375" style="1" customWidth="1"/>
    <col min="1764" max="1765" width="1.7109375" style="1" customWidth="1"/>
    <col min="1766" max="1766" width="45.28515625" style="1" customWidth="1"/>
    <col min="1767" max="1767" width="24.42578125" style="1" customWidth="1"/>
    <col min="1768" max="1768" width="15.5703125" style="1" customWidth="1"/>
    <col min="1769" max="1769" width="9.28515625" style="1"/>
    <col min="1770" max="1770" width="15.7109375" style="1" bestFit="1" customWidth="1"/>
    <col min="1771" max="2018" width="9.28515625" style="1"/>
    <col min="2019" max="2019" width="3.7109375" style="1" customWidth="1"/>
    <col min="2020" max="2021" width="1.7109375" style="1" customWidth="1"/>
    <col min="2022" max="2022" width="45.28515625" style="1" customWidth="1"/>
    <col min="2023" max="2023" width="24.42578125" style="1" customWidth="1"/>
    <col min="2024" max="2024" width="15.5703125" style="1" customWidth="1"/>
    <col min="2025" max="2025" width="9.28515625" style="1"/>
    <col min="2026" max="2026" width="15.7109375" style="1" bestFit="1" customWidth="1"/>
    <col min="2027" max="2274" width="9.28515625" style="1"/>
    <col min="2275" max="2275" width="3.7109375" style="1" customWidth="1"/>
    <col min="2276" max="2277" width="1.7109375" style="1" customWidth="1"/>
    <col min="2278" max="2278" width="45.28515625" style="1" customWidth="1"/>
    <col min="2279" max="2279" width="24.42578125" style="1" customWidth="1"/>
    <col min="2280" max="2280" width="15.5703125" style="1" customWidth="1"/>
    <col min="2281" max="2281" width="9.28515625" style="1"/>
    <col min="2282" max="2282" width="15.7109375" style="1" bestFit="1" customWidth="1"/>
    <col min="2283" max="2530" width="9.28515625" style="1"/>
    <col min="2531" max="2531" width="3.7109375" style="1" customWidth="1"/>
    <col min="2532" max="2533" width="1.7109375" style="1" customWidth="1"/>
    <col min="2534" max="2534" width="45.28515625" style="1" customWidth="1"/>
    <col min="2535" max="2535" width="24.42578125" style="1" customWidth="1"/>
    <col min="2536" max="2536" width="15.5703125" style="1" customWidth="1"/>
    <col min="2537" max="2537" width="9.28515625" style="1"/>
    <col min="2538" max="2538" width="15.7109375" style="1" bestFit="1" customWidth="1"/>
    <col min="2539" max="2786" width="9.28515625" style="1"/>
    <col min="2787" max="2787" width="3.7109375" style="1" customWidth="1"/>
    <col min="2788" max="2789" width="1.7109375" style="1" customWidth="1"/>
    <col min="2790" max="2790" width="45.28515625" style="1" customWidth="1"/>
    <col min="2791" max="2791" width="24.42578125" style="1" customWidth="1"/>
    <col min="2792" max="2792" width="15.5703125" style="1" customWidth="1"/>
    <col min="2793" max="2793" width="9.28515625" style="1"/>
    <col min="2794" max="2794" width="15.7109375" style="1" bestFit="1" customWidth="1"/>
    <col min="2795" max="3042" width="9.28515625" style="1"/>
    <col min="3043" max="3043" width="3.7109375" style="1" customWidth="1"/>
    <col min="3044" max="3045" width="1.7109375" style="1" customWidth="1"/>
    <col min="3046" max="3046" width="45.28515625" style="1" customWidth="1"/>
    <col min="3047" max="3047" width="24.42578125" style="1" customWidth="1"/>
    <col min="3048" max="3048" width="15.5703125" style="1" customWidth="1"/>
    <col min="3049" max="3049" width="9.28515625" style="1"/>
    <col min="3050" max="3050" width="15.7109375" style="1" bestFit="1" customWidth="1"/>
    <col min="3051" max="3298" width="9.28515625" style="1"/>
    <col min="3299" max="3299" width="3.7109375" style="1" customWidth="1"/>
    <col min="3300" max="3301" width="1.7109375" style="1" customWidth="1"/>
    <col min="3302" max="3302" width="45.28515625" style="1" customWidth="1"/>
    <col min="3303" max="3303" width="24.42578125" style="1" customWidth="1"/>
    <col min="3304" max="3304" width="15.5703125" style="1" customWidth="1"/>
    <col min="3305" max="3305" width="9.28515625" style="1"/>
    <col min="3306" max="3306" width="15.7109375" style="1" bestFit="1" customWidth="1"/>
    <col min="3307" max="3554" width="9.28515625" style="1"/>
    <col min="3555" max="3555" width="3.7109375" style="1" customWidth="1"/>
    <col min="3556" max="3557" width="1.7109375" style="1" customWidth="1"/>
    <col min="3558" max="3558" width="45.28515625" style="1" customWidth="1"/>
    <col min="3559" max="3559" width="24.42578125" style="1" customWidth="1"/>
    <col min="3560" max="3560" width="15.5703125" style="1" customWidth="1"/>
    <col min="3561" max="3561" width="9.28515625" style="1"/>
    <col min="3562" max="3562" width="15.7109375" style="1" bestFit="1" customWidth="1"/>
    <col min="3563" max="3810" width="9.28515625" style="1"/>
    <col min="3811" max="3811" width="3.7109375" style="1" customWidth="1"/>
    <col min="3812" max="3813" width="1.7109375" style="1" customWidth="1"/>
    <col min="3814" max="3814" width="45.28515625" style="1" customWidth="1"/>
    <col min="3815" max="3815" width="24.42578125" style="1" customWidth="1"/>
    <col min="3816" max="3816" width="15.5703125" style="1" customWidth="1"/>
    <col min="3817" max="3817" width="9.28515625" style="1"/>
    <col min="3818" max="3818" width="15.7109375" style="1" bestFit="1" customWidth="1"/>
    <col min="3819" max="4066" width="9.28515625" style="1"/>
    <col min="4067" max="4067" width="3.7109375" style="1" customWidth="1"/>
    <col min="4068" max="4069" width="1.7109375" style="1" customWidth="1"/>
    <col min="4070" max="4070" width="45.28515625" style="1" customWidth="1"/>
    <col min="4071" max="4071" width="24.42578125" style="1" customWidth="1"/>
    <col min="4072" max="4072" width="15.5703125" style="1" customWidth="1"/>
    <col min="4073" max="4073" width="9.28515625" style="1"/>
    <col min="4074" max="4074" width="15.7109375" style="1" bestFit="1" customWidth="1"/>
    <col min="4075" max="4322" width="9.28515625" style="1"/>
    <col min="4323" max="4323" width="3.7109375" style="1" customWidth="1"/>
    <col min="4324" max="4325" width="1.7109375" style="1" customWidth="1"/>
    <col min="4326" max="4326" width="45.28515625" style="1" customWidth="1"/>
    <col min="4327" max="4327" width="24.42578125" style="1" customWidth="1"/>
    <col min="4328" max="4328" width="15.5703125" style="1" customWidth="1"/>
    <col min="4329" max="4329" width="9.28515625" style="1"/>
    <col min="4330" max="4330" width="15.7109375" style="1" bestFit="1" customWidth="1"/>
    <col min="4331" max="4578" width="9.28515625" style="1"/>
    <col min="4579" max="4579" width="3.7109375" style="1" customWidth="1"/>
    <col min="4580" max="4581" width="1.7109375" style="1" customWidth="1"/>
    <col min="4582" max="4582" width="45.28515625" style="1" customWidth="1"/>
    <col min="4583" max="4583" width="24.42578125" style="1" customWidth="1"/>
    <col min="4584" max="4584" width="15.5703125" style="1" customWidth="1"/>
    <col min="4585" max="4585" width="9.28515625" style="1"/>
    <col min="4586" max="4586" width="15.7109375" style="1" bestFit="1" customWidth="1"/>
    <col min="4587" max="4834" width="9.28515625" style="1"/>
    <col min="4835" max="4835" width="3.7109375" style="1" customWidth="1"/>
    <col min="4836" max="4837" width="1.7109375" style="1" customWidth="1"/>
    <col min="4838" max="4838" width="45.28515625" style="1" customWidth="1"/>
    <col min="4839" max="4839" width="24.42578125" style="1" customWidth="1"/>
    <col min="4840" max="4840" width="15.5703125" style="1" customWidth="1"/>
    <col min="4841" max="4841" width="9.28515625" style="1"/>
    <col min="4842" max="4842" width="15.7109375" style="1" bestFit="1" customWidth="1"/>
    <col min="4843" max="5090" width="9.28515625" style="1"/>
    <col min="5091" max="5091" width="3.7109375" style="1" customWidth="1"/>
    <col min="5092" max="5093" width="1.7109375" style="1" customWidth="1"/>
    <col min="5094" max="5094" width="45.28515625" style="1" customWidth="1"/>
    <col min="5095" max="5095" width="24.42578125" style="1" customWidth="1"/>
    <col min="5096" max="5096" width="15.5703125" style="1" customWidth="1"/>
    <col min="5097" max="5097" width="9.28515625" style="1"/>
    <col min="5098" max="5098" width="15.7109375" style="1" bestFit="1" customWidth="1"/>
    <col min="5099" max="5346" width="9.28515625" style="1"/>
    <col min="5347" max="5347" width="3.7109375" style="1" customWidth="1"/>
    <col min="5348" max="5349" width="1.7109375" style="1" customWidth="1"/>
    <col min="5350" max="5350" width="45.28515625" style="1" customWidth="1"/>
    <col min="5351" max="5351" width="24.42578125" style="1" customWidth="1"/>
    <col min="5352" max="5352" width="15.5703125" style="1" customWidth="1"/>
    <col min="5353" max="5353" width="9.28515625" style="1"/>
    <col min="5354" max="5354" width="15.7109375" style="1" bestFit="1" customWidth="1"/>
    <col min="5355" max="5602" width="9.28515625" style="1"/>
    <col min="5603" max="5603" width="3.7109375" style="1" customWidth="1"/>
    <col min="5604" max="5605" width="1.7109375" style="1" customWidth="1"/>
    <col min="5606" max="5606" width="45.28515625" style="1" customWidth="1"/>
    <col min="5607" max="5607" width="24.42578125" style="1" customWidth="1"/>
    <col min="5608" max="5608" width="15.5703125" style="1" customWidth="1"/>
    <col min="5609" max="5609" width="9.28515625" style="1"/>
    <col min="5610" max="5610" width="15.7109375" style="1" bestFit="1" customWidth="1"/>
    <col min="5611" max="5858" width="9.28515625" style="1"/>
    <col min="5859" max="5859" width="3.7109375" style="1" customWidth="1"/>
    <col min="5860" max="5861" width="1.7109375" style="1" customWidth="1"/>
    <col min="5862" max="5862" width="45.28515625" style="1" customWidth="1"/>
    <col min="5863" max="5863" width="24.42578125" style="1" customWidth="1"/>
    <col min="5864" max="5864" width="15.5703125" style="1" customWidth="1"/>
    <col min="5865" max="5865" width="9.28515625" style="1"/>
    <col min="5866" max="5866" width="15.7109375" style="1" bestFit="1" customWidth="1"/>
    <col min="5867" max="6114" width="9.28515625" style="1"/>
    <col min="6115" max="6115" width="3.7109375" style="1" customWidth="1"/>
    <col min="6116" max="6117" width="1.7109375" style="1" customWidth="1"/>
    <col min="6118" max="6118" width="45.28515625" style="1" customWidth="1"/>
    <col min="6119" max="6119" width="24.42578125" style="1" customWidth="1"/>
    <col min="6120" max="6120" width="15.5703125" style="1" customWidth="1"/>
    <col min="6121" max="6121" width="9.28515625" style="1"/>
    <col min="6122" max="6122" width="15.7109375" style="1" bestFit="1" customWidth="1"/>
    <col min="6123" max="6370" width="9.28515625" style="1"/>
    <col min="6371" max="6371" width="3.7109375" style="1" customWidth="1"/>
    <col min="6372" max="6373" width="1.7109375" style="1" customWidth="1"/>
    <col min="6374" max="6374" width="45.28515625" style="1" customWidth="1"/>
    <col min="6375" max="6375" width="24.42578125" style="1" customWidth="1"/>
    <col min="6376" max="6376" width="15.5703125" style="1" customWidth="1"/>
    <col min="6377" max="6377" width="9.28515625" style="1"/>
    <col min="6378" max="6378" width="15.7109375" style="1" bestFit="1" customWidth="1"/>
    <col min="6379" max="6626" width="9.28515625" style="1"/>
    <col min="6627" max="6627" width="3.7109375" style="1" customWidth="1"/>
    <col min="6628" max="6629" width="1.7109375" style="1" customWidth="1"/>
    <col min="6630" max="6630" width="45.28515625" style="1" customWidth="1"/>
    <col min="6631" max="6631" width="24.42578125" style="1" customWidth="1"/>
    <col min="6632" max="6632" width="15.5703125" style="1" customWidth="1"/>
    <col min="6633" max="6633" width="9.28515625" style="1"/>
    <col min="6634" max="6634" width="15.7109375" style="1" bestFit="1" customWidth="1"/>
    <col min="6635" max="6882" width="9.28515625" style="1"/>
    <col min="6883" max="6883" width="3.7109375" style="1" customWidth="1"/>
    <col min="6884" max="6885" width="1.7109375" style="1" customWidth="1"/>
    <col min="6886" max="6886" width="45.28515625" style="1" customWidth="1"/>
    <col min="6887" max="6887" width="24.42578125" style="1" customWidth="1"/>
    <col min="6888" max="6888" width="15.5703125" style="1" customWidth="1"/>
    <col min="6889" max="6889" width="9.28515625" style="1"/>
    <col min="6890" max="6890" width="15.7109375" style="1" bestFit="1" customWidth="1"/>
    <col min="6891" max="7138" width="9.28515625" style="1"/>
    <col min="7139" max="7139" width="3.7109375" style="1" customWidth="1"/>
    <col min="7140" max="7141" width="1.7109375" style="1" customWidth="1"/>
    <col min="7142" max="7142" width="45.28515625" style="1" customWidth="1"/>
    <col min="7143" max="7143" width="24.42578125" style="1" customWidth="1"/>
    <col min="7144" max="7144" width="15.5703125" style="1" customWidth="1"/>
    <col min="7145" max="7145" width="9.28515625" style="1"/>
    <col min="7146" max="7146" width="15.7109375" style="1" bestFit="1" customWidth="1"/>
    <col min="7147" max="7394" width="9.28515625" style="1"/>
    <col min="7395" max="7395" width="3.7109375" style="1" customWidth="1"/>
    <col min="7396" max="7397" width="1.7109375" style="1" customWidth="1"/>
    <col min="7398" max="7398" width="45.28515625" style="1" customWidth="1"/>
    <col min="7399" max="7399" width="24.42578125" style="1" customWidth="1"/>
    <col min="7400" max="7400" width="15.5703125" style="1" customWidth="1"/>
    <col min="7401" max="7401" width="9.28515625" style="1"/>
    <col min="7402" max="7402" width="15.7109375" style="1" bestFit="1" customWidth="1"/>
    <col min="7403" max="7650" width="9.28515625" style="1"/>
    <col min="7651" max="7651" width="3.7109375" style="1" customWidth="1"/>
    <col min="7652" max="7653" width="1.7109375" style="1" customWidth="1"/>
    <col min="7654" max="7654" width="45.28515625" style="1" customWidth="1"/>
    <col min="7655" max="7655" width="24.42578125" style="1" customWidth="1"/>
    <col min="7656" max="7656" width="15.5703125" style="1" customWidth="1"/>
    <col min="7657" max="7657" width="9.28515625" style="1"/>
    <col min="7658" max="7658" width="15.7109375" style="1" bestFit="1" customWidth="1"/>
    <col min="7659" max="7906" width="9.28515625" style="1"/>
    <col min="7907" max="7907" width="3.7109375" style="1" customWidth="1"/>
    <col min="7908" max="7909" width="1.7109375" style="1" customWidth="1"/>
    <col min="7910" max="7910" width="45.28515625" style="1" customWidth="1"/>
    <col min="7911" max="7911" width="24.42578125" style="1" customWidth="1"/>
    <col min="7912" max="7912" width="15.5703125" style="1" customWidth="1"/>
    <col min="7913" max="7913" width="9.28515625" style="1"/>
    <col min="7914" max="7914" width="15.7109375" style="1" bestFit="1" customWidth="1"/>
    <col min="7915" max="8162" width="9.28515625" style="1"/>
    <col min="8163" max="8163" width="3.7109375" style="1" customWidth="1"/>
    <col min="8164" max="8165" width="1.7109375" style="1" customWidth="1"/>
    <col min="8166" max="8166" width="45.28515625" style="1" customWidth="1"/>
    <col min="8167" max="8167" width="24.42578125" style="1" customWidth="1"/>
    <col min="8168" max="8168" width="15.5703125" style="1" customWidth="1"/>
    <col min="8169" max="8169" width="9.28515625" style="1"/>
    <col min="8170" max="8170" width="15.7109375" style="1" bestFit="1" customWidth="1"/>
    <col min="8171" max="8418" width="9.28515625" style="1"/>
    <col min="8419" max="8419" width="3.7109375" style="1" customWidth="1"/>
    <col min="8420" max="8421" width="1.7109375" style="1" customWidth="1"/>
    <col min="8422" max="8422" width="45.28515625" style="1" customWidth="1"/>
    <col min="8423" max="8423" width="24.42578125" style="1" customWidth="1"/>
    <col min="8424" max="8424" width="15.5703125" style="1" customWidth="1"/>
    <col min="8425" max="8425" width="9.28515625" style="1"/>
    <col min="8426" max="8426" width="15.7109375" style="1" bestFit="1" customWidth="1"/>
    <col min="8427" max="8674" width="9.28515625" style="1"/>
    <col min="8675" max="8675" width="3.7109375" style="1" customWidth="1"/>
    <col min="8676" max="8677" width="1.7109375" style="1" customWidth="1"/>
    <col min="8678" max="8678" width="45.28515625" style="1" customWidth="1"/>
    <col min="8679" max="8679" width="24.42578125" style="1" customWidth="1"/>
    <col min="8680" max="8680" width="15.5703125" style="1" customWidth="1"/>
    <col min="8681" max="8681" width="9.28515625" style="1"/>
    <col min="8682" max="8682" width="15.7109375" style="1" bestFit="1" customWidth="1"/>
    <col min="8683" max="8930" width="9.28515625" style="1"/>
    <col min="8931" max="8931" width="3.7109375" style="1" customWidth="1"/>
    <col min="8932" max="8933" width="1.7109375" style="1" customWidth="1"/>
    <col min="8934" max="8934" width="45.28515625" style="1" customWidth="1"/>
    <col min="8935" max="8935" width="24.42578125" style="1" customWidth="1"/>
    <col min="8936" max="8936" width="15.5703125" style="1" customWidth="1"/>
    <col min="8937" max="8937" width="9.28515625" style="1"/>
    <col min="8938" max="8938" width="15.7109375" style="1" bestFit="1" customWidth="1"/>
    <col min="8939" max="9186" width="9.28515625" style="1"/>
    <col min="9187" max="9187" width="3.7109375" style="1" customWidth="1"/>
    <col min="9188" max="9189" width="1.7109375" style="1" customWidth="1"/>
    <col min="9190" max="9190" width="45.28515625" style="1" customWidth="1"/>
    <col min="9191" max="9191" width="24.42578125" style="1" customWidth="1"/>
    <col min="9192" max="9192" width="15.5703125" style="1" customWidth="1"/>
    <col min="9193" max="9193" width="9.28515625" style="1"/>
    <col min="9194" max="9194" width="15.7109375" style="1" bestFit="1" customWidth="1"/>
    <col min="9195" max="9442" width="9.28515625" style="1"/>
    <col min="9443" max="9443" width="3.7109375" style="1" customWidth="1"/>
    <col min="9444" max="9445" width="1.7109375" style="1" customWidth="1"/>
    <col min="9446" max="9446" width="45.28515625" style="1" customWidth="1"/>
    <col min="9447" max="9447" width="24.42578125" style="1" customWidth="1"/>
    <col min="9448" max="9448" width="15.5703125" style="1" customWidth="1"/>
    <col min="9449" max="9449" width="9.28515625" style="1"/>
    <col min="9450" max="9450" width="15.7109375" style="1" bestFit="1" customWidth="1"/>
    <col min="9451" max="9698" width="9.28515625" style="1"/>
    <col min="9699" max="9699" width="3.7109375" style="1" customWidth="1"/>
    <col min="9700" max="9701" width="1.7109375" style="1" customWidth="1"/>
    <col min="9702" max="9702" width="45.28515625" style="1" customWidth="1"/>
    <col min="9703" max="9703" width="24.42578125" style="1" customWidth="1"/>
    <col min="9704" max="9704" width="15.5703125" style="1" customWidth="1"/>
    <col min="9705" max="9705" width="9.28515625" style="1"/>
    <col min="9706" max="9706" width="15.7109375" style="1" bestFit="1" customWidth="1"/>
    <col min="9707" max="9954" width="9.28515625" style="1"/>
    <col min="9955" max="9955" width="3.7109375" style="1" customWidth="1"/>
    <col min="9956" max="9957" width="1.7109375" style="1" customWidth="1"/>
    <col min="9958" max="9958" width="45.28515625" style="1" customWidth="1"/>
    <col min="9959" max="9959" width="24.42578125" style="1" customWidth="1"/>
    <col min="9960" max="9960" width="15.5703125" style="1" customWidth="1"/>
    <col min="9961" max="9961" width="9.28515625" style="1"/>
    <col min="9962" max="9962" width="15.7109375" style="1" bestFit="1" customWidth="1"/>
    <col min="9963" max="10210" width="9.28515625" style="1"/>
    <col min="10211" max="10211" width="3.7109375" style="1" customWidth="1"/>
    <col min="10212" max="10213" width="1.7109375" style="1" customWidth="1"/>
    <col min="10214" max="10214" width="45.28515625" style="1" customWidth="1"/>
    <col min="10215" max="10215" width="24.42578125" style="1" customWidth="1"/>
    <col min="10216" max="10216" width="15.5703125" style="1" customWidth="1"/>
    <col min="10217" max="10217" width="9.28515625" style="1"/>
    <col min="10218" max="10218" width="15.7109375" style="1" bestFit="1" customWidth="1"/>
    <col min="10219" max="10466" width="9.28515625" style="1"/>
    <col min="10467" max="10467" width="3.7109375" style="1" customWidth="1"/>
    <col min="10468" max="10469" width="1.7109375" style="1" customWidth="1"/>
    <col min="10470" max="10470" width="45.28515625" style="1" customWidth="1"/>
    <col min="10471" max="10471" width="24.42578125" style="1" customWidth="1"/>
    <col min="10472" max="10472" width="15.5703125" style="1" customWidth="1"/>
    <col min="10473" max="10473" width="9.28515625" style="1"/>
    <col min="10474" max="10474" width="15.7109375" style="1" bestFit="1" customWidth="1"/>
    <col min="10475" max="10722" width="9.28515625" style="1"/>
    <col min="10723" max="10723" width="3.7109375" style="1" customWidth="1"/>
    <col min="10724" max="10725" width="1.7109375" style="1" customWidth="1"/>
    <col min="10726" max="10726" width="45.28515625" style="1" customWidth="1"/>
    <col min="10727" max="10727" width="24.42578125" style="1" customWidth="1"/>
    <col min="10728" max="10728" width="15.5703125" style="1" customWidth="1"/>
    <col min="10729" max="10729" width="9.28515625" style="1"/>
    <col min="10730" max="10730" width="15.7109375" style="1" bestFit="1" customWidth="1"/>
    <col min="10731" max="10978" width="9.28515625" style="1"/>
    <col min="10979" max="10979" width="3.7109375" style="1" customWidth="1"/>
    <col min="10980" max="10981" width="1.7109375" style="1" customWidth="1"/>
    <col min="10982" max="10982" width="45.28515625" style="1" customWidth="1"/>
    <col min="10983" max="10983" width="24.42578125" style="1" customWidth="1"/>
    <col min="10984" max="10984" width="15.5703125" style="1" customWidth="1"/>
    <col min="10985" max="10985" width="9.28515625" style="1"/>
    <col min="10986" max="10986" width="15.7109375" style="1" bestFit="1" customWidth="1"/>
    <col min="10987" max="11234" width="9.28515625" style="1"/>
    <col min="11235" max="11235" width="3.7109375" style="1" customWidth="1"/>
    <col min="11236" max="11237" width="1.7109375" style="1" customWidth="1"/>
    <col min="11238" max="11238" width="45.28515625" style="1" customWidth="1"/>
    <col min="11239" max="11239" width="24.42578125" style="1" customWidth="1"/>
    <col min="11240" max="11240" width="15.5703125" style="1" customWidth="1"/>
    <col min="11241" max="11241" width="9.28515625" style="1"/>
    <col min="11242" max="11242" width="15.7109375" style="1" bestFit="1" customWidth="1"/>
    <col min="11243" max="11490" width="9.28515625" style="1"/>
    <col min="11491" max="11491" width="3.7109375" style="1" customWidth="1"/>
    <col min="11492" max="11493" width="1.7109375" style="1" customWidth="1"/>
    <col min="11494" max="11494" width="45.28515625" style="1" customWidth="1"/>
    <col min="11495" max="11495" width="24.42578125" style="1" customWidth="1"/>
    <col min="11496" max="11496" width="15.5703125" style="1" customWidth="1"/>
    <col min="11497" max="11497" width="9.28515625" style="1"/>
    <col min="11498" max="11498" width="15.7109375" style="1" bestFit="1" customWidth="1"/>
    <col min="11499" max="11746" width="9.28515625" style="1"/>
    <col min="11747" max="11747" width="3.7109375" style="1" customWidth="1"/>
    <col min="11748" max="11749" width="1.7109375" style="1" customWidth="1"/>
    <col min="11750" max="11750" width="45.28515625" style="1" customWidth="1"/>
    <col min="11751" max="11751" width="24.42578125" style="1" customWidth="1"/>
    <col min="11752" max="11752" width="15.5703125" style="1" customWidth="1"/>
    <col min="11753" max="11753" width="9.28515625" style="1"/>
    <col min="11754" max="11754" width="15.7109375" style="1" bestFit="1" customWidth="1"/>
    <col min="11755" max="12002" width="9.28515625" style="1"/>
    <col min="12003" max="12003" width="3.7109375" style="1" customWidth="1"/>
    <col min="12004" max="12005" width="1.7109375" style="1" customWidth="1"/>
    <col min="12006" max="12006" width="45.28515625" style="1" customWidth="1"/>
    <col min="12007" max="12007" width="24.42578125" style="1" customWidth="1"/>
    <col min="12008" max="12008" width="15.5703125" style="1" customWidth="1"/>
    <col min="12009" max="12009" width="9.28515625" style="1"/>
    <col min="12010" max="12010" width="15.7109375" style="1" bestFit="1" customWidth="1"/>
    <col min="12011" max="12258" width="9.28515625" style="1"/>
    <col min="12259" max="12259" width="3.7109375" style="1" customWidth="1"/>
    <col min="12260" max="12261" width="1.7109375" style="1" customWidth="1"/>
    <col min="12262" max="12262" width="45.28515625" style="1" customWidth="1"/>
    <col min="12263" max="12263" width="24.42578125" style="1" customWidth="1"/>
    <col min="12264" max="12264" width="15.5703125" style="1" customWidth="1"/>
    <col min="12265" max="12265" width="9.28515625" style="1"/>
    <col min="12266" max="12266" width="15.7109375" style="1" bestFit="1" customWidth="1"/>
    <col min="12267" max="12514" width="9.28515625" style="1"/>
    <col min="12515" max="12515" width="3.7109375" style="1" customWidth="1"/>
    <col min="12516" max="12517" width="1.7109375" style="1" customWidth="1"/>
    <col min="12518" max="12518" width="45.28515625" style="1" customWidth="1"/>
    <col min="12519" max="12519" width="24.42578125" style="1" customWidth="1"/>
    <col min="12520" max="12520" width="15.5703125" style="1" customWidth="1"/>
    <col min="12521" max="12521" width="9.28515625" style="1"/>
    <col min="12522" max="12522" width="15.7109375" style="1" bestFit="1" customWidth="1"/>
    <col min="12523" max="12770" width="9.28515625" style="1"/>
    <col min="12771" max="12771" width="3.7109375" style="1" customWidth="1"/>
    <col min="12772" max="12773" width="1.7109375" style="1" customWidth="1"/>
    <col min="12774" max="12774" width="45.28515625" style="1" customWidth="1"/>
    <col min="12775" max="12775" width="24.42578125" style="1" customWidth="1"/>
    <col min="12776" max="12776" width="15.5703125" style="1" customWidth="1"/>
    <col min="12777" max="12777" width="9.28515625" style="1"/>
    <col min="12778" max="12778" width="15.7109375" style="1" bestFit="1" customWidth="1"/>
    <col min="12779" max="13026" width="9.28515625" style="1"/>
    <col min="13027" max="13027" width="3.7109375" style="1" customWidth="1"/>
    <col min="13028" max="13029" width="1.7109375" style="1" customWidth="1"/>
    <col min="13030" max="13030" width="45.28515625" style="1" customWidth="1"/>
    <col min="13031" max="13031" width="24.42578125" style="1" customWidth="1"/>
    <col min="13032" max="13032" width="15.5703125" style="1" customWidth="1"/>
    <col min="13033" max="13033" width="9.28515625" style="1"/>
    <col min="13034" max="13034" width="15.7109375" style="1" bestFit="1" customWidth="1"/>
    <col min="13035" max="13282" width="9.28515625" style="1"/>
    <col min="13283" max="13283" width="3.7109375" style="1" customWidth="1"/>
    <col min="13284" max="13285" width="1.7109375" style="1" customWidth="1"/>
    <col min="13286" max="13286" width="45.28515625" style="1" customWidth="1"/>
    <col min="13287" max="13287" width="24.42578125" style="1" customWidth="1"/>
    <col min="13288" max="13288" width="15.5703125" style="1" customWidth="1"/>
    <col min="13289" max="13289" width="9.28515625" style="1"/>
    <col min="13290" max="13290" width="15.7109375" style="1" bestFit="1" customWidth="1"/>
    <col min="13291" max="13538" width="9.28515625" style="1"/>
    <col min="13539" max="13539" width="3.7109375" style="1" customWidth="1"/>
    <col min="13540" max="13541" width="1.7109375" style="1" customWidth="1"/>
    <col min="13542" max="13542" width="45.28515625" style="1" customWidth="1"/>
    <col min="13543" max="13543" width="24.42578125" style="1" customWidth="1"/>
    <col min="13544" max="13544" width="15.5703125" style="1" customWidth="1"/>
    <col min="13545" max="13545" width="9.28515625" style="1"/>
    <col min="13546" max="13546" width="15.7109375" style="1" bestFit="1" customWidth="1"/>
    <col min="13547" max="13794" width="9.28515625" style="1"/>
    <col min="13795" max="13795" width="3.7109375" style="1" customWidth="1"/>
    <col min="13796" max="13797" width="1.7109375" style="1" customWidth="1"/>
    <col min="13798" max="13798" width="45.28515625" style="1" customWidth="1"/>
    <col min="13799" max="13799" width="24.42578125" style="1" customWidth="1"/>
    <col min="13800" max="13800" width="15.5703125" style="1" customWidth="1"/>
    <col min="13801" max="13801" width="9.28515625" style="1"/>
    <col min="13802" max="13802" width="15.7109375" style="1" bestFit="1" customWidth="1"/>
    <col min="13803" max="14050" width="9.28515625" style="1"/>
    <col min="14051" max="14051" width="3.7109375" style="1" customWidth="1"/>
    <col min="14052" max="14053" width="1.7109375" style="1" customWidth="1"/>
    <col min="14054" max="14054" width="45.28515625" style="1" customWidth="1"/>
    <col min="14055" max="14055" width="24.42578125" style="1" customWidth="1"/>
    <col min="14056" max="14056" width="15.5703125" style="1" customWidth="1"/>
    <col min="14057" max="14057" width="9.28515625" style="1"/>
    <col min="14058" max="14058" width="15.7109375" style="1" bestFit="1" customWidth="1"/>
    <col min="14059" max="14306" width="9.28515625" style="1"/>
    <col min="14307" max="14307" width="3.7109375" style="1" customWidth="1"/>
    <col min="14308" max="14309" width="1.7109375" style="1" customWidth="1"/>
    <col min="14310" max="14310" width="45.28515625" style="1" customWidth="1"/>
    <col min="14311" max="14311" width="24.42578125" style="1" customWidth="1"/>
    <col min="14312" max="14312" width="15.5703125" style="1" customWidth="1"/>
    <col min="14313" max="14313" width="9.28515625" style="1"/>
    <col min="14314" max="14314" width="15.7109375" style="1" bestFit="1" customWidth="1"/>
    <col min="14315" max="14562" width="9.28515625" style="1"/>
    <col min="14563" max="14563" width="3.7109375" style="1" customWidth="1"/>
    <col min="14564" max="14565" width="1.7109375" style="1" customWidth="1"/>
    <col min="14566" max="14566" width="45.28515625" style="1" customWidth="1"/>
    <col min="14567" max="14567" width="24.42578125" style="1" customWidth="1"/>
    <col min="14568" max="14568" width="15.5703125" style="1" customWidth="1"/>
    <col min="14569" max="14569" width="9.28515625" style="1"/>
    <col min="14570" max="14570" width="15.7109375" style="1" bestFit="1" customWidth="1"/>
    <col min="14571" max="14818" width="9.28515625" style="1"/>
    <col min="14819" max="14819" width="3.7109375" style="1" customWidth="1"/>
    <col min="14820" max="14821" width="1.7109375" style="1" customWidth="1"/>
    <col min="14822" max="14822" width="45.28515625" style="1" customWidth="1"/>
    <col min="14823" max="14823" width="24.42578125" style="1" customWidth="1"/>
    <col min="14824" max="14824" width="15.5703125" style="1" customWidth="1"/>
    <col min="14825" max="14825" width="9.28515625" style="1"/>
    <col min="14826" max="14826" width="15.7109375" style="1" bestFit="1" customWidth="1"/>
    <col min="14827" max="15074" width="9.28515625" style="1"/>
    <col min="15075" max="15075" width="3.7109375" style="1" customWidth="1"/>
    <col min="15076" max="15077" width="1.7109375" style="1" customWidth="1"/>
    <col min="15078" max="15078" width="45.28515625" style="1" customWidth="1"/>
    <col min="15079" max="15079" width="24.42578125" style="1" customWidth="1"/>
    <col min="15080" max="15080" width="15.5703125" style="1" customWidth="1"/>
    <col min="15081" max="15081" width="9.28515625" style="1"/>
    <col min="15082" max="15082" width="15.7109375" style="1" bestFit="1" customWidth="1"/>
    <col min="15083" max="15330" width="9.28515625" style="1"/>
    <col min="15331" max="15331" width="3.7109375" style="1" customWidth="1"/>
    <col min="15332" max="15333" width="1.7109375" style="1" customWidth="1"/>
    <col min="15334" max="15334" width="45.28515625" style="1" customWidth="1"/>
    <col min="15335" max="15335" width="24.42578125" style="1" customWidth="1"/>
    <col min="15336" max="15336" width="15.5703125" style="1" customWidth="1"/>
    <col min="15337" max="15337" width="9.28515625" style="1"/>
    <col min="15338" max="15338" width="15.7109375" style="1" bestFit="1" customWidth="1"/>
    <col min="15339" max="15586" width="9.28515625" style="1"/>
    <col min="15587" max="15587" width="3.7109375" style="1" customWidth="1"/>
    <col min="15588" max="15589" width="1.7109375" style="1" customWidth="1"/>
    <col min="15590" max="15590" width="45.28515625" style="1" customWidth="1"/>
    <col min="15591" max="15591" width="24.42578125" style="1" customWidth="1"/>
    <col min="15592" max="15592" width="15.5703125" style="1" customWidth="1"/>
    <col min="15593" max="15593" width="9.28515625" style="1"/>
    <col min="15594" max="15594" width="15.7109375" style="1" bestFit="1" customWidth="1"/>
    <col min="15595" max="15842" width="9.28515625" style="1"/>
    <col min="15843" max="15843" width="3.7109375" style="1" customWidth="1"/>
    <col min="15844" max="15845" width="1.7109375" style="1" customWidth="1"/>
    <col min="15846" max="15846" width="45.28515625" style="1" customWidth="1"/>
    <col min="15847" max="15847" width="24.42578125" style="1" customWidth="1"/>
    <col min="15848" max="15848" width="15.5703125" style="1" customWidth="1"/>
    <col min="15849" max="15849" width="9.28515625" style="1"/>
    <col min="15850" max="15850" width="15.7109375" style="1" bestFit="1" customWidth="1"/>
    <col min="15851" max="16098" width="9.28515625" style="1"/>
    <col min="16099" max="16099" width="3.7109375" style="1" customWidth="1"/>
    <col min="16100" max="16101" width="1.7109375" style="1" customWidth="1"/>
    <col min="16102" max="16102" width="45.28515625" style="1" customWidth="1"/>
    <col min="16103" max="16103" width="24.42578125" style="1" customWidth="1"/>
    <col min="16104" max="16104" width="15.5703125" style="1" customWidth="1"/>
    <col min="16105" max="16105" width="9.28515625" style="1"/>
    <col min="16106" max="16106" width="15.7109375" style="1" bestFit="1" customWidth="1"/>
    <col min="16107" max="16383" width="9.28515625" style="1"/>
    <col min="16384" max="16384" width="9.28515625" style="1" customWidth="1"/>
  </cols>
  <sheetData>
    <row r="2" spans="2:17">
      <c r="B2" s="1060" t="str">
        <f>BP!B2</f>
        <v>Empresa de Pesquisa Energética - EPE</v>
      </c>
      <c r="C2" s="1060"/>
      <c r="D2" s="1060"/>
      <c r="E2" s="1060"/>
      <c r="F2" s="1060"/>
      <c r="G2" s="1060"/>
      <c r="H2" s="1060"/>
      <c r="I2" s="1060"/>
      <c r="J2" s="1060"/>
      <c r="K2" s="1060"/>
      <c r="L2" s="1060"/>
    </row>
    <row r="3" spans="2:17">
      <c r="B3" s="1061" t="str">
        <f>BP!B3</f>
        <v>CNPJ 06.977.747/0001-80</v>
      </c>
      <c r="C3" s="1061"/>
      <c r="D3" s="1061"/>
      <c r="E3" s="1061"/>
      <c r="F3" s="1061"/>
      <c r="G3" s="1061"/>
      <c r="H3" s="1061"/>
      <c r="I3" s="1061"/>
      <c r="J3" s="1061"/>
      <c r="K3" s="1061"/>
      <c r="L3" s="1061"/>
    </row>
    <row r="4" spans="2:17" s="2" customFormat="1">
      <c r="B4" s="1060" t="s">
        <v>183</v>
      </c>
      <c r="C4" s="1060"/>
      <c r="D4" s="1060"/>
      <c r="E4" s="1060"/>
      <c r="F4" s="1060"/>
      <c r="G4" s="1060"/>
      <c r="H4" s="1060"/>
      <c r="I4" s="1060"/>
      <c r="J4" s="1060"/>
      <c r="K4" s="1060"/>
      <c r="L4" s="1060"/>
      <c r="O4" s="7"/>
    </row>
    <row r="5" spans="2:17">
      <c r="B5" s="1061" t="str">
        <f>BP!B5</f>
        <v>(em milhares de reais)</v>
      </c>
      <c r="C5" s="1061"/>
      <c r="D5" s="1061"/>
      <c r="E5" s="1061"/>
      <c r="F5" s="1061"/>
      <c r="G5" s="1061"/>
      <c r="H5" s="1061"/>
      <c r="I5" s="1061"/>
      <c r="J5" s="1061"/>
      <c r="K5" s="1061"/>
      <c r="L5" s="1061"/>
      <c r="M5" s="2"/>
    </row>
    <row r="6" spans="2:17">
      <c r="B6" s="9"/>
      <c r="C6" s="9"/>
      <c r="D6" s="9"/>
      <c r="F6" s="355"/>
      <c r="G6" s="355"/>
      <c r="H6" s="9"/>
      <c r="I6" s="9"/>
      <c r="J6" s="9"/>
      <c r="K6" s="11"/>
      <c r="L6" s="11"/>
      <c r="M6" s="2"/>
    </row>
    <row r="7" spans="2:17" ht="13.9" thickBot="1">
      <c r="B7" s="40"/>
      <c r="C7" s="40"/>
      <c r="D7" s="40"/>
      <c r="E7" s="356"/>
      <c r="F7" s="357">
        <v>45322</v>
      </c>
      <c r="G7" s="357" t="s">
        <v>131</v>
      </c>
      <c r="H7" s="60">
        <f>'DFC '!F5</f>
        <v>46203</v>
      </c>
      <c r="I7" s="41"/>
      <c r="J7" s="41"/>
      <c r="K7" s="41"/>
      <c r="L7" s="60">
        <v>45838</v>
      </c>
      <c r="M7" s="2"/>
    </row>
    <row r="8" spans="2:17">
      <c r="B8" s="9"/>
      <c r="C8" s="9"/>
      <c r="D8" s="9"/>
      <c r="E8" s="358"/>
      <c r="F8" s="353"/>
      <c r="G8" s="353"/>
      <c r="H8" s="11"/>
      <c r="I8" s="11"/>
      <c r="J8" s="11"/>
      <c r="K8" s="11"/>
      <c r="L8" s="11"/>
      <c r="M8" s="2"/>
    </row>
    <row r="9" spans="2:17">
      <c r="B9" s="33" t="s">
        <v>184</v>
      </c>
      <c r="C9" s="33"/>
      <c r="D9" s="9"/>
      <c r="E9" s="358"/>
      <c r="F9" s="359"/>
      <c r="G9" s="359"/>
      <c r="H9" s="42"/>
      <c r="I9" s="42"/>
      <c r="J9" s="42"/>
      <c r="K9" s="42"/>
      <c r="L9" s="42"/>
      <c r="P9" s="8"/>
      <c r="Q9" s="8"/>
    </row>
    <row r="10" spans="2:17">
      <c r="B10" s="9"/>
      <c r="C10" s="9" t="s">
        <v>185</v>
      </c>
      <c r="D10" s="9"/>
      <c r="E10" s="358">
        <f>IFERROR(VLOOKUP(C10,Listas!$B$2:$C$20,2,FALSE),"")</f>
        <v>500002</v>
      </c>
      <c r="F10" s="360">
        <f>IF(SUMIFS('Balancete 06.2026'!$I$8:$I$580,'Balancete 06.2026'!$L$8:$L$580,'DVA '!E10)&gt;0,SUMIFS('Balancete 06.2026'!$I$8:$I$580,'Balancete 06.2026'!$L$8:$L$580,'DVA '!E10),SUMIFS('Balancete 06.2026'!$I$8:$I$580,'Balancete 06.2026'!$L$8:$L$580,'DVA '!E10)*-1)</f>
        <v>75965949.219999999</v>
      </c>
      <c r="G10" s="360">
        <f>ROUND(F10/1000,0)</f>
        <v>75966</v>
      </c>
      <c r="H10" s="43">
        <f>G10</f>
        <v>75966</v>
      </c>
      <c r="I10" s="43">
        <f>IF(SUMIFS('Balancete 08.2023'!$I$7:$I$997,'Balancete 08.2023'!$L$7:$L$997,'DVA '!E10)&gt;0,SUMIFS('Balancete 08.2023'!$I$7:$I$997,'Balancete 08.2023'!$L$7:$L$997,'DVA '!E10),SUMIFS('Balancete 08.2023'!$I$7:$I$997,'Balancete 08.2023'!$L$7:$L$997,'DVA '!E10)*-1)</f>
        <v>81538428.049999997</v>
      </c>
      <c r="J10" s="43">
        <f>ROUND(I10/1000,0)</f>
        <v>81538</v>
      </c>
      <c r="K10" s="43"/>
      <c r="L10" s="43">
        <v>85919</v>
      </c>
      <c r="N10" s="9">
        <f>H10+'DFC '!F8</f>
        <v>0</v>
      </c>
      <c r="O10" s="7">
        <f>L10+'DFC '!I8</f>
        <v>0</v>
      </c>
      <c r="P10" s="8"/>
      <c r="Q10" s="8"/>
    </row>
    <row r="11" spans="2:17">
      <c r="B11" s="9"/>
      <c r="C11" s="9" t="s">
        <v>186</v>
      </c>
      <c r="D11" s="9"/>
      <c r="E11" s="358">
        <f>IFERROR(VLOOKUP(C11,Listas!$B$2:$C$20,2,FALSE),"")</f>
        <v>500003</v>
      </c>
      <c r="F11" s="361">
        <f>IF(SUMIFS('Balancete 06.2026'!$I$8:$I$580,'Balancete 06.2026'!$L$8:$L$580,'DVA '!E11)&gt;0,SUMIFS('Balancete 06.2026'!$I$8:$I$580,'Balancete 06.2026'!$L$8:$L$580,'DVA '!E11),SUMIFS('Balancete 06.2026'!$I$8:$I$580,'Balancete 06.2026'!$L$8:$L$580,'DVA '!E11)*-1)</f>
        <v>6935288.75</v>
      </c>
      <c r="G11" s="360">
        <f>ROUND(F11/1000,0)</f>
        <v>6935</v>
      </c>
      <c r="H11" s="59">
        <f>G11</f>
        <v>6935</v>
      </c>
      <c r="I11" s="43">
        <f>IF(SUMIFS('Balancete 08.2023'!$I$7:$I$997,'Balancete 08.2023'!$L$7:$L$997,'DVA '!E11)&gt;0,SUMIFS('Balancete 08.2023'!$I$7:$I$997,'Balancete 08.2023'!$L$7:$L$997,'DVA '!E11),SUMIFS('Balancete 08.2023'!$I$7:$I$997,'Balancete 08.2023'!$L$7:$L$997,'DVA '!E11)*-1)</f>
        <v>2855666.75</v>
      </c>
      <c r="J11" s="43">
        <f>ROUND(I11/1000,0)</f>
        <v>2856</v>
      </c>
      <c r="K11" s="44"/>
      <c r="L11" s="59">
        <v>473</v>
      </c>
      <c r="N11" s="7"/>
      <c r="O11" s="114"/>
      <c r="P11" s="8"/>
      <c r="Q11" s="8"/>
    </row>
    <row r="12" spans="2:17" s="2" customFormat="1">
      <c r="B12" s="33"/>
      <c r="C12" s="33"/>
      <c r="D12" s="33"/>
      <c r="E12" s="358" t="str">
        <f>IFERROR(VLOOKUP(C12,Listas!$B$2:$C$20,2,FALSE),"")</f>
        <v/>
      </c>
      <c r="F12" s="362">
        <f>SUM(F10:F11)</f>
        <v>82901237.969999999</v>
      </c>
      <c r="G12" s="362"/>
      <c r="H12" s="48">
        <f>SUM(H10:H11)</f>
        <v>82901</v>
      </c>
      <c r="I12" s="48"/>
      <c r="J12" s="48"/>
      <c r="K12" s="48"/>
      <c r="L12" s="48">
        <f>SUM(L10:L11)</f>
        <v>86392</v>
      </c>
      <c r="N12" s="7"/>
      <c r="O12" s="114"/>
      <c r="P12" s="8"/>
      <c r="Q12" s="8"/>
    </row>
    <row r="13" spans="2:17">
      <c r="B13" s="45"/>
      <c r="C13" s="45"/>
      <c r="D13" s="46"/>
      <c r="E13" s="358" t="str">
        <f>IFERROR(VLOOKUP(C13,Listas!$B$2:$C$20,2,FALSE),"")</f>
        <v/>
      </c>
      <c r="F13" s="363"/>
      <c r="G13" s="363"/>
      <c r="H13" s="47"/>
      <c r="I13" s="47"/>
      <c r="J13" s="47"/>
      <c r="K13" s="47"/>
      <c r="L13" s="47"/>
      <c r="P13" s="8"/>
      <c r="Q13" s="8"/>
    </row>
    <row r="14" spans="2:17">
      <c r="B14" s="33" t="s">
        <v>187</v>
      </c>
      <c r="C14" s="33"/>
      <c r="D14" s="33"/>
      <c r="E14" s="358" t="str">
        <f>IFERROR(VLOOKUP(C14,Listas!$B$2:$C$20,2,FALSE),"")</f>
        <v/>
      </c>
      <c r="F14" s="359"/>
      <c r="G14" s="359"/>
      <c r="H14" s="42"/>
      <c r="I14" s="42"/>
      <c r="J14" s="42"/>
      <c r="K14" s="42"/>
      <c r="L14" s="42"/>
      <c r="P14" s="8"/>
      <c r="Q14" s="8"/>
    </row>
    <row r="15" spans="2:17">
      <c r="B15" s="9"/>
      <c r="C15" s="9" t="s">
        <v>188</v>
      </c>
      <c r="D15" s="9"/>
      <c r="E15" s="358">
        <f>IFERROR(VLOOKUP(C15,Listas!$B$2:$C$20,2,FALSE),"")</f>
        <v>500004</v>
      </c>
      <c r="F15" s="361">
        <f>IF(SUMIFS('Balancete 06.2026'!$I$8:$I$580,'Balancete 06.2026'!$L$8:$L$580,'DVA '!E15)&gt;0,SUMIFS('Balancete 06.2026'!$I$8:$I$580,'Balancete 06.2026'!$L$8:$L$580,'DVA '!E15),SUMIFS('Balancete 06.2026'!$I$8:$I$580,'Balancete 06.2026'!$L$8:$L$580,'DVA '!E15)*-1)</f>
        <v>14940196.33</v>
      </c>
      <c r="G15" s="360">
        <f>ROUND(F15/1000,0)</f>
        <v>14940</v>
      </c>
      <c r="H15" s="59">
        <f>-G15</f>
        <v>-14940</v>
      </c>
      <c r="I15" s="43">
        <f>IF(SUMIFS('Balancete 08.2023'!$I$7:$I$997,'Balancete 08.2023'!$L$7:$L$997,'DVA '!E15)&gt;0,SUMIFS('Balancete 08.2023'!$I$7:$I$997,'Balancete 08.2023'!$L$7:$L$997,'DVA '!E15),SUMIFS('Balancete 08.2023'!$I$7:$I$997,'Balancete 08.2023'!$L$7:$L$997,'DVA '!E15)*-1)</f>
        <v>14863906.200000003</v>
      </c>
      <c r="J15" s="43">
        <f>ROUND(I15/1000,0)</f>
        <v>14864</v>
      </c>
      <c r="K15" s="43"/>
      <c r="L15" s="59">
        <v>-10777</v>
      </c>
      <c r="N15" s="7"/>
      <c r="O15" s="114"/>
      <c r="P15" s="8"/>
      <c r="Q15" s="8"/>
    </row>
    <row r="16" spans="2:17" s="2" customFormat="1">
      <c r="B16" s="33"/>
      <c r="C16" s="33"/>
      <c r="D16" s="33"/>
      <c r="E16" s="358" t="str">
        <f>IFERROR(VLOOKUP(C16,Listas!$B$2:$C$20,2,FALSE),"")</f>
        <v/>
      </c>
      <c r="F16" s="359">
        <f>SUM(F15)</f>
        <v>14940196.33</v>
      </c>
      <c r="G16" s="359"/>
      <c r="H16" s="42">
        <f>SUM(H15)</f>
        <v>-14940</v>
      </c>
      <c r="I16" s="42"/>
      <c r="J16" s="42"/>
      <c r="K16" s="42"/>
      <c r="L16" s="42">
        <f>SUM(L15)</f>
        <v>-10777</v>
      </c>
      <c r="O16" s="7"/>
      <c r="P16" s="8"/>
      <c r="Q16" s="8"/>
    </row>
    <row r="17" spans="2:18">
      <c r="B17" s="9"/>
      <c r="C17" s="9"/>
      <c r="D17" s="9"/>
      <c r="E17" s="358" t="str">
        <f>IFERROR(VLOOKUP(C17,Listas!$B$2:$C$20,2,FALSE),"")</f>
        <v/>
      </c>
      <c r="F17" s="360"/>
      <c r="G17" s="360"/>
      <c r="H17" s="43"/>
      <c r="I17" s="43"/>
      <c r="J17" s="43"/>
      <c r="K17" s="43"/>
      <c r="L17" s="43"/>
      <c r="P17" s="8"/>
      <c r="Q17" s="8"/>
    </row>
    <row r="18" spans="2:18">
      <c r="B18" s="33" t="s">
        <v>189</v>
      </c>
      <c r="C18" s="33"/>
      <c r="D18" s="33"/>
      <c r="E18" s="358" t="str">
        <f>IFERROR(VLOOKUP(C18,Listas!$B$2:$C$20,2,FALSE),"")</f>
        <v/>
      </c>
      <c r="F18" s="362">
        <f>+F12-F16</f>
        <v>67961041.640000001</v>
      </c>
      <c r="G18" s="360">
        <f>ROUND(F18/1000,0)</f>
        <v>67961</v>
      </c>
      <c r="H18" s="48">
        <f>H12+H16</f>
        <v>67961</v>
      </c>
      <c r="I18" s="48"/>
      <c r="J18" s="48"/>
      <c r="K18" s="48"/>
      <c r="L18" s="48">
        <f>+L12+L16</f>
        <v>75615</v>
      </c>
      <c r="P18" s="8"/>
      <c r="Q18" s="8"/>
    </row>
    <row r="19" spans="2:18">
      <c r="B19" s="33"/>
      <c r="C19" s="33"/>
      <c r="D19" s="33"/>
      <c r="E19" s="358" t="str">
        <f>IFERROR(VLOOKUP(C19,Listas!$B$2:$C$20,2,FALSE),"")</f>
        <v/>
      </c>
      <c r="F19" s="362"/>
      <c r="G19" s="362"/>
      <c r="H19" s="48"/>
      <c r="I19" s="48"/>
      <c r="J19" s="48"/>
      <c r="K19" s="48"/>
      <c r="L19" s="48"/>
      <c r="P19" s="8"/>
      <c r="Q19" s="8"/>
    </row>
    <row r="20" spans="2:18">
      <c r="B20" s="9"/>
      <c r="C20" s="9" t="s">
        <v>190</v>
      </c>
      <c r="D20" s="9"/>
      <c r="E20" s="358">
        <f>IFERROR(VLOOKUP(C20,Listas!$B$2:$C$20,2,FALSE),"")</f>
        <v>500005</v>
      </c>
      <c r="F20" s="360">
        <f>IF(SUMIFS('Balancete 06.2026'!$I$8:$I$580,'Balancete 06.2026'!$L$8:$L$580,'DVA '!E20)&gt;0,SUMIFS('Balancete 06.2026'!$I$8:$I$580,'Balancete 06.2026'!$L$8:$L$580,'DVA '!E20),SUMIFS('Balancete 06.2026'!$I$8:$I$580,'Balancete 06.2026'!$L$8:$L$580,'DVA '!E20)*-1)</f>
        <v>2690871.81</v>
      </c>
      <c r="G20" s="360">
        <f>ROUND(F20/1000,0)</f>
        <v>2691</v>
      </c>
      <c r="H20" s="43">
        <f>-G20</f>
        <v>-2691</v>
      </c>
      <c r="I20" s="43">
        <f>IF(SUMIFS('Balancete 08.2023'!$I$7:$I$997,'Balancete 08.2023'!$L$7:$L$997,'DVA '!E20)&gt;0,SUMIFS('Balancete 08.2023'!$I$7:$I$997,'Balancete 08.2023'!$L$7:$L$997,'DVA '!E20),SUMIFS('Balancete 08.2023'!$I$7:$I$997,'Balancete 08.2023'!$L$7:$L$997,'DVA '!E20)*-1)</f>
        <v>2149771.77</v>
      </c>
      <c r="J20" s="43">
        <f>ROUND(I20/1000,0)</f>
        <v>2150</v>
      </c>
      <c r="K20" s="43"/>
      <c r="L20" s="43">
        <v>-2824</v>
      </c>
      <c r="N20" s="9">
        <f>H20+'DFC '!F10</f>
        <v>0</v>
      </c>
      <c r="O20" s="7">
        <f>L20+'DFC '!I10+'DFC '!I11</f>
        <v>0</v>
      </c>
      <c r="P20" s="8"/>
      <c r="Q20" s="8"/>
    </row>
    <row r="21" spans="2:18">
      <c r="B21" s="33"/>
      <c r="C21" s="33"/>
      <c r="D21" s="9"/>
      <c r="E21" s="358" t="str">
        <f>IFERROR(VLOOKUP(C21,Listas!$B$2:$C$20,2,FALSE),"")</f>
        <v/>
      </c>
      <c r="F21" s="364"/>
      <c r="G21" s="364"/>
      <c r="H21" s="44"/>
      <c r="I21" s="44"/>
      <c r="J21" s="44"/>
      <c r="K21" s="44"/>
      <c r="L21" s="44"/>
      <c r="P21" s="8"/>
      <c r="Q21" s="8"/>
    </row>
    <row r="22" spans="2:18">
      <c r="B22" s="33" t="s">
        <v>191</v>
      </c>
      <c r="C22" s="33"/>
      <c r="D22" s="9"/>
      <c r="E22" s="358" t="str">
        <f>IFERROR(VLOOKUP(C22,Listas!$B$2:$C$20,2,FALSE),"")</f>
        <v/>
      </c>
      <c r="F22" s="362">
        <f>+F18-F20</f>
        <v>65270169.829999998</v>
      </c>
      <c r="G22" s="360">
        <f>ROUND(F22/1000,0)</f>
        <v>65270</v>
      </c>
      <c r="H22" s="48">
        <f>H18+H20</f>
        <v>65270</v>
      </c>
      <c r="I22" s="48"/>
      <c r="J22" s="48"/>
      <c r="K22" s="48"/>
      <c r="L22" s="48">
        <f>L18+L20</f>
        <v>72791</v>
      </c>
      <c r="P22" s="8"/>
      <c r="Q22" s="8"/>
    </row>
    <row r="23" spans="2:18">
      <c r="B23" s="33"/>
      <c r="C23" s="33"/>
      <c r="D23" s="9"/>
      <c r="E23" s="358" t="str">
        <f>IFERROR(VLOOKUP(C23,Listas!$B$2:$C$20,2,FALSE),"")</f>
        <v/>
      </c>
      <c r="F23" s="362"/>
      <c r="G23" s="362"/>
      <c r="H23" s="48"/>
      <c r="I23" s="48"/>
      <c r="J23" s="48"/>
      <c r="K23" s="48"/>
      <c r="L23" s="48"/>
      <c r="P23" s="8"/>
      <c r="Q23" s="8"/>
    </row>
    <row r="24" spans="2:18">
      <c r="B24" s="33" t="s">
        <v>192</v>
      </c>
      <c r="C24" s="33"/>
      <c r="D24" s="9"/>
      <c r="E24" s="358" t="str">
        <f>IFERROR(VLOOKUP(C24,Listas!$B$2:$C$20,2,FALSE),"")</f>
        <v/>
      </c>
      <c r="F24" s="362"/>
      <c r="G24" s="362"/>
      <c r="H24" s="48"/>
      <c r="I24" s="48"/>
      <c r="J24" s="48"/>
      <c r="K24" s="48"/>
      <c r="L24" s="48"/>
      <c r="P24" s="8"/>
      <c r="Q24" s="8"/>
    </row>
    <row r="25" spans="2:18">
      <c r="B25" s="9"/>
      <c r="C25" s="9" t="s">
        <v>36</v>
      </c>
      <c r="D25" s="9"/>
      <c r="E25" s="358">
        <f>IFERROR(VLOOKUP(C25,Listas!$B$2:$C$20,2,FALSE),"")</f>
        <v>500006</v>
      </c>
      <c r="F25" s="360">
        <f>IF(SUMIFS('Balancete 06.2026'!$I$8:$I$580,'Balancete 06.2026'!$L$8:$L$580,'DVA '!E25)&gt;0,SUMIFS('Balancete 06.2026'!$I$8:$I$580,'Balancete 06.2026'!$L$8:$L$580,'DVA '!E25),SUMIFS('Balancete 06.2026'!$I$8:$I$580,'Balancete 06.2026'!$L$8:$L$580,'DVA '!E25)*-1)</f>
        <v>539063.07000000007</v>
      </c>
      <c r="G25" s="360">
        <f>ROUND(F25/1000,0)</f>
        <v>539</v>
      </c>
      <c r="H25" s="59">
        <f>G25</f>
        <v>539</v>
      </c>
      <c r="I25" s="43">
        <f>IF(SUMIFS('Balancete 08.2023'!$I$7:$I$997,'Balancete 08.2023'!$L$7:$L$997,'DVA '!E25)&gt;0,SUMIFS('Balancete 08.2023'!$I$7:$I$997,'Balancete 08.2023'!$L$7:$L$997,'DVA '!E25),SUMIFS('Balancete 08.2023'!$I$7:$I$997,'Balancete 08.2023'!$L$7:$L$997,'DVA '!E25)*-1)</f>
        <v>415768.49</v>
      </c>
      <c r="J25" s="43">
        <f>ROUND(I25/1000,0)</f>
        <v>416</v>
      </c>
      <c r="K25" s="43"/>
      <c r="L25" s="59">
        <v>392</v>
      </c>
      <c r="P25" s="8"/>
      <c r="Q25" s="8"/>
    </row>
    <row r="26" spans="2:18" hidden="1">
      <c r="B26" s="9"/>
      <c r="C26" s="9" t="s">
        <v>193</v>
      </c>
      <c r="D26" s="9"/>
      <c r="E26" s="358">
        <f>IFERROR(VLOOKUP(C26,Listas!$B$2:$C$20,2,FALSE),"")</f>
        <v>500007</v>
      </c>
      <c r="F26" s="361">
        <f>IF(SUMIFS('Balancete 06.2026'!$I$8:$I$580,'Balancete 06.2026'!$L$8:$L$580,'DVA '!E26)&gt;0,SUMIFS('Balancete 06.2026'!$I$8:$I$580,'Balancete 06.2026'!$L$8:$L$580,'DVA '!E26),SUMIFS('Balancete 06.2026'!$I$8:$I$580,'Balancete 06.2026'!$L$8:$L$580,'DVA '!E26)*-1)</f>
        <v>0</v>
      </c>
      <c r="G26" s="360">
        <v>0</v>
      </c>
      <c r="H26" s="59">
        <f>G26</f>
        <v>0</v>
      </c>
      <c r="I26" s="43"/>
      <c r="J26" s="43"/>
      <c r="K26" s="43"/>
      <c r="L26" s="59">
        <v>0</v>
      </c>
      <c r="P26" s="105"/>
      <c r="Q26" s="8"/>
      <c r="R26" s="8"/>
    </row>
    <row r="27" spans="2:18" s="2" customFormat="1">
      <c r="B27" s="33"/>
      <c r="C27" s="33"/>
      <c r="D27" s="33"/>
      <c r="E27" s="358" t="str">
        <f>IFERROR(VLOOKUP(C27,Listas!$B$2:$C$20,2,FALSE),"")</f>
        <v/>
      </c>
      <c r="F27" s="359">
        <f>SUM(F25:F26)</f>
        <v>539063.07000000007</v>
      </c>
      <c r="G27" s="359"/>
      <c r="H27" s="42">
        <f>SUM(H25:H26)</f>
        <v>539</v>
      </c>
      <c r="I27" s="42"/>
      <c r="J27" s="42"/>
      <c r="K27" s="42"/>
      <c r="L27" s="42">
        <f>SUM(L25:L26)</f>
        <v>392</v>
      </c>
      <c r="O27" s="7"/>
      <c r="R27" s="105"/>
    </row>
    <row r="28" spans="2:18">
      <c r="B28" s="9"/>
      <c r="C28" s="9"/>
      <c r="D28" s="9"/>
      <c r="E28" s="358" t="str">
        <f>IFERROR(VLOOKUP(C28,Listas!$B$2:$C$20,2,FALSE),"")</f>
        <v/>
      </c>
      <c r="F28" s="360"/>
      <c r="G28" s="360"/>
      <c r="H28" s="43"/>
      <c r="I28" s="43"/>
      <c r="J28" s="43"/>
      <c r="K28" s="43"/>
      <c r="L28" s="43"/>
    </row>
    <row r="29" spans="2:18">
      <c r="B29" s="9"/>
      <c r="C29" s="9"/>
      <c r="D29" s="9"/>
      <c r="E29" s="358" t="str">
        <f>IFERROR(VLOOKUP(C29,Listas!$B$2:$C$20,2,FALSE),"")</f>
        <v/>
      </c>
      <c r="F29" s="364"/>
      <c r="G29" s="364"/>
      <c r="H29" s="44"/>
      <c r="I29" s="44"/>
      <c r="J29" s="44"/>
      <c r="K29" s="44"/>
      <c r="L29" s="44"/>
    </row>
    <row r="30" spans="2:18" s="32" customFormat="1" ht="13.9" thickBot="1">
      <c r="B30" s="49" t="s">
        <v>194</v>
      </c>
      <c r="C30" s="49"/>
      <c r="D30" s="50"/>
      <c r="E30" s="358" t="str">
        <f>IFERROR(VLOOKUP(D30,Listas!$B$2:$C$20,2,FALSE),"")</f>
        <v/>
      </c>
      <c r="F30" s="365">
        <f>+F22+F27</f>
        <v>65809232.899999999</v>
      </c>
      <c r="G30" s="360">
        <f>ROUND(F30/1000,0)</f>
        <v>65809</v>
      </c>
      <c r="H30" s="51">
        <f>+H22+H27</f>
        <v>65809</v>
      </c>
      <c r="I30" s="52"/>
      <c r="J30" s="52"/>
      <c r="K30" s="52"/>
      <c r="L30" s="51">
        <f>+L22+L27</f>
        <v>73183</v>
      </c>
      <c r="O30" s="104"/>
    </row>
    <row r="31" spans="2:18" ht="13.9" thickTop="1">
      <c r="B31" s="33" t="s">
        <v>195</v>
      </c>
      <c r="C31" s="9"/>
      <c r="D31" s="33"/>
      <c r="E31" s="358" t="str">
        <f>IFERROR(VLOOKUP(D31,Listas!$B$2:$C$20,2,FALSE),"")</f>
        <v/>
      </c>
      <c r="F31" s="366"/>
      <c r="G31" s="366"/>
      <c r="H31" s="53"/>
      <c r="I31" s="53"/>
      <c r="J31" s="53"/>
      <c r="K31" s="44"/>
      <c r="L31" s="53"/>
    </row>
    <row r="32" spans="2:18">
      <c r="B32" s="33"/>
      <c r="C32" s="33" t="s">
        <v>196</v>
      </c>
      <c r="D32" s="33"/>
      <c r="E32" s="358" t="str">
        <f>IFERROR(VLOOKUP(D32,Listas!$B$2:$C$20,2,FALSE),"")</f>
        <v/>
      </c>
      <c r="F32" s="362"/>
      <c r="G32" s="362"/>
      <c r="H32" s="48"/>
      <c r="I32" s="48"/>
      <c r="J32" s="48"/>
      <c r="K32" s="48"/>
      <c r="L32" s="48"/>
    </row>
    <row r="33" spans="2:15">
      <c r="B33" s="9"/>
      <c r="C33" s="9"/>
      <c r="D33" s="9" t="s">
        <v>197</v>
      </c>
      <c r="E33" s="358">
        <f>IFERROR(VLOOKUP(D33,Listas!$B$2:$C$20,2,FALSE),"")</f>
        <v>500008</v>
      </c>
      <c r="F33" s="360">
        <f>IF(SUMIFS('Balancete 06.2026'!$I$8:$I$580,'Balancete 06.2026'!$L$8:$L$580,'DVA '!E33)&gt;0,SUMIFS('Balancete 06.2026'!$I$8:$I$580,'Balancete 06.2026'!$L$8:$L$580,'DVA '!E33),SUMIFS('Balancete 06.2026'!$I$8:$I$580,'Balancete 06.2026'!$L$8:$L$580,'DVA '!E33)*-1)</f>
        <v>54481724.160000011</v>
      </c>
      <c r="G33" s="360">
        <f>ROUND(F33/1000,0)+1</f>
        <v>54483</v>
      </c>
      <c r="H33" s="43">
        <f>G33</f>
        <v>54483</v>
      </c>
      <c r="I33" s="43">
        <f>IF(SUMIFS('Balancete 08.2023'!$I$7:$I$997,'Balancete 08.2023'!$L$7:$L$997,'DVA '!E33)&gt;0,SUMIFS('Balancete 08.2023'!$I$7:$I$997,'Balancete 08.2023'!$L$7:$L$997,'DVA '!E33),SUMIFS('Balancete 08.2023'!$I$7:$I$997,'Balancete 08.2023'!$L$7:$L$997,'DVA '!E33)*-1)</f>
        <v>43276086.960000008</v>
      </c>
      <c r="J33" s="43">
        <f>ROUND(I33/1000,0)</f>
        <v>43276</v>
      </c>
      <c r="K33" s="43"/>
      <c r="L33" s="43">
        <v>50240</v>
      </c>
    </row>
    <row r="34" spans="2:15">
      <c r="B34" s="9"/>
      <c r="C34" s="9"/>
      <c r="D34" s="9" t="s">
        <v>9</v>
      </c>
      <c r="E34" s="358">
        <f>IFERROR(VLOOKUP(D34,Listas!$B$2:$C$20,2,FALSE),"")</f>
        <v>500009</v>
      </c>
      <c r="F34" s="360">
        <f>IF(SUMIFS('Balancete 06.2026'!$I$8:$I$580,'Balancete 06.2026'!$L$8:$L$580,'DVA '!E34)&gt;0,SUMIFS('Balancete 06.2026'!$I$8:$I$580,'Balancete 06.2026'!$L$8:$L$580,'DVA '!E34),SUMIFS('Balancete 06.2026'!$I$8:$I$580,'Balancete 06.2026'!$L$8:$L$580,'DVA '!E34)*-1)</f>
        <v>8428396.1799999978</v>
      </c>
      <c r="G34" s="360">
        <f>ROUND(F34/1000,0)</f>
        <v>8428</v>
      </c>
      <c r="H34" s="43">
        <f>G34</f>
        <v>8428</v>
      </c>
      <c r="I34" s="43">
        <f>IF(SUMIFS('Balancete 08.2023'!$I$7:$I$997,'Balancete 08.2023'!$L$7:$L$997,'DVA '!E34)&gt;0,SUMIFS('Balancete 08.2023'!$I$7:$I$997,'Balancete 08.2023'!$L$7:$L$997,'DVA '!E34),SUMIFS('Balancete 08.2023'!$I$7:$I$997,'Balancete 08.2023'!$L$7:$L$997,'DVA '!E34)*-1)</f>
        <v>5970412.5600000015</v>
      </c>
      <c r="J34" s="43">
        <f>ROUND(I34/1000,0)</f>
        <v>5970</v>
      </c>
      <c r="K34" s="43"/>
      <c r="L34" s="43">
        <v>7615</v>
      </c>
    </row>
    <row r="35" spans="2:15">
      <c r="B35" s="9"/>
      <c r="C35" s="9"/>
      <c r="D35" s="9" t="s">
        <v>198</v>
      </c>
      <c r="E35" s="358">
        <f>IFERROR(VLOOKUP(D35,Listas!$B$2:$C$20,2,FALSE),"")</f>
        <v>500010</v>
      </c>
      <c r="F35" s="360">
        <f>IF(SUMIFS('Balancete 06.2026'!$I$8:$I$580,'Balancete 06.2026'!$L$8:$L$580,'DVA '!E35)&gt;0,SUMIFS('Balancete 06.2026'!$I$8:$I$580,'Balancete 06.2026'!$L$8:$L$580,'DVA '!E35),SUMIFS('Balancete 06.2026'!$I$8:$I$580,'Balancete 06.2026'!$L$8:$L$580,'DVA '!E35)*-1)</f>
        <v>4200952.3</v>
      </c>
      <c r="G35" s="360">
        <f>ROUND(F35/1000,0)</f>
        <v>4201</v>
      </c>
      <c r="H35" s="59">
        <f>G35</f>
        <v>4201</v>
      </c>
      <c r="I35" s="43">
        <f>IF(SUMIFS('Balancete 08.2023'!$I$7:$I$997,'Balancete 08.2023'!$L$7:$L$997,'DVA '!E35)&gt;0,SUMIFS('Balancete 08.2023'!$I$7:$I$997,'Balancete 08.2023'!$L$7:$L$997,'DVA '!E35),SUMIFS('Balancete 08.2023'!$I$7:$I$997,'Balancete 08.2023'!$L$7:$L$997,'DVA '!E35)*-1)</f>
        <v>3356405.23</v>
      </c>
      <c r="J35" s="43">
        <f>ROUND(I35/1000,0)</f>
        <v>3356</v>
      </c>
      <c r="K35" s="43"/>
      <c r="L35" s="59">
        <v>3856</v>
      </c>
    </row>
    <row r="36" spans="2:15" hidden="1">
      <c r="B36" s="9"/>
      <c r="C36" s="9"/>
      <c r="D36" s="9" t="s">
        <v>199</v>
      </c>
      <c r="E36" s="358">
        <f>IFERROR(VLOOKUP(D36,Listas!$B$2:$C$20,2,FALSE),"")</f>
        <v>500011</v>
      </c>
      <c r="F36" s="360">
        <f>IF(SUMIFS('Balancete 06.2026'!$I$8:$I$582,'Balancete 06.2026'!$L$8:$L$582,'DVA '!E36)&gt;0,SUMIFS('Balancete 06.2026'!$I$8:$I$582,'Balancete 06.2026'!$L$8:$L$582,'DVA '!E36),SUMIFS('Balancete 06.2026'!$I$8:$I$582,'Balancete 06.2026'!$L$8:$L$582,'DVA '!E36)*-1)</f>
        <v>0</v>
      </c>
      <c r="G36" s="360">
        <f>ROUND(F36/1000,0)</f>
        <v>0</v>
      </c>
      <c r="H36" s="59">
        <f>G36</f>
        <v>0</v>
      </c>
      <c r="I36" s="43">
        <f>IF(SUMIFS('Balancete 08.2023'!$I$7:$I$997,'Balancete 08.2023'!$L$7:$L$997,'DVA '!E36)&gt;0,SUMIFS('Balancete 08.2023'!$I$7:$I$997,'Balancete 08.2023'!$L$7:$L$997,'DVA '!E36),SUMIFS('Balancete 08.2023'!$I$7:$I$997,'Balancete 08.2023'!$L$7:$L$997,'DVA '!E36)*-1)</f>
        <v>150786.71999999997</v>
      </c>
      <c r="J36" s="43">
        <f>ROUND(I36/1000,0)</f>
        <v>151</v>
      </c>
      <c r="K36" s="43"/>
      <c r="L36" s="59">
        <v>0</v>
      </c>
    </row>
    <row r="37" spans="2:15" hidden="1">
      <c r="B37" s="9"/>
      <c r="C37" s="9"/>
      <c r="D37" s="9" t="s">
        <v>200</v>
      </c>
      <c r="E37" s="358"/>
      <c r="F37" s="360">
        <v>0</v>
      </c>
      <c r="G37" s="360">
        <f>F37/1000</f>
        <v>0</v>
      </c>
      <c r="H37" s="59">
        <f>G37</f>
        <v>0</v>
      </c>
      <c r="I37" s="43"/>
      <c r="J37" s="43"/>
      <c r="K37" s="43"/>
      <c r="L37" s="59">
        <v>0</v>
      </c>
    </row>
    <row r="38" spans="2:15" s="2" customFormat="1">
      <c r="B38" s="33"/>
      <c r="C38" s="33"/>
      <c r="D38" s="33"/>
      <c r="E38" s="358" t="str">
        <f>IFERROR(VLOOKUP(D38,Listas!$B$2:$C$20,2,FALSE),"")</f>
        <v/>
      </c>
      <c r="F38" s="359">
        <f>SUM(F33:F36)</f>
        <v>67111072.640000015</v>
      </c>
      <c r="G38" s="359"/>
      <c r="H38" s="42">
        <f>SUM(H33:H37)</f>
        <v>67112</v>
      </c>
      <c r="I38" s="42"/>
      <c r="J38" s="42"/>
      <c r="K38" s="42"/>
      <c r="L38" s="42">
        <f>SUM(L33:L37)</f>
        <v>61711</v>
      </c>
      <c r="O38" s="7"/>
    </row>
    <row r="39" spans="2:15">
      <c r="B39" s="9"/>
      <c r="C39" s="9"/>
      <c r="D39" s="9"/>
      <c r="E39" s="358" t="str">
        <f>IFERROR(VLOOKUP(D39,Listas!$B$2:$C$20,2,FALSE),"")</f>
        <v/>
      </c>
      <c r="F39" s="360"/>
      <c r="G39" s="360"/>
      <c r="H39" s="43"/>
      <c r="I39" s="43"/>
      <c r="J39" s="43"/>
      <c r="K39" s="43"/>
      <c r="L39" s="43"/>
    </row>
    <row r="40" spans="2:15">
      <c r="B40" s="9"/>
      <c r="C40" s="33" t="s">
        <v>201</v>
      </c>
      <c r="D40" s="9"/>
      <c r="E40" s="358" t="str">
        <f>IFERROR(VLOOKUP(D40,Listas!$B$2:$C$20,2,FALSE),"")</f>
        <v/>
      </c>
      <c r="F40" s="367"/>
      <c r="G40" s="367"/>
      <c r="H40" s="48"/>
      <c r="I40" s="48"/>
      <c r="J40" s="48"/>
      <c r="K40" s="48"/>
      <c r="L40" s="48"/>
    </row>
    <row r="41" spans="2:15">
      <c r="B41" s="9"/>
      <c r="C41" s="9"/>
      <c r="D41" s="9" t="s">
        <v>202</v>
      </c>
      <c r="E41" s="358">
        <f>IFERROR(VLOOKUP(D41,Listas!$B$2:$C$20,2,FALSE),"")</f>
        <v>500012</v>
      </c>
      <c r="F41" s="360">
        <f>IF(SUMIFS('Balancete 06.2026'!$I$8:$I$580,'Balancete 06.2026'!$L$8:$L$580,'DVA '!E41)&gt;0,SUMIFS('Balancete 06.2026'!$I$8:$I$580,'Balancete 06.2026'!$L$8:$L$580,'DVA '!E41),SUMIFS('Balancete 06.2026'!$I$8:$I$580,'Balancete 06.2026'!$L$8:$L$580,'DVA '!E41)*-1)</f>
        <v>12173134.82</v>
      </c>
      <c r="G41" s="360">
        <f>ROUND(F41/1000,0)</f>
        <v>12173</v>
      </c>
      <c r="H41" s="43">
        <f>G41</f>
        <v>12173</v>
      </c>
      <c r="I41" s="43">
        <f>IF(SUMIFS('Balancete 08.2023'!$I$7:$I$997,'Balancete 08.2023'!$L$7:$L$997,'DVA '!E41)&gt;0,SUMIFS('Balancete 08.2023'!$I$7:$I$997,'Balancete 08.2023'!$L$7:$L$997,'DVA '!E41),SUMIFS('Balancete 08.2023'!$I$7:$I$997,'Balancete 08.2023'!$L$7:$L$997,'DVA '!E41)*-1)</f>
        <v>9690959.6600000001</v>
      </c>
      <c r="J41" s="43">
        <f>ROUND(I41/1000,0)</f>
        <v>9691</v>
      </c>
      <c r="K41" s="43"/>
      <c r="L41" s="43">
        <v>10956</v>
      </c>
    </row>
    <row r="42" spans="2:15">
      <c r="B42" s="9"/>
      <c r="C42" s="9"/>
      <c r="D42" s="9" t="s">
        <v>203</v>
      </c>
      <c r="E42" s="358">
        <f>IFERROR(VLOOKUP(D42,Listas!$B$2:$C$20,2,FALSE),"")</f>
        <v>500013</v>
      </c>
      <c r="F42" s="360">
        <f>IF(SUMIFS('Balancete 06.2026'!$I$8:$I$580,'Balancete 06.2026'!$L$8:$L$580,'DVA '!E42)&gt;0,SUMIFS('Balancete 06.2026'!$I$8:$I$580,'Balancete 06.2026'!$L$8:$L$580,'DVA '!E42),SUMIFS('Balancete 06.2026'!$I$8:$I$580,'Balancete 06.2026'!$L$8:$L$580,'DVA '!E42)*-1)</f>
        <v>19715.54</v>
      </c>
      <c r="G42" s="360">
        <f>ROUND(F42/1000,0)</f>
        <v>20</v>
      </c>
      <c r="H42" s="43">
        <f>G42</f>
        <v>20</v>
      </c>
      <c r="I42" s="43">
        <f>IF(SUMIFS('Balancete 08.2023'!$I$7:$I$997,'Balancete 08.2023'!$L$7:$L$997,'DVA '!E42)&gt;0,SUMIFS('Balancete 08.2023'!$I$7:$I$997,'Balancete 08.2023'!$L$7:$L$997,'DVA '!E42),SUMIFS('Balancete 08.2023'!$I$7:$I$997,'Balancete 08.2023'!$L$7:$L$997,'DVA '!E42)*-1)</f>
        <v>22222.559999999998</v>
      </c>
      <c r="J42" s="43">
        <f>ROUND(I42/1000,0)</f>
        <v>22</v>
      </c>
      <c r="K42" s="43"/>
      <c r="L42" s="43">
        <v>26</v>
      </c>
    </row>
    <row r="43" spans="2:15">
      <c r="B43" s="9"/>
      <c r="C43" s="9"/>
      <c r="D43" s="9" t="s">
        <v>204</v>
      </c>
      <c r="E43" s="358">
        <f>IFERROR(VLOOKUP(D43,Listas!$B$2:$C$20,2,FALSE),"")</f>
        <v>500014</v>
      </c>
      <c r="F43" s="360">
        <f>IF(SUMIFS('Balancete 06.2026'!$I$8:$I$580,'Balancete 06.2026'!$L$8:$L$580,'DVA '!E43)&gt;0,SUMIFS('Balancete 06.2026'!$I$8:$I$580,'Balancete 06.2026'!$L$8:$L$580,'DVA '!E43),SUMIFS('Balancete 06.2026'!$I$8:$I$580,'Balancete 06.2026'!$L$8:$L$580,'DVA '!E43)*-1)</f>
        <v>241488.53</v>
      </c>
      <c r="G43" s="360">
        <f>ROUND(F43/1000,0)</f>
        <v>241</v>
      </c>
      <c r="H43" s="59">
        <f>G43</f>
        <v>241</v>
      </c>
      <c r="I43" s="43">
        <f>IF(SUMIFS('Balancete 08.2023'!$I$7:$I$997,'Balancete 08.2023'!$L$7:$L$997,'DVA '!E43)&gt;0,SUMIFS('Balancete 08.2023'!$I$7:$I$997,'Balancete 08.2023'!$L$7:$L$997,'DVA '!E43),SUMIFS('Balancete 08.2023'!$I$7:$I$997,'Balancete 08.2023'!$L$7:$L$997,'DVA '!E43)*-1)</f>
        <v>297636.88</v>
      </c>
      <c r="J43" s="43">
        <f>ROUND(I43/1000,0)</f>
        <v>298</v>
      </c>
      <c r="K43" s="43"/>
      <c r="L43" s="59">
        <v>249</v>
      </c>
    </row>
    <row r="44" spans="2:15" hidden="1">
      <c r="B44" s="9"/>
      <c r="C44" s="9"/>
      <c r="D44" s="9" t="s">
        <v>205</v>
      </c>
      <c r="E44" s="358" t="str">
        <f>IFERROR(VLOOKUP(D44,Listas!$B$2:$C$20,2,FALSE),"")</f>
        <v/>
      </c>
      <c r="F44" s="361">
        <f>-IF(SUMIFS('Balancete 06.2026'!$I$8:$I$580,'Balancete 06.2026'!$L$8:$L$580,'DVA '!E44)&gt;0,SUMIFS('Balancete 06.2026'!$I$8:$I$580,'Balancete 06.2026'!$L$8:$L$580,'DVA '!E44),SUMIFS('Balancete 06.2026'!$I$8:$I$580,'Balancete 06.2026'!$L$8:$L$580,'DVA '!E44)*-1)</f>
        <v>0</v>
      </c>
      <c r="G44" s="360">
        <f>ROUND(F44/1000,0)</f>
        <v>0</v>
      </c>
      <c r="H44" s="59">
        <v>0</v>
      </c>
      <c r="I44" s="43">
        <f>IF(SUMIFS('Balancete 08.2023'!$I$7:$I$997,'Balancete 08.2023'!$L$7:$L$997,'DVA '!E44)&gt;0,SUMIFS('Balancete 08.2023'!$I$7:$I$997,'Balancete 08.2023'!$L$7:$L$997,'DVA '!E44),SUMIFS('Balancete 08.2023'!$I$7:$I$997,'Balancete 08.2023'!$L$7:$L$997,'DVA '!E44)*-1)</f>
        <v>0</v>
      </c>
      <c r="J44" s="43">
        <f>ROUND(I44/1000,0)</f>
        <v>0</v>
      </c>
      <c r="K44" s="43"/>
      <c r="L44" s="59">
        <v>0</v>
      </c>
    </row>
    <row r="45" spans="2:15" s="2" customFormat="1">
      <c r="B45" s="33"/>
      <c r="C45" s="33"/>
      <c r="D45" s="33"/>
      <c r="E45" s="358" t="str">
        <f>IFERROR(VLOOKUP(D45,Listas!$B$2:$C$20,2,FALSE),"")</f>
        <v/>
      </c>
      <c r="F45" s="359">
        <f>SUM(F41:F44)</f>
        <v>12434338.889999999</v>
      </c>
      <c r="G45" s="359"/>
      <c r="H45" s="42">
        <f>SUM(H41:H44)</f>
        <v>12434</v>
      </c>
      <c r="I45" s="42"/>
      <c r="J45" s="42"/>
      <c r="K45" s="42"/>
      <c r="L45" s="42">
        <f>SUM(L41:L44)</f>
        <v>11231</v>
      </c>
      <c r="O45" s="7"/>
    </row>
    <row r="46" spans="2:15">
      <c r="B46" s="9"/>
      <c r="C46" s="9"/>
      <c r="D46" s="9"/>
      <c r="E46" s="358" t="str">
        <f>IFERROR(VLOOKUP(D46,Listas!$B$2:$C$20,2,FALSE),"")</f>
        <v/>
      </c>
      <c r="F46" s="360"/>
      <c r="G46" s="360"/>
      <c r="H46" s="43"/>
      <c r="I46" s="43"/>
      <c r="J46" s="43"/>
      <c r="K46" s="43"/>
      <c r="L46" s="43"/>
    </row>
    <row r="47" spans="2:15">
      <c r="B47" s="33"/>
      <c r="C47" s="33" t="s">
        <v>206</v>
      </c>
      <c r="D47" s="33"/>
      <c r="E47" s="358" t="str">
        <f>IFERROR(VLOOKUP(D47,Listas!$B$2:$C$20,2,FALSE),"")</f>
        <v/>
      </c>
      <c r="F47" s="367"/>
      <c r="G47" s="362"/>
      <c r="H47" s="54"/>
      <c r="I47" s="54"/>
      <c r="J47" s="54"/>
      <c r="K47" s="48"/>
      <c r="L47" s="54"/>
    </row>
    <row r="48" spans="2:15">
      <c r="B48" s="9"/>
      <c r="C48" s="9"/>
      <c r="D48" s="9" t="s">
        <v>207</v>
      </c>
      <c r="E48" s="358">
        <f>IFERROR(VLOOKUP(D48,Listas!$B$2:$C$20,2,FALSE),"")</f>
        <v>500016</v>
      </c>
      <c r="F48" s="360">
        <f>IF(SUMIFS('Balancete 06.2026'!$I$8:$I$580,'Balancete 06.2026'!$L$8:$L$580,'DVA '!E48)&gt;0,SUMIFS('Balancete 06.2026'!$I$8:$I$580,'Balancete 06.2026'!$L$8:$L$580,'DVA '!E48),SUMIFS('Balancete 06.2026'!$I$8:$I$580,'Balancete 06.2026'!$L$8:$L$580,'DVA '!E48)*-1)-F26</f>
        <v>765981.09</v>
      </c>
      <c r="G48" s="360">
        <f>ROUND(F48/1000,0)</f>
        <v>766</v>
      </c>
      <c r="H48" s="43">
        <f>G48</f>
        <v>766</v>
      </c>
      <c r="I48" s="43">
        <f>IF(SUMIFS('Balancete 08.2023'!$I$7:$I$997,'Balancete 08.2023'!$L$7:$L$997,'DVA '!E48)&gt;0,SUMIFS('Balancete 08.2023'!$I$7:$I$997,'Balancete 08.2023'!$L$7:$L$997,'DVA '!E48),SUMIFS('Balancete 08.2023'!$I$7:$I$997,'Balancete 08.2023'!$L$7:$L$997,'DVA '!E48)*-1)</f>
        <v>1179739.45</v>
      </c>
      <c r="J48" s="43">
        <f>ROUND(I48/1000,0)</f>
        <v>1180</v>
      </c>
      <c r="K48" s="43"/>
      <c r="L48" s="43">
        <v>803</v>
      </c>
    </row>
    <row r="49" spans="2:15">
      <c r="B49" s="9"/>
      <c r="C49" s="9"/>
      <c r="D49" s="9" t="s">
        <v>208</v>
      </c>
      <c r="E49" s="358">
        <f>IFERROR(VLOOKUP(D49,Listas!$B$2:$C$20,2,FALSE),"")</f>
        <v>500017</v>
      </c>
      <c r="F49" s="360">
        <f>IF(SUMIFS('Balancete 06.2026'!$I$8:$I$580,'Balancete 06.2026'!$L$8:$L$580,'DVA '!E49)&gt;0,SUMIFS('Balancete 06.2026'!$I$8:$I$580,'Balancete 06.2026'!$L$8:$L$580,'DVA '!E49),SUMIFS('Balancete 06.2026'!$I$8:$I$580,'Balancete 06.2026'!$L$8:$L$580,'DVA '!E49)*-1)</f>
        <v>122133.97</v>
      </c>
      <c r="G49" s="360">
        <f>ROUND(F49/1000,0)</f>
        <v>122</v>
      </c>
      <c r="H49" s="43">
        <f>G49</f>
        <v>122</v>
      </c>
      <c r="I49" s="43">
        <f>IF(SUMIFS('Balancete 08.2023'!$I$7:$I$997,'Balancete 08.2023'!$L$7:$L$997,'DVA '!E49)&gt;0,SUMIFS('Balancete 08.2023'!$I$7:$I$997,'Balancete 08.2023'!$L$7:$L$997,'DVA '!E49),SUMIFS('Balancete 08.2023'!$I$7:$I$997,'Balancete 08.2023'!$L$7:$L$997,'DVA '!E49)*-1)</f>
        <v>2464089.35</v>
      </c>
      <c r="J49" s="43">
        <f>ROUND(I49/1000,0)</f>
        <v>2464</v>
      </c>
      <c r="K49" s="43"/>
      <c r="L49" s="43">
        <v>114</v>
      </c>
    </row>
    <row r="50" spans="2:15">
      <c r="B50" s="9"/>
      <c r="C50" s="9"/>
      <c r="D50" s="9" t="s">
        <v>209</v>
      </c>
      <c r="E50" s="358" t="str">
        <f>IFERROR(VLOOKUP(D50,Listas!$B$2:$C$20,2,FALSE),"")</f>
        <v/>
      </c>
      <c r="F50" s="360">
        <f>IF(SUMIFS('Balancete 06.2026'!$I$8:$I$580,'Balancete 06.2026'!$L$8:$L$580,'DVA '!E50)&gt;0,SUMIFS('Balancete 06.2026'!$I$8:$I$580,'Balancete 06.2026'!$L$8:$L$580,'DVA '!E50),SUMIFS('Balancete 06.2026'!$I$8:$I$580,'Balancete 06.2026'!$L$8:$L$580,'DVA '!E50)*-1)</f>
        <v>0</v>
      </c>
      <c r="G50" s="360">
        <f>ROUND(F50/1000,0)</f>
        <v>0</v>
      </c>
      <c r="H50" s="43">
        <v>56</v>
      </c>
      <c r="I50" s="43"/>
      <c r="J50" s="43"/>
      <c r="K50" s="44"/>
      <c r="L50" s="58">
        <v>0</v>
      </c>
    </row>
    <row r="51" spans="2:15" s="2" customFormat="1">
      <c r="B51" s="33"/>
      <c r="C51" s="33"/>
      <c r="D51" s="33"/>
      <c r="E51" s="358" t="str">
        <f>IFERROR(VLOOKUP(D51,Listas!$B$2:$C$20,2,FALSE),"")</f>
        <v/>
      </c>
      <c r="F51" s="368">
        <f>SUM(F48:F50)</f>
        <v>888115.05999999994</v>
      </c>
      <c r="G51" s="359"/>
      <c r="H51" s="115">
        <f>SUM(H48:H50)</f>
        <v>944</v>
      </c>
      <c r="I51" s="42"/>
      <c r="J51" s="42"/>
      <c r="K51" s="42"/>
      <c r="L51" s="115">
        <f>SUM(L48:L50)</f>
        <v>917</v>
      </c>
      <c r="O51" s="7"/>
    </row>
    <row r="52" spans="2:15">
      <c r="B52" s="9"/>
      <c r="C52" s="9"/>
      <c r="D52" s="9"/>
      <c r="E52" s="358" t="str">
        <f>IFERROR(VLOOKUP(D52,Listas!$B$2:$C$20,2,FALSE),"")</f>
        <v/>
      </c>
      <c r="F52" s="366"/>
      <c r="G52" s="364"/>
      <c r="H52" s="53"/>
      <c r="I52" s="53"/>
      <c r="J52" s="53"/>
      <c r="K52" s="44"/>
      <c r="L52" s="53"/>
    </row>
    <row r="53" spans="2:15">
      <c r="B53" s="33"/>
      <c r="C53" s="33" t="s">
        <v>210</v>
      </c>
      <c r="D53" s="33"/>
      <c r="E53" s="358" t="str">
        <f>IFERROR(VLOOKUP(D53,Listas!$B$2:$C$20,2,FALSE),"")</f>
        <v/>
      </c>
      <c r="F53" s="367"/>
      <c r="G53" s="362"/>
      <c r="H53" s="54"/>
      <c r="I53" s="54"/>
      <c r="J53" s="54"/>
      <c r="K53" s="48"/>
      <c r="L53" s="54"/>
    </row>
    <row r="54" spans="2:15">
      <c r="B54" s="9"/>
      <c r="C54" s="9"/>
      <c r="D54" s="9" t="s">
        <v>211</v>
      </c>
      <c r="E54" s="358" t="str">
        <f>IFERROR(VLOOKUP(D54,Listas!$B$2:$C$20,2,FALSE),"")</f>
        <v/>
      </c>
      <c r="F54" s="361">
        <f>IF(SUMIFS('Balancete 06.2026'!$I$8:$I$580,'Balancete 06.2026'!$L$8:$L$580,'DVA '!E54)&gt;0,SUMIFS('Balancete 06.2026'!$I$8:$I$580,'Balancete 06.2026'!$L$8:$L$580,'DVA '!E54),SUMIFS('Balancete 06.2026'!$I$8:$I$580,'Balancete 06.2026'!$L$8:$L$580,'DVA '!E54)*-1)</f>
        <v>0</v>
      </c>
      <c r="G54" s="360">
        <f>ROUND(F54/1000,0)</f>
        <v>0</v>
      </c>
      <c r="H54" s="59">
        <f>DRE!G54</f>
        <v>-14681</v>
      </c>
      <c r="I54" s="43">
        <f>IF(SUMIFS('Balancete 08.2023'!$I$7:$I$997,'Balancete 08.2023'!$L$7:$L$997,'DVA '!E54)&gt;0,SUMIFS('Balancete 08.2023'!$I$7:$I$997,'Balancete 08.2023'!$L$7:$L$997,'DVA '!E54),SUMIFS('Balancete 08.2023'!$I$7:$I$997,'Balancete 08.2023'!$L$7:$L$997,'DVA '!E54)*-1)</f>
        <v>0</v>
      </c>
      <c r="J54" s="43">
        <f>ROUND(I54/1000,0)</f>
        <v>0</v>
      </c>
      <c r="K54" s="43"/>
      <c r="L54" s="59">
        <f>DRE!K54</f>
        <v>-676</v>
      </c>
      <c r="N54" s="9">
        <f>H54-DRE!G54</f>
        <v>0</v>
      </c>
      <c r="O54" s="7">
        <f>L54-DRE!K54</f>
        <v>0</v>
      </c>
    </row>
    <row r="55" spans="2:15" s="2" customFormat="1">
      <c r="B55" s="33"/>
      <c r="C55" s="33"/>
      <c r="D55" s="33"/>
      <c r="E55" s="358" t="str">
        <f>IFERROR(VLOOKUP(D55,Listas!$B$2:$C$20,2,FALSE),"")</f>
        <v/>
      </c>
      <c r="F55" s="359">
        <f>SUM(F54)</f>
        <v>0</v>
      </c>
      <c r="G55" s="359"/>
      <c r="H55" s="42">
        <f>SUM(H54)</f>
        <v>-14681</v>
      </c>
      <c r="I55" s="42"/>
      <c r="J55" s="42"/>
      <c r="K55" s="42"/>
      <c r="L55" s="42">
        <f>SUM(L54)</f>
        <v>-676</v>
      </c>
      <c r="O55" s="7"/>
    </row>
    <row r="56" spans="2:15">
      <c r="B56" s="9"/>
      <c r="C56" s="9"/>
      <c r="D56" s="9"/>
      <c r="E56" s="358" t="str">
        <f>IFERROR(VLOOKUP(D56,Listas!$B$2:$C$20,2,FALSE),"")</f>
        <v/>
      </c>
      <c r="F56" s="366"/>
      <c r="G56" s="364"/>
      <c r="H56" s="53"/>
      <c r="I56" s="53"/>
      <c r="J56" s="53"/>
      <c r="K56" s="44"/>
      <c r="L56" s="53"/>
    </row>
    <row r="57" spans="2:15" s="32" customFormat="1" ht="13.9" thickBot="1">
      <c r="B57" s="49" t="s">
        <v>212</v>
      </c>
      <c r="C57" s="49"/>
      <c r="D57" s="50"/>
      <c r="E57" s="358" t="str">
        <f>IFERROR(VLOOKUP(D57,Listas!$B$2:$C$20,2,FALSE),"")</f>
        <v/>
      </c>
      <c r="F57" s="365">
        <f>+F38+F45+F51+F55</f>
        <v>80433526.590000018</v>
      </c>
      <c r="G57" s="360">
        <f>ROUND(F57/1000,0)</f>
        <v>80434</v>
      </c>
      <c r="H57" s="51">
        <f>+H38+H45+H51+H55</f>
        <v>65809</v>
      </c>
      <c r="I57" s="52"/>
      <c r="J57" s="52"/>
      <c r="K57" s="52"/>
      <c r="L57" s="51">
        <f>+L38+L45+L51+L55</f>
        <v>73183</v>
      </c>
      <c r="O57" s="104"/>
    </row>
    <row r="58" spans="2:15" ht="13.9" thickTop="1">
      <c r="B58" s="9"/>
      <c r="C58" s="9"/>
      <c r="D58" s="9"/>
      <c r="E58" s="358"/>
      <c r="F58" s="362"/>
      <c r="G58" s="362"/>
      <c r="H58" s="48"/>
      <c r="I58" s="48"/>
      <c r="J58" s="48"/>
      <c r="K58" s="48"/>
      <c r="L58" s="11"/>
    </row>
    <row r="59" spans="2:15">
      <c r="B59" s="1" t="str">
        <f>BP!B56</f>
        <v>As notas explicativas são parte integrante das informações financeiras intermediárias.</v>
      </c>
      <c r="C59" s="9"/>
      <c r="E59" s="358"/>
      <c r="F59" s="352"/>
      <c r="G59" s="352"/>
      <c r="K59" s="48"/>
      <c r="L59" s="107"/>
    </row>
    <row r="60" spans="2:15">
      <c r="E60" s="358"/>
      <c r="F60" s="352"/>
      <c r="G60" s="352"/>
      <c r="K60" s="55"/>
    </row>
    <row r="61" spans="2:15">
      <c r="E61" s="358"/>
      <c r="F61" s="352"/>
      <c r="G61" s="352"/>
      <c r="K61" s="55"/>
    </row>
    <row r="62" spans="2:15">
      <c r="E62" s="358"/>
      <c r="F62" s="360">
        <f>F30-F57</f>
        <v>-14624293.69000002</v>
      </c>
      <c r="G62" s="360"/>
      <c r="H62" s="43">
        <f>H30-H57</f>
        <v>0</v>
      </c>
      <c r="I62" s="43"/>
      <c r="J62" s="43"/>
      <c r="K62" s="56"/>
      <c r="L62" s="11">
        <f>+L30-L57</f>
        <v>0</v>
      </c>
    </row>
    <row r="63" spans="2:15">
      <c r="K63" s="56"/>
    </row>
    <row r="64" spans="2:15">
      <c r="H64" s="9"/>
      <c r="K64" s="56"/>
    </row>
    <row r="65" spans="1:16108">
      <c r="B65" s="9"/>
      <c r="K65" s="1"/>
    </row>
    <row r="66" spans="1:16108" s="13" customFormat="1">
      <c r="A66" s="1"/>
      <c r="B66" s="1"/>
      <c r="C66" s="1"/>
      <c r="D66" s="1"/>
      <c r="E66" s="354"/>
      <c r="F66" s="369"/>
      <c r="G66" s="369"/>
      <c r="H66" s="1"/>
      <c r="I66" s="1"/>
      <c r="J66" s="1"/>
      <c r="K66" s="56"/>
      <c r="M66" s="1"/>
      <c r="N66" s="1"/>
      <c r="O66" s="7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1"/>
      <c r="AMJ66" s="1"/>
      <c r="AMK66" s="1"/>
      <c r="AML66" s="1"/>
      <c r="AMM66" s="1"/>
      <c r="AMN66" s="1"/>
      <c r="AMO66" s="1"/>
      <c r="AMP66" s="1"/>
      <c r="AMQ66" s="1"/>
      <c r="AMR66" s="1"/>
      <c r="AMS66" s="1"/>
      <c r="AMT66" s="1"/>
      <c r="AMU66" s="1"/>
      <c r="AMV66" s="1"/>
      <c r="AMW66" s="1"/>
      <c r="AMX66" s="1"/>
      <c r="AMY66" s="1"/>
      <c r="AMZ66" s="1"/>
      <c r="ANA66" s="1"/>
      <c r="ANB66" s="1"/>
      <c r="ANC66" s="1"/>
      <c r="AND66" s="1"/>
      <c r="ANE66" s="1"/>
      <c r="ANF66" s="1"/>
      <c r="ANG66" s="1"/>
      <c r="ANH66" s="1"/>
      <c r="ANI66" s="1"/>
      <c r="ANJ66" s="1"/>
      <c r="ANK66" s="1"/>
      <c r="ANL66" s="1"/>
      <c r="ANM66" s="1"/>
      <c r="ANN66" s="1"/>
      <c r="ANO66" s="1"/>
      <c r="ANP66" s="1"/>
      <c r="ANQ66" s="1"/>
      <c r="ANR66" s="1"/>
      <c r="ANS66" s="1"/>
      <c r="ANT66" s="1"/>
      <c r="ANU66" s="1"/>
      <c r="ANV66" s="1"/>
      <c r="ANW66" s="1"/>
      <c r="ANX66" s="1"/>
      <c r="ANY66" s="1"/>
      <c r="ANZ66" s="1"/>
      <c r="AOA66" s="1"/>
      <c r="AOB66" s="1"/>
      <c r="AOC66" s="1"/>
      <c r="AOD66" s="1"/>
      <c r="AOE66" s="1"/>
      <c r="AOF66" s="1"/>
      <c r="AOG66" s="1"/>
      <c r="AOH66" s="1"/>
      <c r="AOI66" s="1"/>
      <c r="AOJ66" s="1"/>
      <c r="AOK66" s="1"/>
      <c r="AOL66" s="1"/>
      <c r="AOM66" s="1"/>
      <c r="AON66" s="1"/>
      <c r="AOO66" s="1"/>
      <c r="AOP66" s="1"/>
      <c r="AOQ66" s="1"/>
      <c r="AOR66" s="1"/>
      <c r="AOS66" s="1"/>
      <c r="AOT66" s="1"/>
      <c r="AOU66" s="1"/>
      <c r="AOV66" s="1"/>
      <c r="AOW66" s="1"/>
      <c r="AOX66" s="1"/>
      <c r="AOY66" s="1"/>
      <c r="AOZ66" s="1"/>
      <c r="APA66" s="1"/>
      <c r="APB66" s="1"/>
      <c r="APC66" s="1"/>
      <c r="APD66" s="1"/>
      <c r="APE66" s="1"/>
      <c r="APF66" s="1"/>
      <c r="APG66" s="1"/>
      <c r="APH66" s="1"/>
      <c r="API66" s="1"/>
      <c r="APJ66" s="1"/>
      <c r="APK66" s="1"/>
      <c r="APL66" s="1"/>
      <c r="APM66" s="1"/>
      <c r="APN66" s="1"/>
      <c r="APO66" s="1"/>
      <c r="APP66" s="1"/>
      <c r="APQ66" s="1"/>
      <c r="APR66" s="1"/>
      <c r="APS66" s="1"/>
      <c r="APT66" s="1"/>
      <c r="APU66" s="1"/>
      <c r="APV66" s="1"/>
      <c r="APW66" s="1"/>
      <c r="APX66" s="1"/>
      <c r="APY66" s="1"/>
      <c r="APZ66" s="1"/>
      <c r="AQA66" s="1"/>
      <c r="AQB66" s="1"/>
      <c r="AQC66" s="1"/>
      <c r="AQD66" s="1"/>
      <c r="AQE66" s="1"/>
      <c r="AQF66" s="1"/>
      <c r="AQG66" s="1"/>
      <c r="AQH66" s="1"/>
      <c r="AQI66" s="1"/>
      <c r="AQJ66" s="1"/>
      <c r="AQK66" s="1"/>
      <c r="AQL66" s="1"/>
      <c r="AQM66" s="1"/>
      <c r="AQN66" s="1"/>
      <c r="AQO66" s="1"/>
      <c r="AQP66" s="1"/>
      <c r="AQQ66" s="1"/>
      <c r="AQR66" s="1"/>
      <c r="AQS66" s="1"/>
      <c r="AQT66" s="1"/>
      <c r="AQU66" s="1"/>
      <c r="AQV66" s="1"/>
      <c r="AQW66" s="1"/>
      <c r="AQX66" s="1"/>
      <c r="AQY66" s="1"/>
      <c r="AQZ66" s="1"/>
      <c r="ARA66" s="1"/>
      <c r="ARB66" s="1"/>
      <c r="ARC66" s="1"/>
      <c r="ARD66" s="1"/>
      <c r="ARE66" s="1"/>
      <c r="ARF66" s="1"/>
      <c r="ARG66" s="1"/>
      <c r="ARH66" s="1"/>
      <c r="ARI66" s="1"/>
      <c r="ARJ66" s="1"/>
      <c r="ARK66" s="1"/>
      <c r="ARL66" s="1"/>
      <c r="ARM66" s="1"/>
      <c r="ARN66" s="1"/>
      <c r="ARO66" s="1"/>
      <c r="ARP66" s="1"/>
      <c r="ARQ66" s="1"/>
      <c r="ARR66" s="1"/>
      <c r="ARS66" s="1"/>
      <c r="ART66" s="1"/>
      <c r="ARU66" s="1"/>
      <c r="ARV66" s="1"/>
      <c r="ARW66" s="1"/>
      <c r="ARX66" s="1"/>
      <c r="ARY66" s="1"/>
      <c r="ARZ66" s="1"/>
      <c r="ASA66" s="1"/>
      <c r="ASB66" s="1"/>
      <c r="ASC66" s="1"/>
      <c r="ASD66" s="1"/>
      <c r="ASE66" s="1"/>
      <c r="ASF66" s="1"/>
      <c r="ASG66" s="1"/>
      <c r="ASH66" s="1"/>
      <c r="ASI66" s="1"/>
      <c r="ASJ66" s="1"/>
      <c r="ASK66" s="1"/>
      <c r="ASL66" s="1"/>
      <c r="ASM66" s="1"/>
      <c r="ASN66" s="1"/>
      <c r="ASO66" s="1"/>
      <c r="ASP66" s="1"/>
      <c r="ASQ66" s="1"/>
      <c r="ASR66" s="1"/>
      <c r="ASS66" s="1"/>
      <c r="AST66" s="1"/>
      <c r="ASU66" s="1"/>
      <c r="ASV66" s="1"/>
      <c r="ASW66" s="1"/>
      <c r="ASX66" s="1"/>
      <c r="ASY66" s="1"/>
      <c r="ASZ66" s="1"/>
      <c r="ATA66" s="1"/>
      <c r="ATB66" s="1"/>
      <c r="ATC66" s="1"/>
      <c r="ATD66" s="1"/>
      <c r="ATE66" s="1"/>
      <c r="ATF66" s="1"/>
      <c r="ATG66" s="1"/>
      <c r="ATH66" s="1"/>
      <c r="ATI66" s="1"/>
      <c r="ATJ66" s="1"/>
      <c r="ATK66" s="1"/>
      <c r="ATL66" s="1"/>
      <c r="ATM66" s="1"/>
      <c r="ATN66" s="1"/>
      <c r="ATO66" s="1"/>
      <c r="ATP66" s="1"/>
      <c r="ATQ66" s="1"/>
      <c r="ATR66" s="1"/>
      <c r="ATS66" s="1"/>
      <c r="ATT66" s="1"/>
      <c r="ATU66" s="1"/>
      <c r="ATV66" s="1"/>
      <c r="ATW66" s="1"/>
      <c r="ATX66" s="1"/>
      <c r="ATY66" s="1"/>
      <c r="ATZ66" s="1"/>
      <c r="AUA66" s="1"/>
      <c r="AUB66" s="1"/>
      <c r="AUC66" s="1"/>
      <c r="AUD66" s="1"/>
      <c r="AUE66" s="1"/>
      <c r="AUF66" s="1"/>
      <c r="AUG66" s="1"/>
      <c r="AUH66" s="1"/>
      <c r="AUI66" s="1"/>
      <c r="AUJ66" s="1"/>
      <c r="AUK66" s="1"/>
      <c r="AUL66" s="1"/>
      <c r="AUM66" s="1"/>
      <c r="AUN66" s="1"/>
      <c r="AUO66" s="1"/>
      <c r="AUP66" s="1"/>
      <c r="AUQ66" s="1"/>
      <c r="AUR66" s="1"/>
      <c r="AUS66" s="1"/>
      <c r="AUT66" s="1"/>
      <c r="AUU66" s="1"/>
      <c r="AUV66" s="1"/>
      <c r="AUW66" s="1"/>
      <c r="AUX66" s="1"/>
      <c r="AUY66" s="1"/>
      <c r="AUZ66" s="1"/>
      <c r="AVA66" s="1"/>
      <c r="AVB66" s="1"/>
      <c r="AVC66" s="1"/>
      <c r="AVD66" s="1"/>
      <c r="AVE66" s="1"/>
      <c r="AVF66" s="1"/>
      <c r="AVG66" s="1"/>
      <c r="AVH66" s="1"/>
      <c r="AVI66" s="1"/>
      <c r="AVJ66" s="1"/>
      <c r="AVK66" s="1"/>
      <c r="AVL66" s="1"/>
      <c r="AVM66" s="1"/>
      <c r="AVN66" s="1"/>
      <c r="AVO66" s="1"/>
      <c r="AVP66" s="1"/>
      <c r="AVQ66" s="1"/>
      <c r="AVR66" s="1"/>
      <c r="AVS66" s="1"/>
      <c r="AVT66" s="1"/>
      <c r="AVU66" s="1"/>
      <c r="AVV66" s="1"/>
      <c r="AVW66" s="1"/>
      <c r="AVX66" s="1"/>
      <c r="AVY66" s="1"/>
      <c r="AVZ66" s="1"/>
      <c r="AWA66" s="1"/>
      <c r="AWB66" s="1"/>
      <c r="AWC66" s="1"/>
      <c r="AWD66" s="1"/>
      <c r="AWE66" s="1"/>
      <c r="AWF66" s="1"/>
      <c r="AWG66" s="1"/>
      <c r="AWH66" s="1"/>
      <c r="AWI66" s="1"/>
      <c r="AWJ66" s="1"/>
      <c r="AWK66" s="1"/>
      <c r="AWL66" s="1"/>
      <c r="AWM66" s="1"/>
      <c r="AWN66" s="1"/>
      <c r="AWO66" s="1"/>
      <c r="AWP66" s="1"/>
      <c r="AWQ66" s="1"/>
      <c r="AWR66" s="1"/>
      <c r="AWS66" s="1"/>
      <c r="AWT66" s="1"/>
      <c r="AWU66" s="1"/>
      <c r="AWV66" s="1"/>
      <c r="AWW66" s="1"/>
      <c r="AWX66" s="1"/>
      <c r="AWY66" s="1"/>
      <c r="AWZ66" s="1"/>
      <c r="AXA66" s="1"/>
      <c r="AXB66" s="1"/>
      <c r="AXC66" s="1"/>
      <c r="AXD66" s="1"/>
      <c r="AXE66" s="1"/>
      <c r="AXF66" s="1"/>
      <c r="AXG66" s="1"/>
      <c r="AXH66" s="1"/>
      <c r="AXI66" s="1"/>
      <c r="AXJ66" s="1"/>
      <c r="AXK66" s="1"/>
      <c r="AXL66" s="1"/>
      <c r="AXM66" s="1"/>
      <c r="AXN66" s="1"/>
      <c r="AXO66" s="1"/>
      <c r="AXP66" s="1"/>
      <c r="AXQ66" s="1"/>
      <c r="AXR66" s="1"/>
      <c r="AXS66" s="1"/>
      <c r="AXT66" s="1"/>
      <c r="AXU66" s="1"/>
      <c r="AXV66" s="1"/>
      <c r="AXW66" s="1"/>
      <c r="AXX66" s="1"/>
      <c r="AXY66" s="1"/>
      <c r="AXZ66" s="1"/>
      <c r="AYA66" s="1"/>
      <c r="AYB66" s="1"/>
      <c r="AYC66" s="1"/>
      <c r="AYD66" s="1"/>
      <c r="AYE66" s="1"/>
      <c r="AYF66" s="1"/>
      <c r="AYG66" s="1"/>
      <c r="AYH66" s="1"/>
      <c r="AYI66" s="1"/>
      <c r="AYJ66" s="1"/>
      <c r="AYK66" s="1"/>
      <c r="AYL66" s="1"/>
      <c r="AYM66" s="1"/>
      <c r="AYN66" s="1"/>
      <c r="AYO66" s="1"/>
      <c r="AYP66" s="1"/>
      <c r="AYQ66" s="1"/>
      <c r="AYR66" s="1"/>
      <c r="AYS66" s="1"/>
      <c r="AYT66" s="1"/>
      <c r="AYU66" s="1"/>
      <c r="AYV66" s="1"/>
      <c r="AYW66" s="1"/>
      <c r="AYX66" s="1"/>
      <c r="AYY66" s="1"/>
      <c r="AYZ66" s="1"/>
      <c r="AZA66" s="1"/>
      <c r="AZB66" s="1"/>
      <c r="AZC66" s="1"/>
      <c r="AZD66" s="1"/>
      <c r="AZE66" s="1"/>
      <c r="AZF66" s="1"/>
      <c r="AZG66" s="1"/>
      <c r="AZH66" s="1"/>
      <c r="AZI66" s="1"/>
      <c r="AZJ66" s="1"/>
      <c r="AZK66" s="1"/>
      <c r="AZL66" s="1"/>
      <c r="AZM66" s="1"/>
      <c r="AZN66" s="1"/>
      <c r="AZO66" s="1"/>
      <c r="AZP66" s="1"/>
      <c r="AZQ66" s="1"/>
      <c r="AZR66" s="1"/>
      <c r="AZS66" s="1"/>
      <c r="AZT66" s="1"/>
      <c r="AZU66" s="1"/>
      <c r="AZV66" s="1"/>
      <c r="AZW66" s="1"/>
      <c r="AZX66" s="1"/>
      <c r="AZY66" s="1"/>
      <c r="AZZ66" s="1"/>
      <c r="BAA66" s="1"/>
      <c r="BAB66" s="1"/>
      <c r="BAC66" s="1"/>
      <c r="BAD66" s="1"/>
      <c r="BAE66" s="1"/>
      <c r="BAF66" s="1"/>
      <c r="BAG66" s="1"/>
      <c r="BAH66" s="1"/>
      <c r="BAI66" s="1"/>
      <c r="BAJ66" s="1"/>
      <c r="BAK66" s="1"/>
      <c r="BAL66" s="1"/>
      <c r="BAM66" s="1"/>
      <c r="BAN66" s="1"/>
      <c r="BAO66" s="1"/>
      <c r="BAP66" s="1"/>
      <c r="BAQ66" s="1"/>
      <c r="BAR66" s="1"/>
      <c r="BAS66" s="1"/>
      <c r="BAT66" s="1"/>
      <c r="BAU66" s="1"/>
      <c r="BAV66" s="1"/>
      <c r="BAW66" s="1"/>
      <c r="BAX66" s="1"/>
      <c r="BAY66" s="1"/>
      <c r="BAZ66" s="1"/>
      <c r="BBA66" s="1"/>
      <c r="BBB66" s="1"/>
      <c r="BBC66" s="1"/>
      <c r="BBD66" s="1"/>
      <c r="BBE66" s="1"/>
      <c r="BBF66" s="1"/>
      <c r="BBG66" s="1"/>
      <c r="BBH66" s="1"/>
      <c r="BBI66" s="1"/>
      <c r="BBJ66" s="1"/>
      <c r="BBK66" s="1"/>
      <c r="BBL66" s="1"/>
      <c r="BBM66" s="1"/>
      <c r="BBN66" s="1"/>
      <c r="BBO66" s="1"/>
      <c r="BBP66" s="1"/>
      <c r="BBQ66" s="1"/>
      <c r="BBR66" s="1"/>
      <c r="BBS66" s="1"/>
      <c r="BBT66" s="1"/>
      <c r="BBU66" s="1"/>
      <c r="BBV66" s="1"/>
      <c r="BBW66" s="1"/>
      <c r="BBX66" s="1"/>
      <c r="BBY66" s="1"/>
      <c r="BBZ66" s="1"/>
      <c r="BCA66" s="1"/>
      <c r="BCB66" s="1"/>
      <c r="BCC66" s="1"/>
      <c r="BCD66" s="1"/>
      <c r="BCE66" s="1"/>
      <c r="BCF66" s="1"/>
      <c r="BCG66" s="1"/>
      <c r="BCH66" s="1"/>
      <c r="BCI66" s="1"/>
      <c r="BCJ66" s="1"/>
      <c r="BCK66" s="1"/>
      <c r="BCL66" s="1"/>
      <c r="BCM66" s="1"/>
      <c r="BCN66" s="1"/>
      <c r="BCO66" s="1"/>
      <c r="BCP66" s="1"/>
      <c r="BCQ66" s="1"/>
      <c r="BCR66" s="1"/>
      <c r="BCS66" s="1"/>
      <c r="BCT66" s="1"/>
      <c r="BCU66" s="1"/>
      <c r="BCV66" s="1"/>
      <c r="BCW66" s="1"/>
      <c r="BCX66" s="1"/>
      <c r="BCY66" s="1"/>
      <c r="BCZ66" s="1"/>
      <c r="BDA66" s="1"/>
      <c r="BDB66" s="1"/>
      <c r="BDC66" s="1"/>
      <c r="BDD66" s="1"/>
      <c r="BDE66" s="1"/>
      <c r="BDF66" s="1"/>
      <c r="BDG66" s="1"/>
      <c r="BDH66" s="1"/>
      <c r="BDI66" s="1"/>
      <c r="BDJ66" s="1"/>
      <c r="BDK66" s="1"/>
      <c r="BDL66" s="1"/>
      <c r="BDM66" s="1"/>
      <c r="BDN66" s="1"/>
      <c r="BDO66" s="1"/>
      <c r="BDP66" s="1"/>
      <c r="BDQ66" s="1"/>
      <c r="BDR66" s="1"/>
      <c r="BDS66" s="1"/>
      <c r="BDT66" s="1"/>
      <c r="BDU66" s="1"/>
      <c r="BDV66" s="1"/>
      <c r="BDW66" s="1"/>
      <c r="BDX66" s="1"/>
      <c r="BDY66" s="1"/>
      <c r="BDZ66" s="1"/>
      <c r="BEA66" s="1"/>
      <c r="BEB66" s="1"/>
      <c r="BEC66" s="1"/>
      <c r="BED66" s="1"/>
      <c r="BEE66" s="1"/>
      <c r="BEF66" s="1"/>
      <c r="BEG66" s="1"/>
      <c r="BEH66" s="1"/>
      <c r="BEI66" s="1"/>
      <c r="BEJ66" s="1"/>
      <c r="BEK66" s="1"/>
      <c r="BEL66" s="1"/>
      <c r="BEM66" s="1"/>
      <c r="BEN66" s="1"/>
      <c r="BEO66" s="1"/>
      <c r="BEP66" s="1"/>
      <c r="BEQ66" s="1"/>
      <c r="BER66" s="1"/>
      <c r="BES66" s="1"/>
      <c r="BET66" s="1"/>
      <c r="BEU66" s="1"/>
      <c r="BEV66" s="1"/>
      <c r="BEW66" s="1"/>
      <c r="BEX66" s="1"/>
      <c r="BEY66" s="1"/>
      <c r="BEZ66" s="1"/>
      <c r="BFA66" s="1"/>
      <c r="BFB66" s="1"/>
      <c r="BFC66" s="1"/>
      <c r="BFD66" s="1"/>
      <c r="BFE66" s="1"/>
      <c r="BFF66" s="1"/>
      <c r="BFG66" s="1"/>
      <c r="BFH66" s="1"/>
      <c r="BFI66" s="1"/>
      <c r="BFJ66" s="1"/>
      <c r="BFK66" s="1"/>
      <c r="BFL66" s="1"/>
      <c r="BFM66" s="1"/>
      <c r="BFN66" s="1"/>
      <c r="BFO66" s="1"/>
      <c r="BFP66" s="1"/>
      <c r="BFQ66" s="1"/>
      <c r="BFR66" s="1"/>
      <c r="BFS66" s="1"/>
      <c r="BFT66" s="1"/>
      <c r="BFU66" s="1"/>
      <c r="BFV66" s="1"/>
      <c r="BFW66" s="1"/>
      <c r="BFX66" s="1"/>
      <c r="BFY66" s="1"/>
      <c r="BFZ66" s="1"/>
      <c r="BGA66" s="1"/>
      <c r="BGB66" s="1"/>
      <c r="BGC66" s="1"/>
      <c r="BGD66" s="1"/>
      <c r="BGE66" s="1"/>
      <c r="BGF66" s="1"/>
      <c r="BGG66" s="1"/>
      <c r="BGH66" s="1"/>
      <c r="BGI66" s="1"/>
      <c r="BGJ66" s="1"/>
      <c r="BGK66" s="1"/>
      <c r="BGL66" s="1"/>
      <c r="BGM66" s="1"/>
      <c r="BGN66" s="1"/>
      <c r="BGO66" s="1"/>
      <c r="BGP66" s="1"/>
      <c r="BGQ66" s="1"/>
      <c r="BGR66" s="1"/>
      <c r="BGS66" s="1"/>
      <c r="BGT66" s="1"/>
      <c r="BGU66" s="1"/>
      <c r="BGV66" s="1"/>
      <c r="BGW66" s="1"/>
      <c r="BGX66" s="1"/>
      <c r="BGY66" s="1"/>
      <c r="BGZ66" s="1"/>
      <c r="BHA66" s="1"/>
      <c r="BHB66" s="1"/>
      <c r="BHC66" s="1"/>
      <c r="BHD66" s="1"/>
      <c r="BHE66" s="1"/>
      <c r="BHF66" s="1"/>
      <c r="BHG66" s="1"/>
      <c r="BHH66" s="1"/>
      <c r="BHI66" s="1"/>
      <c r="BHJ66" s="1"/>
      <c r="BHK66" s="1"/>
      <c r="BHL66" s="1"/>
      <c r="BHM66" s="1"/>
      <c r="BHN66" s="1"/>
      <c r="BHO66" s="1"/>
      <c r="BHP66" s="1"/>
      <c r="BHQ66" s="1"/>
      <c r="BHR66" s="1"/>
      <c r="BHS66" s="1"/>
      <c r="BHT66" s="1"/>
      <c r="BHU66" s="1"/>
      <c r="BHV66" s="1"/>
      <c r="BHW66" s="1"/>
      <c r="BHX66" s="1"/>
      <c r="BHY66" s="1"/>
      <c r="BHZ66" s="1"/>
      <c r="BIA66" s="1"/>
      <c r="BIB66" s="1"/>
      <c r="BIC66" s="1"/>
      <c r="BID66" s="1"/>
      <c r="BIE66" s="1"/>
      <c r="BIF66" s="1"/>
      <c r="BIG66" s="1"/>
      <c r="BIH66" s="1"/>
      <c r="BII66" s="1"/>
      <c r="BIJ66" s="1"/>
      <c r="BIK66" s="1"/>
      <c r="BIL66" s="1"/>
      <c r="BIM66" s="1"/>
      <c r="BIN66" s="1"/>
      <c r="BIO66" s="1"/>
      <c r="BIP66" s="1"/>
      <c r="BIQ66" s="1"/>
      <c r="BIR66" s="1"/>
      <c r="BIS66" s="1"/>
      <c r="BIT66" s="1"/>
      <c r="BIU66" s="1"/>
      <c r="BIV66" s="1"/>
      <c r="BIW66" s="1"/>
      <c r="BIX66" s="1"/>
      <c r="BIY66" s="1"/>
      <c r="BIZ66" s="1"/>
      <c r="BJA66" s="1"/>
      <c r="BJB66" s="1"/>
      <c r="BJC66" s="1"/>
      <c r="BJD66" s="1"/>
      <c r="BJE66" s="1"/>
      <c r="BJF66" s="1"/>
      <c r="BJG66" s="1"/>
      <c r="BJH66" s="1"/>
      <c r="BJI66" s="1"/>
      <c r="BJJ66" s="1"/>
      <c r="BJK66" s="1"/>
      <c r="BJL66" s="1"/>
      <c r="BJM66" s="1"/>
      <c r="BJN66" s="1"/>
      <c r="BJO66" s="1"/>
      <c r="BJP66" s="1"/>
      <c r="BJQ66" s="1"/>
      <c r="BJR66" s="1"/>
      <c r="BJS66" s="1"/>
      <c r="BJT66" s="1"/>
      <c r="BJU66" s="1"/>
      <c r="BJV66" s="1"/>
      <c r="BJW66" s="1"/>
      <c r="BJX66" s="1"/>
      <c r="BJY66" s="1"/>
      <c r="BJZ66" s="1"/>
      <c r="BKA66" s="1"/>
      <c r="BKB66" s="1"/>
      <c r="BKC66" s="1"/>
      <c r="BKD66" s="1"/>
      <c r="BKE66" s="1"/>
      <c r="BKF66" s="1"/>
      <c r="BKG66" s="1"/>
      <c r="BKH66" s="1"/>
      <c r="BKI66" s="1"/>
      <c r="BKJ66" s="1"/>
      <c r="BKK66" s="1"/>
      <c r="BKL66" s="1"/>
      <c r="BKM66" s="1"/>
      <c r="BKN66" s="1"/>
      <c r="BKO66" s="1"/>
      <c r="BKP66" s="1"/>
      <c r="BKQ66" s="1"/>
      <c r="BKR66" s="1"/>
      <c r="BKS66" s="1"/>
      <c r="BKT66" s="1"/>
      <c r="BKU66" s="1"/>
      <c r="BKV66" s="1"/>
      <c r="BKW66" s="1"/>
      <c r="BKX66" s="1"/>
      <c r="BKY66" s="1"/>
      <c r="BKZ66" s="1"/>
      <c r="BLA66" s="1"/>
      <c r="BLB66" s="1"/>
      <c r="BLC66" s="1"/>
      <c r="BLD66" s="1"/>
      <c r="BLE66" s="1"/>
      <c r="BLF66" s="1"/>
      <c r="BLG66" s="1"/>
      <c r="BLH66" s="1"/>
      <c r="BLI66" s="1"/>
      <c r="BLJ66" s="1"/>
      <c r="BLK66" s="1"/>
      <c r="BLL66" s="1"/>
      <c r="BLM66" s="1"/>
      <c r="BLN66" s="1"/>
      <c r="BLO66" s="1"/>
      <c r="BLP66" s="1"/>
      <c r="BLQ66" s="1"/>
      <c r="BLR66" s="1"/>
      <c r="BLS66" s="1"/>
      <c r="BLT66" s="1"/>
      <c r="BLU66" s="1"/>
      <c r="BLV66" s="1"/>
      <c r="BLW66" s="1"/>
      <c r="BLX66" s="1"/>
      <c r="BLY66" s="1"/>
      <c r="BLZ66" s="1"/>
      <c r="BMA66" s="1"/>
      <c r="BMB66" s="1"/>
      <c r="BMC66" s="1"/>
      <c r="BMD66" s="1"/>
      <c r="BME66" s="1"/>
      <c r="BMF66" s="1"/>
      <c r="BMG66" s="1"/>
      <c r="BMH66" s="1"/>
      <c r="BMI66" s="1"/>
      <c r="BMJ66" s="1"/>
      <c r="BMK66" s="1"/>
      <c r="BML66" s="1"/>
      <c r="BMM66" s="1"/>
      <c r="BMN66" s="1"/>
      <c r="BMO66" s="1"/>
      <c r="BMP66" s="1"/>
      <c r="BMQ66" s="1"/>
      <c r="BMR66" s="1"/>
      <c r="BMS66" s="1"/>
      <c r="BMT66" s="1"/>
      <c r="BMU66" s="1"/>
      <c r="BMV66" s="1"/>
      <c r="BMW66" s="1"/>
      <c r="BMX66" s="1"/>
      <c r="BMY66" s="1"/>
      <c r="BMZ66" s="1"/>
      <c r="BNA66" s="1"/>
      <c r="BNB66" s="1"/>
      <c r="BNC66" s="1"/>
      <c r="BND66" s="1"/>
      <c r="BNE66" s="1"/>
      <c r="BNF66" s="1"/>
      <c r="BNG66" s="1"/>
      <c r="BNH66" s="1"/>
      <c r="BNI66" s="1"/>
      <c r="BNJ66" s="1"/>
      <c r="BNK66" s="1"/>
      <c r="BNL66" s="1"/>
      <c r="BNM66" s="1"/>
      <c r="BNN66" s="1"/>
      <c r="BNO66" s="1"/>
      <c r="BNP66" s="1"/>
      <c r="BNQ66" s="1"/>
      <c r="BNR66" s="1"/>
      <c r="BNS66" s="1"/>
      <c r="BNT66" s="1"/>
      <c r="BNU66" s="1"/>
      <c r="BNV66" s="1"/>
      <c r="BNW66" s="1"/>
      <c r="BNX66" s="1"/>
      <c r="BNY66" s="1"/>
      <c r="BNZ66" s="1"/>
      <c r="BOA66" s="1"/>
      <c r="BOB66" s="1"/>
      <c r="BOC66" s="1"/>
      <c r="BOD66" s="1"/>
      <c r="BOE66" s="1"/>
      <c r="BOF66" s="1"/>
      <c r="BOG66" s="1"/>
      <c r="BOH66" s="1"/>
      <c r="BOI66" s="1"/>
      <c r="BOJ66" s="1"/>
      <c r="BOK66" s="1"/>
      <c r="BOL66" s="1"/>
      <c r="BOM66" s="1"/>
      <c r="BON66" s="1"/>
      <c r="BOO66" s="1"/>
      <c r="BOP66" s="1"/>
      <c r="BOQ66" s="1"/>
      <c r="BOR66" s="1"/>
      <c r="BOS66" s="1"/>
      <c r="BOT66" s="1"/>
      <c r="BOU66" s="1"/>
      <c r="BOV66" s="1"/>
      <c r="BOW66" s="1"/>
      <c r="BOX66" s="1"/>
      <c r="BOY66" s="1"/>
      <c r="BOZ66" s="1"/>
      <c r="BPA66" s="1"/>
      <c r="BPB66" s="1"/>
      <c r="BPC66" s="1"/>
      <c r="BPD66" s="1"/>
      <c r="BPE66" s="1"/>
      <c r="BPF66" s="1"/>
      <c r="BPG66" s="1"/>
      <c r="BPH66" s="1"/>
      <c r="BPI66" s="1"/>
      <c r="BPJ66" s="1"/>
      <c r="BPK66" s="1"/>
      <c r="BPL66" s="1"/>
      <c r="BPM66" s="1"/>
      <c r="BPN66" s="1"/>
      <c r="BPO66" s="1"/>
      <c r="BPP66" s="1"/>
      <c r="BPQ66" s="1"/>
      <c r="BPR66" s="1"/>
      <c r="BPS66" s="1"/>
      <c r="BPT66" s="1"/>
      <c r="BPU66" s="1"/>
      <c r="BPV66" s="1"/>
      <c r="BPW66" s="1"/>
      <c r="BPX66" s="1"/>
      <c r="BPY66" s="1"/>
      <c r="BPZ66" s="1"/>
      <c r="BQA66" s="1"/>
      <c r="BQB66" s="1"/>
      <c r="BQC66" s="1"/>
      <c r="BQD66" s="1"/>
      <c r="BQE66" s="1"/>
      <c r="BQF66" s="1"/>
      <c r="BQG66" s="1"/>
      <c r="BQH66" s="1"/>
      <c r="BQI66" s="1"/>
      <c r="BQJ66" s="1"/>
      <c r="BQK66" s="1"/>
      <c r="BQL66" s="1"/>
      <c r="BQM66" s="1"/>
      <c r="BQN66" s="1"/>
      <c r="BQO66" s="1"/>
      <c r="BQP66" s="1"/>
      <c r="BQQ66" s="1"/>
      <c r="BQR66" s="1"/>
      <c r="BQS66" s="1"/>
      <c r="BQT66" s="1"/>
      <c r="BQU66" s="1"/>
      <c r="BQV66" s="1"/>
      <c r="BQW66" s="1"/>
      <c r="BQX66" s="1"/>
      <c r="BQY66" s="1"/>
      <c r="BQZ66" s="1"/>
      <c r="BRA66" s="1"/>
      <c r="BRB66" s="1"/>
      <c r="BRC66" s="1"/>
      <c r="BRD66" s="1"/>
      <c r="BRE66" s="1"/>
      <c r="BRF66" s="1"/>
      <c r="BRG66" s="1"/>
      <c r="BRH66" s="1"/>
      <c r="BRI66" s="1"/>
      <c r="BRJ66" s="1"/>
      <c r="BRK66" s="1"/>
      <c r="BRL66" s="1"/>
      <c r="BRM66" s="1"/>
      <c r="BRN66" s="1"/>
      <c r="BRO66" s="1"/>
      <c r="BRP66" s="1"/>
      <c r="BRQ66" s="1"/>
      <c r="BRR66" s="1"/>
      <c r="BRS66" s="1"/>
      <c r="BRT66" s="1"/>
      <c r="BRU66" s="1"/>
      <c r="BRV66" s="1"/>
      <c r="BRW66" s="1"/>
      <c r="BRX66" s="1"/>
      <c r="BRY66" s="1"/>
      <c r="BRZ66" s="1"/>
      <c r="BSA66" s="1"/>
      <c r="BSB66" s="1"/>
      <c r="BSC66" s="1"/>
      <c r="BSD66" s="1"/>
      <c r="BSE66" s="1"/>
      <c r="BSF66" s="1"/>
      <c r="BSG66" s="1"/>
      <c r="BSH66" s="1"/>
      <c r="BSI66" s="1"/>
      <c r="BSJ66" s="1"/>
      <c r="BSK66" s="1"/>
      <c r="BSL66" s="1"/>
      <c r="BSM66" s="1"/>
      <c r="BSN66" s="1"/>
      <c r="BSO66" s="1"/>
      <c r="BSP66" s="1"/>
      <c r="BSQ66" s="1"/>
      <c r="BSR66" s="1"/>
      <c r="BSS66" s="1"/>
      <c r="BST66" s="1"/>
      <c r="BSU66" s="1"/>
      <c r="BSV66" s="1"/>
      <c r="BSW66" s="1"/>
      <c r="BSX66" s="1"/>
      <c r="BSY66" s="1"/>
      <c r="BSZ66" s="1"/>
      <c r="BTA66" s="1"/>
      <c r="BTB66" s="1"/>
      <c r="BTC66" s="1"/>
      <c r="BTD66" s="1"/>
      <c r="BTE66" s="1"/>
      <c r="BTF66" s="1"/>
      <c r="BTG66" s="1"/>
      <c r="BTH66" s="1"/>
      <c r="BTI66" s="1"/>
      <c r="BTJ66" s="1"/>
      <c r="BTK66" s="1"/>
      <c r="BTL66" s="1"/>
      <c r="BTM66" s="1"/>
      <c r="BTN66" s="1"/>
      <c r="BTO66" s="1"/>
      <c r="BTP66" s="1"/>
      <c r="BTQ66" s="1"/>
      <c r="BTR66" s="1"/>
      <c r="BTS66" s="1"/>
      <c r="BTT66" s="1"/>
      <c r="BTU66" s="1"/>
      <c r="BTV66" s="1"/>
      <c r="BTW66" s="1"/>
      <c r="BTX66" s="1"/>
      <c r="BTY66" s="1"/>
      <c r="BTZ66" s="1"/>
      <c r="BUA66" s="1"/>
      <c r="BUB66" s="1"/>
      <c r="BUC66" s="1"/>
      <c r="BUD66" s="1"/>
      <c r="BUE66" s="1"/>
      <c r="BUF66" s="1"/>
      <c r="BUG66" s="1"/>
      <c r="BUH66" s="1"/>
      <c r="BUI66" s="1"/>
      <c r="BUJ66" s="1"/>
      <c r="BUK66" s="1"/>
      <c r="BUL66" s="1"/>
      <c r="BUM66" s="1"/>
      <c r="BUN66" s="1"/>
      <c r="BUO66" s="1"/>
      <c r="BUP66" s="1"/>
      <c r="BUQ66" s="1"/>
      <c r="BUR66" s="1"/>
      <c r="BUS66" s="1"/>
      <c r="BUT66" s="1"/>
      <c r="BUU66" s="1"/>
      <c r="BUV66" s="1"/>
      <c r="BUW66" s="1"/>
      <c r="BUX66" s="1"/>
      <c r="BUY66" s="1"/>
      <c r="BUZ66" s="1"/>
      <c r="BVA66" s="1"/>
      <c r="BVB66" s="1"/>
      <c r="BVC66" s="1"/>
      <c r="BVD66" s="1"/>
      <c r="BVE66" s="1"/>
      <c r="BVF66" s="1"/>
      <c r="BVG66" s="1"/>
      <c r="BVH66" s="1"/>
      <c r="BVI66" s="1"/>
      <c r="BVJ66" s="1"/>
      <c r="BVK66" s="1"/>
      <c r="BVL66" s="1"/>
      <c r="BVM66" s="1"/>
      <c r="BVN66" s="1"/>
      <c r="BVO66" s="1"/>
      <c r="BVP66" s="1"/>
      <c r="BVQ66" s="1"/>
      <c r="BVR66" s="1"/>
      <c r="BVS66" s="1"/>
      <c r="BVT66" s="1"/>
      <c r="BVU66" s="1"/>
      <c r="BVV66" s="1"/>
      <c r="BVW66" s="1"/>
      <c r="BVX66" s="1"/>
      <c r="BVY66" s="1"/>
      <c r="BVZ66" s="1"/>
      <c r="BWA66" s="1"/>
      <c r="BWB66" s="1"/>
      <c r="BWC66" s="1"/>
      <c r="BWD66" s="1"/>
      <c r="BWE66" s="1"/>
      <c r="BWF66" s="1"/>
      <c r="BWG66" s="1"/>
      <c r="BWH66" s="1"/>
      <c r="BWI66" s="1"/>
      <c r="BWJ66" s="1"/>
      <c r="BWK66" s="1"/>
      <c r="BWL66" s="1"/>
      <c r="BWM66" s="1"/>
      <c r="BWN66" s="1"/>
      <c r="BWO66" s="1"/>
      <c r="BWP66" s="1"/>
      <c r="BWQ66" s="1"/>
      <c r="BWR66" s="1"/>
      <c r="BWS66" s="1"/>
      <c r="BWT66" s="1"/>
      <c r="BWU66" s="1"/>
      <c r="BWV66" s="1"/>
      <c r="BWW66" s="1"/>
      <c r="BWX66" s="1"/>
      <c r="BWY66" s="1"/>
      <c r="BWZ66" s="1"/>
      <c r="BXA66" s="1"/>
      <c r="BXB66" s="1"/>
      <c r="BXC66" s="1"/>
      <c r="BXD66" s="1"/>
      <c r="BXE66" s="1"/>
      <c r="BXF66" s="1"/>
      <c r="BXG66" s="1"/>
      <c r="BXH66" s="1"/>
      <c r="BXI66" s="1"/>
      <c r="BXJ66" s="1"/>
      <c r="BXK66" s="1"/>
      <c r="BXL66" s="1"/>
      <c r="BXM66" s="1"/>
      <c r="BXN66" s="1"/>
      <c r="BXO66" s="1"/>
      <c r="BXP66" s="1"/>
      <c r="BXQ66" s="1"/>
      <c r="BXR66" s="1"/>
      <c r="BXS66" s="1"/>
      <c r="BXT66" s="1"/>
      <c r="BXU66" s="1"/>
      <c r="BXV66" s="1"/>
      <c r="BXW66" s="1"/>
      <c r="BXX66" s="1"/>
      <c r="BXY66" s="1"/>
      <c r="BXZ66" s="1"/>
      <c r="BYA66" s="1"/>
      <c r="BYB66" s="1"/>
      <c r="BYC66" s="1"/>
      <c r="BYD66" s="1"/>
      <c r="BYE66" s="1"/>
      <c r="BYF66" s="1"/>
      <c r="BYG66" s="1"/>
      <c r="BYH66" s="1"/>
      <c r="BYI66" s="1"/>
      <c r="BYJ66" s="1"/>
      <c r="BYK66" s="1"/>
      <c r="BYL66" s="1"/>
      <c r="BYM66" s="1"/>
      <c r="BYN66" s="1"/>
      <c r="BYO66" s="1"/>
      <c r="BYP66" s="1"/>
      <c r="BYQ66" s="1"/>
      <c r="BYR66" s="1"/>
      <c r="BYS66" s="1"/>
      <c r="BYT66" s="1"/>
      <c r="BYU66" s="1"/>
      <c r="BYV66" s="1"/>
      <c r="BYW66" s="1"/>
      <c r="BYX66" s="1"/>
      <c r="BYY66" s="1"/>
      <c r="BYZ66" s="1"/>
      <c r="BZA66" s="1"/>
      <c r="BZB66" s="1"/>
      <c r="BZC66" s="1"/>
      <c r="BZD66" s="1"/>
      <c r="BZE66" s="1"/>
      <c r="BZF66" s="1"/>
      <c r="BZG66" s="1"/>
      <c r="BZH66" s="1"/>
      <c r="BZI66" s="1"/>
      <c r="BZJ66" s="1"/>
      <c r="BZK66" s="1"/>
      <c r="BZL66" s="1"/>
      <c r="BZM66" s="1"/>
      <c r="BZN66" s="1"/>
      <c r="BZO66" s="1"/>
      <c r="BZP66" s="1"/>
      <c r="BZQ66" s="1"/>
      <c r="BZR66" s="1"/>
      <c r="BZS66" s="1"/>
      <c r="BZT66" s="1"/>
      <c r="BZU66" s="1"/>
      <c r="BZV66" s="1"/>
      <c r="BZW66" s="1"/>
      <c r="BZX66" s="1"/>
      <c r="BZY66" s="1"/>
      <c r="BZZ66" s="1"/>
      <c r="CAA66" s="1"/>
      <c r="CAB66" s="1"/>
      <c r="CAC66" s="1"/>
      <c r="CAD66" s="1"/>
      <c r="CAE66" s="1"/>
      <c r="CAF66" s="1"/>
      <c r="CAG66" s="1"/>
      <c r="CAH66" s="1"/>
      <c r="CAI66" s="1"/>
      <c r="CAJ66" s="1"/>
      <c r="CAK66" s="1"/>
      <c r="CAL66" s="1"/>
      <c r="CAM66" s="1"/>
      <c r="CAN66" s="1"/>
      <c r="CAO66" s="1"/>
      <c r="CAP66" s="1"/>
      <c r="CAQ66" s="1"/>
      <c r="CAR66" s="1"/>
      <c r="CAS66" s="1"/>
      <c r="CAT66" s="1"/>
      <c r="CAU66" s="1"/>
      <c r="CAV66" s="1"/>
      <c r="CAW66" s="1"/>
      <c r="CAX66" s="1"/>
      <c r="CAY66" s="1"/>
      <c r="CAZ66" s="1"/>
      <c r="CBA66" s="1"/>
      <c r="CBB66" s="1"/>
      <c r="CBC66" s="1"/>
      <c r="CBD66" s="1"/>
      <c r="CBE66" s="1"/>
      <c r="CBF66" s="1"/>
      <c r="CBG66" s="1"/>
      <c r="CBH66" s="1"/>
      <c r="CBI66" s="1"/>
      <c r="CBJ66" s="1"/>
      <c r="CBK66" s="1"/>
      <c r="CBL66" s="1"/>
      <c r="CBM66" s="1"/>
      <c r="CBN66" s="1"/>
      <c r="CBO66" s="1"/>
      <c r="CBP66" s="1"/>
      <c r="CBQ66" s="1"/>
      <c r="CBR66" s="1"/>
      <c r="CBS66" s="1"/>
      <c r="CBT66" s="1"/>
      <c r="CBU66" s="1"/>
      <c r="CBV66" s="1"/>
      <c r="CBW66" s="1"/>
      <c r="CBX66" s="1"/>
      <c r="CBY66" s="1"/>
      <c r="CBZ66" s="1"/>
      <c r="CCA66" s="1"/>
      <c r="CCB66" s="1"/>
      <c r="CCC66" s="1"/>
      <c r="CCD66" s="1"/>
      <c r="CCE66" s="1"/>
      <c r="CCF66" s="1"/>
      <c r="CCG66" s="1"/>
      <c r="CCH66" s="1"/>
      <c r="CCI66" s="1"/>
      <c r="CCJ66" s="1"/>
      <c r="CCK66" s="1"/>
      <c r="CCL66" s="1"/>
      <c r="CCM66" s="1"/>
      <c r="CCN66" s="1"/>
      <c r="CCO66" s="1"/>
      <c r="CCP66" s="1"/>
      <c r="CCQ66" s="1"/>
      <c r="CCR66" s="1"/>
      <c r="CCS66" s="1"/>
      <c r="CCT66" s="1"/>
      <c r="CCU66" s="1"/>
      <c r="CCV66" s="1"/>
      <c r="CCW66" s="1"/>
      <c r="CCX66" s="1"/>
      <c r="CCY66" s="1"/>
      <c r="CCZ66" s="1"/>
      <c r="CDA66" s="1"/>
      <c r="CDB66" s="1"/>
      <c r="CDC66" s="1"/>
      <c r="CDD66" s="1"/>
      <c r="CDE66" s="1"/>
      <c r="CDF66" s="1"/>
      <c r="CDG66" s="1"/>
      <c r="CDH66" s="1"/>
      <c r="CDI66" s="1"/>
      <c r="CDJ66" s="1"/>
      <c r="CDK66" s="1"/>
      <c r="CDL66" s="1"/>
      <c r="CDM66" s="1"/>
      <c r="CDN66" s="1"/>
      <c r="CDO66" s="1"/>
      <c r="CDP66" s="1"/>
      <c r="CDQ66" s="1"/>
      <c r="CDR66" s="1"/>
      <c r="CDS66" s="1"/>
      <c r="CDT66" s="1"/>
      <c r="CDU66" s="1"/>
      <c r="CDV66" s="1"/>
      <c r="CDW66" s="1"/>
      <c r="CDX66" s="1"/>
      <c r="CDY66" s="1"/>
      <c r="CDZ66" s="1"/>
      <c r="CEA66" s="1"/>
      <c r="CEB66" s="1"/>
      <c r="CEC66" s="1"/>
      <c r="CED66" s="1"/>
      <c r="CEE66" s="1"/>
      <c r="CEF66" s="1"/>
      <c r="CEG66" s="1"/>
      <c r="CEH66" s="1"/>
      <c r="CEI66" s="1"/>
      <c r="CEJ66" s="1"/>
      <c r="CEK66" s="1"/>
      <c r="CEL66" s="1"/>
      <c r="CEM66" s="1"/>
      <c r="CEN66" s="1"/>
      <c r="CEO66" s="1"/>
      <c r="CEP66" s="1"/>
      <c r="CEQ66" s="1"/>
      <c r="CER66" s="1"/>
      <c r="CES66" s="1"/>
      <c r="CET66" s="1"/>
      <c r="CEU66" s="1"/>
      <c r="CEV66" s="1"/>
      <c r="CEW66" s="1"/>
      <c r="CEX66" s="1"/>
      <c r="CEY66" s="1"/>
      <c r="CEZ66" s="1"/>
      <c r="CFA66" s="1"/>
      <c r="CFB66" s="1"/>
      <c r="CFC66" s="1"/>
      <c r="CFD66" s="1"/>
      <c r="CFE66" s="1"/>
      <c r="CFF66" s="1"/>
      <c r="CFG66" s="1"/>
      <c r="CFH66" s="1"/>
      <c r="CFI66" s="1"/>
      <c r="CFJ66" s="1"/>
      <c r="CFK66" s="1"/>
      <c r="CFL66" s="1"/>
      <c r="CFM66" s="1"/>
      <c r="CFN66" s="1"/>
      <c r="CFO66" s="1"/>
      <c r="CFP66" s="1"/>
      <c r="CFQ66" s="1"/>
      <c r="CFR66" s="1"/>
      <c r="CFS66" s="1"/>
      <c r="CFT66" s="1"/>
      <c r="CFU66" s="1"/>
      <c r="CFV66" s="1"/>
      <c r="CFW66" s="1"/>
      <c r="CFX66" s="1"/>
      <c r="CFY66" s="1"/>
      <c r="CFZ66" s="1"/>
      <c r="CGA66" s="1"/>
      <c r="CGB66" s="1"/>
      <c r="CGC66" s="1"/>
      <c r="CGD66" s="1"/>
      <c r="CGE66" s="1"/>
      <c r="CGF66" s="1"/>
      <c r="CGG66" s="1"/>
      <c r="CGH66" s="1"/>
      <c r="CGI66" s="1"/>
      <c r="CGJ66" s="1"/>
      <c r="CGK66" s="1"/>
      <c r="CGL66" s="1"/>
      <c r="CGM66" s="1"/>
      <c r="CGN66" s="1"/>
      <c r="CGO66" s="1"/>
      <c r="CGP66" s="1"/>
      <c r="CGQ66" s="1"/>
      <c r="CGR66" s="1"/>
      <c r="CGS66" s="1"/>
      <c r="CGT66" s="1"/>
      <c r="CGU66" s="1"/>
      <c r="CGV66" s="1"/>
      <c r="CGW66" s="1"/>
      <c r="CGX66" s="1"/>
      <c r="CGY66" s="1"/>
      <c r="CGZ66" s="1"/>
      <c r="CHA66" s="1"/>
      <c r="CHB66" s="1"/>
      <c r="CHC66" s="1"/>
      <c r="CHD66" s="1"/>
      <c r="CHE66" s="1"/>
      <c r="CHF66" s="1"/>
      <c r="CHG66" s="1"/>
      <c r="CHH66" s="1"/>
      <c r="CHI66" s="1"/>
      <c r="CHJ66" s="1"/>
      <c r="CHK66" s="1"/>
      <c r="CHL66" s="1"/>
      <c r="CHM66" s="1"/>
      <c r="CHN66" s="1"/>
      <c r="CHO66" s="1"/>
      <c r="CHP66" s="1"/>
      <c r="CHQ66" s="1"/>
      <c r="CHR66" s="1"/>
      <c r="CHS66" s="1"/>
      <c r="CHT66" s="1"/>
      <c r="CHU66" s="1"/>
      <c r="CHV66" s="1"/>
      <c r="CHW66" s="1"/>
      <c r="CHX66" s="1"/>
      <c r="CHY66" s="1"/>
      <c r="CHZ66" s="1"/>
      <c r="CIA66" s="1"/>
      <c r="CIB66" s="1"/>
      <c r="CIC66" s="1"/>
      <c r="CID66" s="1"/>
      <c r="CIE66" s="1"/>
      <c r="CIF66" s="1"/>
      <c r="CIG66" s="1"/>
      <c r="CIH66" s="1"/>
      <c r="CII66" s="1"/>
      <c r="CIJ66" s="1"/>
      <c r="CIK66" s="1"/>
      <c r="CIL66" s="1"/>
      <c r="CIM66" s="1"/>
      <c r="CIN66" s="1"/>
      <c r="CIO66" s="1"/>
      <c r="CIP66" s="1"/>
      <c r="CIQ66" s="1"/>
      <c r="CIR66" s="1"/>
      <c r="CIS66" s="1"/>
      <c r="CIT66" s="1"/>
      <c r="CIU66" s="1"/>
      <c r="CIV66" s="1"/>
      <c r="CIW66" s="1"/>
      <c r="CIX66" s="1"/>
      <c r="CIY66" s="1"/>
      <c r="CIZ66" s="1"/>
      <c r="CJA66" s="1"/>
      <c r="CJB66" s="1"/>
      <c r="CJC66" s="1"/>
      <c r="CJD66" s="1"/>
      <c r="CJE66" s="1"/>
      <c r="CJF66" s="1"/>
      <c r="CJG66" s="1"/>
      <c r="CJH66" s="1"/>
      <c r="CJI66" s="1"/>
      <c r="CJJ66" s="1"/>
      <c r="CJK66" s="1"/>
      <c r="CJL66" s="1"/>
      <c r="CJM66" s="1"/>
      <c r="CJN66" s="1"/>
      <c r="CJO66" s="1"/>
      <c r="CJP66" s="1"/>
      <c r="CJQ66" s="1"/>
      <c r="CJR66" s="1"/>
      <c r="CJS66" s="1"/>
      <c r="CJT66" s="1"/>
      <c r="CJU66" s="1"/>
      <c r="CJV66" s="1"/>
      <c r="CJW66" s="1"/>
      <c r="CJX66" s="1"/>
      <c r="CJY66" s="1"/>
      <c r="CJZ66" s="1"/>
      <c r="CKA66" s="1"/>
      <c r="CKB66" s="1"/>
      <c r="CKC66" s="1"/>
      <c r="CKD66" s="1"/>
      <c r="CKE66" s="1"/>
      <c r="CKF66" s="1"/>
      <c r="CKG66" s="1"/>
      <c r="CKH66" s="1"/>
      <c r="CKI66" s="1"/>
      <c r="CKJ66" s="1"/>
      <c r="CKK66" s="1"/>
      <c r="CKL66" s="1"/>
      <c r="CKM66" s="1"/>
      <c r="CKN66" s="1"/>
      <c r="CKO66" s="1"/>
      <c r="CKP66" s="1"/>
      <c r="CKQ66" s="1"/>
      <c r="CKR66" s="1"/>
      <c r="CKS66" s="1"/>
      <c r="CKT66" s="1"/>
      <c r="CKU66" s="1"/>
      <c r="CKV66" s="1"/>
      <c r="CKW66" s="1"/>
      <c r="CKX66" s="1"/>
      <c r="CKY66" s="1"/>
      <c r="CKZ66" s="1"/>
      <c r="CLA66" s="1"/>
      <c r="CLB66" s="1"/>
      <c r="CLC66" s="1"/>
      <c r="CLD66" s="1"/>
      <c r="CLE66" s="1"/>
      <c r="CLF66" s="1"/>
      <c r="CLG66" s="1"/>
      <c r="CLH66" s="1"/>
      <c r="CLI66" s="1"/>
      <c r="CLJ66" s="1"/>
      <c r="CLK66" s="1"/>
      <c r="CLL66" s="1"/>
      <c r="CLM66" s="1"/>
      <c r="CLN66" s="1"/>
      <c r="CLO66" s="1"/>
      <c r="CLP66" s="1"/>
      <c r="CLQ66" s="1"/>
      <c r="CLR66" s="1"/>
      <c r="CLS66" s="1"/>
      <c r="CLT66" s="1"/>
      <c r="CLU66" s="1"/>
      <c r="CLV66" s="1"/>
      <c r="CLW66" s="1"/>
      <c r="CLX66" s="1"/>
      <c r="CLY66" s="1"/>
      <c r="CLZ66" s="1"/>
      <c r="CMA66" s="1"/>
      <c r="CMB66" s="1"/>
      <c r="CMC66" s="1"/>
      <c r="CMD66" s="1"/>
      <c r="CME66" s="1"/>
      <c r="CMF66" s="1"/>
      <c r="CMG66" s="1"/>
      <c r="CMH66" s="1"/>
      <c r="CMI66" s="1"/>
      <c r="CMJ66" s="1"/>
      <c r="CMK66" s="1"/>
      <c r="CML66" s="1"/>
      <c r="CMM66" s="1"/>
      <c r="CMN66" s="1"/>
      <c r="CMO66" s="1"/>
      <c r="CMP66" s="1"/>
      <c r="CMQ66" s="1"/>
      <c r="CMR66" s="1"/>
      <c r="CMS66" s="1"/>
      <c r="CMT66" s="1"/>
      <c r="CMU66" s="1"/>
      <c r="CMV66" s="1"/>
      <c r="CMW66" s="1"/>
      <c r="CMX66" s="1"/>
      <c r="CMY66" s="1"/>
      <c r="CMZ66" s="1"/>
      <c r="CNA66" s="1"/>
      <c r="CNB66" s="1"/>
      <c r="CNC66" s="1"/>
      <c r="CND66" s="1"/>
      <c r="CNE66" s="1"/>
      <c r="CNF66" s="1"/>
      <c r="CNG66" s="1"/>
      <c r="CNH66" s="1"/>
      <c r="CNI66" s="1"/>
      <c r="CNJ66" s="1"/>
      <c r="CNK66" s="1"/>
      <c r="CNL66" s="1"/>
      <c r="CNM66" s="1"/>
      <c r="CNN66" s="1"/>
      <c r="CNO66" s="1"/>
      <c r="CNP66" s="1"/>
      <c r="CNQ66" s="1"/>
      <c r="CNR66" s="1"/>
      <c r="CNS66" s="1"/>
      <c r="CNT66" s="1"/>
      <c r="CNU66" s="1"/>
      <c r="CNV66" s="1"/>
      <c r="CNW66" s="1"/>
      <c r="CNX66" s="1"/>
      <c r="CNY66" s="1"/>
      <c r="CNZ66" s="1"/>
      <c r="COA66" s="1"/>
      <c r="COB66" s="1"/>
      <c r="COC66" s="1"/>
      <c r="COD66" s="1"/>
      <c r="COE66" s="1"/>
      <c r="COF66" s="1"/>
      <c r="COG66" s="1"/>
      <c r="COH66" s="1"/>
      <c r="COI66" s="1"/>
      <c r="COJ66" s="1"/>
      <c r="COK66" s="1"/>
      <c r="COL66" s="1"/>
      <c r="COM66" s="1"/>
      <c r="CON66" s="1"/>
      <c r="COO66" s="1"/>
      <c r="COP66" s="1"/>
      <c r="COQ66" s="1"/>
      <c r="COR66" s="1"/>
      <c r="COS66" s="1"/>
      <c r="COT66" s="1"/>
      <c r="COU66" s="1"/>
      <c r="COV66" s="1"/>
      <c r="COW66" s="1"/>
      <c r="COX66" s="1"/>
      <c r="COY66" s="1"/>
      <c r="COZ66" s="1"/>
      <c r="CPA66" s="1"/>
      <c r="CPB66" s="1"/>
      <c r="CPC66" s="1"/>
      <c r="CPD66" s="1"/>
      <c r="CPE66" s="1"/>
      <c r="CPF66" s="1"/>
      <c r="CPG66" s="1"/>
      <c r="CPH66" s="1"/>
      <c r="CPI66" s="1"/>
      <c r="CPJ66" s="1"/>
      <c r="CPK66" s="1"/>
      <c r="CPL66" s="1"/>
      <c r="CPM66" s="1"/>
      <c r="CPN66" s="1"/>
      <c r="CPO66" s="1"/>
      <c r="CPP66" s="1"/>
      <c r="CPQ66" s="1"/>
      <c r="CPR66" s="1"/>
      <c r="CPS66" s="1"/>
      <c r="CPT66" s="1"/>
      <c r="CPU66" s="1"/>
      <c r="CPV66" s="1"/>
      <c r="CPW66" s="1"/>
      <c r="CPX66" s="1"/>
      <c r="CPY66" s="1"/>
      <c r="CPZ66" s="1"/>
      <c r="CQA66" s="1"/>
      <c r="CQB66" s="1"/>
      <c r="CQC66" s="1"/>
      <c r="CQD66" s="1"/>
      <c r="CQE66" s="1"/>
      <c r="CQF66" s="1"/>
      <c r="CQG66" s="1"/>
      <c r="CQH66" s="1"/>
      <c r="CQI66" s="1"/>
      <c r="CQJ66" s="1"/>
      <c r="CQK66" s="1"/>
      <c r="CQL66" s="1"/>
      <c r="CQM66" s="1"/>
      <c r="CQN66" s="1"/>
      <c r="CQO66" s="1"/>
      <c r="CQP66" s="1"/>
      <c r="CQQ66" s="1"/>
      <c r="CQR66" s="1"/>
      <c r="CQS66" s="1"/>
      <c r="CQT66" s="1"/>
      <c r="CQU66" s="1"/>
      <c r="CQV66" s="1"/>
      <c r="CQW66" s="1"/>
      <c r="CQX66" s="1"/>
      <c r="CQY66" s="1"/>
      <c r="CQZ66" s="1"/>
      <c r="CRA66" s="1"/>
      <c r="CRB66" s="1"/>
      <c r="CRC66" s="1"/>
      <c r="CRD66" s="1"/>
      <c r="CRE66" s="1"/>
      <c r="CRF66" s="1"/>
      <c r="CRG66" s="1"/>
      <c r="CRH66" s="1"/>
      <c r="CRI66" s="1"/>
      <c r="CRJ66" s="1"/>
      <c r="CRK66" s="1"/>
      <c r="CRL66" s="1"/>
      <c r="CRM66" s="1"/>
      <c r="CRN66" s="1"/>
      <c r="CRO66" s="1"/>
      <c r="CRP66" s="1"/>
      <c r="CRQ66" s="1"/>
      <c r="CRR66" s="1"/>
      <c r="CRS66" s="1"/>
      <c r="CRT66" s="1"/>
      <c r="CRU66" s="1"/>
      <c r="CRV66" s="1"/>
      <c r="CRW66" s="1"/>
      <c r="CRX66" s="1"/>
      <c r="CRY66" s="1"/>
      <c r="CRZ66" s="1"/>
      <c r="CSA66" s="1"/>
      <c r="CSB66" s="1"/>
      <c r="CSC66" s="1"/>
      <c r="CSD66" s="1"/>
      <c r="CSE66" s="1"/>
      <c r="CSF66" s="1"/>
      <c r="CSG66" s="1"/>
      <c r="CSH66" s="1"/>
      <c r="CSI66" s="1"/>
      <c r="CSJ66" s="1"/>
      <c r="CSK66" s="1"/>
      <c r="CSL66" s="1"/>
      <c r="CSM66" s="1"/>
      <c r="CSN66" s="1"/>
      <c r="CSO66" s="1"/>
      <c r="CSP66" s="1"/>
      <c r="CSQ66" s="1"/>
      <c r="CSR66" s="1"/>
      <c r="CSS66" s="1"/>
      <c r="CST66" s="1"/>
      <c r="CSU66" s="1"/>
      <c r="CSV66" s="1"/>
      <c r="CSW66" s="1"/>
      <c r="CSX66" s="1"/>
      <c r="CSY66" s="1"/>
      <c r="CSZ66" s="1"/>
      <c r="CTA66" s="1"/>
      <c r="CTB66" s="1"/>
      <c r="CTC66" s="1"/>
      <c r="CTD66" s="1"/>
      <c r="CTE66" s="1"/>
      <c r="CTF66" s="1"/>
      <c r="CTG66" s="1"/>
      <c r="CTH66" s="1"/>
      <c r="CTI66" s="1"/>
      <c r="CTJ66" s="1"/>
      <c r="CTK66" s="1"/>
      <c r="CTL66" s="1"/>
      <c r="CTM66" s="1"/>
      <c r="CTN66" s="1"/>
      <c r="CTO66" s="1"/>
      <c r="CTP66" s="1"/>
      <c r="CTQ66" s="1"/>
      <c r="CTR66" s="1"/>
      <c r="CTS66" s="1"/>
      <c r="CTT66" s="1"/>
      <c r="CTU66" s="1"/>
      <c r="CTV66" s="1"/>
      <c r="CTW66" s="1"/>
      <c r="CTX66" s="1"/>
      <c r="CTY66" s="1"/>
      <c r="CTZ66" s="1"/>
      <c r="CUA66" s="1"/>
      <c r="CUB66" s="1"/>
      <c r="CUC66" s="1"/>
      <c r="CUD66" s="1"/>
      <c r="CUE66" s="1"/>
      <c r="CUF66" s="1"/>
      <c r="CUG66" s="1"/>
      <c r="CUH66" s="1"/>
      <c r="CUI66" s="1"/>
      <c r="CUJ66" s="1"/>
      <c r="CUK66" s="1"/>
      <c r="CUL66" s="1"/>
      <c r="CUM66" s="1"/>
      <c r="CUN66" s="1"/>
      <c r="CUO66" s="1"/>
      <c r="CUP66" s="1"/>
      <c r="CUQ66" s="1"/>
      <c r="CUR66" s="1"/>
      <c r="CUS66" s="1"/>
      <c r="CUT66" s="1"/>
      <c r="CUU66" s="1"/>
      <c r="CUV66" s="1"/>
      <c r="CUW66" s="1"/>
      <c r="CUX66" s="1"/>
      <c r="CUY66" s="1"/>
      <c r="CUZ66" s="1"/>
      <c r="CVA66" s="1"/>
      <c r="CVB66" s="1"/>
      <c r="CVC66" s="1"/>
      <c r="CVD66" s="1"/>
      <c r="CVE66" s="1"/>
      <c r="CVF66" s="1"/>
      <c r="CVG66" s="1"/>
      <c r="CVH66" s="1"/>
      <c r="CVI66" s="1"/>
      <c r="CVJ66" s="1"/>
      <c r="CVK66" s="1"/>
      <c r="CVL66" s="1"/>
      <c r="CVM66" s="1"/>
      <c r="CVN66" s="1"/>
      <c r="CVO66" s="1"/>
      <c r="CVP66" s="1"/>
      <c r="CVQ66" s="1"/>
      <c r="CVR66" s="1"/>
      <c r="CVS66" s="1"/>
      <c r="CVT66" s="1"/>
      <c r="CVU66" s="1"/>
      <c r="CVV66" s="1"/>
      <c r="CVW66" s="1"/>
      <c r="CVX66" s="1"/>
      <c r="CVY66" s="1"/>
      <c r="CVZ66" s="1"/>
      <c r="CWA66" s="1"/>
      <c r="CWB66" s="1"/>
      <c r="CWC66" s="1"/>
      <c r="CWD66" s="1"/>
      <c r="CWE66" s="1"/>
      <c r="CWF66" s="1"/>
      <c r="CWG66" s="1"/>
      <c r="CWH66" s="1"/>
      <c r="CWI66" s="1"/>
      <c r="CWJ66" s="1"/>
      <c r="CWK66" s="1"/>
      <c r="CWL66" s="1"/>
      <c r="CWM66" s="1"/>
      <c r="CWN66" s="1"/>
      <c r="CWO66" s="1"/>
      <c r="CWP66" s="1"/>
      <c r="CWQ66" s="1"/>
      <c r="CWR66" s="1"/>
      <c r="CWS66" s="1"/>
      <c r="CWT66" s="1"/>
      <c r="CWU66" s="1"/>
      <c r="CWV66" s="1"/>
      <c r="CWW66" s="1"/>
      <c r="CWX66" s="1"/>
      <c r="CWY66" s="1"/>
      <c r="CWZ66" s="1"/>
      <c r="CXA66" s="1"/>
      <c r="CXB66" s="1"/>
      <c r="CXC66" s="1"/>
      <c r="CXD66" s="1"/>
      <c r="CXE66" s="1"/>
      <c r="CXF66" s="1"/>
      <c r="CXG66" s="1"/>
      <c r="CXH66" s="1"/>
      <c r="CXI66" s="1"/>
      <c r="CXJ66" s="1"/>
      <c r="CXK66" s="1"/>
      <c r="CXL66" s="1"/>
      <c r="CXM66" s="1"/>
      <c r="CXN66" s="1"/>
      <c r="CXO66" s="1"/>
      <c r="CXP66" s="1"/>
      <c r="CXQ66" s="1"/>
      <c r="CXR66" s="1"/>
      <c r="CXS66" s="1"/>
      <c r="CXT66" s="1"/>
      <c r="CXU66" s="1"/>
      <c r="CXV66" s="1"/>
      <c r="CXW66" s="1"/>
      <c r="CXX66" s="1"/>
      <c r="CXY66" s="1"/>
      <c r="CXZ66" s="1"/>
      <c r="CYA66" s="1"/>
      <c r="CYB66" s="1"/>
      <c r="CYC66" s="1"/>
      <c r="CYD66" s="1"/>
      <c r="CYE66" s="1"/>
      <c r="CYF66" s="1"/>
      <c r="CYG66" s="1"/>
      <c r="CYH66" s="1"/>
      <c r="CYI66" s="1"/>
      <c r="CYJ66" s="1"/>
      <c r="CYK66" s="1"/>
      <c r="CYL66" s="1"/>
      <c r="CYM66" s="1"/>
      <c r="CYN66" s="1"/>
      <c r="CYO66" s="1"/>
      <c r="CYP66" s="1"/>
      <c r="CYQ66" s="1"/>
      <c r="CYR66" s="1"/>
      <c r="CYS66" s="1"/>
      <c r="CYT66" s="1"/>
      <c r="CYU66" s="1"/>
      <c r="CYV66" s="1"/>
      <c r="CYW66" s="1"/>
      <c r="CYX66" s="1"/>
      <c r="CYY66" s="1"/>
      <c r="CYZ66" s="1"/>
      <c r="CZA66" s="1"/>
      <c r="CZB66" s="1"/>
      <c r="CZC66" s="1"/>
      <c r="CZD66" s="1"/>
      <c r="CZE66" s="1"/>
      <c r="CZF66" s="1"/>
      <c r="CZG66" s="1"/>
      <c r="CZH66" s="1"/>
      <c r="CZI66" s="1"/>
      <c r="CZJ66" s="1"/>
      <c r="CZK66" s="1"/>
      <c r="CZL66" s="1"/>
      <c r="CZM66" s="1"/>
      <c r="CZN66" s="1"/>
      <c r="CZO66" s="1"/>
      <c r="CZP66" s="1"/>
      <c r="CZQ66" s="1"/>
      <c r="CZR66" s="1"/>
      <c r="CZS66" s="1"/>
      <c r="CZT66" s="1"/>
      <c r="CZU66" s="1"/>
      <c r="CZV66" s="1"/>
      <c r="CZW66" s="1"/>
      <c r="CZX66" s="1"/>
      <c r="CZY66" s="1"/>
      <c r="CZZ66" s="1"/>
      <c r="DAA66" s="1"/>
      <c r="DAB66" s="1"/>
      <c r="DAC66" s="1"/>
      <c r="DAD66" s="1"/>
      <c r="DAE66" s="1"/>
      <c r="DAF66" s="1"/>
      <c r="DAG66" s="1"/>
      <c r="DAH66" s="1"/>
      <c r="DAI66" s="1"/>
      <c r="DAJ66" s="1"/>
      <c r="DAK66" s="1"/>
      <c r="DAL66" s="1"/>
      <c r="DAM66" s="1"/>
      <c r="DAN66" s="1"/>
      <c r="DAO66" s="1"/>
      <c r="DAP66" s="1"/>
      <c r="DAQ66" s="1"/>
      <c r="DAR66" s="1"/>
      <c r="DAS66" s="1"/>
      <c r="DAT66" s="1"/>
      <c r="DAU66" s="1"/>
      <c r="DAV66" s="1"/>
      <c r="DAW66" s="1"/>
      <c r="DAX66" s="1"/>
      <c r="DAY66" s="1"/>
      <c r="DAZ66" s="1"/>
      <c r="DBA66" s="1"/>
      <c r="DBB66" s="1"/>
      <c r="DBC66" s="1"/>
      <c r="DBD66" s="1"/>
      <c r="DBE66" s="1"/>
      <c r="DBF66" s="1"/>
      <c r="DBG66" s="1"/>
      <c r="DBH66" s="1"/>
      <c r="DBI66" s="1"/>
      <c r="DBJ66" s="1"/>
      <c r="DBK66" s="1"/>
      <c r="DBL66" s="1"/>
      <c r="DBM66" s="1"/>
      <c r="DBN66" s="1"/>
      <c r="DBO66" s="1"/>
      <c r="DBP66" s="1"/>
      <c r="DBQ66" s="1"/>
      <c r="DBR66" s="1"/>
      <c r="DBS66" s="1"/>
      <c r="DBT66" s="1"/>
      <c r="DBU66" s="1"/>
      <c r="DBV66" s="1"/>
      <c r="DBW66" s="1"/>
      <c r="DBX66" s="1"/>
      <c r="DBY66" s="1"/>
      <c r="DBZ66" s="1"/>
      <c r="DCA66" s="1"/>
      <c r="DCB66" s="1"/>
      <c r="DCC66" s="1"/>
      <c r="DCD66" s="1"/>
      <c r="DCE66" s="1"/>
      <c r="DCF66" s="1"/>
      <c r="DCG66" s="1"/>
      <c r="DCH66" s="1"/>
      <c r="DCI66" s="1"/>
      <c r="DCJ66" s="1"/>
      <c r="DCK66" s="1"/>
      <c r="DCL66" s="1"/>
      <c r="DCM66" s="1"/>
      <c r="DCN66" s="1"/>
      <c r="DCO66" s="1"/>
      <c r="DCP66" s="1"/>
      <c r="DCQ66" s="1"/>
      <c r="DCR66" s="1"/>
      <c r="DCS66" s="1"/>
      <c r="DCT66" s="1"/>
      <c r="DCU66" s="1"/>
      <c r="DCV66" s="1"/>
      <c r="DCW66" s="1"/>
      <c r="DCX66" s="1"/>
      <c r="DCY66" s="1"/>
      <c r="DCZ66" s="1"/>
      <c r="DDA66" s="1"/>
      <c r="DDB66" s="1"/>
      <c r="DDC66" s="1"/>
      <c r="DDD66" s="1"/>
      <c r="DDE66" s="1"/>
      <c r="DDF66" s="1"/>
      <c r="DDG66" s="1"/>
      <c r="DDH66" s="1"/>
      <c r="DDI66" s="1"/>
      <c r="DDJ66" s="1"/>
      <c r="DDK66" s="1"/>
      <c r="DDL66" s="1"/>
      <c r="DDM66" s="1"/>
      <c r="DDN66" s="1"/>
      <c r="DDO66" s="1"/>
      <c r="DDP66" s="1"/>
      <c r="DDQ66" s="1"/>
      <c r="DDR66" s="1"/>
      <c r="DDS66" s="1"/>
      <c r="DDT66" s="1"/>
      <c r="DDU66" s="1"/>
      <c r="DDV66" s="1"/>
      <c r="DDW66" s="1"/>
      <c r="DDX66" s="1"/>
      <c r="DDY66" s="1"/>
      <c r="DDZ66" s="1"/>
      <c r="DEA66" s="1"/>
      <c r="DEB66" s="1"/>
      <c r="DEC66" s="1"/>
      <c r="DED66" s="1"/>
      <c r="DEE66" s="1"/>
      <c r="DEF66" s="1"/>
      <c r="DEG66" s="1"/>
      <c r="DEH66" s="1"/>
      <c r="DEI66" s="1"/>
      <c r="DEJ66" s="1"/>
      <c r="DEK66" s="1"/>
      <c r="DEL66" s="1"/>
      <c r="DEM66" s="1"/>
      <c r="DEN66" s="1"/>
      <c r="DEO66" s="1"/>
      <c r="DEP66" s="1"/>
      <c r="DEQ66" s="1"/>
      <c r="DER66" s="1"/>
      <c r="DES66" s="1"/>
      <c r="DET66" s="1"/>
      <c r="DEU66" s="1"/>
      <c r="DEV66" s="1"/>
      <c r="DEW66" s="1"/>
      <c r="DEX66" s="1"/>
      <c r="DEY66" s="1"/>
      <c r="DEZ66" s="1"/>
      <c r="DFA66" s="1"/>
      <c r="DFB66" s="1"/>
      <c r="DFC66" s="1"/>
      <c r="DFD66" s="1"/>
      <c r="DFE66" s="1"/>
      <c r="DFF66" s="1"/>
      <c r="DFG66" s="1"/>
      <c r="DFH66" s="1"/>
      <c r="DFI66" s="1"/>
      <c r="DFJ66" s="1"/>
      <c r="DFK66" s="1"/>
      <c r="DFL66" s="1"/>
      <c r="DFM66" s="1"/>
      <c r="DFN66" s="1"/>
      <c r="DFO66" s="1"/>
      <c r="DFP66" s="1"/>
      <c r="DFQ66" s="1"/>
      <c r="DFR66" s="1"/>
      <c r="DFS66" s="1"/>
      <c r="DFT66" s="1"/>
      <c r="DFU66" s="1"/>
      <c r="DFV66" s="1"/>
      <c r="DFW66" s="1"/>
      <c r="DFX66" s="1"/>
      <c r="DFY66" s="1"/>
      <c r="DFZ66" s="1"/>
      <c r="DGA66" s="1"/>
      <c r="DGB66" s="1"/>
      <c r="DGC66" s="1"/>
      <c r="DGD66" s="1"/>
      <c r="DGE66" s="1"/>
      <c r="DGF66" s="1"/>
      <c r="DGG66" s="1"/>
      <c r="DGH66" s="1"/>
      <c r="DGI66" s="1"/>
      <c r="DGJ66" s="1"/>
      <c r="DGK66" s="1"/>
      <c r="DGL66" s="1"/>
      <c r="DGM66" s="1"/>
      <c r="DGN66" s="1"/>
      <c r="DGO66" s="1"/>
      <c r="DGP66" s="1"/>
      <c r="DGQ66" s="1"/>
      <c r="DGR66" s="1"/>
      <c r="DGS66" s="1"/>
      <c r="DGT66" s="1"/>
      <c r="DGU66" s="1"/>
      <c r="DGV66" s="1"/>
      <c r="DGW66" s="1"/>
      <c r="DGX66" s="1"/>
      <c r="DGY66" s="1"/>
      <c r="DGZ66" s="1"/>
      <c r="DHA66" s="1"/>
      <c r="DHB66" s="1"/>
      <c r="DHC66" s="1"/>
      <c r="DHD66" s="1"/>
      <c r="DHE66" s="1"/>
      <c r="DHF66" s="1"/>
      <c r="DHG66" s="1"/>
      <c r="DHH66" s="1"/>
      <c r="DHI66" s="1"/>
      <c r="DHJ66" s="1"/>
      <c r="DHK66" s="1"/>
      <c r="DHL66" s="1"/>
      <c r="DHM66" s="1"/>
      <c r="DHN66" s="1"/>
      <c r="DHO66" s="1"/>
      <c r="DHP66" s="1"/>
      <c r="DHQ66" s="1"/>
      <c r="DHR66" s="1"/>
      <c r="DHS66" s="1"/>
      <c r="DHT66" s="1"/>
      <c r="DHU66" s="1"/>
      <c r="DHV66" s="1"/>
      <c r="DHW66" s="1"/>
      <c r="DHX66" s="1"/>
      <c r="DHY66" s="1"/>
      <c r="DHZ66" s="1"/>
      <c r="DIA66" s="1"/>
      <c r="DIB66" s="1"/>
      <c r="DIC66" s="1"/>
      <c r="DID66" s="1"/>
      <c r="DIE66" s="1"/>
      <c r="DIF66" s="1"/>
      <c r="DIG66" s="1"/>
      <c r="DIH66" s="1"/>
      <c r="DII66" s="1"/>
      <c r="DIJ66" s="1"/>
      <c r="DIK66" s="1"/>
      <c r="DIL66" s="1"/>
      <c r="DIM66" s="1"/>
      <c r="DIN66" s="1"/>
      <c r="DIO66" s="1"/>
      <c r="DIP66" s="1"/>
      <c r="DIQ66" s="1"/>
      <c r="DIR66" s="1"/>
      <c r="DIS66" s="1"/>
      <c r="DIT66" s="1"/>
      <c r="DIU66" s="1"/>
      <c r="DIV66" s="1"/>
      <c r="DIW66" s="1"/>
      <c r="DIX66" s="1"/>
      <c r="DIY66" s="1"/>
      <c r="DIZ66" s="1"/>
      <c r="DJA66" s="1"/>
      <c r="DJB66" s="1"/>
      <c r="DJC66" s="1"/>
      <c r="DJD66" s="1"/>
      <c r="DJE66" s="1"/>
      <c r="DJF66" s="1"/>
      <c r="DJG66" s="1"/>
      <c r="DJH66" s="1"/>
      <c r="DJI66" s="1"/>
      <c r="DJJ66" s="1"/>
      <c r="DJK66" s="1"/>
      <c r="DJL66" s="1"/>
      <c r="DJM66" s="1"/>
      <c r="DJN66" s="1"/>
      <c r="DJO66" s="1"/>
      <c r="DJP66" s="1"/>
      <c r="DJQ66" s="1"/>
      <c r="DJR66" s="1"/>
      <c r="DJS66" s="1"/>
      <c r="DJT66" s="1"/>
      <c r="DJU66" s="1"/>
      <c r="DJV66" s="1"/>
      <c r="DJW66" s="1"/>
      <c r="DJX66" s="1"/>
      <c r="DJY66" s="1"/>
      <c r="DJZ66" s="1"/>
      <c r="DKA66" s="1"/>
      <c r="DKB66" s="1"/>
      <c r="DKC66" s="1"/>
      <c r="DKD66" s="1"/>
      <c r="DKE66" s="1"/>
      <c r="DKF66" s="1"/>
      <c r="DKG66" s="1"/>
      <c r="DKH66" s="1"/>
      <c r="DKI66" s="1"/>
      <c r="DKJ66" s="1"/>
      <c r="DKK66" s="1"/>
      <c r="DKL66" s="1"/>
      <c r="DKM66" s="1"/>
      <c r="DKN66" s="1"/>
      <c r="DKO66" s="1"/>
      <c r="DKP66" s="1"/>
      <c r="DKQ66" s="1"/>
      <c r="DKR66" s="1"/>
      <c r="DKS66" s="1"/>
      <c r="DKT66" s="1"/>
      <c r="DKU66" s="1"/>
      <c r="DKV66" s="1"/>
      <c r="DKW66" s="1"/>
      <c r="DKX66" s="1"/>
      <c r="DKY66" s="1"/>
      <c r="DKZ66" s="1"/>
      <c r="DLA66" s="1"/>
      <c r="DLB66" s="1"/>
      <c r="DLC66" s="1"/>
      <c r="DLD66" s="1"/>
      <c r="DLE66" s="1"/>
      <c r="DLF66" s="1"/>
      <c r="DLG66" s="1"/>
      <c r="DLH66" s="1"/>
      <c r="DLI66" s="1"/>
      <c r="DLJ66" s="1"/>
      <c r="DLK66" s="1"/>
      <c r="DLL66" s="1"/>
      <c r="DLM66" s="1"/>
      <c r="DLN66" s="1"/>
      <c r="DLO66" s="1"/>
      <c r="DLP66" s="1"/>
      <c r="DLQ66" s="1"/>
      <c r="DLR66" s="1"/>
      <c r="DLS66" s="1"/>
      <c r="DLT66" s="1"/>
      <c r="DLU66" s="1"/>
      <c r="DLV66" s="1"/>
      <c r="DLW66" s="1"/>
      <c r="DLX66" s="1"/>
      <c r="DLY66" s="1"/>
      <c r="DLZ66" s="1"/>
      <c r="DMA66" s="1"/>
      <c r="DMB66" s="1"/>
      <c r="DMC66" s="1"/>
      <c r="DMD66" s="1"/>
      <c r="DME66" s="1"/>
      <c r="DMF66" s="1"/>
      <c r="DMG66" s="1"/>
      <c r="DMH66" s="1"/>
      <c r="DMI66" s="1"/>
      <c r="DMJ66" s="1"/>
      <c r="DMK66" s="1"/>
      <c r="DML66" s="1"/>
      <c r="DMM66" s="1"/>
      <c r="DMN66" s="1"/>
      <c r="DMO66" s="1"/>
      <c r="DMP66" s="1"/>
      <c r="DMQ66" s="1"/>
      <c r="DMR66" s="1"/>
      <c r="DMS66" s="1"/>
      <c r="DMT66" s="1"/>
      <c r="DMU66" s="1"/>
      <c r="DMV66" s="1"/>
      <c r="DMW66" s="1"/>
      <c r="DMX66" s="1"/>
      <c r="DMY66" s="1"/>
      <c r="DMZ66" s="1"/>
      <c r="DNA66" s="1"/>
      <c r="DNB66" s="1"/>
      <c r="DNC66" s="1"/>
      <c r="DND66" s="1"/>
      <c r="DNE66" s="1"/>
      <c r="DNF66" s="1"/>
      <c r="DNG66" s="1"/>
      <c r="DNH66" s="1"/>
      <c r="DNI66" s="1"/>
      <c r="DNJ66" s="1"/>
      <c r="DNK66" s="1"/>
      <c r="DNL66" s="1"/>
      <c r="DNM66" s="1"/>
      <c r="DNN66" s="1"/>
      <c r="DNO66" s="1"/>
      <c r="DNP66" s="1"/>
      <c r="DNQ66" s="1"/>
      <c r="DNR66" s="1"/>
      <c r="DNS66" s="1"/>
      <c r="DNT66" s="1"/>
      <c r="DNU66" s="1"/>
      <c r="DNV66" s="1"/>
      <c r="DNW66" s="1"/>
      <c r="DNX66" s="1"/>
      <c r="DNY66" s="1"/>
      <c r="DNZ66" s="1"/>
      <c r="DOA66" s="1"/>
      <c r="DOB66" s="1"/>
      <c r="DOC66" s="1"/>
      <c r="DOD66" s="1"/>
      <c r="DOE66" s="1"/>
      <c r="DOF66" s="1"/>
      <c r="DOG66" s="1"/>
      <c r="DOH66" s="1"/>
      <c r="DOI66" s="1"/>
      <c r="DOJ66" s="1"/>
      <c r="DOK66" s="1"/>
      <c r="DOL66" s="1"/>
      <c r="DOM66" s="1"/>
      <c r="DON66" s="1"/>
      <c r="DOO66" s="1"/>
      <c r="DOP66" s="1"/>
      <c r="DOQ66" s="1"/>
      <c r="DOR66" s="1"/>
      <c r="DOS66" s="1"/>
      <c r="DOT66" s="1"/>
      <c r="DOU66" s="1"/>
      <c r="DOV66" s="1"/>
      <c r="DOW66" s="1"/>
      <c r="DOX66" s="1"/>
      <c r="DOY66" s="1"/>
      <c r="DOZ66" s="1"/>
      <c r="DPA66" s="1"/>
      <c r="DPB66" s="1"/>
      <c r="DPC66" s="1"/>
      <c r="DPD66" s="1"/>
      <c r="DPE66" s="1"/>
      <c r="DPF66" s="1"/>
      <c r="DPG66" s="1"/>
      <c r="DPH66" s="1"/>
      <c r="DPI66" s="1"/>
      <c r="DPJ66" s="1"/>
      <c r="DPK66" s="1"/>
      <c r="DPL66" s="1"/>
      <c r="DPM66" s="1"/>
      <c r="DPN66" s="1"/>
      <c r="DPO66" s="1"/>
      <c r="DPP66" s="1"/>
      <c r="DPQ66" s="1"/>
      <c r="DPR66" s="1"/>
      <c r="DPS66" s="1"/>
      <c r="DPT66" s="1"/>
      <c r="DPU66" s="1"/>
      <c r="DPV66" s="1"/>
      <c r="DPW66" s="1"/>
      <c r="DPX66" s="1"/>
      <c r="DPY66" s="1"/>
      <c r="DPZ66" s="1"/>
      <c r="DQA66" s="1"/>
      <c r="DQB66" s="1"/>
      <c r="DQC66" s="1"/>
      <c r="DQD66" s="1"/>
      <c r="DQE66" s="1"/>
      <c r="DQF66" s="1"/>
      <c r="DQG66" s="1"/>
      <c r="DQH66" s="1"/>
      <c r="DQI66" s="1"/>
      <c r="DQJ66" s="1"/>
      <c r="DQK66" s="1"/>
      <c r="DQL66" s="1"/>
      <c r="DQM66" s="1"/>
      <c r="DQN66" s="1"/>
      <c r="DQO66" s="1"/>
      <c r="DQP66" s="1"/>
      <c r="DQQ66" s="1"/>
      <c r="DQR66" s="1"/>
      <c r="DQS66" s="1"/>
      <c r="DQT66" s="1"/>
      <c r="DQU66" s="1"/>
      <c r="DQV66" s="1"/>
      <c r="DQW66" s="1"/>
      <c r="DQX66" s="1"/>
      <c r="DQY66" s="1"/>
      <c r="DQZ66" s="1"/>
      <c r="DRA66" s="1"/>
      <c r="DRB66" s="1"/>
      <c r="DRC66" s="1"/>
      <c r="DRD66" s="1"/>
      <c r="DRE66" s="1"/>
      <c r="DRF66" s="1"/>
      <c r="DRG66" s="1"/>
      <c r="DRH66" s="1"/>
      <c r="DRI66" s="1"/>
      <c r="DRJ66" s="1"/>
      <c r="DRK66" s="1"/>
      <c r="DRL66" s="1"/>
      <c r="DRM66" s="1"/>
      <c r="DRN66" s="1"/>
      <c r="DRO66" s="1"/>
      <c r="DRP66" s="1"/>
      <c r="DRQ66" s="1"/>
      <c r="DRR66" s="1"/>
      <c r="DRS66" s="1"/>
      <c r="DRT66" s="1"/>
      <c r="DRU66" s="1"/>
      <c r="DRV66" s="1"/>
      <c r="DRW66" s="1"/>
      <c r="DRX66" s="1"/>
      <c r="DRY66" s="1"/>
      <c r="DRZ66" s="1"/>
      <c r="DSA66" s="1"/>
      <c r="DSB66" s="1"/>
      <c r="DSC66" s="1"/>
      <c r="DSD66" s="1"/>
      <c r="DSE66" s="1"/>
      <c r="DSF66" s="1"/>
      <c r="DSG66" s="1"/>
      <c r="DSH66" s="1"/>
      <c r="DSI66" s="1"/>
      <c r="DSJ66" s="1"/>
      <c r="DSK66" s="1"/>
      <c r="DSL66" s="1"/>
      <c r="DSM66" s="1"/>
      <c r="DSN66" s="1"/>
      <c r="DSO66" s="1"/>
      <c r="DSP66" s="1"/>
      <c r="DSQ66" s="1"/>
      <c r="DSR66" s="1"/>
      <c r="DSS66" s="1"/>
      <c r="DST66" s="1"/>
      <c r="DSU66" s="1"/>
      <c r="DSV66" s="1"/>
      <c r="DSW66" s="1"/>
      <c r="DSX66" s="1"/>
      <c r="DSY66" s="1"/>
      <c r="DSZ66" s="1"/>
      <c r="DTA66" s="1"/>
      <c r="DTB66" s="1"/>
      <c r="DTC66" s="1"/>
      <c r="DTD66" s="1"/>
      <c r="DTE66" s="1"/>
      <c r="DTF66" s="1"/>
      <c r="DTG66" s="1"/>
      <c r="DTH66" s="1"/>
      <c r="DTI66" s="1"/>
      <c r="DTJ66" s="1"/>
      <c r="DTK66" s="1"/>
      <c r="DTL66" s="1"/>
      <c r="DTM66" s="1"/>
      <c r="DTN66" s="1"/>
      <c r="DTO66" s="1"/>
      <c r="DTP66" s="1"/>
      <c r="DTQ66" s="1"/>
      <c r="DTR66" s="1"/>
      <c r="DTS66" s="1"/>
      <c r="DTT66" s="1"/>
      <c r="DTU66" s="1"/>
      <c r="DTV66" s="1"/>
      <c r="DTW66" s="1"/>
      <c r="DTX66" s="1"/>
      <c r="DTY66" s="1"/>
      <c r="DTZ66" s="1"/>
      <c r="DUA66" s="1"/>
      <c r="DUB66" s="1"/>
      <c r="DUC66" s="1"/>
      <c r="DUD66" s="1"/>
      <c r="DUE66" s="1"/>
      <c r="DUF66" s="1"/>
      <c r="DUG66" s="1"/>
      <c r="DUH66" s="1"/>
      <c r="DUI66" s="1"/>
      <c r="DUJ66" s="1"/>
      <c r="DUK66" s="1"/>
      <c r="DUL66" s="1"/>
      <c r="DUM66" s="1"/>
      <c r="DUN66" s="1"/>
      <c r="DUO66" s="1"/>
      <c r="DUP66" s="1"/>
      <c r="DUQ66" s="1"/>
      <c r="DUR66" s="1"/>
      <c r="DUS66" s="1"/>
      <c r="DUT66" s="1"/>
      <c r="DUU66" s="1"/>
      <c r="DUV66" s="1"/>
      <c r="DUW66" s="1"/>
      <c r="DUX66" s="1"/>
      <c r="DUY66" s="1"/>
      <c r="DUZ66" s="1"/>
      <c r="DVA66" s="1"/>
      <c r="DVB66" s="1"/>
      <c r="DVC66" s="1"/>
      <c r="DVD66" s="1"/>
      <c r="DVE66" s="1"/>
      <c r="DVF66" s="1"/>
      <c r="DVG66" s="1"/>
      <c r="DVH66" s="1"/>
      <c r="DVI66" s="1"/>
      <c r="DVJ66" s="1"/>
      <c r="DVK66" s="1"/>
      <c r="DVL66" s="1"/>
      <c r="DVM66" s="1"/>
      <c r="DVN66" s="1"/>
      <c r="DVO66" s="1"/>
      <c r="DVP66" s="1"/>
      <c r="DVQ66" s="1"/>
      <c r="DVR66" s="1"/>
      <c r="DVS66" s="1"/>
      <c r="DVT66" s="1"/>
      <c r="DVU66" s="1"/>
      <c r="DVV66" s="1"/>
      <c r="DVW66" s="1"/>
      <c r="DVX66" s="1"/>
      <c r="DVY66" s="1"/>
      <c r="DVZ66" s="1"/>
      <c r="DWA66" s="1"/>
      <c r="DWB66" s="1"/>
      <c r="DWC66" s="1"/>
      <c r="DWD66" s="1"/>
      <c r="DWE66" s="1"/>
      <c r="DWF66" s="1"/>
      <c r="DWG66" s="1"/>
      <c r="DWH66" s="1"/>
      <c r="DWI66" s="1"/>
      <c r="DWJ66" s="1"/>
      <c r="DWK66" s="1"/>
      <c r="DWL66" s="1"/>
      <c r="DWM66" s="1"/>
      <c r="DWN66" s="1"/>
      <c r="DWO66" s="1"/>
      <c r="DWP66" s="1"/>
      <c r="DWQ66" s="1"/>
      <c r="DWR66" s="1"/>
      <c r="DWS66" s="1"/>
      <c r="DWT66" s="1"/>
      <c r="DWU66" s="1"/>
      <c r="DWV66" s="1"/>
      <c r="DWW66" s="1"/>
      <c r="DWX66" s="1"/>
      <c r="DWY66" s="1"/>
      <c r="DWZ66" s="1"/>
      <c r="DXA66" s="1"/>
      <c r="DXB66" s="1"/>
      <c r="DXC66" s="1"/>
      <c r="DXD66" s="1"/>
      <c r="DXE66" s="1"/>
      <c r="DXF66" s="1"/>
      <c r="DXG66" s="1"/>
      <c r="DXH66" s="1"/>
      <c r="DXI66" s="1"/>
      <c r="DXJ66" s="1"/>
      <c r="DXK66" s="1"/>
      <c r="DXL66" s="1"/>
      <c r="DXM66" s="1"/>
      <c r="DXN66" s="1"/>
      <c r="DXO66" s="1"/>
      <c r="DXP66" s="1"/>
      <c r="DXQ66" s="1"/>
      <c r="DXR66" s="1"/>
      <c r="DXS66" s="1"/>
      <c r="DXT66" s="1"/>
      <c r="DXU66" s="1"/>
      <c r="DXV66" s="1"/>
      <c r="DXW66" s="1"/>
      <c r="DXX66" s="1"/>
      <c r="DXY66" s="1"/>
      <c r="DXZ66" s="1"/>
      <c r="DYA66" s="1"/>
      <c r="DYB66" s="1"/>
      <c r="DYC66" s="1"/>
      <c r="DYD66" s="1"/>
      <c r="DYE66" s="1"/>
      <c r="DYF66" s="1"/>
      <c r="DYG66" s="1"/>
      <c r="DYH66" s="1"/>
      <c r="DYI66" s="1"/>
      <c r="DYJ66" s="1"/>
      <c r="DYK66" s="1"/>
      <c r="DYL66" s="1"/>
      <c r="DYM66" s="1"/>
      <c r="DYN66" s="1"/>
      <c r="DYO66" s="1"/>
      <c r="DYP66" s="1"/>
      <c r="DYQ66" s="1"/>
      <c r="DYR66" s="1"/>
      <c r="DYS66" s="1"/>
      <c r="DYT66" s="1"/>
      <c r="DYU66" s="1"/>
      <c r="DYV66" s="1"/>
      <c r="DYW66" s="1"/>
      <c r="DYX66" s="1"/>
      <c r="DYY66" s="1"/>
      <c r="DYZ66" s="1"/>
      <c r="DZA66" s="1"/>
      <c r="DZB66" s="1"/>
      <c r="DZC66" s="1"/>
      <c r="DZD66" s="1"/>
      <c r="DZE66" s="1"/>
      <c r="DZF66" s="1"/>
      <c r="DZG66" s="1"/>
      <c r="DZH66" s="1"/>
      <c r="DZI66" s="1"/>
      <c r="DZJ66" s="1"/>
      <c r="DZK66" s="1"/>
      <c r="DZL66" s="1"/>
      <c r="DZM66" s="1"/>
      <c r="DZN66" s="1"/>
      <c r="DZO66" s="1"/>
      <c r="DZP66" s="1"/>
      <c r="DZQ66" s="1"/>
      <c r="DZR66" s="1"/>
      <c r="DZS66" s="1"/>
      <c r="DZT66" s="1"/>
      <c r="DZU66" s="1"/>
      <c r="DZV66" s="1"/>
      <c r="DZW66" s="1"/>
      <c r="DZX66" s="1"/>
      <c r="DZY66" s="1"/>
      <c r="DZZ66" s="1"/>
      <c r="EAA66" s="1"/>
      <c r="EAB66" s="1"/>
      <c r="EAC66" s="1"/>
      <c r="EAD66" s="1"/>
      <c r="EAE66" s="1"/>
      <c r="EAF66" s="1"/>
      <c r="EAG66" s="1"/>
      <c r="EAH66" s="1"/>
      <c r="EAI66" s="1"/>
      <c r="EAJ66" s="1"/>
      <c r="EAK66" s="1"/>
      <c r="EAL66" s="1"/>
      <c r="EAM66" s="1"/>
      <c r="EAN66" s="1"/>
      <c r="EAO66" s="1"/>
      <c r="EAP66" s="1"/>
      <c r="EAQ66" s="1"/>
      <c r="EAR66" s="1"/>
      <c r="EAS66" s="1"/>
      <c r="EAT66" s="1"/>
      <c r="EAU66" s="1"/>
      <c r="EAV66" s="1"/>
      <c r="EAW66" s="1"/>
      <c r="EAX66" s="1"/>
      <c r="EAY66" s="1"/>
      <c r="EAZ66" s="1"/>
      <c r="EBA66" s="1"/>
      <c r="EBB66" s="1"/>
      <c r="EBC66" s="1"/>
      <c r="EBD66" s="1"/>
      <c r="EBE66" s="1"/>
      <c r="EBF66" s="1"/>
      <c r="EBG66" s="1"/>
      <c r="EBH66" s="1"/>
      <c r="EBI66" s="1"/>
      <c r="EBJ66" s="1"/>
      <c r="EBK66" s="1"/>
      <c r="EBL66" s="1"/>
      <c r="EBM66" s="1"/>
      <c r="EBN66" s="1"/>
      <c r="EBO66" s="1"/>
      <c r="EBP66" s="1"/>
      <c r="EBQ66" s="1"/>
      <c r="EBR66" s="1"/>
      <c r="EBS66" s="1"/>
      <c r="EBT66" s="1"/>
      <c r="EBU66" s="1"/>
      <c r="EBV66" s="1"/>
      <c r="EBW66" s="1"/>
      <c r="EBX66" s="1"/>
      <c r="EBY66" s="1"/>
      <c r="EBZ66" s="1"/>
      <c r="ECA66" s="1"/>
      <c r="ECB66" s="1"/>
      <c r="ECC66" s="1"/>
      <c r="ECD66" s="1"/>
      <c r="ECE66" s="1"/>
      <c r="ECF66" s="1"/>
      <c r="ECG66" s="1"/>
      <c r="ECH66" s="1"/>
      <c r="ECI66" s="1"/>
      <c r="ECJ66" s="1"/>
      <c r="ECK66" s="1"/>
      <c r="ECL66" s="1"/>
      <c r="ECM66" s="1"/>
      <c r="ECN66" s="1"/>
      <c r="ECO66" s="1"/>
      <c r="ECP66" s="1"/>
      <c r="ECQ66" s="1"/>
      <c r="ECR66" s="1"/>
      <c r="ECS66" s="1"/>
      <c r="ECT66" s="1"/>
      <c r="ECU66" s="1"/>
      <c r="ECV66" s="1"/>
      <c r="ECW66" s="1"/>
      <c r="ECX66" s="1"/>
      <c r="ECY66" s="1"/>
      <c r="ECZ66" s="1"/>
      <c r="EDA66" s="1"/>
      <c r="EDB66" s="1"/>
      <c r="EDC66" s="1"/>
      <c r="EDD66" s="1"/>
      <c r="EDE66" s="1"/>
      <c r="EDF66" s="1"/>
      <c r="EDG66" s="1"/>
      <c r="EDH66" s="1"/>
      <c r="EDI66" s="1"/>
      <c r="EDJ66" s="1"/>
      <c r="EDK66" s="1"/>
      <c r="EDL66" s="1"/>
      <c r="EDM66" s="1"/>
      <c r="EDN66" s="1"/>
      <c r="EDO66" s="1"/>
      <c r="EDP66" s="1"/>
      <c r="EDQ66" s="1"/>
      <c r="EDR66" s="1"/>
      <c r="EDS66" s="1"/>
      <c r="EDT66" s="1"/>
      <c r="EDU66" s="1"/>
      <c r="EDV66" s="1"/>
      <c r="EDW66" s="1"/>
      <c r="EDX66" s="1"/>
      <c r="EDY66" s="1"/>
      <c r="EDZ66" s="1"/>
      <c r="EEA66" s="1"/>
      <c r="EEB66" s="1"/>
      <c r="EEC66" s="1"/>
      <c r="EED66" s="1"/>
      <c r="EEE66" s="1"/>
      <c r="EEF66" s="1"/>
      <c r="EEG66" s="1"/>
      <c r="EEH66" s="1"/>
      <c r="EEI66" s="1"/>
      <c r="EEJ66" s="1"/>
      <c r="EEK66" s="1"/>
      <c r="EEL66" s="1"/>
      <c r="EEM66" s="1"/>
      <c r="EEN66" s="1"/>
      <c r="EEO66" s="1"/>
      <c r="EEP66" s="1"/>
      <c r="EEQ66" s="1"/>
      <c r="EER66" s="1"/>
      <c r="EES66" s="1"/>
      <c r="EET66" s="1"/>
      <c r="EEU66" s="1"/>
      <c r="EEV66" s="1"/>
      <c r="EEW66" s="1"/>
      <c r="EEX66" s="1"/>
      <c r="EEY66" s="1"/>
      <c r="EEZ66" s="1"/>
      <c r="EFA66" s="1"/>
      <c r="EFB66" s="1"/>
      <c r="EFC66" s="1"/>
      <c r="EFD66" s="1"/>
      <c r="EFE66" s="1"/>
      <c r="EFF66" s="1"/>
      <c r="EFG66" s="1"/>
      <c r="EFH66" s="1"/>
      <c r="EFI66" s="1"/>
      <c r="EFJ66" s="1"/>
      <c r="EFK66" s="1"/>
      <c r="EFL66" s="1"/>
      <c r="EFM66" s="1"/>
      <c r="EFN66" s="1"/>
      <c r="EFO66" s="1"/>
      <c r="EFP66" s="1"/>
      <c r="EFQ66" s="1"/>
      <c r="EFR66" s="1"/>
      <c r="EFS66" s="1"/>
      <c r="EFT66" s="1"/>
      <c r="EFU66" s="1"/>
      <c r="EFV66" s="1"/>
      <c r="EFW66" s="1"/>
      <c r="EFX66" s="1"/>
      <c r="EFY66" s="1"/>
      <c r="EFZ66" s="1"/>
      <c r="EGA66" s="1"/>
      <c r="EGB66" s="1"/>
      <c r="EGC66" s="1"/>
      <c r="EGD66" s="1"/>
      <c r="EGE66" s="1"/>
      <c r="EGF66" s="1"/>
      <c r="EGG66" s="1"/>
      <c r="EGH66" s="1"/>
      <c r="EGI66" s="1"/>
      <c r="EGJ66" s="1"/>
      <c r="EGK66" s="1"/>
      <c r="EGL66" s="1"/>
      <c r="EGM66" s="1"/>
      <c r="EGN66" s="1"/>
      <c r="EGO66" s="1"/>
      <c r="EGP66" s="1"/>
      <c r="EGQ66" s="1"/>
      <c r="EGR66" s="1"/>
      <c r="EGS66" s="1"/>
      <c r="EGT66" s="1"/>
      <c r="EGU66" s="1"/>
      <c r="EGV66" s="1"/>
      <c r="EGW66" s="1"/>
      <c r="EGX66" s="1"/>
      <c r="EGY66" s="1"/>
      <c r="EGZ66" s="1"/>
      <c r="EHA66" s="1"/>
      <c r="EHB66" s="1"/>
      <c r="EHC66" s="1"/>
      <c r="EHD66" s="1"/>
      <c r="EHE66" s="1"/>
      <c r="EHF66" s="1"/>
      <c r="EHG66" s="1"/>
      <c r="EHH66" s="1"/>
      <c r="EHI66" s="1"/>
      <c r="EHJ66" s="1"/>
      <c r="EHK66" s="1"/>
      <c r="EHL66" s="1"/>
      <c r="EHM66" s="1"/>
      <c r="EHN66" s="1"/>
      <c r="EHO66" s="1"/>
      <c r="EHP66" s="1"/>
      <c r="EHQ66" s="1"/>
      <c r="EHR66" s="1"/>
      <c r="EHS66" s="1"/>
      <c r="EHT66" s="1"/>
      <c r="EHU66" s="1"/>
      <c r="EHV66" s="1"/>
      <c r="EHW66" s="1"/>
      <c r="EHX66" s="1"/>
      <c r="EHY66" s="1"/>
      <c r="EHZ66" s="1"/>
      <c r="EIA66" s="1"/>
      <c r="EIB66" s="1"/>
      <c r="EIC66" s="1"/>
      <c r="EID66" s="1"/>
      <c r="EIE66" s="1"/>
      <c r="EIF66" s="1"/>
      <c r="EIG66" s="1"/>
      <c r="EIH66" s="1"/>
      <c r="EII66" s="1"/>
      <c r="EIJ66" s="1"/>
      <c r="EIK66" s="1"/>
      <c r="EIL66" s="1"/>
      <c r="EIM66" s="1"/>
      <c r="EIN66" s="1"/>
      <c r="EIO66" s="1"/>
      <c r="EIP66" s="1"/>
      <c r="EIQ66" s="1"/>
      <c r="EIR66" s="1"/>
      <c r="EIS66" s="1"/>
      <c r="EIT66" s="1"/>
      <c r="EIU66" s="1"/>
      <c r="EIV66" s="1"/>
      <c r="EIW66" s="1"/>
      <c r="EIX66" s="1"/>
      <c r="EIY66" s="1"/>
      <c r="EIZ66" s="1"/>
      <c r="EJA66" s="1"/>
      <c r="EJB66" s="1"/>
      <c r="EJC66" s="1"/>
      <c r="EJD66" s="1"/>
      <c r="EJE66" s="1"/>
      <c r="EJF66" s="1"/>
      <c r="EJG66" s="1"/>
      <c r="EJH66" s="1"/>
      <c r="EJI66" s="1"/>
      <c r="EJJ66" s="1"/>
      <c r="EJK66" s="1"/>
      <c r="EJL66" s="1"/>
      <c r="EJM66" s="1"/>
      <c r="EJN66" s="1"/>
      <c r="EJO66" s="1"/>
      <c r="EJP66" s="1"/>
      <c r="EJQ66" s="1"/>
      <c r="EJR66" s="1"/>
      <c r="EJS66" s="1"/>
      <c r="EJT66" s="1"/>
      <c r="EJU66" s="1"/>
      <c r="EJV66" s="1"/>
      <c r="EJW66" s="1"/>
      <c r="EJX66" s="1"/>
      <c r="EJY66" s="1"/>
      <c r="EJZ66" s="1"/>
      <c r="EKA66" s="1"/>
      <c r="EKB66" s="1"/>
      <c r="EKC66" s="1"/>
      <c r="EKD66" s="1"/>
      <c r="EKE66" s="1"/>
      <c r="EKF66" s="1"/>
      <c r="EKG66" s="1"/>
      <c r="EKH66" s="1"/>
      <c r="EKI66" s="1"/>
      <c r="EKJ66" s="1"/>
      <c r="EKK66" s="1"/>
      <c r="EKL66" s="1"/>
      <c r="EKM66" s="1"/>
      <c r="EKN66" s="1"/>
      <c r="EKO66" s="1"/>
      <c r="EKP66" s="1"/>
      <c r="EKQ66" s="1"/>
      <c r="EKR66" s="1"/>
      <c r="EKS66" s="1"/>
      <c r="EKT66" s="1"/>
      <c r="EKU66" s="1"/>
      <c r="EKV66" s="1"/>
      <c r="EKW66" s="1"/>
      <c r="EKX66" s="1"/>
      <c r="EKY66" s="1"/>
      <c r="EKZ66" s="1"/>
      <c r="ELA66" s="1"/>
      <c r="ELB66" s="1"/>
      <c r="ELC66" s="1"/>
      <c r="ELD66" s="1"/>
      <c r="ELE66" s="1"/>
      <c r="ELF66" s="1"/>
      <c r="ELG66" s="1"/>
      <c r="ELH66" s="1"/>
      <c r="ELI66" s="1"/>
      <c r="ELJ66" s="1"/>
      <c r="ELK66" s="1"/>
      <c r="ELL66" s="1"/>
      <c r="ELM66" s="1"/>
      <c r="ELN66" s="1"/>
      <c r="ELO66" s="1"/>
      <c r="ELP66" s="1"/>
      <c r="ELQ66" s="1"/>
      <c r="ELR66" s="1"/>
      <c r="ELS66" s="1"/>
      <c r="ELT66" s="1"/>
      <c r="ELU66" s="1"/>
      <c r="ELV66" s="1"/>
      <c r="ELW66" s="1"/>
      <c r="ELX66" s="1"/>
      <c r="ELY66" s="1"/>
      <c r="ELZ66" s="1"/>
      <c r="EMA66" s="1"/>
      <c r="EMB66" s="1"/>
      <c r="EMC66" s="1"/>
      <c r="EMD66" s="1"/>
      <c r="EME66" s="1"/>
      <c r="EMF66" s="1"/>
      <c r="EMG66" s="1"/>
      <c r="EMH66" s="1"/>
      <c r="EMI66" s="1"/>
      <c r="EMJ66" s="1"/>
      <c r="EMK66" s="1"/>
      <c r="EML66" s="1"/>
      <c r="EMM66" s="1"/>
      <c r="EMN66" s="1"/>
      <c r="EMO66" s="1"/>
      <c r="EMP66" s="1"/>
      <c r="EMQ66" s="1"/>
      <c r="EMR66" s="1"/>
      <c r="EMS66" s="1"/>
      <c r="EMT66" s="1"/>
      <c r="EMU66" s="1"/>
      <c r="EMV66" s="1"/>
      <c r="EMW66" s="1"/>
      <c r="EMX66" s="1"/>
      <c r="EMY66" s="1"/>
      <c r="EMZ66" s="1"/>
      <c r="ENA66" s="1"/>
      <c r="ENB66" s="1"/>
      <c r="ENC66" s="1"/>
      <c r="END66" s="1"/>
      <c r="ENE66" s="1"/>
      <c r="ENF66" s="1"/>
      <c r="ENG66" s="1"/>
      <c r="ENH66" s="1"/>
      <c r="ENI66" s="1"/>
      <c r="ENJ66" s="1"/>
      <c r="ENK66" s="1"/>
      <c r="ENL66" s="1"/>
      <c r="ENM66" s="1"/>
      <c r="ENN66" s="1"/>
      <c r="ENO66" s="1"/>
      <c r="ENP66" s="1"/>
      <c r="ENQ66" s="1"/>
      <c r="ENR66" s="1"/>
      <c r="ENS66" s="1"/>
      <c r="ENT66" s="1"/>
      <c r="ENU66" s="1"/>
      <c r="ENV66" s="1"/>
      <c r="ENW66" s="1"/>
      <c r="ENX66" s="1"/>
      <c r="ENY66" s="1"/>
      <c r="ENZ66" s="1"/>
      <c r="EOA66" s="1"/>
      <c r="EOB66" s="1"/>
      <c r="EOC66" s="1"/>
      <c r="EOD66" s="1"/>
      <c r="EOE66" s="1"/>
      <c r="EOF66" s="1"/>
      <c r="EOG66" s="1"/>
      <c r="EOH66" s="1"/>
      <c r="EOI66" s="1"/>
      <c r="EOJ66" s="1"/>
      <c r="EOK66" s="1"/>
      <c r="EOL66" s="1"/>
      <c r="EOM66" s="1"/>
      <c r="EON66" s="1"/>
      <c r="EOO66" s="1"/>
      <c r="EOP66" s="1"/>
      <c r="EOQ66" s="1"/>
      <c r="EOR66" s="1"/>
      <c r="EOS66" s="1"/>
      <c r="EOT66" s="1"/>
      <c r="EOU66" s="1"/>
      <c r="EOV66" s="1"/>
      <c r="EOW66" s="1"/>
      <c r="EOX66" s="1"/>
      <c r="EOY66" s="1"/>
      <c r="EOZ66" s="1"/>
      <c r="EPA66" s="1"/>
      <c r="EPB66" s="1"/>
      <c r="EPC66" s="1"/>
      <c r="EPD66" s="1"/>
      <c r="EPE66" s="1"/>
      <c r="EPF66" s="1"/>
      <c r="EPG66" s="1"/>
      <c r="EPH66" s="1"/>
      <c r="EPI66" s="1"/>
      <c r="EPJ66" s="1"/>
      <c r="EPK66" s="1"/>
      <c r="EPL66" s="1"/>
      <c r="EPM66" s="1"/>
      <c r="EPN66" s="1"/>
      <c r="EPO66" s="1"/>
      <c r="EPP66" s="1"/>
      <c r="EPQ66" s="1"/>
      <c r="EPR66" s="1"/>
      <c r="EPS66" s="1"/>
      <c r="EPT66" s="1"/>
      <c r="EPU66" s="1"/>
      <c r="EPV66" s="1"/>
      <c r="EPW66" s="1"/>
      <c r="EPX66" s="1"/>
      <c r="EPY66" s="1"/>
      <c r="EPZ66" s="1"/>
      <c r="EQA66" s="1"/>
      <c r="EQB66" s="1"/>
      <c r="EQC66" s="1"/>
      <c r="EQD66" s="1"/>
      <c r="EQE66" s="1"/>
      <c r="EQF66" s="1"/>
      <c r="EQG66" s="1"/>
      <c r="EQH66" s="1"/>
      <c r="EQI66" s="1"/>
      <c r="EQJ66" s="1"/>
      <c r="EQK66" s="1"/>
      <c r="EQL66" s="1"/>
      <c r="EQM66" s="1"/>
      <c r="EQN66" s="1"/>
      <c r="EQO66" s="1"/>
      <c r="EQP66" s="1"/>
      <c r="EQQ66" s="1"/>
      <c r="EQR66" s="1"/>
      <c r="EQS66" s="1"/>
      <c r="EQT66" s="1"/>
      <c r="EQU66" s="1"/>
      <c r="EQV66" s="1"/>
      <c r="EQW66" s="1"/>
      <c r="EQX66" s="1"/>
      <c r="EQY66" s="1"/>
      <c r="EQZ66" s="1"/>
      <c r="ERA66" s="1"/>
      <c r="ERB66" s="1"/>
      <c r="ERC66" s="1"/>
      <c r="ERD66" s="1"/>
      <c r="ERE66" s="1"/>
      <c r="ERF66" s="1"/>
      <c r="ERG66" s="1"/>
      <c r="ERH66" s="1"/>
      <c r="ERI66" s="1"/>
      <c r="ERJ66" s="1"/>
      <c r="ERK66" s="1"/>
      <c r="ERL66" s="1"/>
      <c r="ERM66" s="1"/>
      <c r="ERN66" s="1"/>
      <c r="ERO66" s="1"/>
      <c r="ERP66" s="1"/>
      <c r="ERQ66" s="1"/>
      <c r="ERR66" s="1"/>
      <c r="ERS66" s="1"/>
      <c r="ERT66" s="1"/>
      <c r="ERU66" s="1"/>
      <c r="ERV66" s="1"/>
      <c r="ERW66" s="1"/>
      <c r="ERX66" s="1"/>
      <c r="ERY66" s="1"/>
      <c r="ERZ66" s="1"/>
      <c r="ESA66" s="1"/>
      <c r="ESB66" s="1"/>
      <c r="ESC66" s="1"/>
      <c r="ESD66" s="1"/>
      <c r="ESE66" s="1"/>
      <c r="ESF66" s="1"/>
      <c r="ESG66" s="1"/>
      <c r="ESH66" s="1"/>
      <c r="ESI66" s="1"/>
      <c r="ESJ66" s="1"/>
      <c r="ESK66" s="1"/>
      <c r="ESL66" s="1"/>
      <c r="ESM66" s="1"/>
      <c r="ESN66" s="1"/>
      <c r="ESO66" s="1"/>
      <c r="ESP66" s="1"/>
      <c r="ESQ66" s="1"/>
      <c r="ESR66" s="1"/>
      <c r="ESS66" s="1"/>
      <c r="EST66" s="1"/>
      <c r="ESU66" s="1"/>
      <c r="ESV66" s="1"/>
      <c r="ESW66" s="1"/>
      <c r="ESX66" s="1"/>
      <c r="ESY66" s="1"/>
      <c r="ESZ66" s="1"/>
      <c r="ETA66" s="1"/>
      <c r="ETB66" s="1"/>
      <c r="ETC66" s="1"/>
      <c r="ETD66" s="1"/>
      <c r="ETE66" s="1"/>
      <c r="ETF66" s="1"/>
      <c r="ETG66" s="1"/>
      <c r="ETH66" s="1"/>
      <c r="ETI66" s="1"/>
      <c r="ETJ66" s="1"/>
      <c r="ETK66" s="1"/>
      <c r="ETL66" s="1"/>
      <c r="ETM66" s="1"/>
      <c r="ETN66" s="1"/>
      <c r="ETO66" s="1"/>
      <c r="ETP66" s="1"/>
      <c r="ETQ66" s="1"/>
      <c r="ETR66" s="1"/>
      <c r="ETS66" s="1"/>
      <c r="ETT66" s="1"/>
      <c r="ETU66" s="1"/>
      <c r="ETV66" s="1"/>
      <c r="ETW66" s="1"/>
      <c r="ETX66" s="1"/>
      <c r="ETY66" s="1"/>
      <c r="ETZ66" s="1"/>
      <c r="EUA66" s="1"/>
      <c r="EUB66" s="1"/>
      <c r="EUC66" s="1"/>
      <c r="EUD66" s="1"/>
      <c r="EUE66" s="1"/>
      <c r="EUF66" s="1"/>
      <c r="EUG66" s="1"/>
      <c r="EUH66" s="1"/>
      <c r="EUI66" s="1"/>
      <c r="EUJ66" s="1"/>
      <c r="EUK66" s="1"/>
      <c r="EUL66" s="1"/>
      <c r="EUM66" s="1"/>
      <c r="EUN66" s="1"/>
      <c r="EUO66" s="1"/>
      <c r="EUP66" s="1"/>
      <c r="EUQ66" s="1"/>
      <c r="EUR66" s="1"/>
      <c r="EUS66" s="1"/>
      <c r="EUT66" s="1"/>
      <c r="EUU66" s="1"/>
      <c r="EUV66" s="1"/>
      <c r="EUW66" s="1"/>
      <c r="EUX66" s="1"/>
      <c r="EUY66" s="1"/>
      <c r="EUZ66" s="1"/>
      <c r="EVA66" s="1"/>
      <c r="EVB66" s="1"/>
      <c r="EVC66" s="1"/>
      <c r="EVD66" s="1"/>
      <c r="EVE66" s="1"/>
      <c r="EVF66" s="1"/>
      <c r="EVG66" s="1"/>
      <c r="EVH66" s="1"/>
      <c r="EVI66" s="1"/>
      <c r="EVJ66" s="1"/>
      <c r="EVK66" s="1"/>
      <c r="EVL66" s="1"/>
      <c r="EVM66" s="1"/>
      <c r="EVN66" s="1"/>
      <c r="EVO66" s="1"/>
      <c r="EVP66" s="1"/>
      <c r="EVQ66" s="1"/>
      <c r="EVR66" s="1"/>
      <c r="EVS66" s="1"/>
      <c r="EVT66" s="1"/>
      <c r="EVU66" s="1"/>
      <c r="EVV66" s="1"/>
      <c r="EVW66" s="1"/>
      <c r="EVX66" s="1"/>
      <c r="EVY66" s="1"/>
      <c r="EVZ66" s="1"/>
      <c r="EWA66" s="1"/>
      <c r="EWB66" s="1"/>
      <c r="EWC66" s="1"/>
      <c r="EWD66" s="1"/>
      <c r="EWE66" s="1"/>
      <c r="EWF66" s="1"/>
      <c r="EWG66" s="1"/>
      <c r="EWH66" s="1"/>
      <c r="EWI66" s="1"/>
      <c r="EWJ66" s="1"/>
      <c r="EWK66" s="1"/>
      <c r="EWL66" s="1"/>
      <c r="EWM66" s="1"/>
      <c r="EWN66" s="1"/>
      <c r="EWO66" s="1"/>
      <c r="EWP66" s="1"/>
      <c r="EWQ66" s="1"/>
      <c r="EWR66" s="1"/>
      <c r="EWS66" s="1"/>
      <c r="EWT66" s="1"/>
      <c r="EWU66" s="1"/>
      <c r="EWV66" s="1"/>
      <c r="EWW66" s="1"/>
      <c r="EWX66" s="1"/>
      <c r="EWY66" s="1"/>
      <c r="EWZ66" s="1"/>
      <c r="EXA66" s="1"/>
      <c r="EXB66" s="1"/>
      <c r="EXC66" s="1"/>
      <c r="EXD66" s="1"/>
      <c r="EXE66" s="1"/>
      <c r="EXF66" s="1"/>
      <c r="EXG66" s="1"/>
      <c r="EXH66" s="1"/>
      <c r="EXI66" s="1"/>
      <c r="EXJ66" s="1"/>
      <c r="EXK66" s="1"/>
      <c r="EXL66" s="1"/>
      <c r="EXM66" s="1"/>
      <c r="EXN66" s="1"/>
      <c r="EXO66" s="1"/>
      <c r="EXP66" s="1"/>
      <c r="EXQ66" s="1"/>
      <c r="EXR66" s="1"/>
      <c r="EXS66" s="1"/>
      <c r="EXT66" s="1"/>
      <c r="EXU66" s="1"/>
      <c r="EXV66" s="1"/>
      <c r="EXW66" s="1"/>
      <c r="EXX66" s="1"/>
      <c r="EXY66" s="1"/>
      <c r="EXZ66" s="1"/>
      <c r="EYA66" s="1"/>
      <c r="EYB66" s="1"/>
      <c r="EYC66" s="1"/>
      <c r="EYD66" s="1"/>
      <c r="EYE66" s="1"/>
      <c r="EYF66" s="1"/>
      <c r="EYG66" s="1"/>
      <c r="EYH66" s="1"/>
      <c r="EYI66" s="1"/>
      <c r="EYJ66" s="1"/>
      <c r="EYK66" s="1"/>
      <c r="EYL66" s="1"/>
      <c r="EYM66" s="1"/>
      <c r="EYN66" s="1"/>
      <c r="EYO66" s="1"/>
      <c r="EYP66" s="1"/>
      <c r="EYQ66" s="1"/>
      <c r="EYR66" s="1"/>
      <c r="EYS66" s="1"/>
      <c r="EYT66" s="1"/>
      <c r="EYU66" s="1"/>
      <c r="EYV66" s="1"/>
      <c r="EYW66" s="1"/>
      <c r="EYX66" s="1"/>
      <c r="EYY66" s="1"/>
      <c r="EYZ66" s="1"/>
      <c r="EZA66" s="1"/>
      <c r="EZB66" s="1"/>
      <c r="EZC66" s="1"/>
      <c r="EZD66" s="1"/>
      <c r="EZE66" s="1"/>
      <c r="EZF66" s="1"/>
      <c r="EZG66" s="1"/>
      <c r="EZH66" s="1"/>
      <c r="EZI66" s="1"/>
      <c r="EZJ66" s="1"/>
      <c r="EZK66" s="1"/>
      <c r="EZL66" s="1"/>
      <c r="EZM66" s="1"/>
      <c r="EZN66" s="1"/>
      <c r="EZO66" s="1"/>
      <c r="EZP66" s="1"/>
      <c r="EZQ66" s="1"/>
      <c r="EZR66" s="1"/>
      <c r="EZS66" s="1"/>
      <c r="EZT66" s="1"/>
      <c r="EZU66" s="1"/>
      <c r="EZV66" s="1"/>
      <c r="EZW66" s="1"/>
      <c r="EZX66" s="1"/>
      <c r="EZY66" s="1"/>
      <c r="EZZ66" s="1"/>
      <c r="FAA66" s="1"/>
      <c r="FAB66" s="1"/>
      <c r="FAC66" s="1"/>
      <c r="FAD66" s="1"/>
      <c r="FAE66" s="1"/>
      <c r="FAF66" s="1"/>
      <c r="FAG66" s="1"/>
      <c r="FAH66" s="1"/>
      <c r="FAI66" s="1"/>
      <c r="FAJ66" s="1"/>
      <c r="FAK66" s="1"/>
      <c r="FAL66" s="1"/>
      <c r="FAM66" s="1"/>
      <c r="FAN66" s="1"/>
      <c r="FAO66" s="1"/>
      <c r="FAP66" s="1"/>
      <c r="FAQ66" s="1"/>
      <c r="FAR66" s="1"/>
      <c r="FAS66" s="1"/>
      <c r="FAT66" s="1"/>
      <c r="FAU66" s="1"/>
      <c r="FAV66" s="1"/>
      <c r="FAW66" s="1"/>
      <c r="FAX66" s="1"/>
      <c r="FAY66" s="1"/>
      <c r="FAZ66" s="1"/>
      <c r="FBA66" s="1"/>
      <c r="FBB66" s="1"/>
      <c r="FBC66" s="1"/>
      <c r="FBD66" s="1"/>
      <c r="FBE66" s="1"/>
      <c r="FBF66" s="1"/>
      <c r="FBG66" s="1"/>
      <c r="FBH66" s="1"/>
      <c r="FBI66" s="1"/>
      <c r="FBJ66" s="1"/>
      <c r="FBK66" s="1"/>
      <c r="FBL66" s="1"/>
      <c r="FBM66" s="1"/>
      <c r="FBN66" s="1"/>
      <c r="FBO66" s="1"/>
      <c r="FBP66" s="1"/>
      <c r="FBQ66" s="1"/>
      <c r="FBR66" s="1"/>
      <c r="FBS66" s="1"/>
      <c r="FBT66" s="1"/>
      <c r="FBU66" s="1"/>
      <c r="FBV66" s="1"/>
      <c r="FBW66" s="1"/>
      <c r="FBX66" s="1"/>
      <c r="FBY66" s="1"/>
      <c r="FBZ66" s="1"/>
      <c r="FCA66" s="1"/>
      <c r="FCB66" s="1"/>
      <c r="FCC66" s="1"/>
      <c r="FCD66" s="1"/>
      <c r="FCE66" s="1"/>
      <c r="FCF66" s="1"/>
      <c r="FCG66" s="1"/>
      <c r="FCH66" s="1"/>
      <c r="FCI66" s="1"/>
      <c r="FCJ66" s="1"/>
      <c r="FCK66" s="1"/>
      <c r="FCL66" s="1"/>
      <c r="FCM66" s="1"/>
      <c r="FCN66" s="1"/>
      <c r="FCO66" s="1"/>
      <c r="FCP66" s="1"/>
      <c r="FCQ66" s="1"/>
      <c r="FCR66" s="1"/>
      <c r="FCS66" s="1"/>
      <c r="FCT66" s="1"/>
      <c r="FCU66" s="1"/>
      <c r="FCV66" s="1"/>
      <c r="FCW66" s="1"/>
      <c r="FCX66" s="1"/>
      <c r="FCY66" s="1"/>
      <c r="FCZ66" s="1"/>
      <c r="FDA66" s="1"/>
      <c r="FDB66" s="1"/>
      <c r="FDC66" s="1"/>
      <c r="FDD66" s="1"/>
      <c r="FDE66" s="1"/>
      <c r="FDF66" s="1"/>
      <c r="FDG66" s="1"/>
      <c r="FDH66" s="1"/>
      <c r="FDI66" s="1"/>
      <c r="FDJ66" s="1"/>
      <c r="FDK66" s="1"/>
      <c r="FDL66" s="1"/>
      <c r="FDM66" s="1"/>
      <c r="FDN66" s="1"/>
      <c r="FDO66" s="1"/>
      <c r="FDP66" s="1"/>
      <c r="FDQ66" s="1"/>
      <c r="FDR66" s="1"/>
      <c r="FDS66" s="1"/>
      <c r="FDT66" s="1"/>
      <c r="FDU66" s="1"/>
      <c r="FDV66" s="1"/>
      <c r="FDW66" s="1"/>
      <c r="FDX66" s="1"/>
      <c r="FDY66" s="1"/>
      <c r="FDZ66" s="1"/>
      <c r="FEA66" s="1"/>
      <c r="FEB66" s="1"/>
      <c r="FEC66" s="1"/>
      <c r="FED66" s="1"/>
      <c r="FEE66" s="1"/>
      <c r="FEF66" s="1"/>
      <c r="FEG66" s="1"/>
      <c r="FEH66" s="1"/>
      <c r="FEI66" s="1"/>
      <c r="FEJ66" s="1"/>
      <c r="FEK66" s="1"/>
      <c r="FEL66" s="1"/>
      <c r="FEM66" s="1"/>
      <c r="FEN66" s="1"/>
      <c r="FEO66" s="1"/>
      <c r="FEP66" s="1"/>
      <c r="FEQ66" s="1"/>
      <c r="FER66" s="1"/>
      <c r="FES66" s="1"/>
      <c r="FET66" s="1"/>
      <c r="FEU66" s="1"/>
      <c r="FEV66" s="1"/>
      <c r="FEW66" s="1"/>
      <c r="FEX66" s="1"/>
      <c r="FEY66" s="1"/>
      <c r="FEZ66" s="1"/>
      <c r="FFA66" s="1"/>
      <c r="FFB66" s="1"/>
      <c r="FFC66" s="1"/>
      <c r="FFD66" s="1"/>
      <c r="FFE66" s="1"/>
      <c r="FFF66" s="1"/>
      <c r="FFG66" s="1"/>
      <c r="FFH66" s="1"/>
      <c r="FFI66" s="1"/>
      <c r="FFJ66" s="1"/>
      <c r="FFK66" s="1"/>
      <c r="FFL66" s="1"/>
      <c r="FFM66" s="1"/>
      <c r="FFN66" s="1"/>
      <c r="FFO66" s="1"/>
      <c r="FFP66" s="1"/>
      <c r="FFQ66" s="1"/>
      <c r="FFR66" s="1"/>
      <c r="FFS66" s="1"/>
      <c r="FFT66" s="1"/>
      <c r="FFU66" s="1"/>
      <c r="FFV66" s="1"/>
      <c r="FFW66" s="1"/>
      <c r="FFX66" s="1"/>
      <c r="FFY66" s="1"/>
      <c r="FFZ66" s="1"/>
      <c r="FGA66" s="1"/>
      <c r="FGB66" s="1"/>
      <c r="FGC66" s="1"/>
      <c r="FGD66" s="1"/>
      <c r="FGE66" s="1"/>
      <c r="FGF66" s="1"/>
      <c r="FGG66" s="1"/>
      <c r="FGH66" s="1"/>
      <c r="FGI66" s="1"/>
      <c r="FGJ66" s="1"/>
      <c r="FGK66" s="1"/>
      <c r="FGL66" s="1"/>
      <c r="FGM66" s="1"/>
      <c r="FGN66" s="1"/>
      <c r="FGO66" s="1"/>
      <c r="FGP66" s="1"/>
      <c r="FGQ66" s="1"/>
      <c r="FGR66" s="1"/>
      <c r="FGS66" s="1"/>
      <c r="FGT66" s="1"/>
      <c r="FGU66" s="1"/>
      <c r="FGV66" s="1"/>
      <c r="FGW66" s="1"/>
      <c r="FGX66" s="1"/>
      <c r="FGY66" s="1"/>
      <c r="FGZ66" s="1"/>
      <c r="FHA66" s="1"/>
      <c r="FHB66" s="1"/>
      <c r="FHC66" s="1"/>
      <c r="FHD66" s="1"/>
      <c r="FHE66" s="1"/>
      <c r="FHF66" s="1"/>
      <c r="FHG66" s="1"/>
      <c r="FHH66" s="1"/>
      <c r="FHI66" s="1"/>
      <c r="FHJ66" s="1"/>
      <c r="FHK66" s="1"/>
      <c r="FHL66" s="1"/>
      <c r="FHM66" s="1"/>
      <c r="FHN66" s="1"/>
      <c r="FHO66" s="1"/>
      <c r="FHP66" s="1"/>
      <c r="FHQ66" s="1"/>
      <c r="FHR66" s="1"/>
      <c r="FHS66" s="1"/>
      <c r="FHT66" s="1"/>
      <c r="FHU66" s="1"/>
      <c r="FHV66" s="1"/>
      <c r="FHW66" s="1"/>
      <c r="FHX66" s="1"/>
      <c r="FHY66" s="1"/>
      <c r="FHZ66" s="1"/>
      <c r="FIA66" s="1"/>
      <c r="FIB66" s="1"/>
      <c r="FIC66" s="1"/>
      <c r="FID66" s="1"/>
      <c r="FIE66" s="1"/>
      <c r="FIF66" s="1"/>
      <c r="FIG66" s="1"/>
      <c r="FIH66" s="1"/>
      <c r="FII66" s="1"/>
      <c r="FIJ66" s="1"/>
      <c r="FIK66" s="1"/>
      <c r="FIL66" s="1"/>
      <c r="FIM66" s="1"/>
      <c r="FIN66" s="1"/>
      <c r="FIO66" s="1"/>
      <c r="FIP66" s="1"/>
      <c r="FIQ66" s="1"/>
      <c r="FIR66" s="1"/>
      <c r="FIS66" s="1"/>
      <c r="FIT66" s="1"/>
      <c r="FIU66" s="1"/>
      <c r="FIV66" s="1"/>
      <c r="FIW66" s="1"/>
      <c r="FIX66" s="1"/>
      <c r="FIY66" s="1"/>
      <c r="FIZ66" s="1"/>
      <c r="FJA66" s="1"/>
      <c r="FJB66" s="1"/>
      <c r="FJC66" s="1"/>
      <c r="FJD66" s="1"/>
      <c r="FJE66" s="1"/>
      <c r="FJF66" s="1"/>
      <c r="FJG66" s="1"/>
      <c r="FJH66" s="1"/>
      <c r="FJI66" s="1"/>
      <c r="FJJ66" s="1"/>
      <c r="FJK66" s="1"/>
      <c r="FJL66" s="1"/>
      <c r="FJM66" s="1"/>
      <c r="FJN66" s="1"/>
      <c r="FJO66" s="1"/>
      <c r="FJP66" s="1"/>
      <c r="FJQ66" s="1"/>
      <c r="FJR66" s="1"/>
      <c r="FJS66" s="1"/>
      <c r="FJT66" s="1"/>
      <c r="FJU66" s="1"/>
      <c r="FJV66" s="1"/>
      <c r="FJW66" s="1"/>
      <c r="FJX66" s="1"/>
      <c r="FJY66" s="1"/>
      <c r="FJZ66" s="1"/>
      <c r="FKA66" s="1"/>
      <c r="FKB66" s="1"/>
      <c r="FKC66" s="1"/>
      <c r="FKD66" s="1"/>
      <c r="FKE66" s="1"/>
      <c r="FKF66" s="1"/>
      <c r="FKG66" s="1"/>
      <c r="FKH66" s="1"/>
      <c r="FKI66" s="1"/>
      <c r="FKJ66" s="1"/>
      <c r="FKK66" s="1"/>
      <c r="FKL66" s="1"/>
      <c r="FKM66" s="1"/>
      <c r="FKN66" s="1"/>
      <c r="FKO66" s="1"/>
      <c r="FKP66" s="1"/>
      <c r="FKQ66" s="1"/>
      <c r="FKR66" s="1"/>
      <c r="FKS66" s="1"/>
      <c r="FKT66" s="1"/>
      <c r="FKU66" s="1"/>
      <c r="FKV66" s="1"/>
      <c r="FKW66" s="1"/>
      <c r="FKX66" s="1"/>
      <c r="FKY66" s="1"/>
      <c r="FKZ66" s="1"/>
      <c r="FLA66" s="1"/>
      <c r="FLB66" s="1"/>
      <c r="FLC66" s="1"/>
      <c r="FLD66" s="1"/>
      <c r="FLE66" s="1"/>
      <c r="FLF66" s="1"/>
      <c r="FLG66" s="1"/>
      <c r="FLH66" s="1"/>
      <c r="FLI66" s="1"/>
      <c r="FLJ66" s="1"/>
      <c r="FLK66" s="1"/>
      <c r="FLL66" s="1"/>
      <c r="FLM66" s="1"/>
      <c r="FLN66" s="1"/>
      <c r="FLO66" s="1"/>
      <c r="FLP66" s="1"/>
      <c r="FLQ66" s="1"/>
      <c r="FLR66" s="1"/>
      <c r="FLS66" s="1"/>
      <c r="FLT66" s="1"/>
      <c r="FLU66" s="1"/>
      <c r="FLV66" s="1"/>
      <c r="FLW66" s="1"/>
      <c r="FLX66" s="1"/>
      <c r="FLY66" s="1"/>
      <c r="FLZ66" s="1"/>
      <c r="FMA66" s="1"/>
      <c r="FMB66" s="1"/>
      <c r="FMC66" s="1"/>
      <c r="FMD66" s="1"/>
      <c r="FME66" s="1"/>
      <c r="FMF66" s="1"/>
      <c r="FMG66" s="1"/>
      <c r="FMH66" s="1"/>
      <c r="FMI66" s="1"/>
      <c r="FMJ66" s="1"/>
      <c r="FMK66" s="1"/>
      <c r="FML66" s="1"/>
      <c r="FMM66" s="1"/>
      <c r="FMN66" s="1"/>
      <c r="FMO66" s="1"/>
      <c r="FMP66" s="1"/>
      <c r="FMQ66" s="1"/>
      <c r="FMR66" s="1"/>
      <c r="FMS66" s="1"/>
      <c r="FMT66" s="1"/>
      <c r="FMU66" s="1"/>
      <c r="FMV66" s="1"/>
      <c r="FMW66" s="1"/>
      <c r="FMX66" s="1"/>
      <c r="FMY66" s="1"/>
      <c r="FMZ66" s="1"/>
      <c r="FNA66" s="1"/>
      <c r="FNB66" s="1"/>
      <c r="FNC66" s="1"/>
      <c r="FND66" s="1"/>
      <c r="FNE66" s="1"/>
      <c r="FNF66" s="1"/>
      <c r="FNG66" s="1"/>
      <c r="FNH66" s="1"/>
      <c r="FNI66" s="1"/>
      <c r="FNJ66" s="1"/>
      <c r="FNK66" s="1"/>
      <c r="FNL66" s="1"/>
      <c r="FNM66" s="1"/>
      <c r="FNN66" s="1"/>
      <c r="FNO66" s="1"/>
      <c r="FNP66" s="1"/>
      <c r="FNQ66" s="1"/>
      <c r="FNR66" s="1"/>
      <c r="FNS66" s="1"/>
      <c r="FNT66" s="1"/>
      <c r="FNU66" s="1"/>
      <c r="FNV66" s="1"/>
      <c r="FNW66" s="1"/>
      <c r="FNX66" s="1"/>
      <c r="FNY66" s="1"/>
      <c r="FNZ66" s="1"/>
      <c r="FOA66" s="1"/>
      <c r="FOB66" s="1"/>
      <c r="FOC66" s="1"/>
      <c r="FOD66" s="1"/>
      <c r="FOE66" s="1"/>
      <c r="FOF66" s="1"/>
      <c r="FOG66" s="1"/>
      <c r="FOH66" s="1"/>
      <c r="FOI66" s="1"/>
      <c r="FOJ66" s="1"/>
      <c r="FOK66" s="1"/>
      <c r="FOL66" s="1"/>
      <c r="FOM66" s="1"/>
      <c r="FON66" s="1"/>
      <c r="FOO66" s="1"/>
      <c r="FOP66" s="1"/>
      <c r="FOQ66" s="1"/>
      <c r="FOR66" s="1"/>
      <c r="FOS66" s="1"/>
      <c r="FOT66" s="1"/>
      <c r="FOU66" s="1"/>
      <c r="FOV66" s="1"/>
      <c r="FOW66" s="1"/>
      <c r="FOX66" s="1"/>
      <c r="FOY66" s="1"/>
      <c r="FOZ66" s="1"/>
      <c r="FPA66" s="1"/>
      <c r="FPB66" s="1"/>
      <c r="FPC66" s="1"/>
      <c r="FPD66" s="1"/>
      <c r="FPE66" s="1"/>
      <c r="FPF66" s="1"/>
      <c r="FPG66" s="1"/>
      <c r="FPH66" s="1"/>
      <c r="FPI66" s="1"/>
      <c r="FPJ66" s="1"/>
      <c r="FPK66" s="1"/>
      <c r="FPL66" s="1"/>
      <c r="FPM66" s="1"/>
      <c r="FPN66" s="1"/>
      <c r="FPO66" s="1"/>
      <c r="FPP66" s="1"/>
      <c r="FPQ66" s="1"/>
      <c r="FPR66" s="1"/>
      <c r="FPS66" s="1"/>
      <c r="FPT66" s="1"/>
      <c r="FPU66" s="1"/>
      <c r="FPV66" s="1"/>
      <c r="FPW66" s="1"/>
      <c r="FPX66" s="1"/>
      <c r="FPY66" s="1"/>
      <c r="FPZ66" s="1"/>
      <c r="FQA66" s="1"/>
      <c r="FQB66" s="1"/>
      <c r="FQC66" s="1"/>
      <c r="FQD66" s="1"/>
      <c r="FQE66" s="1"/>
      <c r="FQF66" s="1"/>
      <c r="FQG66" s="1"/>
      <c r="FQH66" s="1"/>
      <c r="FQI66" s="1"/>
      <c r="FQJ66" s="1"/>
      <c r="FQK66" s="1"/>
      <c r="FQL66" s="1"/>
      <c r="FQM66" s="1"/>
      <c r="FQN66" s="1"/>
      <c r="FQO66" s="1"/>
      <c r="FQP66" s="1"/>
      <c r="FQQ66" s="1"/>
      <c r="FQR66" s="1"/>
      <c r="FQS66" s="1"/>
      <c r="FQT66" s="1"/>
      <c r="FQU66" s="1"/>
      <c r="FQV66" s="1"/>
      <c r="FQW66" s="1"/>
      <c r="FQX66" s="1"/>
      <c r="FQY66" s="1"/>
      <c r="FQZ66" s="1"/>
      <c r="FRA66" s="1"/>
      <c r="FRB66" s="1"/>
      <c r="FRC66" s="1"/>
      <c r="FRD66" s="1"/>
      <c r="FRE66" s="1"/>
      <c r="FRF66" s="1"/>
      <c r="FRG66" s="1"/>
      <c r="FRH66" s="1"/>
      <c r="FRI66" s="1"/>
      <c r="FRJ66" s="1"/>
      <c r="FRK66" s="1"/>
      <c r="FRL66" s="1"/>
      <c r="FRM66" s="1"/>
      <c r="FRN66" s="1"/>
      <c r="FRO66" s="1"/>
      <c r="FRP66" s="1"/>
      <c r="FRQ66" s="1"/>
      <c r="FRR66" s="1"/>
      <c r="FRS66" s="1"/>
      <c r="FRT66" s="1"/>
      <c r="FRU66" s="1"/>
      <c r="FRV66" s="1"/>
      <c r="FRW66" s="1"/>
      <c r="FRX66" s="1"/>
      <c r="FRY66" s="1"/>
      <c r="FRZ66" s="1"/>
      <c r="FSA66" s="1"/>
      <c r="FSB66" s="1"/>
      <c r="FSC66" s="1"/>
      <c r="FSD66" s="1"/>
      <c r="FSE66" s="1"/>
      <c r="FSF66" s="1"/>
      <c r="FSG66" s="1"/>
      <c r="FSH66" s="1"/>
      <c r="FSI66" s="1"/>
      <c r="FSJ66" s="1"/>
      <c r="FSK66" s="1"/>
      <c r="FSL66" s="1"/>
      <c r="FSM66" s="1"/>
      <c r="FSN66" s="1"/>
      <c r="FSO66" s="1"/>
      <c r="FSP66" s="1"/>
      <c r="FSQ66" s="1"/>
      <c r="FSR66" s="1"/>
      <c r="FSS66" s="1"/>
      <c r="FST66" s="1"/>
      <c r="FSU66" s="1"/>
      <c r="FSV66" s="1"/>
      <c r="FSW66" s="1"/>
      <c r="FSX66" s="1"/>
      <c r="FSY66" s="1"/>
      <c r="FSZ66" s="1"/>
      <c r="FTA66" s="1"/>
      <c r="FTB66" s="1"/>
      <c r="FTC66" s="1"/>
      <c r="FTD66" s="1"/>
      <c r="FTE66" s="1"/>
      <c r="FTF66" s="1"/>
      <c r="FTG66" s="1"/>
      <c r="FTH66" s="1"/>
      <c r="FTI66" s="1"/>
      <c r="FTJ66" s="1"/>
      <c r="FTK66" s="1"/>
      <c r="FTL66" s="1"/>
      <c r="FTM66" s="1"/>
      <c r="FTN66" s="1"/>
      <c r="FTO66" s="1"/>
      <c r="FTP66" s="1"/>
      <c r="FTQ66" s="1"/>
      <c r="FTR66" s="1"/>
      <c r="FTS66" s="1"/>
      <c r="FTT66" s="1"/>
      <c r="FTU66" s="1"/>
      <c r="FTV66" s="1"/>
      <c r="FTW66" s="1"/>
      <c r="FTX66" s="1"/>
      <c r="FTY66" s="1"/>
      <c r="FTZ66" s="1"/>
      <c r="FUA66" s="1"/>
      <c r="FUB66" s="1"/>
      <c r="FUC66" s="1"/>
      <c r="FUD66" s="1"/>
      <c r="FUE66" s="1"/>
      <c r="FUF66" s="1"/>
      <c r="FUG66" s="1"/>
      <c r="FUH66" s="1"/>
      <c r="FUI66" s="1"/>
      <c r="FUJ66" s="1"/>
      <c r="FUK66" s="1"/>
      <c r="FUL66" s="1"/>
      <c r="FUM66" s="1"/>
      <c r="FUN66" s="1"/>
      <c r="FUO66" s="1"/>
      <c r="FUP66" s="1"/>
      <c r="FUQ66" s="1"/>
      <c r="FUR66" s="1"/>
      <c r="FUS66" s="1"/>
      <c r="FUT66" s="1"/>
      <c r="FUU66" s="1"/>
      <c r="FUV66" s="1"/>
      <c r="FUW66" s="1"/>
      <c r="FUX66" s="1"/>
      <c r="FUY66" s="1"/>
      <c r="FUZ66" s="1"/>
      <c r="FVA66" s="1"/>
      <c r="FVB66" s="1"/>
      <c r="FVC66" s="1"/>
      <c r="FVD66" s="1"/>
      <c r="FVE66" s="1"/>
      <c r="FVF66" s="1"/>
      <c r="FVG66" s="1"/>
      <c r="FVH66" s="1"/>
      <c r="FVI66" s="1"/>
      <c r="FVJ66" s="1"/>
      <c r="FVK66" s="1"/>
      <c r="FVL66" s="1"/>
      <c r="FVM66" s="1"/>
      <c r="FVN66" s="1"/>
      <c r="FVO66" s="1"/>
      <c r="FVP66" s="1"/>
      <c r="FVQ66" s="1"/>
      <c r="FVR66" s="1"/>
      <c r="FVS66" s="1"/>
      <c r="FVT66" s="1"/>
      <c r="FVU66" s="1"/>
      <c r="FVV66" s="1"/>
      <c r="FVW66" s="1"/>
      <c r="FVX66" s="1"/>
      <c r="FVY66" s="1"/>
      <c r="FVZ66" s="1"/>
      <c r="FWA66" s="1"/>
      <c r="FWB66" s="1"/>
      <c r="FWC66" s="1"/>
      <c r="FWD66" s="1"/>
      <c r="FWE66" s="1"/>
      <c r="FWF66" s="1"/>
      <c r="FWG66" s="1"/>
      <c r="FWH66" s="1"/>
      <c r="FWI66" s="1"/>
      <c r="FWJ66" s="1"/>
      <c r="FWK66" s="1"/>
      <c r="FWL66" s="1"/>
      <c r="FWM66" s="1"/>
      <c r="FWN66" s="1"/>
      <c r="FWO66" s="1"/>
      <c r="FWP66" s="1"/>
      <c r="FWQ66" s="1"/>
      <c r="FWR66" s="1"/>
      <c r="FWS66" s="1"/>
      <c r="FWT66" s="1"/>
      <c r="FWU66" s="1"/>
      <c r="FWV66" s="1"/>
      <c r="FWW66" s="1"/>
      <c r="FWX66" s="1"/>
      <c r="FWY66" s="1"/>
      <c r="FWZ66" s="1"/>
      <c r="FXA66" s="1"/>
      <c r="FXB66" s="1"/>
      <c r="FXC66" s="1"/>
      <c r="FXD66" s="1"/>
      <c r="FXE66" s="1"/>
      <c r="FXF66" s="1"/>
      <c r="FXG66" s="1"/>
      <c r="FXH66" s="1"/>
      <c r="FXI66" s="1"/>
      <c r="FXJ66" s="1"/>
      <c r="FXK66" s="1"/>
      <c r="FXL66" s="1"/>
      <c r="FXM66" s="1"/>
      <c r="FXN66" s="1"/>
      <c r="FXO66" s="1"/>
      <c r="FXP66" s="1"/>
      <c r="FXQ66" s="1"/>
      <c r="FXR66" s="1"/>
      <c r="FXS66" s="1"/>
      <c r="FXT66" s="1"/>
      <c r="FXU66" s="1"/>
      <c r="FXV66" s="1"/>
      <c r="FXW66" s="1"/>
      <c r="FXX66" s="1"/>
      <c r="FXY66" s="1"/>
      <c r="FXZ66" s="1"/>
      <c r="FYA66" s="1"/>
      <c r="FYB66" s="1"/>
      <c r="FYC66" s="1"/>
      <c r="FYD66" s="1"/>
      <c r="FYE66" s="1"/>
      <c r="FYF66" s="1"/>
      <c r="FYG66" s="1"/>
      <c r="FYH66" s="1"/>
      <c r="FYI66" s="1"/>
      <c r="FYJ66" s="1"/>
      <c r="FYK66" s="1"/>
      <c r="FYL66" s="1"/>
      <c r="FYM66" s="1"/>
      <c r="FYN66" s="1"/>
      <c r="FYO66" s="1"/>
      <c r="FYP66" s="1"/>
      <c r="FYQ66" s="1"/>
      <c r="FYR66" s="1"/>
      <c r="FYS66" s="1"/>
      <c r="FYT66" s="1"/>
      <c r="FYU66" s="1"/>
      <c r="FYV66" s="1"/>
      <c r="FYW66" s="1"/>
      <c r="FYX66" s="1"/>
      <c r="FYY66" s="1"/>
      <c r="FYZ66" s="1"/>
      <c r="FZA66" s="1"/>
      <c r="FZB66" s="1"/>
      <c r="FZC66" s="1"/>
      <c r="FZD66" s="1"/>
      <c r="FZE66" s="1"/>
      <c r="FZF66" s="1"/>
      <c r="FZG66" s="1"/>
      <c r="FZH66" s="1"/>
      <c r="FZI66" s="1"/>
      <c r="FZJ66" s="1"/>
      <c r="FZK66" s="1"/>
      <c r="FZL66" s="1"/>
      <c r="FZM66" s="1"/>
      <c r="FZN66" s="1"/>
      <c r="FZO66" s="1"/>
      <c r="FZP66" s="1"/>
      <c r="FZQ66" s="1"/>
      <c r="FZR66" s="1"/>
      <c r="FZS66" s="1"/>
      <c r="FZT66" s="1"/>
      <c r="FZU66" s="1"/>
      <c r="FZV66" s="1"/>
      <c r="FZW66" s="1"/>
      <c r="FZX66" s="1"/>
      <c r="FZY66" s="1"/>
      <c r="FZZ66" s="1"/>
      <c r="GAA66" s="1"/>
      <c r="GAB66" s="1"/>
      <c r="GAC66" s="1"/>
      <c r="GAD66" s="1"/>
      <c r="GAE66" s="1"/>
      <c r="GAF66" s="1"/>
      <c r="GAG66" s="1"/>
      <c r="GAH66" s="1"/>
      <c r="GAI66" s="1"/>
      <c r="GAJ66" s="1"/>
      <c r="GAK66" s="1"/>
      <c r="GAL66" s="1"/>
      <c r="GAM66" s="1"/>
      <c r="GAN66" s="1"/>
      <c r="GAO66" s="1"/>
      <c r="GAP66" s="1"/>
      <c r="GAQ66" s="1"/>
      <c r="GAR66" s="1"/>
      <c r="GAS66" s="1"/>
      <c r="GAT66" s="1"/>
      <c r="GAU66" s="1"/>
      <c r="GAV66" s="1"/>
      <c r="GAW66" s="1"/>
      <c r="GAX66" s="1"/>
      <c r="GAY66" s="1"/>
      <c r="GAZ66" s="1"/>
      <c r="GBA66" s="1"/>
      <c r="GBB66" s="1"/>
      <c r="GBC66" s="1"/>
      <c r="GBD66" s="1"/>
      <c r="GBE66" s="1"/>
      <c r="GBF66" s="1"/>
      <c r="GBG66" s="1"/>
      <c r="GBH66" s="1"/>
      <c r="GBI66" s="1"/>
      <c r="GBJ66" s="1"/>
      <c r="GBK66" s="1"/>
      <c r="GBL66" s="1"/>
      <c r="GBM66" s="1"/>
      <c r="GBN66" s="1"/>
      <c r="GBO66" s="1"/>
      <c r="GBP66" s="1"/>
      <c r="GBQ66" s="1"/>
      <c r="GBR66" s="1"/>
      <c r="GBS66" s="1"/>
      <c r="GBT66" s="1"/>
      <c r="GBU66" s="1"/>
      <c r="GBV66" s="1"/>
      <c r="GBW66" s="1"/>
      <c r="GBX66" s="1"/>
      <c r="GBY66" s="1"/>
      <c r="GBZ66" s="1"/>
      <c r="GCA66" s="1"/>
      <c r="GCB66" s="1"/>
      <c r="GCC66" s="1"/>
      <c r="GCD66" s="1"/>
      <c r="GCE66" s="1"/>
      <c r="GCF66" s="1"/>
      <c r="GCG66" s="1"/>
      <c r="GCH66" s="1"/>
      <c r="GCI66" s="1"/>
      <c r="GCJ66" s="1"/>
      <c r="GCK66" s="1"/>
      <c r="GCL66" s="1"/>
      <c r="GCM66" s="1"/>
      <c r="GCN66" s="1"/>
      <c r="GCO66" s="1"/>
      <c r="GCP66" s="1"/>
      <c r="GCQ66" s="1"/>
      <c r="GCR66" s="1"/>
      <c r="GCS66" s="1"/>
      <c r="GCT66" s="1"/>
      <c r="GCU66" s="1"/>
      <c r="GCV66" s="1"/>
      <c r="GCW66" s="1"/>
      <c r="GCX66" s="1"/>
      <c r="GCY66" s="1"/>
      <c r="GCZ66" s="1"/>
      <c r="GDA66" s="1"/>
      <c r="GDB66" s="1"/>
      <c r="GDC66" s="1"/>
      <c r="GDD66" s="1"/>
      <c r="GDE66" s="1"/>
      <c r="GDF66" s="1"/>
      <c r="GDG66" s="1"/>
      <c r="GDH66" s="1"/>
      <c r="GDI66" s="1"/>
      <c r="GDJ66" s="1"/>
      <c r="GDK66" s="1"/>
      <c r="GDL66" s="1"/>
      <c r="GDM66" s="1"/>
      <c r="GDN66" s="1"/>
      <c r="GDO66" s="1"/>
      <c r="GDP66" s="1"/>
      <c r="GDQ66" s="1"/>
      <c r="GDR66" s="1"/>
      <c r="GDS66" s="1"/>
      <c r="GDT66" s="1"/>
      <c r="GDU66" s="1"/>
      <c r="GDV66" s="1"/>
      <c r="GDW66" s="1"/>
      <c r="GDX66" s="1"/>
      <c r="GDY66" s="1"/>
      <c r="GDZ66" s="1"/>
      <c r="GEA66" s="1"/>
      <c r="GEB66" s="1"/>
      <c r="GEC66" s="1"/>
      <c r="GED66" s="1"/>
      <c r="GEE66" s="1"/>
      <c r="GEF66" s="1"/>
      <c r="GEG66" s="1"/>
      <c r="GEH66" s="1"/>
      <c r="GEI66" s="1"/>
      <c r="GEJ66" s="1"/>
      <c r="GEK66" s="1"/>
      <c r="GEL66" s="1"/>
      <c r="GEM66" s="1"/>
      <c r="GEN66" s="1"/>
      <c r="GEO66" s="1"/>
      <c r="GEP66" s="1"/>
      <c r="GEQ66" s="1"/>
      <c r="GER66" s="1"/>
      <c r="GES66" s="1"/>
      <c r="GET66" s="1"/>
      <c r="GEU66" s="1"/>
      <c r="GEV66" s="1"/>
      <c r="GEW66" s="1"/>
      <c r="GEX66" s="1"/>
      <c r="GEY66" s="1"/>
      <c r="GEZ66" s="1"/>
      <c r="GFA66" s="1"/>
      <c r="GFB66" s="1"/>
      <c r="GFC66" s="1"/>
      <c r="GFD66" s="1"/>
      <c r="GFE66" s="1"/>
      <c r="GFF66" s="1"/>
      <c r="GFG66" s="1"/>
      <c r="GFH66" s="1"/>
      <c r="GFI66" s="1"/>
      <c r="GFJ66" s="1"/>
      <c r="GFK66" s="1"/>
      <c r="GFL66" s="1"/>
      <c r="GFM66" s="1"/>
      <c r="GFN66" s="1"/>
      <c r="GFO66" s="1"/>
      <c r="GFP66" s="1"/>
      <c r="GFQ66" s="1"/>
      <c r="GFR66" s="1"/>
      <c r="GFS66" s="1"/>
      <c r="GFT66" s="1"/>
      <c r="GFU66" s="1"/>
      <c r="GFV66" s="1"/>
      <c r="GFW66" s="1"/>
      <c r="GFX66" s="1"/>
      <c r="GFY66" s="1"/>
      <c r="GFZ66" s="1"/>
      <c r="GGA66" s="1"/>
      <c r="GGB66" s="1"/>
      <c r="GGC66" s="1"/>
      <c r="GGD66" s="1"/>
      <c r="GGE66" s="1"/>
      <c r="GGF66" s="1"/>
      <c r="GGG66" s="1"/>
      <c r="GGH66" s="1"/>
      <c r="GGI66" s="1"/>
      <c r="GGJ66" s="1"/>
      <c r="GGK66" s="1"/>
      <c r="GGL66" s="1"/>
      <c r="GGM66" s="1"/>
      <c r="GGN66" s="1"/>
      <c r="GGO66" s="1"/>
      <c r="GGP66" s="1"/>
      <c r="GGQ66" s="1"/>
      <c r="GGR66" s="1"/>
      <c r="GGS66" s="1"/>
      <c r="GGT66" s="1"/>
      <c r="GGU66" s="1"/>
      <c r="GGV66" s="1"/>
      <c r="GGW66" s="1"/>
      <c r="GGX66" s="1"/>
      <c r="GGY66" s="1"/>
      <c r="GGZ66" s="1"/>
      <c r="GHA66" s="1"/>
      <c r="GHB66" s="1"/>
      <c r="GHC66" s="1"/>
      <c r="GHD66" s="1"/>
      <c r="GHE66" s="1"/>
      <c r="GHF66" s="1"/>
      <c r="GHG66" s="1"/>
      <c r="GHH66" s="1"/>
      <c r="GHI66" s="1"/>
      <c r="GHJ66" s="1"/>
      <c r="GHK66" s="1"/>
      <c r="GHL66" s="1"/>
      <c r="GHM66" s="1"/>
      <c r="GHN66" s="1"/>
      <c r="GHO66" s="1"/>
      <c r="GHP66" s="1"/>
      <c r="GHQ66" s="1"/>
      <c r="GHR66" s="1"/>
      <c r="GHS66" s="1"/>
      <c r="GHT66" s="1"/>
      <c r="GHU66" s="1"/>
      <c r="GHV66" s="1"/>
      <c r="GHW66" s="1"/>
      <c r="GHX66" s="1"/>
      <c r="GHY66" s="1"/>
      <c r="GHZ66" s="1"/>
      <c r="GIA66" s="1"/>
      <c r="GIB66" s="1"/>
      <c r="GIC66" s="1"/>
      <c r="GID66" s="1"/>
      <c r="GIE66" s="1"/>
      <c r="GIF66" s="1"/>
      <c r="GIG66" s="1"/>
      <c r="GIH66" s="1"/>
      <c r="GII66" s="1"/>
      <c r="GIJ66" s="1"/>
      <c r="GIK66" s="1"/>
      <c r="GIL66" s="1"/>
      <c r="GIM66" s="1"/>
      <c r="GIN66" s="1"/>
      <c r="GIO66" s="1"/>
      <c r="GIP66" s="1"/>
      <c r="GIQ66" s="1"/>
      <c r="GIR66" s="1"/>
      <c r="GIS66" s="1"/>
      <c r="GIT66" s="1"/>
      <c r="GIU66" s="1"/>
      <c r="GIV66" s="1"/>
      <c r="GIW66" s="1"/>
      <c r="GIX66" s="1"/>
      <c r="GIY66" s="1"/>
      <c r="GIZ66" s="1"/>
      <c r="GJA66" s="1"/>
      <c r="GJB66" s="1"/>
      <c r="GJC66" s="1"/>
      <c r="GJD66" s="1"/>
      <c r="GJE66" s="1"/>
      <c r="GJF66" s="1"/>
      <c r="GJG66" s="1"/>
      <c r="GJH66" s="1"/>
      <c r="GJI66" s="1"/>
      <c r="GJJ66" s="1"/>
      <c r="GJK66" s="1"/>
      <c r="GJL66" s="1"/>
      <c r="GJM66" s="1"/>
      <c r="GJN66" s="1"/>
      <c r="GJO66" s="1"/>
      <c r="GJP66" s="1"/>
      <c r="GJQ66" s="1"/>
      <c r="GJR66" s="1"/>
      <c r="GJS66" s="1"/>
      <c r="GJT66" s="1"/>
      <c r="GJU66" s="1"/>
      <c r="GJV66" s="1"/>
      <c r="GJW66" s="1"/>
      <c r="GJX66" s="1"/>
      <c r="GJY66" s="1"/>
      <c r="GJZ66" s="1"/>
      <c r="GKA66" s="1"/>
      <c r="GKB66" s="1"/>
      <c r="GKC66" s="1"/>
      <c r="GKD66" s="1"/>
      <c r="GKE66" s="1"/>
      <c r="GKF66" s="1"/>
      <c r="GKG66" s="1"/>
      <c r="GKH66" s="1"/>
      <c r="GKI66" s="1"/>
      <c r="GKJ66" s="1"/>
      <c r="GKK66" s="1"/>
      <c r="GKL66" s="1"/>
      <c r="GKM66" s="1"/>
      <c r="GKN66" s="1"/>
      <c r="GKO66" s="1"/>
      <c r="GKP66" s="1"/>
      <c r="GKQ66" s="1"/>
      <c r="GKR66" s="1"/>
      <c r="GKS66" s="1"/>
      <c r="GKT66" s="1"/>
      <c r="GKU66" s="1"/>
      <c r="GKV66" s="1"/>
      <c r="GKW66" s="1"/>
      <c r="GKX66" s="1"/>
      <c r="GKY66" s="1"/>
      <c r="GKZ66" s="1"/>
      <c r="GLA66" s="1"/>
      <c r="GLB66" s="1"/>
      <c r="GLC66" s="1"/>
      <c r="GLD66" s="1"/>
      <c r="GLE66" s="1"/>
      <c r="GLF66" s="1"/>
      <c r="GLG66" s="1"/>
      <c r="GLH66" s="1"/>
      <c r="GLI66" s="1"/>
      <c r="GLJ66" s="1"/>
      <c r="GLK66" s="1"/>
      <c r="GLL66" s="1"/>
      <c r="GLM66" s="1"/>
      <c r="GLN66" s="1"/>
      <c r="GLO66" s="1"/>
      <c r="GLP66" s="1"/>
      <c r="GLQ66" s="1"/>
      <c r="GLR66" s="1"/>
      <c r="GLS66" s="1"/>
      <c r="GLT66" s="1"/>
      <c r="GLU66" s="1"/>
      <c r="GLV66" s="1"/>
      <c r="GLW66" s="1"/>
      <c r="GLX66" s="1"/>
      <c r="GLY66" s="1"/>
      <c r="GLZ66" s="1"/>
      <c r="GMA66" s="1"/>
      <c r="GMB66" s="1"/>
      <c r="GMC66" s="1"/>
      <c r="GMD66" s="1"/>
      <c r="GME66" s="1"/>
      <c r="GMF66" s="1"/>
      <c r="GMG66" s="1"/>
      <c r="GMH66" s="1"/>
      <c r="GMI66" s="1"/>
      <c r="GMJ66" s="1"/>
      <c r="GMK66" s="1"/>
      <c r="GML66" s="1"/>
      <c r="GMM66" s="1"/>
      <c r="GMN66" s="1"/>
      <c r="GMO66" s="1"/>
      <c r="GMP66" s="1"/>
      <c r="GMQ66" s="1"/>
      <c r="GMR66" s="1"/>
      <c r="GMS66" s="1"/>
      <c r="GMT66" s="1"/>
      <c r="GMU66" s="1"/>
      <c r="GMV66" s="1"/>
      <c r="GMW66" s="1"/>
      <c r="GMX66" s="1"/>
      <c r="GMY66" s="1"/>
      <c r="GMZ66" s="1"/>
      <c r="GNA66" s="1"/>
      <c r="GNB66" s="1"/>
      <c r="GNC66" s="1"/>
      <c r="GND66" s="1"/>
      <c r="GNE66" s="1"/>
      <c r="GNF66" s="1"/>
      <c r="GNG66" s="1"/>
      <c r="GNH66" s="1"/>
      <c r="GNI66" s="1"/>
      <c r="GNJ66" s="1"/>
      <c r="GNK66" s="1"/>
      <c r="GNL66" s="1"/>
      <c r="GNM66" s="1"/>
      <c r="GNN66" s="1"/>
      <c r="GNO66" s="1"/>
      <c r="GNP66" s="1"/>
      <c r="GNQ66" s="1"/>
      <c r="GNR66" s="1"/>
      <c r="GNS66" s="1"/>
      <c r="GNT66" s="1"/>
      <c r="GNU66" s="1"/>
      <c r="GNV66" s="1"/>
      <c r="GNW66" s="1"/>
      <c r="GNX66" s="1"/>
      <c r="GNY66" s="1"/>
      <c r="GNZ66" s="1"/>
      <c r="GOA66" s="1"/>
      <c r="GOB66" s="1"/>
      <c r="GOC66" s="1"/>
      <c r="GOD66" s="1"/>
      <c r="GOE66" s="1"/>
      <c r="GOF66" s="1"/>
      <c r="GOG66" s="1"/>
      <c r="GOH66" s="1"/>
      <c r="GOI66" s="1"/>
      <c r="GOJ66" s="1"/>
      <c r="GOK66" s="1"/>
      <c r="GOL66" s="1"/>
      <c r="GOM66" s="1"/>
      <c r="GON66" s="1"/>
      <c r="GOO66" s="1"/>
      <c r="GOP66" s="1"/>
      <c r="GOQ66" s="1"/>
      <c r="GOR66" s="1"/>
      <c r="GOS66" s="1"/>
      <c r="GOT66" s="1"/>
      <c r="GOU66" s="1"/>
      <c r="GOV66" s="1"/>
      <c r="GOW66" s="1"/>
      <c r="GOX66" s="1"/>
      <c r="GOY66" s="1"/>
      <c r="GOZ66" s="1"/>
      <c r="GPA66" s="1"/>
      <c r="GPB66" s="1"/>
      <c r="GPC66" s="1"/>
      <c r="GPD66" s="1"/>
      <c r="GPE66" s="1"/>
      <c r="GPF66" s="1"/>
      <c r="GPG66" s="1"/>
      <c r="GPH66" s="1"/>
      <c r="GPI66" s="1"/>
      <c r="GPJ66" s="1"/>
      <c r="GPK66" s="1"/>
      <c r="GPL66" s="1"/>
      <c r="GPM66" s="1"/>
      <c r="GPN66" s="1"/>
      <c r="GPO66" s="1"/>
      <c r="GPP66" s="1"/>
      <c r="GPQ66" s="1"/>
      <c r="GPR66" s="1"/>
      <c r="GPS66" s="1"/>
      <c r="GPT66" s="1"/>
      <c r="GPU66" s="1"/>
      <c r="GPV66" s="1"/>
      <c r="GPW66" s="1"/>
      <c r="GPX66" s="1"/>
      <c r="GPY66" s="1"/>
      <c r="GPZ66" s="1"/>
      <c r="GQA66" s="1"/>
      <c r="GQB66" s="1"/>
      <c r="GQC66" s="1"/>
      <c r="GQD66" s="1"/>
      <c r="GQE66" s="1"/>
      <c r="GQF66" s="1"/>
      <c r="GQG66" s="1"/>
      <c r="GQH66" s="1"/>
      <c r="GQI66" s="1"/>
      <c r="GQJ66" s="1"/>
      <c r="GQK66" s="1"/>
      <c r="GQL66" s="1"/>
      <c r="GQM66" s="1"/>
      <c r="GQN66" s="1"/>
      <c r="GQO66" s="1"/>
      <c r="GQP66" s="1"/>
      <c r="GQQ66" s="1"/>
      <c r="GQR66" s="1"/>
      <c r="GQS66" s="1"/>
      <c r="GQT66" s="1"/>
      <c r="GQU66" s="1"/>
      <c r="GQV66" s="1"/>
      <c r="GQW66" s="1"/>
      <c r="GQX66" s="1"/>
      <c r="GQY66" s="1"/>
      <c r="GQZ66" s="1"/>
      <c r="GRA66" s="1"/>
      <c r="GRB66" s="1"/>
      <c r="GRC66" s="1"/>
      <c r="GRD66" s="1"/>
      <c r="GRE66" s="1"/>
      <c r="GRF66" s="1"/>
      <c r="GRG66" s="1"/>
      <c r="GRH66" s="1"/>
      <c r="GRI66" s="1"/>
      <c r="GRJ66" s="1"/>
      <c r="GRK66" s="1"/>
      <c r="GRL66" s="1"/>
      <c r="GRM66" s="1"/>
      <c r="GRN66" s="1"/>
      <c r="GRO66" s="1"/>
      <c r="GRP66" s="1"/>
      <c r="GRQ66" s="1"/>
      <c r="GRR66" s="1"/>
      <c r="GRS66" s="1"/>
      <c r="GRT66" s="1"/>
      <c r="GRU66" s="1"/>
      <c r="GRV66" s="1"/>
      <c r="GRW66" s="1"/>
      <c r="GRX66" s="1"/>
      <c r="GRY66" s="1"/>
      <c r="GRZ66" s="1"/>
      <c r="GSA66" s="1"/>
      <c r="GSB66" s="1"/>
      <c r="GSC66" s="1"/>
      <c r="GSD66" s="1"/>
      <c r="GSE66" s="1"/>
      <c r="GSF66" s="1"/>
      <c r="GSG66" s="1"/>
      <c r="GSH66" s="1"/>
      <c r="GSI66" s="1"/>
      <c r="GSJ66" s="1"/>
      <c r="GSK66" s="1"/>
      <c r="GSL66" s="1"/>
      <c r="GSM66" s="1"/>
      <c r="GSN66" s="1"/>
      <c r="GSO66" s="1"/>
      <c r="GSP66" s="1"/>
      <c r="GSQ66" s="1"/>
      <c r="GSR66" s="1"/>
      <c r="GSS66" s="1"/>
      <c r="GST66" s="1"/>
      <c r="GSU66" s="1"/>
      <c r="GSV66" s="1"/>
      <c r="GSW66" s="1"/>
      <c r="GSX66" s="1"/>
      <c r="GSY66" s="1"/>
      <c r="GSZ66" s="1"/>
      <c r="GTA66" s="1"/>
      <c r="GTB66" s="1"/>
      <c r="GTC66" s="1"/>
      <c r="GTD66" s="1"/>
      <c r="GTE66" s="1"/>
      <c r="GTF66" s="1"/>
      <c r="GTG66" s="1"/>
      <c r="GTH66" s="1"/>
      <c r="GTI66" s="1"/>
      <c r="GTJ66" s="1"/>
      <c r="GTK66" s="1"/>
      <c r="GTL66" s="1"/>
      <c r="GTM66" s="1"/>
      <c r="GTN66" s="1"/>
      <c r="GTO66" s="1"/>
      <c r="GTP66" s="1"/>
      <c r="GTQ66" s="1"/>
      <c r="GTR66" s="1"/>
      <c r="GTS66" s="1"/>
      <c r="GTT66" s="1"/>
      <c r="GTU66" s="1"/>
      <c r="GTV66" s="1"/>
      <c r="GTW66" s="1"/>
      <c r="GTX66" s="1"/>
      <c r="GTY66" s="1"/>
      <c r="GTZ66" s="1"/>
      <c r="GUA66" s="1"/>
      <c r="GUB66" s="1"/>
      <c r="GUC66" s="1"/>
      <c r="GUD66" s="1"/>
      <c r="GUE66" s="1"/>
      <c r="GUF66" s="1"/>
      <c r="GUG66" s="1"/>
      <c r="GUH66" s="1"/>
      <c r="GUI66" s="1"/>
      <c r="GUJ66" s="1"/>
      <c r="GUK66" s="1"/>
      <c r="GUL66" s="1"/>
      <c r="GUM66" s="1"/>
      <c r="GUN66" s="1"/>
      <c r="GUO66" s="1"/>
      <c r="GUP66" s="1"/>
      <c r="GUQ66" s="1"/>
      <c r="GUR66" s="1"/>
      <c r="GUS66" s="1"/>
      <c r="GUT66" s="1"/>
      <c r="GUU66" s="1"/>
      <c r="GUV66" s="1"/>
      <c r="GUW66" s="1"/>
      <c r="GUX66" s="1"/>
      <c r="GUY66" s="1"/>
      <c r="GUZ66" s="1"/>
      <c r="GVA66" s="1"/>
      <c r="GVB66" s="1"/>
      <c r="GVC66" s="1"/>
      <c r="GVD66" s="1"/>
      <c r="GVE66" s="1"/>
      <c r="GVF66" s="1"/>
      <c r="GVG66" s="1"/>
      <c r="GVH66" s="1"/>
      <c r="GVI66" s="1"/>
      <c r="GVJ66" s="1"/>
      <c r="GVK66" s="1"/>
      <c r="GVL66" s="1"/>
      <c r="GVM66" s="1"/>
      <c r="GVN66" s="1"/>
      <c r="GVO66" s="1"/>
      <c r="GVP66" s="1"/>
      <c r="GVQ66" s="1"/>
      <c r="GVR66" s="1"/>
      <c r="GVS66" s="1"/>
      <c r="GVT66" s="1"/>
      <c r="GVU66" s="1"/>
      <c r="GVV66" s="1"/>
      <c r="GVW66" s="1"/>
      <c r="GVX66" s="1"/>
      <c r="GVY66" s="1"/>
      <c r="GVZ66" s="1"/>
      <c r="GWA66" s="1"/>
      <c r="GWB66" s="1"/>
      <c r="GWC66" s="1"/>
      <c r="GWD66" s="1"/>
      <c r="GWE66" s="1"/>
      <c r="GWF66" s="1"/>
      <c r="GWG66" s="1"/>
      <c r="GWH66" s="1"/>
      <c r="GWI66" s="1"/>
      <c r="GWJ66" s="1"/>
      <c r="GWK66" s="1"/>
      <c r="GWL66" s="1"/>
      <c r="GWM66" s="1"/>
      <c r="GWN66" s="1"/>
      <c r="GWO66" s="1"/>
      <c r="GWP66" s="1"/>
      <c r="GWQ66" s="1"/>
      <c r="GWR66" s="1"/>
      <c r="GWS66" s="1"/>
      <c r="GWT66" s="1"/>
      <c r="GWU66" s="1"/>
      <c r="GWV66" s="1"/>
      <c r="GWW66" s="1"/>
      <c r="GWX66" s="1"/>
      <c r="GWY66" s="1"/>
      <c r="GWZ66" s="1"/>
      <c r="GXA66" s="1"/>
      <c r="GXB66" s="1"/>
      <c r="GXC66" s="1"/>
      <c r="GXD66" s="1"/>
      <c r="GXE66" s="1"/>
      <c r="GXF66" s="1"/>
      <c r="GXG66" s="1"/>
      <c r="GXH66" s="1"/>
      <c r="GXI66" s="1"/>
      <c r="GXJ66" s="1"/>
      <c r="GXK66" s="1"/>
      <c r="GXL66" s="1"/>
      <c r="GXM66" s="1"/>
      <c r="GXN66" s="1"/>
      <c r="GXO66" s="1"/>
      <c r="GXP66" s="1"/>
      <c r="GXQ66" s="1"/>
      <c r="GXR66" s="1"/>
      <c r="GXS66" s="1"/>
      <c r="GXT66" s="1"/>
      <c r="GXU66" s="1"/>
      <c r="GXV66" s="1"/>
      <c r="GXW66" s="1"/>
      <c r="GXX66" s="1"/>
      <c r="GXY66" s="1"/>
      <c r="GXZ66" s="1"/>
      <c r="GYA66" s="1"/>
      <c r="GYB66" s="1"/>
      <c r="GYC66" s="1"/>
      <c r="GYD66" s="1"/>
      <c r="GYE66" s="1"/>
      <c r="GYF66" s="1"/>
      <c r="GYG66" s="1"/>
      <c r="GYH66" s="1"/>
      <c r="GYI66" s="1"/>
      <c r="GYJ66" s="1"/>
      <c r="GYK66" s="1"/>
      <c r="GYL66" s="1"/>
      <c r="GYM66" s="1"/>
      <c r="GYN66" s="1"/>
      <c r="GYO66" s="1"/>
      <c r="GYP66" s="1"/>
      <c r="GYQ66" s="1"/>
      <c r="GYR66" s="1"/>
      <c r="GYS66" s="1"/>
      <c r="GYT66" s="1"/>
      <c r="GYU66" s="1"/>
      <c r="GYV66" s="1"/>
      <c r="GYW66" s="1"/>
      <c r="GYX66" s="1"/>
      <c r="GYY66" s="1"/>
      <c r="GYZ66" s="1"/>
      <c r="GZA66" s="1"/>
      <c r="GZB66" s="1"/>
      <c r="GZC66" s="1"/>
      <c r="GZD66" s="1"/>
      <c r="GZE66" s="1"/>
      <c r="GZF66" s="1"/>
      <c r="GZG66" s="1"/>
      <c r="GZH66" s="1"/>
      <c r="GZI66" s="1"/>
      <c r="GZJ66" s="1"/>
      <c r="GZK66" s="1"/>
      <c r="GZL66" s="1"/>
      <c r="GZM66" s="1"/>
      <c r="GZN66" s="1"/>
      <c r="GZO66" s="1"/>
      <c r="GZP66" s="1"/>
      <c r="GZQ66" s="1"/>
      <c r="GZR66" s="1"/>
      <c r="GZS66" s="1"/>
      <c r="GZT66" s="1"/>
      <c r="GZU66" s="1"/>
      <c r="GZV66" s="1"/>
      <c r="GZW66" s="1"/>
      <c r="GZX66" s="1"/>
      <c r="GZY66" s="1"/>
      <c r="GZZ66" s="1"/>
      <c r="HAA66" s="1"/>
      <c r="HAB66" s="1"/>
      <c r="HAC66" s="1"/>
      <c r="HAD66" s="1"/>
      <c r="HAE66" s="1"/>
      <c r="HAF66" s="1"/>
      <c r="HAG66" s="1"/>
      <c r="HAH66" s="1"/>
      <c r="HAI66" s="1"/>
      <c r="HAJ66" s="1"/>
      <c r="HAK66" s="1"/>
      <c r="HAL66" s="1"/>
      <c r="HAM66" s="1"/>
      <c r="HAN66" s="1"/>
      <c r="HAO66" s="1"/>
      <c r="HAP66" s="1"/>
      <c r="HAQ66" s="1"/>
      <c r="HAR66" s="1"/>
      <c r="HAS66" s="1"/>
      <c r="HAT66" s="1"/>
      <c r="HAU66" s="1"/>
      <c r="HAV66" s="1"/>
      <c r="HAW66" s="1"/>
      <c r="HAX66" s="1"/>
      <c r="HAY66" s="1"/>
      <c r="HAZ66" s="1"/>
      <c r="HBA66" s="1"/>
      <c r="HBB66" s="1"/>
      <c r="HBC66" s="1"/>
      <c r="HBD66" s="1"/>
      <c r="HBE66" s="1"/>
      <c r="HBF66" s="1"/>
      <c r="HBG66" s="1"/>
      <c r="HBH66" s="1"/>
      <c r="HBI66" s="1"/>
      <c r="HBJ66" s="1"/>
      <c r="HBK66" s="1"/>
      <c r="HBL66" s="1"/>
      <c r="HBM66" s="1"/>
      <c r="HBN66" s="1"/>
      <c r="HBO66" s="1"/>
      <c r="HBP66" s="1"/>
      <c r="HBQ66" s="1"/>
      <c r="HBR66" s="1"/>
      <c r="HBS66" s="1"/>
      <c r="HBT66" s="1"/>
      <c r="HBU66" s="1"/>
      <c r="HBV66" s="1"/>
      <c r="HBW66" s="1"/>
      <c r="HBX66" s="1"/>
      <c r="HBY66" s="1"/>
      <c r="HBZ66" s="1"/>
      <c r="HCA66" s="1"/>
      <c r="HCB66" s="1"/>
      <c r="HCC66" s="1"/>
      <c r="HCD66" s="1"/>
      <c r="HCE66" s="1"/>
      <c r="HCF66" s="1"/>
      <c r="HCG66" s="1"/>
      <c r="HCH66" s="1"/>
      <c r="HCI66" s="1"/>
      <c r="HCJ66" s="1"/>
      <c r="HCK66" s="1"/>
      <c r="HCL66" s="1"/>
      <c r="HCM66" s="1"/>
      <c r="HCN66" s="1"/>
      <c r="HCO66" s="1"/>
      <c r="HCP66" s="1"/>
      <c r="HCQ66" s="1"/>
      <c r="HCR66" s="1"/>
      <c r="HCS66" s="1"/>
      <c r="HCT66" s="1"/>
      <c r="HCU66" s="1"/>
      <c r="HCV66" s="1"/>
      <c r="HCW66" s="1"/>
      <c r="HCX66" s="1"/>
      <c r="HCY66" s="1"/>
      <c r="HCZ66" s="1"/>
      <c r="HDA66" s="1"/>
      <c r="HDB66" s="1"/>
      <c r="HDC66" s="1"/>
      <c r="HDD66" s="1"/>
      <c r="HDE66" s="1"/>
      <c r="HDF66" s="1"/>
      <c r="HDG66" s="1"/>
      <c r="HDH66" s="1"/>
      <c r="HDI66" s="1"/>
      <c r="HDJ66" s="1"/>
      <c r="HDK66" s="1"/>
      <c r="HDL66" s="1"/>
      <c r="HDM66" s="1"/>
      <c r="HDN66" s="1"/>
      <c r="HDO66" s="1"/>
      <c r="HDP66" s="1"/>
      <c r="HDQ66" s="1"/>
      <c r="HDR66" s="1"/>
      <c r="HDS66" s="1"/>
      <c r="HDT66" s="1"/>
      <c r="HDU66" s="1"/>
      <c r="HDV66" s="1"/>
      <c r="HDW66" s="1"/>
      <c r="HDX66" s="1"/>
      <c r="HDY66" s="1"/>
      <c r="HDZ66" s="1"/>
      <c r="HEA66" s="1"/>
      <c r="HEB66" s="1"/>
      <c r="HEC66" s="1"/>
      <c r="HED66" s="1"/>
      <c r="HEE66" s="1"/>
      <c r="HEF66" s="1"/>
      <c r="HEG66" s="1"/>
      <c r="HEH66" s="1"/>
      <c r="HEI66" s="1"/>
      <c r="HEJ66" s="1"/>
      <c r="HEK66" s="1"/>
      <c r="HEL66" s="1"/>
      <c r="HEM66" s="1"/>
      <c r="HEN66" s="1"/>
      <c r="HEO66" s="1"/>
      <c r="HEP66" s="1"/>
      <c r="HEQ66" s="1"/>
      <c r="HER66" s="1"/>
      <c r="HES66" s="1"/>
      <c r="HET66" s="1"/>
      <c r="HEU66" s="1"/>
      <c r="HEV66" s="1"/>
      <c r="HEW66" s="1"/>
      <c r="HEX66" s="1"/>
      <c r="HEY66" s="1"/>
      <c r="HEZ66" s="1"/>
      <c r="HFA66" s="1"/>
      <c r="HFB66" s="1"/>
      <c r="HFC66" s="1"/>
      <c r="HFD66" s="1"/>
      <c r="HFE66" s="1"/>
      <c r="HFF66" s="1"/>
      <c r="HFG66" s="1"/>
      <c r="HFH66" s="1"/>
      <c r="HFI66" s="1"/>
      <c r="HFJ66" s="1"/>
      <c r="HFK66" s="1"/>
      <c r="HFL66" s="1"/>
      <c r="HFM66" s="1"/>
      <c r="HFN66" s="1"/>
      <c r="HFO66" s="1"/>
      <c r="HFP66" s="1"/>
      <c r="HFQ66" s="1"/>
      <c r="HFR66" s="1"/>
      <c r="HFS66" s="1"/>
      <c r="HFT66" s="1"/>
      <c r="HFU66" s="1"/>
      <c r="HFV66" s="1"/>
      <c r="HFW66" s="1"/>
      <c r="HFX66" s="1"/>
      <c r="HFY66" s="1"/>
      <c r="HFZ66" s="1"/>
      <c r="HGA66" s="1"/>
      <c r="HGB66" s="1"/>
      <c r="HGC66" s="1"/>
      <c r="HGD66" s="1"/>
      <c r="HGE66" s="1"/>
      <c r="HGF66" s="1"/>
      <c r="HGG66" s="1"/>
      <c r="HGH66" s="1"/>
      <c r="HGI66" s="1"/>
      <c r="HGJ66" s="1"/>
      <c r="HGK66" s="1"/>
      <c r="HGL66" s="1"/>
      <c r="HGM66" s="1"/>
      <c r="HGN66" s="1"/>
      <c r="HGO66" s="1"/>
      <c r="HGP66" s="1"/>
      <c r="HGQ66" s="1"/>
      <c r="HGR66" s="1"/>
      <c r="HGS66" s="1"/>
      <c r="HGT66" s="1"/>
      <c r="HGU66" s="1"/>
      <c r="HGV66" s="1"/>
      <c r="HGW66" s="1"/>
      <c r="HGX66" s="1"/>
      <c r="HGY66" s="1"/>
      <c r="HGZ66" s="1"/>
      <c r="HHA66" s="1"/>
      <c r="HHB66" s="1"/>
      <c r="HHC66" s="1"/>
      <c r="HHD66" s="1"/>
      <c r="HHE66" s="1"/>
      <c r="HHF66" s="1"/>
      <c r="HHG66" s="1"/>
      <c r="HHH66" s="1"/>
      <c r="HHI66" s="1"/>
      <c r="HHJ66" s="1"/>
      <c r="HHK66" s="1"/>
      <c r="HHL66" s="1"/>
      <c r="HHM66" s="1"/>
      <c r="HHN66" s="1"/>
      <c r="HHO66" s="1"/>
      <c r="HHP66" s="1"/>
      <c r="HHQ66" s="1"/>
      <c r="HHR66" s="1"/>
      <c r="HHS66" s="1"/>
      <c r="HHT66" s="1"/>
      <c r="HHU66" s="1"/>
      <c r="HHV66" s="1"/>
      <c r="HHW66" s="1"/>
      <c r="HHX66" s="1"/>
      <c r="HHY66" s="1"/>
      <c r="HHZ66" s="1"/>
      <c r="HIA66" s="1"/>
      <c r="HIB66" s="1"/>
      <c r="HIC66" s="1"/>
      <c r="HID66" s="1"/>
      <c r="HIE66" s="1"/>
      <c r="HIF66" s="1"/>
      <c r="HIG66" s="1"/>
      <c r="HIH66" s="1"/>
      <c r="HII66" s="1"/>
      <c r="HIJ66" s="1"/>
      <c r="HIK66" s="1"/>
      <c r="HIL66" s="1"/>
      <c r="HIM66" s="1"/>
      <c r="HIN66" s="1"/>
      <c r="HIO66" s="1"/>
      <c r="HIP66" s="1"/>
      <c r="HIQ66" s="1"/>
      <c r="HIR66" s="1"/>
      <c r="HIS66" s="1"/>
      <c r="HIT66" s="1"/>
      <c r="HIU66" s="1"/>
      <c r="HIV66" s="1"/>
      <c r="HIW66" s="1"/>
      <c r="HIX66" s="1"/>
      <c r="HIY66" s="1"/>
      <c r="HIZ66" s="1"/>
      <c r="HJA66" s="1"/>
      <c r="HJB66" s="1"/>
      <c r="HJC66" s="1"/>
      <c r="HJD66" s="1"/>
      <c r="HJE66" s="1"/>
      <c r="HJF66" s="1"/>
      <c r="HJG66" s="1"/>
      <c r="HJH66" s="1"/>
      <c r="HJI66" s="1"/>
      <c r="HJJ66" s="1"/>
      <c r="HJK66" s="1"/>
      <c r="HJL66" s="1"/>
      <c r="HJM66" s="1"/>
      <c r="HJN66" s="1"/>
      <c r="HJO66" s="1"/>
      <c r="HJP66" s="1"/>
      <c r="HJQ66" s="1"/>
      <c r="HJR66" s="1"/>
      <c r="HJS66" s="1"/>
      <c r="HJT66" s="1"/>
      <c r="HJU66" s="1"/>
      <c r="HJV66" s="1"/>
      <c r="HJW66" s="1"/>
      <c r="HJX66" s="1"/>
      <c r="HJY66" s="1"/>
      <c r="HJZ66" s="1"/>
      <c r="HKA66" s="1"/>
      <c r="HKB66" s="1"/>
      <c r="HKC66" s="1"/>
      <c r="HKD66" s="1"/>
      <c r="HKE66" s="1"/>
      <c r="HKF66" s="1"/>
      <c r="HKG66" s="1"/>
      <c r="HKH66" s="1"/>
      <c r="HKI66" s="1"/>
      <c r="HKJ66" s="1"/>
      <c r="HKK66" s="1"/>
      <c r="HKL66" s="1"/>
      <c r="HKM66" s="1"/>
      <c r="HKN66" s="1"/>
      <c r="HKO66" s="1"/>
      <c r="HKP66" s="1"/>
      <c r="HKQ66" s="1"/>
      <c r="HKR66" s="1"/>
      <c r="HKS66" s="1"/>
      <c r="HKT66" s="1"/>
      <c r="HKU66" s="1"/>
      <c r="HKV66" s="1"/>
      <c r="HKW66" s="1"/>
      <c r="HKX66" s="1"/>
      <c r="HKY66" s="1"/>
      <c r="HKZ66" s="1"/>
      <c r="HLA66" s="1"/>
      <c r="HLB66" s="1"/>
      <c r="HLC66" s="1"/>
      <c r="HLD66" s="1"/>
      <c r="HLE66" s="1"/>
      <c r="HLF66" s="1"/>
      <c r="HLG66" s="1"/>
      <c r="HLH66" s="1"/>
      <c r="HLI66" s="1"/>
      <c r="HLJ66" s="1"/>
      <c r="HLK66" s="1"/>
      <c r="HLL66" s="1"/>
      <c r="HLM66" s="1"/>
      <c r="HLN66" s="1"/>
      <c r="HLO66" s="1"/>
      <c r="HLP66" s="1"/>
      <c r="HLQ66" s="1"/>
      <c r="HLR66" s="1"/>
      <c r="HLS66" s="1"/>
      <c r="HLT66" s="1"/>
      <c r="HLU66" s="1"/>
      <c r="HLV66" s="1"/>
      <c r="HLW66" s="1"/>
      <c r="HLX66" s="1"/>
      <c r="HLY66" s="1"/>
      <c r="HLZ66" s="1"/>
      <c r="HMA66" s="1"/>
      <c r="HMB66" s="1"/>
      <c r="HMC66" s="1"/>
      <c r="HMD66" s="1"/>
      <c r="HME66" s="1"/>
      <c r="HMF66" s="1"/>
      <c r="HMG66" s="1"/>
      <c r="HMH66" s="1"/>
      <c r="HMI66" s="1"/>
      <c r="HMJ66" s="1"/>
      <c r="HMK66" s="1"/>
      <c r="HML66" s="1"/>
      <c r="HMM66" s="1"/>
      <c r="HMN66" s="1"/>
      <c r="HMO66" s="1"/>
      <c r="HMP66" s="1"/>
      <c r="HMQ66" s="1"/>
      <c r="HMR66" s="1"/>
      <c r="HMS66" s="1"/>
      <c r="HMT66" s="1"/>
      <c r="HMU66" s="1"/>
      <c r="HMV66" s="1"/>
      <c r="HMW66" s="1"/>
      <c r="HMX66" s="1"/>
      <c r="HMY66" s="1"/>
      <c r="HMZ66" s="1"/>
      <c r="HNA66" s="1"/>
      <c r="HNB66" s="1"/>
      <c r="HNC66" s="1"/>
      <c r="HND66" s="1"/>
      <c r="HNE66" s="1"/>
      <c r="HNF66" s="1"/>
      <c r="HNG66" s="1"/>
      <c r="HNH66" s="1"/>
      <c r="HNI66" s="1"/>
      <c r="HNJ66" s="1"/>
      <c r="HNK66" s="1"/>
      <c r="HNL66" s="1"/>
      <c r="HNM66" s="1"/>
      <c r="HNN66" s="1"/>
      <c r="HNO66" s="1"/>
      <c r="HNP66" s="1"/>
      <c r="HNQ66" s="1"/>
      <c r="HNR66" s="1"/>
      <c r="HNS66" s="1"/>
      <c r="HNT66" s="1"/>
      <c r="HNU66" s="1"/>
      <c r="HNV66" s="1"/>
      <c r="HNW66" s="1"/>
      <c r="HNX66" s="1"/>
      <c r="HNY66" s="1"/>
      <c r="HNZ66" s="1"/>
      <c r="HOA66" s="1"/>
      <c r="HOB66" s="1"/>
      <c r="HOC66" s="1"/>
      <c r="HOD66" s="1"/>
      <c r="HOE66" s="1"/>
      <c r="HOF66" s="1"/>
      <c r="HOG66" s="1"/>
      <c r="HOH66" s="1"/>
      <c r="HOI66" s="1"/>
      <c r="HOJ66" s="1"/>
      <c r="HOK66" s="1"/>
      <c r="HOL66" s="1"/>
      <c r="HOM66" s="1"/>
      <c r="HON66" s="1"/>
      <c r="HOO66" s="1"/>
      <c r="HOP66" s="1"/>
      <c r="HOQ66" s="1"/>
      <c r="HOR66" s="1"/>
      <c r="HOS66" s="1"/>
      <c r="HOT66" s="1"/>
      <c r="HOU66" s="1"/>
      <c r="HOV66" s="1"/>
      <c r="HOW66" s="1"/>
      <c r="HOX66" s="1"/>
      <c r="HOY66" s="1"/>
      <c r="HOZ66" s="1"/>
      <c r="HPA66" s="1"/>
      <c r="HPB66" s="1"/>
      <c r="HPC66" s="1"/>
      <c r="HPD66" s="1"/>
      <c r="HPE66" s="1"/>
      <c r="HPF66" s="1"/>
      <c r="HPG66" s="1"/>
      <c r="HPH66" s="1"/>
      <c r="HPI66" s="1"/>
      <c r="HPJ66" s="1"/>
      <c r="HPK66" s="1"/>
      <c r="HPL66" s="1"/>
      <c r="HPM66" s="1"/>
      <c r="HPN66" s="1"/>
      <c r="HPO66" s="1"/>
      <c r="HPP66" s="1"/>
      <c r="HPQ66" s="1"/>
      <c r="HPR66" s="1"/>
      <c r="HPS66" s="1"/>
      <c r="HPT66" s="1"/>
      <c r="HPU66" s="1"/>
      <c r="HPV66" s="1"/>
      <c r="HPW66" s="1"/>
      <c r="HPX66" s="1"/>
      <c r="HPY66" s="1"/>
      <c r="HPZ66" s="1"/>
      <c r="HQA66" s="1"/>
      <c r="HQB66" s="1"/>
      <c r="HQC66" s="1"/>
      <c r="HQD66" s="1"/>
      <c r="HQE66" s="1"/>
      <c r="HQF66" s="1"/>
      <c r="HQG66" s="1"/>
      <c r="HQH66" s="1"/>
      <c r="HQI66" s="1"/>
      <c r="HQJ66" s="1"/>
      <c r="HQK66" s="1"/>
      <c r="HQL66" s="1"/>
      <c r="HQM66" s="1"/>
      <c r="HQN66" s="1"/>
      <c r="HQO66" s="1"/>
      <c r="HQP66" s="1"/>
      <c r="HQQ66" s="1"/>
      <c r="HQR66" s="1"/>
      <c r="HQS66" s="1"/>
      <c r="HQT66" s="1"/>
      <c r="HQU66" s="1"/>
      <c r="HQV66" s="1"/>
      <c r="HQW66" s="1"/>
      <c r="HQX66" s="1"/>
      <c r="HQY66" s="1"/>
      <c r="HQZ66" s="1"/>
      <c r="HRA66" s="1"/>
      <c r="HRB66" s="1"/>
      <c r="HRC66" s="1"/>
      <c r="HRD66" s="1"/>
      <c r="HRE66" s="1"/>
      <c r="HRF66" s="1"/>
      <c r="HRG66" s="1"/>
      <c r="HRH66" s="1"/>
      <c r="HRI66" s="1"/>
      <c r="HRJ66" s="1"/>
      <c r="HRK66" s="1"/>
      <c r="HRL66" s="1"/>
      <c r="HRM66" s="1"/>
      <c r="HRN66" s="1"/>
      <c r="HRO66" s="1"/>
      <c r="HRP66" s="1"/>
      <c r="HRQ66" s="1"/>
      <c r="HRR66" s="1"/>
      <c r="HRS66" s="1"/>
      <c r="HRT66" s="1"/>
      <c r="HRU66" s="1"/>
      <c r="HRV66" s="1"/>
      <c r="HRW66" s="1"/>
      <c r="HRX66" s="1"/>
      <c r="HRY66" s="1"/>
      <c r="HRZ66" s="1"/>
      <c r="HSA66" s="1"/>
      <c r="HSB66" s="1"/>
      <c r="HSC66" s="1"/>
      <c r="HSD66" s="1"/>
      <c r="HSE66" s="1"/>
      <c r="HSF66" s="1"/>
      <c r="HSG66" s="1"/>
      <c r="HSH66" s="1"/>
      <c r="HSI66" s="1"/>
      <c r="HSJ66" s="1"/>
      <c r="HSK66" s="1"/>
      <c r="HSL66" s="1"/>
      <c r="HSM66" s="1"/>
      <c r="HSN66" s="1"/>
      <c r="HSO66" s="1"/>
      <c r="HSP66" s="1"/>
      <c r="HSQ66" s="1"/>
      <c r="HSR66" s="1"/>
      <c r="HSS66" s="1"/>
      <c r="HST66" s="1"/>
      <c r="HSU66" s="1"/>
      <c r="HSV66" s="1"/>
      <c r="HSW66" s="1"/>
      <c r="HSX66" s="1"/>
      <c r="HSY66" s="1"/>
      <c r="HSZ66" s="1"/>
      <c r="HTA66" s="1"/>
      <c r="HTB66" s="1"/>
      <c r="HTC66" s="1"/>
      <c r="HTD66" s="1"/>
      <c r="HTE66" s="1"/>
      <c r="HTF66" s="1"/>
      <c r="HTG66" s="1"/>
      <c r="HTH66" s="1"/>
      <c r="HTI66" s="1"/>
      <c r="HTJ66" s="1"/>
      <c r="HTK66" s="1"/>
      <c r="HTL66" s="1"/>
      <c r="HTM66" s="1"/>
      <c r="HTN66" s="1"/>
      <c r="HTO66" s="1"/>
      <c r="HTP66" s="1"/>
      <c r="HTQ66" s="1"/>
      <c r="HTR66" s="1"/>
      <c r="HTS66" s="1"/>
      <c r="HTT66" s="1"/>
      <c r="HTU66" s="1"/>
      <c r="HTV66" s="1"/>
      <c r="HTW66" s="1"/>
      <c r="HTX66" s="1"/>
      <c r="HTY66" s="1"/>
      <c r="HTZ66" s="1"/>
      <c r="HUA66" s="1"/>
      <c r="HUB66" s="1"/>
      <c r="HUC66" s="1"/>
      <c r="HUD66" s="1"/>
      <c r="HUE66" s="1"/>
      <c r="HUF66" s="1"/>
      <c r="HUG66" s="1"/>
      <c r="HUH66" s="1"/>
      <c r="HUI66" s="1"/>
      <c r="HUJ66" s="1"/>
      <c r="HUK66" s="1"/>
      <c r="HUL66" s="1"/>
      <c r="HUM66" s="1"/>
      <c r="HUN66" s="1"/>
      <c r="HUO66" s="1"/>
      <c r="HUP66" s="1"/>
      <c r="HUQ66" s="1"/>
      <c r="HUR66" s="1"/>
      <c r="HUS66" s="1"/>
      <c r="HUT66" s="1"/>
      <c r="HUU66" s="1"/>
      <c r="HUV66" s="1"/>
      <c r="HUW66" s="1"/>
      <c r="HUX66" s="1"/>
      <c r="HUY66" s="1"/>
      <c r="HUZ66" s="1"/>
      <c r="HVA66" s="1"/>
      <c r="HVB66" s="1"/>
      <c r="HVC66" s="1"/>
      <c r="HVD66" s="1"/>
      <c r="HVE66" s="1"/>
      <c r="HVF66" s="1"/>
      <c r="HVG66" s="1"/>
      <c r="HVH66" s="1"/>
      <c r="HVI66" s="1"/>
      <c r="HVJ66" s="1"/>
      <c r="HVK66" s="1"/>
      <c r="HVL66" s="1"/>
      <c r="HVM66" s="1"/>
      <c r="HVN66" s="1"/>
      <c r="HVO66" s="1"/>
      <c r="HVP66" s="1"/>
      <c r="HVQ66" s="1"/>
      <c r="HVR66" s="1"/>
      <c r="HVS66" s="1"/>
      <c r="HVT66" s="1"/>
      <c r="HVU66" s="1"/>
      <c r="HVV66" s="1"/>
      <c r="HVW66" s="1"/>
      <c r="HVX66" s="1"/>
      <c r="HVY66" s="1"/>
      <c r="HVZ66" s="1"/>
      <c r="HWA66" s="1"/>
      <c r="HWB66" s="1"/>
      <c r="HWC66" s="1"/>
      <c r="HWD66" s="1"/>
      <c r="HWE66" s="1"/>
      <c r="HWF66" s="1"/>
      <c r="HWG66" s="1"/>
      <c r="HWH66" s="1"/>
      <c r="HWI66" s="1"/>
      <c r="HWJ66" s="1"/>
      <c r="HWK66" s="1"/>
      <c r="HWL66" s="1"/>
      <c r="HWM66" s="1"/>
      <c r="HWN66" s="1"/>
      <c r="HWO66" s="1"/>
      <c r="HWP66" s="1"/>
      <c r="HWQ66" s="1"/>
      <c r="HWR66" s="1"/>
      <c r="HWS66" s="1"/>
      <c r="HWT66" s="1"/>
      <c r="HWU66" s="1"/>
      <c r="HWV66" s="1"/>
      <c r="HWW66" s="1"/>
      <c r="HWX66" s="1"/>
      <c r="HWY66" s="1"/>
      <c r="HWZ66" s="1"/>
      <c r="HXA66" s="1"/>
      <c r="HXB66" s="1"/>
      <c r="HXC66" s="1"/>
      <c r="HXD66" s="1"/>
      <c r="HXE66" s="1"/>
      <c r="HXF66" s="1"/>
      <c r="HXG66" s="1"/>
      <c r="HXH66" s="1"/>
      <c r="HXI66" s="1"/>
      <c r="HXJ66" s="1"/>
      <c r="HXK66" s="1"/>
      <c r="HXL66" s="1"/>
      <c r="HXM66" s="1"/>
      <c r="HXN66" s="1"/>
      <c r="HXO66" s="1"/>
      <c r="HXP66" s="1"/>
      <c r="HXQ66" s="1"/>
      <c r="HXR66" s="1"/>
      <c r="HXS66" s="1"/>
      <c r="HXT66" s="1"/>
      <c r="HXU66" s="1"/>
      <c r="HXV66" s="1"/>
      <c r="HXW66" s="1"/>
      <c r="HXX66" s="1"/>
      <c r="HXY66" s="1"/>
      <c r="HXZ66" s="1"/>
      <c r="HYA66" s="1"/>
      <c r="HYB66" s="1"/>
      <c r="HYC66" s="1"/>
      <c r="HYD66" s="1"/>
      <c r="HYE66" s="1"/>
      <c r="HYF66" s="1"/>
      <c r="HYG66" s="1"/>
      <c r="HYH66" s="1"/>
      <c r="HYI66" s="1"/>
      <c r="HYJ66" s="1"/>
      <c r="HYK66" s="1"/>
      <c r="HYL66" s="1"/>
      <c r="HYM66" s="1"/>
      <c r="HYN66" s="1"/>
      <c r="HYO66" s="1"/>
      <c r="HYP66" s="1"/>
      <c r="HYQ66" s="1"/>
      <c r="HYR66" s="1"/>
      <c r="HYS66" s="1"/>
      <c r="HYT66" s="1"/>
      <c r="HYU66" s="1"/>
      <c r="HYV66" s="1"/>
      <c r="HYW66" s="1"/>
      <c r="HYX66" s="1"/>
      <c r="HYY66" s="1"/>
      <c r="HYZ66" s="1"/>
      <c r="HZA66" s="1"/>
      <c r="HZB66" s="1"/>
      <c r="HZC66" s="1"/>
      <c r="HZD66" s="1"/>
      <c r="HZE66" s="1"/>
      <c r="HZF66" s="1"/>
      <c r="HZG66" s="1"/>
      <c r="HZH66" s="1"/>
      <c r="HZI66" s="1"/>
      <c r="HZJ66" s="1"/>
      <c r="HZK66" s="1"/>
      <c r="HZL66" s="1"/>
      <c r="HZM66" s="1"/>
      <c r="HZN66" s="1"/>
      <c r="HZO66" s="1"/>
      <c r="HZP66" s="1"/>
      <c r="HZQ66" s="1"/>
      <c r="HZR66" s="1"/>
      <c r="HZS66" s="1"/>
      <c r="HZT66" s="1"/>
      <c r="HZU66" s="1"/>
      <c r="HZV66" s="1"/>
      <c r="HZW66" s="1"/>
      <c r="HZX66" s="1"/>
      <c r="HZY66" s="1"/>
      <c r="HZZ66" s="1"/>
      <c r="IAA66" s="1"/>
      <c r="IAB66" s="1"/>
      <c r="IAC66" s="1"/>
      <c r="IAD66" s="1"/>
      <c r="IAE66" s="1"/>
      <c r="IAF66" s="1"/>
      <c r="IAG66" s="1"/>
      <c r="IAH66" s="1"/>
      <c r="IAI66" s="1"/>
      <c r="IAJ66" s="1"/>
      <c r="IAK66" s="1"/>
      <c r="IAL66" s="1"/>
      <c r="IAM66" s="1"/>
      <c r="IAN66" s="1"/>
      <c r="IAO66" s="1"/>
      <c r="IAP66" s="1"/>
      <c r="IAQ66" s="1"/>
      <c r="IAR66" s="1"/>
      <c r="IAS66" s="1"/>
      <c r="IAT66" s="1"/>
      <c r="IAU66" s="1"/>
      <c r="IAV66" s="1"/>
      <c r="IAW66" s="1"/>
      <c r="IAX66" s="1"/>
      <c r="IAY66" s="1"/>
      <c r="IAZ66" s="1"/>
      <c r="IBA66" s="1"/>
      <c r="IBB66" s="1"/>
      <c r="IBC66" s="1"/>
      <c r="IBD66" s="1"/>
      <c r="IBE66" s="1"/>
      <c r="IBF66" s="1"/>
      <c r="IBG66" s="1"/>
      <c r="IBH66" s="1"/>
      <c r="IBI66" s="1"/>
      <c r="IBJ66" s="1"/>
      <c r="IBK66" s="1"/>
      <c r="IBL66" s="1"/>
      <c r="IBM66" s="1"/>
      <c r="IBN66" s="1"/>
      <c r="IBO66" s="1"/>
      <c r="IBP66" s="1"/>
      <c r="IBQ66" s="1"/>
      <c r="IBR66" s="1"/>
      <c r="IBS66" s="1"/>
      <c r="IBT66" s="1"/>
      <c r="IBU66" s="1"/>
      <c r="IBV66" s="1"/>
      <c r="IBW66" s="1"/>
      <c r="IBX66" s="1"/>
      <c r="IBY66" s="1"/>
      <c r="IBZ66" s="1"/>
      <c r="ICA66" s="1"/>
      <c r="ICB66" s="1"/>
      <c r="ICC66" s="1"/>
      <c r="ICD66" s="1"/>
      <c r="ICE66" s="1"/>
      <c r="ICF66" s="1"/>
      <c r="ICG66" s="1"/>
      <c r="ICH66" s="1"/>
      <c r="ICI66" s="1"/>
      <c r="ICJ66" s="1"/>
      <c r="ICK66" s="1"/>
      <c r="ICL66" s="1"/>
      <c r="ICM66" s="1"/>
      <c r="ICN66" s="1"/>
      <c r="ICO66" s="1"/>
      <c r="ICP66" s="1"/>
      <c r="ICQ66" s="1"/>
      <c r="ICR66" s="1"/>
      <c r="ICS66" s="1"/>
      <c r="ICT66" s="1"/>
      <c r="ICU66" s="1"/>
      <c r="ICV66" s="1"/>
      <c r="ICW66" s="1"/>
      <c r="ICX66" s="1"/>
      <c r="ICY66" s="1"/>
      <c r="ICZ66" s="1"/>
      <c r="IDA66" s="1"/>
      <c r="IDB66" s="1"/>
      <c r="IDC66" s="1"/>
      <c r="IDD66" s="1"/>
      <c r="IDE66" s="1"/>
      <c r="IDF66" s="1"/>
      <c r="IDG66" s="1"/>
      <c r="IDH66" s="1"/>
      <c r="IDI66" s="1"/>
      <c r="IDJ66" s="1"/>
      <c r="IDK66" s="1"/>
      <c r="IDL66" s="1"/>
      <c r="IDM66" s="1"/>
      <c r="IDN66" s="1"/>
      <c r="IDO66" s="1"/>
      <c r="IDP66" s="1"/>
      <c r="IDQ66" s="1"/>
      <c r="IDR66" s="1"/>
      <c r="IDS66" s="1"/>
      <c r="IDT66" s="1"/>
      <c r="IDU66" s="1"/>
      <c r="IDV66" s="1"/>
      <c r="IDW66" s="1"/>
      <c r="IDX66" s="1"/>
      <c r="IDY66" s="1"/>
      <c r="IDZ66" s="1"/>
      <c r="IEA66" s="1"/>
      <c r="IEB66" s="1"/>
      <c r="IEC66" s="1"/>
      <c r="IED66" s="1"/>
      <c r="IEE66" s="1"/>
      <c r="IEF66" s="1"/>
      <c r="IEG66" s="1"/>
      <c r="IEH66" s="1"/>
      <c r="IEI66" s="1"/>
      <c r="IEJ66" s="1"/>
      <c r="IEK66" s="1"/>
      <c r="IEL66" s="1"/>
      <c r="IEM66" s="1"/>
      <c r="IEN66" s="1"/>
      <c r="IEO66" s="1"/>
      <c r="IEP66" s="1"/>
      <c r="IEQ66" s="1"/>
      <c r="IER66" s="1"/>
      <c r="IES66" s="1"/>
      <c r="IET66" s="1"/>
      <c r="IEU66" s="1"/>
      <c r="IEV66" s="1"/>
      <c r="IEW66" s="1"/>
      <c r="IEX66" s="1"/>
      <c r="IEY66" s="1"/>
      <c r="IEZ66" s="1"/>
      <c r="IFA66" s="1"/>
      <c r="IFB66" s="1"/>
      <c r="IFC66" s="1"/>
      <c r="IFD66" s="1"/>
      <c r="IFE66" s="1"/>
      <c r="IFF66" s="1"/>
      <c r="IFG66" s="1"/>
      <c r="IFH66" s="1"/>
      <c r="IFI66" s="1"/>
      <c r="IFJ66" s="1"/>
      <c r="IFK66" s="1"/>
      <c r="IFL66" s="1"/>
      <c r="IFM66" s="1"/>
      <c r="IFN66" s="1"/>
      <c r="IFO66" s="1"/>
      <c r="IFP66" s="1"/>
      <c r="IFQ66" s="1"/>
      <c r="IFR66" s="1"/>
      <c r="IFS66" s="1"/>
      <c r="IFT66" s="1"/>
      <c r="IFU66" s="1"/>
      <c r="IFV66" s="1"/>
      <c r="IFW66" s="1"/>
      <c r="IFX66" s="1"/>
      <c r="IFY66" s="1"/>
      <c r="IFZ66" s="1"/>
      <c r="IGA66" s="1"/>
      <c r="IGB66" s="1"/>
      <c r="IGC66" s="1"/>
      <c r="IGD66" s="1"/>
      <c r="IGE66" s="1"/>
      <c r="IGF66" s="1"/>
      <c r="IGG66" s="1"/>
      <c r="IGH66" s="1"/>
      <c r="IGI66" s="1"/>
      <c r="IGJ66" s="1"/>
      <c r="IGK66" s="1"/>
      <c r="IGL66" s="1"/>
      <c r="IGM66" s="1"/>
      <c r="IGN66" s="1"/>
      <c r="IGO66" s="1"/>
      <c r="IGP66" s="1"/>
      <c r="IGQ66" s="1"/>
      <c r="IGR66" s="1"/>
      <c r="IGS66" s="1"/>
      <c r="IGT66" s="1"/>
      <c r="IGU66" s="1"/>
      <c r="IGV66" s="1"/>
      <c r="IGW66" s="1"/>
      <c r="IGX66" s="1"/>
      <c r="IGY66" s="1"/>
      <c r="IGZ66" s="1"/>
      <c r="IHA66" s="1"/>
      <c r="IHB66" s="1"/>
      <c r="IHC66" s="1"/>
      <c r="IHD66" s="1"/>
      <c r="IHE66" s="1"/>
      <c r="IHF66" s="1"/>
      <c r="IHG66" s="1"/>
      <c r="IHH66" s="1"/>
      <c r="IHI66" s="1"/>
      <c r="IHJ66" s="1"/>
      <c r="IHK66" s="1"/>
      <c r="IHL66" s="1"/>
      <c r="IHM66" s="1"/>
      <c r="IHN66" s="1"/>
      <c r="IHO66" s="1"/>
      <c r="IHP66" s="1"/>
      <c r="IHQ66" s="1"/>
      <c r="IHR66" s="1"/>
      <c r="IHS66" s="1"/>
      <c r="IHT66" s="1"/>
      <c r="IHU66" s="1"/>
      <c r="IHV66" s="1"/>
      <c r="IHW66" s="1"/>
      <c r="IHX66" s="1"/>
      <c r="IHY66" s="1"/>
      <c r="IHZ66" s="1"/>
      <c r="IIA66" s="1"/>
      <c r="IIB66" s="1"/>
      <c r="IIC66" s="1"/>
      <c r="IID66" s="1"/>
      <c r="IIE66" s="1"/>
      <c r="IIF66" s="1"/>
      <c r="IIG66" s="1"/>
      <c r="IIH66" s="1"/>
      <c r="III66" s="1"/>
      <c r="IIJ66" s="1"/>
      <c r="IIK66" s="1"/>
      <c r="IIL66" s="1"/>
      <c r="IIM66" s="1"/>
      <c r="IIN66" s="1"/>
      <c r="IIO66" s="1"/>
      <c r="IIP66" s="1"/>
      <c r="IIQ66" s="1"/>
      <c r="IIR66" s="1"/>
      <c r="IIS66" s="1"/>
      <c r="IIT66" s="1"/>
      <c r="IIU66" s="1"/>
      <c r="IIV66" s="1"/>
      <c r="IIW66" s="1"/>
      <c r="IIX66" s="1"/>
      <c r="IIY66" s="1"/>
      <c r="IIZ66" s="1"/>
      <c r="IJA66" s="1"/>
      <c r="IJB66" s="1"/>
      <c r="IJC66" s="1"/>
      <c r="IJD66" s="1"/>
      <c r="IJE66" s="1"/>
      <c r="IJF66" s="1"/>
      <c r="IJG66" s="1"/>
      <c r="IJH66" s="1"/>
      <c r="IJI66" s="1"/>
      <c r="IJJ66" s="1"/>
      <c r="IJK66" s="1"/>
      <c r="IJL66" s="1"/>
      <c r="IJM66" s="1"/>
      <c r="IJN66" s="1"/>
      <c r="IJO66" s="1"/>
      <c r="IJP66" s="1"/>
      <c r="IJQ66" s="1"/>
      <c r="IJR66" s="1"/>
      <c r="IJS66" s="1"/>
      <c r="IJT66" s="1"/>
      <c r="IJU66" s="1"/>
      <c r="IJV66" s="1"/>
      <c r="IJW66" s="1"/>
      <c r="IJX66" s="1"/>
      <c r="IJY66" s="1"/>
      <c r="IJZ66" s="1"/>
      <c r="IKA66" s="1"/>
      <c r="IKB66" s="1"/>
      <c r="IKC66" s="1"/>
      <c r="IKD66" s="1"/>
      <c r="IKE66" s="1"/>
      <c r="IKF66" s="1"/>
      <c r="IKG66" s="1"/>
      <c r="IKH66" s="1"/>
      <c r="IKI66" s="1"/>
      <c r="IKJ66" s="1"/>
      <c r="IKK66" s="1"/>
      <c r="IKL66" s="1"/>
      <c r="IKM66" s="1"/>
      <c r="IKN66" s="1"/>
      <c r="IKO66" s="1"/>
      <c r="IKP66" s="1"/>
      <c r="IKQ66" s="1"/>
      <c r="IKR66" s="1"/>
      <c r="IKS66" s="1"/>
      <c r="IKT66" s="1"/>
      <c r="IKU66" s="1"/>
      <c r="IKV66" s="1"/>
      <c r="IKW66" s="1"/>
      <c r="IKX66" s="1"/>
      <c r="IKY66" s="1"/>
      <c r="IKZ66" s="1"/>
      <c r="ILA66" s="1"/>
      <c r="ILB66" s="1"/>
      <c r="ILC66" s="1"/>
      <c r="ILD66" s="1"/>
      <c r="ILE66" s="1"/>
      <c r="ILF66" s="1"/>
      <c r="ILG66" s="1"/>
      <c r="ILH66" s="1"/>
      <c r="ILI66" s="1"/>
      <c r="ILJ66" s="1"/>
      <c r="ILK66" s="1"/>
      <c r="ILL66" s="1"/>
      <c r="ILM66" s="1"/>
      <c r="ILN66" s="1"/>
      <c r="ILO66" s="1"/>
      <c r="ILP66" s="1"/>
      <c r="ILQ66" s="1"/>
      <c r="ILR66" s="1"/>
      <c r="ILS66" s="1"/>
      <c r="ILT66" s="1"/>
      <c r="ILU66" s="1"/>
      <c r="ILV66" s="1"/>
      <c r="ILW66" s="1"/>
      <c r="ILX66" s="1"/>
      <c r="ILY66" s="1"/>
      <c r="ILZ66" s="1"/>
      <c r="IMA66" s="1"/>
      <c r="IMB66" s="1"/>
      <c r="IMC66" s="1"/>
      <c r="IMD66" s="1"/>
      <c r="IME66" s="1"/>
      <c r="IMF66" s="1"/>
      <c r="IMG66" s="1"/>
      <c r="IMH66" s="1"/>
      <c r="IMI66" s="1"/>
      <c r="IMJ66" s="1"/>
      <c r="IMK66" s="1"/>
      <c r="IML66" s="1"/>
      <c r="IMM66" s="1"/>
      <c r="IMN66" s="1"/>
      <c r="IMO66" s="1"/>
      <c r="IMP66" s="1"/>
      <c r="IMQ66" s="1"/>
      <c r="IMR66" s="1"/>
      <c r="IMS66" s="1"/>
      <c r="IMT66" s="1"/>
      <c r="IMU66" s="1"/>
      <c r="IMV66" s="1"/>
      <c r="IMW66" s="1"/>
      <c r="IMX66" s="1"/>
      <c r="IMY66" s="1"/>
      <c r="IMZ66" s="1"/>
      <c r="INA66" s="1"/>
      <c r="INB66" s="1"/>
      <c r="INC66" s="1"/>
      <c r="IND66" s="1"/>
      <c r="INE66" s="1"/>
      <c r="INF66" s="1"/>
      <c r="ING66" s="1"/>
      <c r="INH66" s="1"/>
      <c r="INI66" s="1"/>
      <c r="INJ66" s="1"/>
      <c r="INK66" s="1"/>
      <c r="INL66" s="1"/>
      <c r="INM66" s="1"/>
      <c r="INN66" s="1"/>
      <c r="INO66" s="1"/>
      <c r="INP66" s="1"/>
      <c r="INQ66" s="1"/>
      <c r="INR66" s="1"/>
      <c r="INS66" s="1"/>
      <c r="INT66" s="1"/>
      <c r="INU66" s="1"/>
      <c r="INV66" s="1"/>
      <c r="INW66" s="1"/>
      <c r="INX66" s="1"/>
      <c r="INY66" s="1"/>
      <c r="INZ66" s="1"/>
      <c r="IOA66" s="1"/>
      <c r="IOB66" s="1"/>
      <c r="IOC66" s="1"/>
      <c r="IOD66" s="1"/>
      <c r="IOE66" s="1"/>
      <c r="IOF66" s="1"/>
      <c r="IOG66" s="1"/>
      <c r="IOH66" s="1"/>
      <c r="IOI66" s="1"/>
      <c r="IOJ66" s="1"/>
      <c r="IOK66" s="1"/>
      <c r="IOL66" s="1"/>
      <c r="IOM66" s="1"/>
      <c r="ION66" s="1"/>
      <c r="IOO66" s="1"/>
      <c r="IOP66" s="1"/>
      <c r="IOQ66" s="1"/>
      <c r="IOR66" s="1"/>
      <c r="IOS66" s="1"/>
      <c r="IOT66" s="1"/>
      <c r="IOU66" s="1"/>
      <c r="IOV66" s="1"/>
      <c r="IOW66" s="1"/>
      <c r="IOX66" s="1"/>
      <c r="IOY66" s="1"/>
      <c r="IOZ66" s="1"/>
      <c r="IPA66" s="1"/>
      <c r="IPB66" s="1"/>
      <c r="IPC66" s="1"/>
      <c r="IPD66" s="1"/>
      <c r="IPE66" s="1"/>
      <c r="IPF66" s="1"/>
      <c r="IPG66" s="1"/>
      <c r="IPH66" s="1"/>
      <c r="IPI66" s="1"/>
      <c r="IPJ66" s="1"/>
      <c r="IPK66" s="1"/>
      <c r="IPL66" s="1"/>
      <c r="IPM66" s="1"/>
      <c r="IPN66" s="1"/>
      <c r="IPO66" s="1"/>
      <c r="IPP66" s="1"/>
      <c r="IPQ66" s="1"/>
      <c r="IPR66" s="1"/>
      <c r="IPS66" s="1"/>
      <c r="IPT66" s="1"/>
      <c r="IPU66" s="1"/>
      <c r="IPV66" s="1"/>
      <c r="IPW66" s="1"/>
      <c r="IPX66" s="1"/>
      <c r="IPY66" s="1"/>
      <c r="IPZ66" s="1"/>
      <c r="IQA66" s="1"/>
      <c r="IQB66" s="1"/>
      <c r="IQC66" s="1"/>
      <c r="IQD66" s="1"/>
      <c r="IQE66" s="1"/>
      <c r="IQF66" s="1"/>
      <c r="IQG66" s="1"/>
      <c r="IQH66" s="1"/>
      <c r="IQI66" s="1"/>
      <c r="IQJ66" s="1"/>
      <c r="IQK66" s="1"/>
      <c r="IQL66" s="1"/>
      <c r="IQM66" s="1"/>
      <c r="IQN66" s="1"/>
      <c r="IQO66" s="1"/>
      <c r="IQP66" s="1"/>
      <c r="IQQ66" s="1"/>
      <c r="IQR66" s="1"/>
      <c r="IQS66" s="1"/>
      <c r="IQT66" s="1"/>
      <c r="IQU66" s="1"/>
      <c r="IQV66" s="1"/>
      <c r="IQW66" s="1"/>
      <c r="IQX66" s="1"/>
      <c r="IQY66" s="1"/>
      <c r="IQZ66" s="1"/>
      <c r="IRA66" s="1"/>
      <c r="IRB66" s="1"/>
      <c r="IRC66" s="1"/>
      <c r="IRD66" s="1"/>
      <c r="IRE66" s="1"/>
      <c r="IRF66" s="1"/>
      <c r="IRG66" s="1"/>
      <c r="IRH66" s="1"/>
      <c r="IRI66" s="1"/>
      <c r="IRJ66" s="1"/>
      <c r="IRK66" s="1"/>
      <c r="IRL66" s="1"/>
      <c r="IRM66" s="1"/>
      <c r="IRN66" s="1"/>
      <c r="IRO66" s="1"/>
      <c r="IRP66" s="1"/>
      <c r="IRQ66" s="1"/>
      <c r="IRR66" s="1"/>
      <c r="IRS66" s="1"/>
      <c r="IRT66" s="1"/>
      <c r="IRU66" s="1"/>
      <c r="IRV66" s="1"/>
      <c r="IRW66" s="1"/>
      <c r="IRX66" s="1"/>
      <c r="IRY66" s="1"/>
      <c r="IRZ66" s="1"/>
      <c r="ISA66" s="1"/>
      <c r="ISB66" s="1"/>
      <c r="ISC66" s="1"/>
      <c r="ISD66" s="1"/>
      <c r="ISE66" s="1"/>
      <c r="ISF66" s="1"/>
      <c r="ISG66" s="1"/>
      <c r="ISH66" s="1"/>
      <c r="ISI66" s="1"/>
      <c r="ISJ66" s="1"/>
      <c r="ISK66" s="1"/>
      <c r="ISL66" s="1"/>
      <c r="ISM66" s="1"/>
      <c r="ISN66" s="1"/>
      <c r="ISO66" s="1"/>
      <c r="ISP66" s="1"/>
      <c r="ISQ66" s="1"/>
      <c r="ISR66" s="1"/>
      <c r="ISS66" s="1"/>
      <c r="IST66" s="1"/>
      <c r="ISU66" s="1"/>
      <c r="ISV66" s="1"/>
      <c r="ISW66" s="1"/>
      <c r="ISX66" s="1"/>
      <c r="ISY66" s="1"/>
      <c r="ISZ66" s="1"/>
      <c r="ITA66" s="1"/>
      <c r="ITB66" s="1"/>
      <c r="ITC66" s="1"/>
      <c r="ITD66" s="1"/>
      <c r="ITE66" s="1"/>
      <c r="ITF66" s="1"/>
      <c r="ITG66" s="1"/>
      <c r="ITH66" s="1"/>
      <c r="ITI66" s="1"/>
      <c r="ITJ66" s="1"/>
      <c r="ITK66" s="1"/>
      <c r="ITL66" s="1"/>
      <c r="ITM66" s="1"/>
      <c r="ITN66" s="1"/>
      <c r="ITO66" s="1"/>
      <c r="ITP66" s="1"/>
      <c r="ITQ66" s="1"/>
      <c r="ITR66" s="1"/>
      <c r="ITS66" s="1"/>
      <c r="ITT66" s="1"/>
      <c r="ITU66" s="1"/>
      <c r="ITV66" s="1"/>
      <c r="ITW66" s="1"/>
      <c r="ITX66" s="1"/>
      <c r="ITY66" s="1"/>
      <c r="ITZ66" s="1"/>
      <c r="IUA66" s="1"/>
      <c r="IUB66" s="1"/>
      <c r="IUC66" s="1"/>
      <c r="IUD66" s="1"/>
      <c r="IUE66" s="1"/>
      <c r="IUF66" s="1"/>
      <c r="IUG66" s="1"/>
      <c r="IUH66" s="1"/>
      <c r="IUI66" s="1"/>
      <c r="IUJ66" s="1"/>
      <c r="IUK66" s="1"/>
      <c r="IUL66" s="1"/>
      <c r="IUM66" s="1"/>
      <c r="IUN66" s="1"/>
      <c r="IUO66" s="1"/>
      <c r="IUP66" s="1"/>
      <c r="IUQ66" s="1"/>
      <c r="IUR66" s="1"/>
      <c r="IUS66" s="1"/>
      <c r="IUT66" s="1"/>
      <c r="IUU66" s="1"/>
      <c r="IUV66" s="1"/>
      <c r="IUW66" s="1"/>
      <c r="IUX66" s="1"/>
      <c r="IUY66" s="1"/>
      <c r="IUZ66" s="1"/>
      <c r="IVA66" s="1"/>
      <c r="IVB66" s="1"/>
      <c r="IVC66" s="1"/>
      <c r="IVD66" s="1"/>
      <c r="IVE66" s="1"/>
      <c r="IVF66" s="1"/>
      <c r="IVG66" s="1"/>
      <c r="IVH66" s="1"/>
      <c r="IVI66" s="1"/>
      <c r="IVJ66" s="1"/>
      <c r="IVK66" s="1"/>
      <c r="IVL66" s="1"/>
      <c r="IVM66" s="1"/>
      <c r="IVN66" s="1"/>
      <c r="IVO66" s="1"/>
      <c r="IVP66" s="1"/>
      <c r="IVQ66" s="1"/>
      <c r="IVR66" s="1"/>
      <c r="IVS66" s="1"/>
      <c r="IVT66" s="1"/>
      <c r="IVU66" s="1"/>
      <c r="IVV66" s="1"/>
      <c r="IVW66" s="1"/>
      <c r="IVX66" s="1"/>
      <c r="IVY66" s="1"/>
      <c r="IVZ66" s="1"/>
      <c r="IWA66" s="1"/>
      <c r="IWB66" s="1"/>
      <c r="IWC66" s="1"/>
      <c r="IWD66" s="1"/>
      <c r="IWE66" s="1"/>
      <c r="IWF66" s="1"/>
      <c r="IWG66" s="1"/>
      <c r="IWH66" s="1"/>
      <c r="IWI66" s="1"/>
      <c r="IWJ66" s="1"/>
      <c r="IWK66" s="1"/>
      <c r="IWL66" s="1"/>
      <c r="IWM66" s="1"/>
      <c r="IWN66" s="1"/>
      <c r="IWO66" s="1"/>
      <c r="IWP66" s="1"/>
      <c r="IWQ66" s="1"/>
      <c r="IWR66" s="1"/>
      <c r="IWS66" s="1"/>
      <c r="IWT66" s="1"/>
      <c r="IWU66" s="1"/>
      <c r="IWV66" s="1"/>
      <c r="IWW66" s="1"/>
      <c r="IWX66" s="1"/>
      <c r="IWY66" s="1"/>
      <c r="IWZ66" s="1"/>
      <c r="IXA66" s="1"/>
      <c r="IXB66" s="1"/>
      <c r="IXC66" s="1"/>
      <c r="IXD66" s="1"/>
      <c r="IXE66" s="1"/>
      <c r="IXF66" s="1"/>
      <c r="IXG66" s="1"/>
      <c r="IXH66" s="1"/>
      <c r="IXI66" s="1"/>
      <c r="IXJ66" s="1"/>
      <c r="IXK66" s="1"/>
      <c r="IXL66" s="1"/>
      <c r="IXM66" s="1"/>
      <c r="IXN66" s="1"/>
      <c r="IXO66" s="1"/>
      <c r="IXP66" s="1"/>
      <c r="IXQ66" s="1"/>
      <c r="IXR66" s="1"/>
      <c r="IXS66" s="1"/>
      <c r="IXT66" s="1"/>
      <c r="IXU66" s="1"/>
      <c r="IXV66" s="1"/>
      <c r="IXW66" s="1"/>
      <c r="IXX66" s="1"/>
      <c r="IXY66" s="1"/>
      <c r="IXZ66" s="1"/>
      <c r="IYA66" s="1"/>
      <c r="IYB66" s="1"/>
      <c r="IYC66" s="1"/>
      <c r="IYD66" s="1"/>
      <c r="IYE66" s="1"/>
      <c r="IYF66" s="1"/>
      <c r="IYG66" s="1"/>
      <c r="IYH66" s="1"/>
      <c r="IYI66" s="1"/>
      <c r="IYJ66" s="1"/>
      <c r="IYK66" s="1"/>
      <c r="IYL66" s="1"/>
      <c r="IYM66" s="1"/>
      <c r="IYN66" s="1"/>
      <c r="IYO66" s="1"/>
      <c r="IYP66" s="1"/>
      <c r="IYQ66" s="1"/>
      <c r="IYR66" s="1"/>
      <c r="IYS66" s="1"/>
      <c r="IYT66" s="1"/>
      <c r="IYU66" s="1"/>
      <c r="IYV66" s="1"/>
      <c r="IYW66" s="1"/>
      <c r="IYX66" s="1"/>
      <c r="IYY66" s="1"/>
      <c r="IYZ66" s="1"/>
      <c r="IZA66" s="1"/>
      <c r="IZB66" s="1"/>
      <c r="IZC66" s="1"/>
      <c r="IZD66" s="1"/>
      <c r="IZE66" s="1"/>
      <c r="IZF66" s="1"/>
      <c r="IZG66" s="1"/>
      <c r="IZH66" s="1"/>
      <c r="IZI66" s="1"/>
      <c r="IZJ66" s="1"/>
      <c r="IZK66" s="1"/>
      <c r="IZL66" s="1"/>
      <c r="IZM66" s="1"/>
      <c r="IZN66" s="1"/>
      <c r="IZO66" s="1"/>
      <c r="IZP66" s="1"/>
      <c r="IZQ66" s="1"/>
      <c r="IZR66" s="1"/>
      <c r="IZS66" s="1"/>
      <c r="IZT66" s="1"/>
      <c r="IZU66" s="1"/>
      <c r="IZV66" s="1"/>
      <c r="IZW66" s="1"/>
      <c r="IZX66" s="1"/>
      <c r="IZY66" s="1"/>
      <c r="IZZ66" s="1"/>
      <c r="JAA66" s="1"/>
      <c r="JAB66" s="1"/>
      <c r="JAC66" s="1"/>
      <c r="JAD66" s="1"/>
      <c r="JAE66" s="1"/>
      <c r="JAF66" s="1"/>
      <c r="JAG66" s="1"/>
      <c r="JAH66" s="1"/>
      <c r="JAI66" s="1"/>
      <c r="JAJ66" s="1"/>
      <c r="JAK66" s="1"/>
      <c r="JAL66" s="1"/>
      <c r="JAM66" s="1"/>
      <c r="JAN66" s="1"/>
      <c r="JAO66" s="1"/>
      <c r="JAP66" s="1"/>
      <c r="JAQ66" s="1"/>
      <c r="JAR66" s="1"/>
      <c r="JAS66" s="1"/>
      <c r="JAT66" s="1"/>
      <c r="JAU66" s="1"/>
      <c r="JAV66" s="1"/>
      <c r="JAW66" s="1"/>
      <c r="JAX66" s="1"/>
      <c r="JAY66" s="1"/>
      <c r="JAZ66" s="1"/>
      <c r="JBA66" s="1"/>
      <c r="JBB66" s="1"/>
      <c r="JBC66" s="1"/>
      <c r="JBD66" s="1"/>
      <c r="JBE66" s="1"/>
      <c r="JBF66" s="1"/>
      <c r="JBG66" s="1"/>
      <c r="JBH66" s="1"/>
      <c r="JBI66" s="1"/>
      <c r="JBJ66" s="1"/>
      <c r="JBK66" s="1"/>
      <c r="JBL66" s="1"/>
      <c r="JBM66" s="1"/>
      <c r="JBN66" s="1"/>
      <c r="JBO66" s="1"/>
      <c r="JBP66" s="1"/>
      <c r="JBQ66" s="1"/>
      <c r="JBR66" s="1"/>
      <c r="JBS66" s="1"/>
      <c r="JBT66" s="1"/>
      <c r="JBU66" s="1"/>
      <c r="JBV66" s="1"/>
      <c r="JBW66" s="1"/>
      <c r="JBX66" s="1"/>
      <c r="JBY66" s="1"/>
      <c r="JBZ66" s="1"/>
      <c r="JCA66" s="1"/>
      <c r="JCB66" s="1"/>
      <c r="JCC66" s="1"/>
      <c r="JCD66" s="1"/>
      <c r="JCE66" s="1"/>
      <c r="JCF66" s="1"/>
      <c r="JCG66" s="1"/>
      <c r="JCH66" s="1"/>
      <c r="JCI66" s="1"/>
      <c r="JCJ66" s="1"/>
      <c r="JCK66" s="1"/>
      <c r="JCL66" s="1"/>
      <c r="JCM66" s="1"/>
      <c r="JCN66" s="1"/>
      <c r="JCO66" s="1"/>
      <c r="JCP66" s="1"/>
      <c r="JCQ66" s="1"/>
      <c r="JCR66" s="1"/>
      <c r="JCS66" s="1"/>
      <c r="JCT66" s="1"/>
      <c r="JCU66" s="1"/>
      <c r="JCV66" s="1"/>
      <c r="JCW66" s="1"/>
      <c r="JCX66" s="1"/>
      <c r="JCY66" s="1"/>
      <c r="JCZ66" s="1"/>
      <c r="JDA66" s="1"/>
      <c r="JDB66" s="1"/>
      <c r="JDC66" s="1"/>
      <c r="JDD66" s="1"/>
      <c r="JDE66" s="1"/>
      <c r="JDF66" s="1"/>
      <c r="JDG66" s="1"/>
      <c r="JDH66" s="1"/>
      <c r="JDI66" s="1"/>
      <c r="JDJ66" s="1"/>
      <c r="JDK66" s="1"/>
      <c r="JDL66" s="1"/>
      <c r="JDM66" s="1"/>
      <c r="JDN66" s="1"/>
      <c r="JDO66" s="1"/>
      <c r="JDP66" s="1"/>
      <c r="JDQ66" s="1"/>
      <c r="JDR66" s="1"/>
      <c r="JDS66" s="1"/>
      <c r="JDT66" s="1"/>
      <c r="JDU66" s="1"/>
      <c r="JDV66" s="1"/>
      <c r="JDW66" s="1"/>
      <c r="JDX66" s="1"/>
      <c r="JDY66" s="1"/>
      <c r="JDZ66" s="1"/>
      <c r="JEA66" s="1"/>
      <c r="JEB66" s="1"/>
      <c r="JEC66" s="1"/>
      <c r="JED66" s="1"/>
      <c r="JEE66" s="1"/>
      <c r="JEF66" s="1"/>
      <c r="JEG66" s="1"/>
      <c r="JEH66" s="1"/>
      <c r="JEI66" s="1"/>
      <c r="JEJ66" s="1"/>
      <c r="JEK66" s="1"/>
      <c r="JEL66" s="1"/>
      <c r="JEM66" s="1"/>
      <c r="JEN66" s="1"/>
      <c r="JEO66" s="1"/>
      <c r="JEP66" s="1"/>
      <c r="JEQ66" s="1"/>
      <c r="JER66" s="1"/>
      <c r="JES66" s="1"/>
      <c r="JET66" s="1"/>
      <c r="JEU66" s="1"/>
      <c r="JEV66" s="1"/>
      <c r="JEW66" s="1"/>
      <c r="JEX66" s="1"/>
      <c r="JEY66" s="1"/>
      <c r="JEZ66" s="1"/>
      <c r="JFA66" s="1"/>
      <c r="JFB66" s="1"/>
      <c r="JFC66" s="1"/>
      <c r="JFD66" s="1"/>
      <c r="JFE66" s="1"/>
      <c r="JFF66" s="1"/>
      <c r="JFG66" s="1"/>
      <c r="JFH66" s="1"/>
      <c r="JFI66" s="1"/>
      <c r="JFJ66" s="1"/>
      <c r="JFK66" s="1"/>
      <c r="JFL66" s="1"/>
      <c r="JFM66" s="1"/>
      <c r="JFN66" s="1"/>
      <c r="JFO66" s="1"/>
      <c r="JFP66" s="1"/>
      <c r="JFQ66" s="1"/>
      <c r="JFR66" s="1"/>
      <c r="JFS66" s="1"/>
      <c r="JFT66" s="1"/>
      <c r="JFU66" s="1"/>
      <c r="JFV66" s="1"/>
      <c r="JFW66" s="1"/>
      <c r="JFX66" s="1"/>
      <c r="JFY66" s="1"/>
      <c r="JFZ66" s="1"/>
      <c r="JGA66" s="1"/>
      <c r="JGB66" s="1"/>
      <c r="JGC66" s="1"/>
      <c r="JGD66" s="1"/>
      <c r="JGE66" s="1"/>
      <c r="JGF66" s="1"/>
      <c r="JGG66" s="1"/>
      <c r="JGH66" s="1"/>
      <c r="JGI66" s="1"/>
      <c r="JGJ66" s="1"/>
      <c r="JGK66" s="1"/>
      <c r="JGL66" s="1"/>
      <c r="JGM66" s="1"/>
      <c r="JGN66" s="1"/>
      <c r="JGO66" s="1"/>
      <c r="JGP66" s="1"/>
      <c r="JGQ66" s="1"/>
      <c r="JGR66" s="1"/>
      <c r="JGS66" s="1"/>
      <c r="JGT66" s="1"/>
      <c r="JGU66" s="1"/>
      <c r="JGV66" s="1"/>
      <c r="JGW66" s="1"/>
      <c r="JGX66" s="1"/>
      <c r="JGY66" s="1"/>
      <c r="JGZ66" s="1"/>
      <c r="JHA66" s="1"/>
      <c r="JHB66" s="1"/>
      <c r="JHC66" s="1"/>
      <c r="JHD66" s="1"/>
      <c r="JHE66" s="1"/>
      <c r="JHF66" s="1"/>
      <c r="JHG66" s="1"/>
      <c r="JHH66" s="1"/>
      <c r="JHI66" s="1"/>
      <c r="JHJ66" s="1"/>
      <c r="JHK66" s="1"/>
      <c r="JHL66" s="1"/>
      <c r="JHM66" s="1"/>
      <c r="JHN66" s="1"/>
      <c r="JHO66" s="1"/>
      <c r="JHP66" s="1"/>
      <c r="JHQ66" s="1"/>
      <c r="JHR66" s="1"/>
      <c r="JHS66" s="1"/>
      <c r="JHT66" s="1"/>
      <c r="JHU66" s="1"/>
      <c r="JHV66" s="1"/>
      <c r="JHW66" s="1"/>
      <c r="JHX66" s="1"/>
      <c r="JHY66" s="1"/>
      <c r="JHZ66" s="1"/>
      <c r="JIA66" s="1"/>
      <c r="JIB66" s="1"/>
      <c r="JIC66" s="1"/>
      <c r="JID66" s="1"/>
      <c r="JIE66" s="1"/>
      <c r="JIF66" s="1"/>
      <c r="JIG66" s="1"/>
      <c r="JIH66" s="1"/>
      <c r="JII66" s="1"/>
      <c r="JIJ66" s="1"/>
      <c r="JIK66" s="1"/>
      <c r="JIL66" s="1"/>
      <c r="JIM66" s="1"/>
      <c r="JIN66" s="1"/>
      <c r="JIO66" s="1"/>
      <c r="JIP66" s="1"/>
      <c r="JIQ66" s="1"/>
      <c r="JIR66" s="1"/>
      <c r="JIS66" s="1"/>
      <c r="JIT66" s="1"/>
      <c r="JIU66" s="1"/>
      <c r="JIV66" s="1"/>
      <c r="JIW66" s="1"/>
      <c r="JIX66" s="1"/>
      <c r="JIY66" s="1"/>
      <c r="JIZ66" s="1"/>
      <c r="JJA66" s="1"/>
      <c r="JJB66" s="1"/>
      <c r="JJC66" s="1"/>
      <c r="JJD66" s="1"/>
      <c r="JJE66" s="1"/>
      <c r="JJF66" s="1"/>
      <c r="JJG66" s="1"/>
      <c r="JJH66" s="1"/>
      <c r="JJI66" s="1"/>
      <c r="JJJ66" s="1"/>
      <c r="JJK66" s="1"/>
      <c r="JJL66" s="1"/>
      <c r="JJM66" s="1"/>
      <c r="JJN66" s="1"/>
      <c r="JJO66" s="1"/>
      <c r="JJP66" s="1"/>
      <c r="JJQ66" s="1"/>
      <c r="JJR66" s="1"/>
      <c r="JJS66" s="1"/>
      <c r="JJT66" s="1"/>
      <c r="JJU66" s="1"/>
      <c r="JJV66" s="1"/>
      <c r="JJW66" s="1"/>
      <c r="JJX66" s="1"/>
      <c r="JJY66" s="1"/>
      <c r="JJZ66" s="1"/>
      <c r="JKA66" s="1"/>
      <c r="JKB66" s="1"/>
      <c r="JKC66" s="1"/>
      <c r="JKD66" s="1"/>
      <c r="JKE66" s="1"/>
      <c r="JKF66" s="1"/>
      <c r="JKG66" s="1"/>
      <c r="JKH66" s="1"/>
      <c r="JKI66" s="1"/>
      <c r="JKJ66" s="1"/>
      <c r="JKK66" s="1"/>
      <c r="JKL66" s="1"/>
      <c r="JKM66" s="1"/>
      <c r="JKN66" s="1"/>
      <c r="JKO66" s="1"/>
      <c r="JKP66" s="1"/>
      <c r="JKQ66" s="1"/>
      <c r="JKR66" s="1"/>
      <c r="JKS66" s="1"/>
      <c r="JKT66" s="1"/>
      <c r="JKU66" s="1"/>
      <c r="JKV66" s="1"/>
      <c r="JKW66" s="1"/>
      <c r="JKX66" s="1"/>
      <c r="JKY66" s="1"/>
      <c r="JKZ66" s="1"/>
      <c r="JLA66" s="1"/>
      <c r="JLB66" s="1"/>
      <c r="JLC66" s="1"/>
      <c r="JLD66" s="1"/>
      <c r="JLE66" s="1"/>
      <c r="JLF66" s="1"/>
      <c r="JLG66" s="1"/>
      <c r="JLH66" s="1"/>
      <c r="JLI66" s="1"/>
      <c r="JLJ66" s="1"/>
      <c r="JLK66" s="1"/>
      <c r="JLL66" s="1"/>
      <c r="JLM66" s="1"/>
      <c r="JLN66" s="1"/>
      <c r="JLO66" s="1"/>
      <c r="JLP66" s="1"/>
      <c r="JLQ66" s="1"/>
      <c r="JLR66" s="1"/>
      <c r="JLS66" s="1"/>
      <c r="JLT66" s="1"/>
      <c r="JLU66" s="1"/>
      <c r="JLV66" s="1"/>
      <c r="JLW66" s="1"/>
      <c r="JLX66" s="1"/>
      <c r="JLY66" s="1"/>
      <c r="JLZ66" s="1"/>
      <c r="JMA66" s="1"/>
      <c r="JMB66" s="1"/>
      <c r="JMC66" s="1"/>
      <c r="JMD66" s="1"/>
      <c r="JME66" s="1"/>
      <c r="JMF66" s="1"/>
      <c r="JMG66" s="1"/>
      <c r="JMH66" s="1"/>
      <c r="JMI66" s="1"/>
      <c r="JMJ66" s="1"/>
      <c r="JMK66" s="1"/>
      <c r="JML66" s="1"/>
      <c r="JMM66" s="1"/>
      <c r="JMN66" s="1"/>
      <c r="JMO66" s="1"/>
      <c r="JMP66" s="1"/>
      <c r="JMQ66" s="1"/>
      <c r="JMR66" s="1"/>
      <c r="JMS66" s="1"/>
      <c r="JMT66" s="1"/>
      <c r="JMU66" s="1"/>
      <c r="JMV66" s="1"/>
      <c r="JMW66" s="1"/>
      <c r="JMX66" s="1"/>
      <c r="JMY66" s="1"/>
      <c r="JMZ66" s="1"/>
      <c r="JNA66" s="1"/>
      <c r="JNB66" s="1"/>
      <c r="JNC66" s="1"/>
      <c r="JND66" s="1"/>
      <c r="JNE66" s="1"/>
      <c r="JNF66" s="1"/>
      <c r="JNG66" s="1"/>
      <c r="JNH66" s="1"/>
      <c r="JNI66" s="1"/>
      <c r="JNJ66" s="1"/>
      <c r="JNK66" s="1"/>
      <c r="JNL66" s="1"/>
      <c r="JNM66" s="1"/>
      <c r="JNN66" s="1"/>
      <c r="JNO66" s="1"/>
      <c r="JNP66" s="1"/>
      <c r="JNQ66" s="1"/>
      <c r="JNR66" s="1"/>
      <c r="JNS66" s="1"/>
      <c r="JNT66" s="1"/>
      <c r="JNU66" s="1"/>
      <c r="JNV66" s="1"/>
      <c r="JNW66" s="1"/>
      <c r="JNX66" s="1"/>
      <c r="JNY66" s="1"/>
      <c r="JNZ66" s="1"/>
      <c r="JOA66" s="1"/>
      <c r="JOB66" s="1"/>
      <c r="JOC66" s="1"/>
      <c r="JOD66" s="1"/>
      <c r="JOE66" s="1"/>
      <c r="JOF66" s="1"/>
      <c r="JOG66" s="1"/>
      <c r="JOH66" s="1"/>
      <c r="JOI66" s="1"/>
      <c r="JOJ66" s="1"/>
      <c r="JOK66" s="1"/>
      <c r="JOL66" s="1"/>
      <c r="JOM66" s="1"/>
      <c r="JON66" s="1"/>
      <c r="JOO66" s="1"/>
      <c r="JOP66" s="1"/>
      <c r="JOQ66" s="1"/>
      <c r="JOR66" s="1"/>
      <c r="JOS66" s="1"/>
      <c r="JOT66" s="1"/>
      <c r="JOU66" s="1"/>
      <c r="JOV66" s="1"/>
      <c r="JOW66" s="1"/>
      <c r="JOX66" s="1"/>
      <c r="JOY66" s="1"/>
      <c r="JOZ66" s="1"/>
      <c r="JPA66" s="1"/>
      <c r="JPB66" s="1"/>
      <c r="JPC66" s="1"/>
      <c r="JPD66" s="1"/>
      <c r="JPE66" s="1"/>
      <c r="JPF66" s="1"/>
      <c r="JPG66" s="1"/>
      <c r="JPH66" s="1"/>
      <c r="JPI66" s="1"/>
      <c r="JPJ66" s="1"/>
      <c r="JPK66" s="1"/>
      <c r="JPL66" s="1"/>
      <c r="JPM66" s="1"/>
      <c r="JPN66" s="1"/>
      <c r="JPO66" s="1"/>
      <c r="JPP66" s="1"/>
      <c r="JPQ66" s="1"/>
      <c r="JPR66" s="1"/>
      <c r="JPS66" s="1"/>
      <c r="JPT66" s="1"/>
      <c r="JPU66" s="1"/>
      <c r="JPV66" s="1"/>
      <c r="JPW66" s="1"/>
      <c r="JPX66" s="1"/>
      <c r="JPY66" s="1"/>
      <c r="JPZ66" s="1"/>
      <c r="JQA66" s="1"/>
      <c r="JQB66" s="1"/>
      <c r="JQC66" s="1"/>
      <c r="JQD66" s="1"/>
      <c r="JQE66" s="1"/>
      <c r="JQF66" s="1"/>
      <c r="JQG66" s="1"/>
      <c r="JQH66" s="1"/>
      <c r="JQI66" s="1"/>
      <c r="JQJ66" s="1"/>
      <c r="JQK66" s="1"/>
      <c r="JQL66" s="1"/>
      <c r="JQM66" s="1"/>
      <c r="JQN66" s="1"/>
      <c r="JQO66" s="1"/>
      <c r="JQP66" s="1"/>
      <c r="JQQ66" s="1"/>
      <c r="JQR66" s="1"/>
      <c r="JQS66" s="1"/>
      <c r="JQT66" s="1"/>
      <c r="JQU66" s="1"/>
      <c r="JQV66" s="1"/>
      <c r="JQW66" s="1"/>
      <c r="JQX66" s="1"/>
      <c r="JQY66" s="1"/>
      <c r="JQZ66" s="1"/>
      <c r="JRA66" s="1"/>
      <c r="JRB66" s="1"/>
      <c r="JRC66" s="1"/>
      <c r="JRD66" s="1"/>
      <c r="JRE66" s="1"/>
      <c r="JRF66" s="1"/>
      <c r="JRG66" s="1"/>
      <c r="JRH66" s="1"/>
      <c r="JRI66" s="1"/>
      <c r="JRJ66" s="1"/>
      <c r="JRK66" s="1"/>
      <c r="JRL66" s="1"/>
      <c r="JRM66" s="1"/>
      <c r="JRN66" s="1"/>
      <c r="JRO66" s="1"/>
      <c r="JRP66" s="1"/>
      <c r="JRQ66" s="1"/>
      <c r="JRR66" s="1"/>
      <c r="JRS66" s="1"/>
      <c r="JRT66" s="1"/>
      <c r="JRU66" s="1"/>
      <c r="JRV66" s="1"/>
      <c r="JRW66" s="1"/>
      <c r="JRX66" s="1"/>
      <c r="JRY66" s="1"/>
      <c r="JRZ66" s="1"/>
      <c r="JSA66" s="1"/>
      <c r="JSB66" s="1"/>
      <c r="JSC66" s="1"/>
      <c r="JSD66" s="1"/>
      <c r="JSE66" s="1"/>
      <c r="JSF66" s="1"/>
      <c r="JSG66" s="1"/>
      <c r="JSH66" s="1"/>
      <c r="JSI66" s="1"/>
      <c r="JSJ66" s="1"/>
      <c r="JSK66" s="1"/>
      <c r="JSL66" s="1"/>
      <c r="JSM66" s="1"/>
      <c r="JSN66" s="1"/>
      <c r="JSO66" s="1"/>
      <c r="JSP66" s="1"/>
      <c r="JSQ66" s="1"/>
      <c r="JSR66" s="1"/>
      <c r="JSS66" s="1"/>
      <c r="JST66" s="1"/>
      <c r="JSU66" s="1"/>
      <c r="JSV66" s="1"/>
      <c r="JSW66" s="1"/>
      <c r="JSX66" s="1"/>
      <c r="JSY66" s="1"/>
      <c r="JSZ66" s="1"/>
      <c r="JTA66" s="1"/>
      <c r="JTB66" s="1"/>
      <c r="JTC66" s="1"/>
      <c r="JTD66" s="1"/>
      <c r="JTE66" s="1"/>
      <c r="JTF66" s="1"/>
      <c r="JTG66" s="1"/>
      <c r="JTH66" s="1"/>
      <c r="JTI66" s="1"/>
      <c r="JTJ66" s="1"/>
      <c r="JTK66" s="1"/>
      <c r="JTL66" s="1"/>
      <c r="JTM66" s="1"/>
      <c r="JTN66" s="1"/>
      <c r="JTO66" s="1"/>
      <c r="JTP66" s="1"/>
      <c r="JTQ66" s="1"/>
      <c r="JTR66" s="1"/>
      <c r="JTS66" s="1"/>
      <c r="JTT66" s="1"/>
      <c r="JTU66" s="1"/>
      <c r="JTV66" s="1"/>
      <c r="JTW66" s="1"/>
      <c r="JTX66" s="1"/>
      <c r="JTY66" s="1"/>
      <c r="JTZ66" s="1"/>
      <c r="JUA66" s="1"/>
      <c r="JUB66" s="1"/>
      <c r="JUC66" s="1"/>
      <c r="JUD66" s="1"/>
      <c r="JUE66" s="1"/>
      <c r="JUF66" s="1"/>
      <c r="JUG66" s="1"/>
      <c r="JUH66" s="1"/>
      <c r="JUI66" s="1"/>
      <c r="JUJ66" s="1"/>
      <c r="JUK66" s="1"/>
      <c r="JUL66" s="1"/>
      <c r="JUM66" s="1"/>
      <c r="JUN66" s="1"/>
      <c r="JUO66" s="1"/>
      <c r="JUP66" s="1"/>
      <c r="JUQ66" s="1"/>
      <c r="JUR66" s="1"/>
      <c r="JUS66" s="1"/>
      <c r="JUT66" s="1"/>
      <c r="JUU66" s="1"/>
      <c r="JUV66" s="1"/>
      <c r="JUW66" s="1"/>
      <c r="JUX66" s="1"/>
      <c r="JUY66" s="1"/>
      <c r="JUZ66" s="1"/>
      <c r="JVA66" s="1"/>
      <c r="JVB66" s="1"/>
      <c r="JVC66" s="1"/>
      <c r="JVD66" s="1"/>
      <c r="JVE66" s="1"/>
      <c r="JVF66" s="1"/>
      <c r="JVG66" s="1"/>
      <c r="JVH66" s="1"/>
      <c r="JVI66" s="1"/>
      <c r="JVJ66" s="1"/>
      <c r="JVK66" s="1"/>
      <c r="JVL66" s="1"/>
      <c r="JVM66" s="1"/>
      <c r="JVN66" s="1"/>
      <c r="JVO66" s="1"/>
      <c r="JVP66" s="1"/>
      <c r="JVQ66" s="1"/>
      <c r="JVR66" s="1"/>
      <c r="JVS66" s="1"/>
      <c r="JVT66" s="1"/>
      <c r="JVU66" s="1"/>
      <c r="JVV66" s="1"/>
      <c r="JVW66" s="1"/>
      <c r="JVX66" s="1"/>
      <c r="JVY66" s="1"/>
      <c r="JVZ66" s="1"/>
      <c r="JWA66" s="1"/>
      <c r="JWB66" s="1"/>
      <c r="JWC66" s="1"/>
      <c r="JWD66" s="1"/>
      <c r="JWE66" s="1"/>
      <c r="JWF66" s="1"/>
      <c r="JWG66" s="1"/>
      <c r="JWH66" s="1"/>
      <c r="JWI66" s="1"/>
      <c r="JWJ66" s="1"/>
      <c r="JWK66" s="1"/>
      <c r="JWL66" s="1"/>
      <c r="JWM66" s="1"/>
      <c r="JWN66" s="1"/>
      <c r="JWO66" s="1"/>
      <c r="JWP66" s="1"/>
      <c r="JWQ66" s="1"/>
      <c r="JWR66" s="1"/>
      <c r="JWS66" s="1"/>
      <c r="JWT66" s="1"/>
      <c r="JWU66" s="1"/>
      <c r="JWV66" s="1"/>
      <c r="JWW66" s="1"/>
      <c r="JWX66" s="1"/>
      <c r="JWY66" s="1"/>
      <c r="JWZ66" s="1"/>
      <c r="JXA66" s="1"/>
      <c r="JXB66" s="1"/>
      <c r="JXC66" s="1"/>
      <c r="JXD66" s="1"/>
      <c r="JXE66" s="1"/>
      <c r="JXF66" s="1"/>
      <c r="JXG66" s="1"/>
      <c r="JXH66" s="1"/>
      <c r="JXI66" s="1"/>
      <c r="JXJ66" s="1"/>
      <c r="JXK66" s="1"/>
      <c r="JXL66" s="1"/>
      <c r="JXM66" s="1"/>
      <c r="JXN66" s="1"/>
      <c r="JXO66" s="1"/>
      <c r="JXP66" s="1"/>
      <c r="JXQ66" s="1"/>
      <c r="JXR66" s="1"/>
      <c r="JXS66" s="1"/>
      <c r="JXT66" s="1"/>
      <c r="JXU66" s="1"/>
      <c r="JXV66" s="1"/>
      <c r="JXW66" s="1"/>
      <c r="JXX66" s="1"/>
      <c r="JXY66" s="1"/>
      <c r="JXZ66" s="1"/>
      <c r="JYA66" s="1"/>
      <c r="JYB66" s="1"/>
      <c r="JYC66" s="1"/>
      <c r="JYD66" s="1"/>
      <c r="JYE66" s="1"/>
      <c r="JYF66" s="1"/>
      <c r="JYG66" s="1"/>
      <c r="JYH66" s="1"/>
      <c r="JYI66" s="1"/>
      <c r="JYJ66" s="1"/>
      <c r="JYK66" s="1"/>
      <c r="JYL66" s="1"/>
      <c r="JYM66" s="1"/>
      <c r="JYN66" s="1"/>
      <c r="JYO66" s="1"/>
      <c r="JYP66" s="1"/>
      <c r="JYQ66" s="1"/>
      <c r="JYR66" s="1"/>
      <c r="JYS66" s="1"/>
      <c r="JYT66" s="1"/>
      <c r="JYU66" s="1"/>
      <c r="JYV66" s="1"/>
      <c r="JYW66" s="1"/>
      <c r="JYX66" s="1"/>
      <c r="JYY66" s="1"/>
      <c r="JYZ66" s="1"/>
      <c r="JZA66" s="1"/>
      <c r="JZB66" s="1"/>
      <c r="JZC66" s="1"/>
      <c r="JZD66" s="1"/>
      <c r="JZE66" s="1"/>
      <c r="JZF66" s="1"/>
      <c r="JZG66" s="1"/>
      <c r="JZH66" s="1"/>
      <c r="JZI66" s="1"/>
      <c r="JZJ66" s="1"/>
      <c r="JZK66" s="1"/>
      <c r="JZL66" s="1"/>
      <c r="JZM66" s="1"/>
      <c r="JZN66" s="1"/>
      <c r="JZO66" s="1"/>
      <c r="JZP66" s="1"/>
      <c r="JZQ66" s="1"/>
      <c r="JZR66" s="1"/>
      <c r="JZS66" s="1"/>
      <c r="JZT66" s="1"/>
      <c r="JZU66" s="1"/>
      <c r="JZV66" s="1"/>
      <c r="JZW66" s="1"/>
      <c r="JZX66" s="1"/>
      <c r="JZY66" s="1"/>
      <c r="JZZ66" s="1"/>
      <c r="KAA66" s="1"/>
      <c r="KAB66" s="1"/>
      <c r="KAC66" s="1"/>
      <c r="KAD66" s="1"/>
      <c r="KAE66" s="1"/>
      <c r="KAF66" s="1"/>
      <c r="KAG66" s="1"/>
      <c r="KAH66" s="1"/>
      <c r="KAI66" s="1"/>
      <c r="KAJ66" s="1"/>
      <c r="KAK66" s="1"/>
      <c r="KAL66" s="1"/>
      <c r="KAM66" s="1"/>
      <c r="KAN66" s="1"/>
      <c r="KAO66" s="1"/>
      <c r="KAP66" s="1"/>
      <c r="KAQ66" s="1"/>
      <c r="KAR66" s="1"/>
      <c r="KAS66" s="1"/>
      <c r="KAT66" s="1"/>
      <c r="KAU66" s="1"/>
      <c r="KAV66" s="1"/>
      <c r="KAW66" s="1"/>
      <c r="KAX66" s="1"/>
      <c r="KAY66" s="1"/>
      <c r="KAZ66" s="1"/>
      <c r="KBA66" s="1"/>
      <c r="KBB66" s="1"/>
      <c r="KBC66" s="1"/>
      <c r="KBD66" s="1"/>
      <c r="KBE66" s="1"/>
      <c r="KBF66" s="1"/>
      <c r="KBG66" s="1"/>
      <c r="KBH66" s="1"/>
      <c r="KBI66" s="1"/>
      <c r="KBJ66" s="1"/>
      <c r="KBK66" s="1"/>
      <c r="KBL66" s="1"/>
      <c r="KBM66" s="1"/>
      <c r="KBN66" s="1"/>
      <c r="KBO66" s="1"/>
      <c r="KBP66" s="1"/>
      <c r="KBQ66" s="1"/>
      <c r="KBR66" s="1"/>
      <c r="KBS66" s="1"/>
      <c r="KBT66" s="1"/>
      <c r="KBU66" s="1"/>
      <c r="KBV66" s="1"/>
      <c r="KBW66" s="1"/>
      <c r="KBX66" s="1"/>
      <c r="KBY66" s="1"/>
      <c r="KBZ66" s="1"/>
      <c r="KCA66" s="1"/>
      <c r="KCB66" s="1"/>
      <c r="KCC66" s="1"/>
      <c r="KCD66" s="1"/>
      <c r="KCE66" s="1"/>
      <c r="KCF66" s="1"/>
      <c r="KCG66" s="1"/>
      <c r="KCH66" s="1"/>
      <c r="KCI66" s="1"/>
      <c r="KCJ66" s="1"/>
      <c r="KCK66" s="1"/>
      <c r="KCL66" s="1"/>
      <c r="KCM66" s="1"/>
      <c r="KCN66" s="1"/>
      <c r="KCO66" s="1"/>
      <c r="KCP66" s="1"/>
      <c r="KCQ66" s="1"/>
      <c r="KCR66" s="1"/>
      <c r="KCS66" s="1"/>
      <c r="KCT66" s="1"/>
      <c r="KCU66" s="1"/>
      <c r="KCV66" s="1"/>
      <c r="KCW66" s="1"/>
      <c r="KCX66" s="1"/>
      <c r="KCY66" s="1"/>
      <c r="KCZ66" s="1"/>
      <c r="KDA66" s="1"/>
      <c r="KDB66" s="1"/>
      <c r="KDC66" s="1"/>
      <c r="KDD66" s="1"/>
      <c r="KDE66" s="1"/>
      <c r="KDF66" s="1"/>
      <c r="KDG66" s="1"/>
      <c r="KDH66" s="1"/>
      <c r="KDI66" s="1"/>
      <c r="KDJ66" s="1"/>
      <c r="KDK66" s="1"/>
      <c r="KDL66" s="1"/>
      <c r="KDM66" s="1"/>
      <c r="KDN66" s="1"/>
      <c r="KDO66" s="1"/>
      <c r="KDP66" s="1"/>
      <c r="KDQ66" s="1"/>
      <c r="KDR66" s="1"/>
      <c r="KDS66" s="1"/>
      <c r="KDT66" s="1"/>
      <c r="KDU66" s="1"/>
      <c r="KDV66" s="1"/>
      <c r="KDW66" s="1"/>
      <c r="KDX66" s="1"/>
      <c r="KDY66" s="1"/>
      <c r="KDZ66" s="1"/>
      <c r="KEA66" s="1"/>
      <c r="KEB66" s="1"/>
      <c r="KEC66" s="1"/>
      <c r="KED66" s="1"/>
      <c r="KEE66" s="1"/>
      <c r="KEF66" s="1"/>
      <c r="KEG66" s="1"/>
      <c r="KEH66" s="1"/>
      <c r="KEI66" s="1"/>
      <c r="KEJ66" s="1"/>
      <c r="KEK66" s="1"/>
      <c r="KEL66" s="1"/>
      <c r="KEM66" s="1"/>
      <c r="KEN66" s="1"/>
      <c r="KEO66" s="1"/>
      <c r="KEP66" s="1"/>
      <c r="KEQ66" s="1"/>
      <c r="KER66" s="1"/>
      <c r="KES66" s="1"/>
      <c r="KET66" s="1"/>
      <c r="KEU66" s="1"/>
      <c r="KEV66" s="1"/>
      <c r="KEW66" s="1"/>
      <c r="KEX66" s="1"/>
      <c r="KEY66" s="1"/>
      <c r="KEZ66" s="1"/>
      <c r="KFA66" s="1"/>
      <c r="KFB66" s="1"/>
      <c r="KFC66" s="1"/>
      <c r="KFD66" s="1"/>
      <c r="KFE66" s="1"/>
      <c r="KFF66" s="1"/>
      <c r="KFG66" s="1"/>
      <c r="KFH66" s="1"/>
      <c r="KFI66" s="1"/>
      <c r="KFJ66" s="1"/>
      <c r="KFK66" s="1"/>
      <c r="KFL66" s="1"/>
      <c r="KFM66" s="1"/>
      <c r="KFN66" s="1"/>
      <c r="KFO66" s="1"/>
      <c r="KFP66" s="1"/>
      <c r="KFQ66" s="1"/>
      <c r="KFR66" s="1"/>
      <c r="KFS66" s="1"/>
      <c r="KFT66" s="1"/>
      <c r="KFU66" s="1"/>
      <c r="KFV66" s="1"/>
      <c r="KFW66" s="1"/>
      <c r="KFX66" s="1"/>
      <c r="KFY66" s="1"/>
      <c r="KFZ66" s="1"/>
      <c r="KGA66" s="1"/>
      <c r="KGB66" s="1"/>
      <c r="KGC66" s="1"/>
      <c r="KGD66" s="1"/>
      <c r="KGE66" s="1"/>
      <c r="KGF66" s="1"/>
      <c r="KGG66" s="1"/>
      <c r="KGH66" s="1"/>
      <c r="KGI66" s="1"/>
      <c r="KGJ66" s="1"/>
      <c r="KGK66" s="1"/>
      <c r="KGL66" s="1"/>
      <c r="KGM66" s="1"/>
      <c r="KGN66" s="1"/>
      <c r="KGO66" s="1"/>
      <c r="KGP66" s="1"/>
      <c r="KGQ66" s="1"/>
      <c r="KGR66" s="1"/>
      <c r="KGS66" s="1"/>
      <c r="KGT66" s="1"/>
      <c r="KGU66" s="1"/>
      <c r="KGV66" s="1"/>
      <c r="KGW66" s="1"/>
      <c r="KGX66" s="1"/>
      <c r="KGY66" s="1"/>
      <c r="KGZ66" s="1"/>
      <c r="KHA66" s="1"/>
      <c r="KHB66" s="1"/>
      <c r="KHC66" s="1"/>
      <c r="KHD66" s="1"/>
      <c r="KHE66" s="1"/>
      <c r="KHF66" s="1"/>
      <c r="KHG66" s="1"/>
      <c r="KHH66" s="1"/>
      <c r="KHI66" s="1"/>
      <c r="KHJ66" s="1"/>
      <c r="KHK66" s="1"/>
      <c r="KHL66" s="1"/>
      <c r="KHM66" s="1"/>
      <c r="KHN66" s="1"/>
      <c r="KHO66" s="1"/>
      <c r="KHP66" s="1"/>
      <c r="KHQ66" s="1"/>
      <c r="KHR66" s="1"/>
      <c r="KHS66" s="1"/>
      <c r="KHT66" s="1"/>
      <c r="KHU66" s="1"/>
      <c r="KHV66" s="1"/>
      <c r="KHW66" s="1"/>
      <c r="KHX66" s="1"/>
      <c r="KHY66" s="1"/>
      <c r="KHZ66" s="1"/>
      <c r="KIA66" s="1"/>
      <c r="KIB66" s="1"/>
      <c r="KIC66" s="1"/>
      <c r="KID66" s="1"/>
      <c r="KIE66" s="1"/>
      <c r="KIF66" s="1"/>
      <c r="KIG66" s="1"/>
      <c r="KIH66" s="1"/>
      <c r="KII66" s="1"/>
      <c r="KIJ66" s="1"/>
      <c r="KIK66" s="1"/>
      <c r="KIL66" s="1"/>
      <c r="KIM66" s="1"/>
      <c r="KIN66" s="1"/>
      <c r="KIO66" s="1"/>
      <c r="KIP66" s="1"/>
      <c r="KIQ66" s="1"/>
      <c r="KIR66" s="1"/>
      <c r="KIS66" s="1"/>
      <c r="KIT66" s="1"/>
      <c r="KIU66" s="1"/>
      <c r="KIV66" s="1"/>
      <c r="KIW66" s="1"/>
      <c r="KIX66" s="1"/>
      <c r="KIY66" s="1"/>
      <c r="KIZ66" s="1"/>
      <c r="KJA66" s="1"/>
      <c r="KJB66" s="1"/>
      <c r="KJC66" s="1"/>
      <c r="KJD66" s="1"/>
      <c r="KJE66" s="1"/>
      <c r="KJF66" s="1"/>
      <c r="KJG66" s="1"/>
      <c r="KJH66" s="1"/>
      <c r="KJI66" s="1"/>
      <c r="KJJ66" s="1"/>
      <c r="KJK66" s="1"/>
      <c r="KJL66" s="1"/>
      <c r="KJM66" s="1"/>
      <c r="KJN66" s="1"/>
      <c r="KJO66" s="1"/>
      <c r="KJP66" s="1"/>
      <c r="KJQ66" s="1"/>
      <c r="KJR66" s="1"/>
      <c r="KJS66" s="1"/>
      <c r="KJT66" s="1"/>
      <c r="KJU66" s="1"/>
      <c r="KJV66" s="1"/>
      <c r="KJW66" s="1"/>
      <c r="KJX66" s="1"/>
      <c r="KJY66" s="1"/>
      <c r="KJZ66" s="1"/>
      <c r="KKA66" s="1"/>
      <c r="KKB66" s="1"/>
      <c r="KKC66" s="1"/>
      <c r="KKD66" s="1"/>
      <c r="KKE66" s="1"/>
      <c r="KKF66" s="1"/>
      <c r="KKG66" s="1"/>
      <c r="KKH66" s="1"/>
      <c r="KKI66" s="1"/>
      <c r="KKJ66" s="1"/>
      <c r="KKK66" s="1"/>
      <c r="KKL66" s="1"/>
      <c r="KKM66" s="1"/>
      <c r="KKN66" s="1"/>
      <c r="KKO66" s="1"/>
      <c r="KKP66" s="1"/>
      <c r="KKQ66" s="1"/>
      <c r="KKR66" s="1"/>
      <c r="KKS66" s="1"/>
      <c r="KKT66" s="1"/>
      <c r="KKU66" s="1"/>
      <c r="KKV66" s="1"/>
      <c r="KKW66" s="1"/>
      <c r="KKX66" s="1"/>
      <c r="KKY66" s="1"/>
      <c r="KKZ66" s="1"/>
      <c r="KLA66" s="1"/>
      <c r="KLB66" s="1"/>
      <c r="KLC66" s="1"/>
      <c r="KLD66" s="1"/>
      <c r="KLE66" s="1"/>
      <c r="KLF66" s="1"/>
      <c r="KLG66" s="1"/>
      <c r="KLH66" s="1"/>
      <c r="KLI66" s="1"/>
      <c r="KLJ66" s="1"/>
      <c r="KLK66" s="1"/>
      <c r="KLL66" s="1"/>
      <c r="KLM66" s="1"/>
      <c r="KLN66" s="1"/>
      <c r="KLO66" s="1"/>
      <c r="KLP66" s="1"/>
      <c r="KLQ66" s="1"/>
      <c r="KLR66" s="1"/>
      <c r="KLS66" s="1"/>
      <c r="KLT66" s="1"/>
      <c r="KLU66" s="1"/>
      <c r="KLV66" s="1"/>
      <c r="KLW66" s="1"/>
      <c r="KLX66" s="1"/>
      <c r="KLY66" s="1"/>
      <c r="KLZ66" s="1"/>
      <c r="KMA66" s="1"/>
      <c r="KMB66" s="1"/>
      <c r="KMC66" s="1"/>
      <c r="KMD66" s="1"/>
      <c r="KME66" s="1"/>
      <c r="KMF66" s="1"/>
      <c r="KMG66" s="1"/>
      <c r="KMH66" s="1"/>
      <c r="KMI66" s="1"/>
      <c r="KMJ66" s="1"/>
      <c r="KMK66" s="1"/>
      <c r="KML66" s="1"/>
      <c r="KMM66" s="1"/>
      <c r="KMN66" s="1"/>
      <c r="KMO66" s="1"/>
      <c r="KMP66" s="1"/>
      <c r="KMQ66" s="1"/>
      <c r="KMR66" s="1"/>
      <c r="KMS66" s="1"/>
      <c r="KMT66" s="1"/>
      <c r="KMU66" s="1"/>
      <c r="KMV66" s="1"/>
      <c r="KMW66" s="1"/>
      <c r="KMX66" s="1"/>
      <c r="KMY66" s="1"/>
      <c r="KMZ66" s="1"/>
      <c r="KNA66" s="1"/>
      <c r="KNB66" s="1"/>
      <c r="KNC66" s="1"/>
      <c r="KND66" s="1"/>
      <c r="KNE66" s="1"/>
      <c r="KNF66" s="1"/>
      <c r="KNG66" s="1"/>
      <c r="KNH66" s="1"/>
      <c r="KNI66" s="1"/>
      <c r="KNJ66" s="1"/>
      <c r="KNK66" s="1"/>
      <c r="KNL66" s="1"/>
      <c r="KNM66" s="1"/>
      <c r="KNN66" s="1"/>
      <c r="KNO66" s="1"/>
      <c r="KNP66" s="1"/>
      <c r="KNQ66" s="1"/>
      <c r="KNR66" s="1"/>
      <c r="KNS66" s="1"/>
      <c r="KNT66" s="1"/>
      <c r="KNU66" s="1"/>
      <c r="KNV66" s="1"/>
      <c r="KNW66" s="1"/>
      <c r="KNX66" s="1"/>
      <c r="KNY66" s="1"/>
      <c r="KNZ66" s="1"/>
      <c r="KOA66" s="1"/>
      <c r="KOB66" s="1"/>
      <c r="KOC66" s="1"/>
      <c r="KOD66" s="1"/>
      <c r="KOE66" s="1"/>
      <c r="KOF66" s="1"/>
      <c r="KOG66" s="1"/>
      <c r="KOH66" s="1"/>
      <c r="KOI66" s="1"/>
      <c r="KOJ66" s="1"/>
      <c r="KOK66" s="1"/>
      <c r="KOL66" s="1"/>
      <c r="KOM66" s="1"/>
      <c r="KON66" s="1"/>
      <c r="KOO66" s="1"/>
      <c r="KOP66" s="1"/>
      <c r="KOQ66" s="1"/>
      <c r="KOR66" s="1"/>
      <c r="KOS66" s="1"/>
      <c r="KOT66" s="1"/>
      <c r="KOU66" s="1"/>
      <c r="KOV66" s="1"/>
      <c r="KOW66" s="1"/>
      <c r="KOX66" s="1"/>
      <c r="KOY66" s="1"/>
      <c r="KOZ66" s="1"/>
      <c r="KPA66" s="1"/>
      <c r="KPB66" s="1"/>
      <c r="KPC66" s="1"/>
      <c r="KPD66" s="1"/>
      <c r="KPE66" s="1"/>
      <c r="KPF66" s="1"/>
      <c r="KPG66" s="1"/>
      <c r="KPH66" s="1"/>
      <c r="KPI66" s="1"/>
      <c r="KPJ66" s="1"/>
      <c r="KPK66" s="1"/>
      <c r="KPL66" s="1"/>
      <c r="KPM66" s="1"/>
      <c r="KPN66" s="1"/>
      <c r="KPO66" s="1"/>
      <c r="KPP66" s="1"/>
      <c r="KPQ66" s="1"/>
      <c r="KPR66" s="1"/>
      <c r="KPS66" s="1"/>
      <c r="KPT66" s="1"/>
      <c r="KPU66" s="1"/>
      <c r="KPV66" s="1"/>
      <c r="KPW66" s="1"/>
      <c r="KPX66" s="1"/>
      <c r="KPY66" s="1"/>
      <c r="KPZ66" s="1"/>
      <c r="KQA66" s="1"/>
      <c r="KQB66" s="1"/>
      <c r="KQC66" s="1"/>
      <c r="KQD66" s="1"/>
      <c r="KQE66" s="1"/>
      <c r="KQF66" s="1"/>
      <c r="KQG66" s="1"/>
      <c r="KQH66" s="1"/>
      <c r="KQI66" s="1"/>
      <c r="KQJ66" s="1"/>
      <c r="KQK66" s="1"/>
      <c r="KQL66" s="1"/>
      <c r="KQM66" s="1"/>
      <c r="KQN66" s="1"/>
      <c r="KQO66" s="1"/>
      <c r="KQP66" s="1"/>
      <c r="KQQ66" s="1"/>
      <c r="KQR66" s="1"/>
      <c r="KQS66" s="1"/>
      <c r="KQT66" s="1"/>
      <c r="KQU66" s="1"/>
      <c r="KQV66" s="1"/>
      <c r="KQW66" s="1"/>
      <c r="KQX66" s="1"/>
      <c r="KQY66" s="1"/>
      <c r="KQZ66" s="1"/>
      <c r="KRA66" s="1"/>
      <c r="KRB66" s="1"/>
      <c r="KRC66" s="1"/>
      <c r="KRD66" s="1"/>
      <c r="KRE66" s="1"/>
      <c r="KRF66" s="1"/>
      <c r="KRG66" s="1"/>
      <c r="KRH66" s="1"/>
      <c r="KRI66" s="1"/>
      <c r="KRJ66" s="1"/>
      <c r="KRK66" s="1"/>
      <c r="KRL66" s="1"/>
      <c r="KRM66" s="1"/>
      <c r="KRN66" s="1"/>
      <c r="KRO66" s="1"/>
      <c r="KRP66" s="1"/>
      <c r="KRQ66" s="1"/>
      <c r="KRR66" s="1"/>
      <c r="KRS66" s="1"/>
      <c r="KRT66" s="1"/>
      <c r="KRU66" s="1"/>
      <c r="KRV66" s="1"/>
      <c r="KRW66" s="1"/>
      <c r="KRX66" s="1"/>
      <c r="KRY66" s="1"/>
      <c r="KRZ66" s="1"/>
      <c r="KSA66" s="1"/>
      <c r="KSB66" s="1"/>
      <c r="KSC66" s="1"/>
      <c r="KSD66" s="1"/>
      <c r="KSE66" s="1"/>
      <c r="KSF66" s="1"/>
      <c r="KSG66" s="1"/>
      <c r="KSH66" s="1"/>
      <c r="KSI66" s="1"/>
      <c r="KSJ66" s="1"/>
      <c r="KSK66" s="1"/>
      <c r="KSL66" s="1"/>
      <c r="KSM66" s="1"/>
      <c r="KSN66" s="1"/>
      <c r="KSO66" s="1"/>
      <c r="KSP66" s="1"/>
      <c r="KSQ66" s="1"/>
      <c r="KSR66" s="1"/>
      <c r="KSS66" s="1"/>
      <c r="KST66" s="1"/>
      <c r="KSU66" s="1"/>
      <c r="KSV66" s="1"/>
      <c r="KSW66" s="1"/>
      <c r="KSX66" s="1"/>
      <c r="KSY66" s="1"/>
      <c r="KSZ66" s="1"/>
      <c r="KTA66" s="1"/>
      <c r="KTB66" s="1"/>
      <c r="KTC66" s="1"/>
      <c r="KTD66" s="1"/>
      <c r="KTE66" s="1"/>
      <c r="KTF66" s="1"/>
      <c r="KTG66" s="1"/>
      <c r="KTH66" s="1"/>
      <c r="KTI66" s="1"/>
      <c r="KTJ66" s="1"/>
      <c r="KTK66" s="1"/>
      <c r="KTL66" s="1"/>
      <c r="KTM66" s="1"/>
      <c r="KTN66" s="1"/>
      <c r="KTO66" s="1"/>
      <c r="KTP66" s="1"/>
      <c r="KTQ66" s="1"/>
      <c r="KTR66" s="1"/>
      <c r="KTS66" s="1"/>
      <c r="KTT66" s="1"/>
      <c r="KTU66" s="1"/>
      <c r="KTV66" s="1"/>
      <c r="KTW66" s="1"/>
      <c r="KTX66" s="1"/>
      <c r="KTY66" s="1"/>
      <c r="KTZ66" s="1"/>
      <c r="KUA66" s="1"/>
      <c r="KUB66" s="1"/>
      <c r="KUC66" s="1"/>
      <c r="KUD66" s="1"/>
      <c r="KUE66" s="1"/>
      <c r="KUF66" s="1"/>
      <c r="KUG66" s="1"/>
      <c r="KUH66" s="1"/>
      <c r="KUI66" s="1"/>
      <c r="KUJ66" s="1"/>
      <c r="KUK66" s="1"/>
      <c r="KUL66" s="1"/>
      <c r="KUM66" s="1"/>
      <c r="KUN66" s="1"/>
      <c r="KUO66" s="1"/>
      <c r="KUP66" s="1"/>
      <c r="KUQ66" s="1"/>
      <c r="KUR66" s="1"/>
      <c r="KUS66" s="1"/>
      <c r="KUT66" s="1"/>
      <c r="KUU66" s="1"/>
      <c r="KUV66" s="1"/>
      <c r="KUW66" s="1"/>
      <c r="KUX66" s="1"/>
      <c r="KUY66" s="1"/>
      <c r="KUZ66" s="1"/>
      <c r="KVA66" s="1"/>
      <c r="KVB66" s="1"/>
      <c r="KVC66" s="1"/>
      <c r="KVD66" s="1"/>
      <c r="KVE66" s="1"/>
      <c r="KVF66" s="1"/>
      <c r="KVG66" s="1"/>
      <c r="KVH66" s="1"/>
      <c r="KVI66" s="1"/>
      <c r="KVJ66" s="1"/>
      <c r="KVK66" s="1"/>
      <c r="KVL66" s="1"/>
      <c r="KVM66" s="1"/>
      <c r="KVN66" s="1"/>
      <c r="KVO66" s="1"/>
      <c r="KVP66" s="1"/>
      <c r="KVQ66" s="1"/>
      <c r="KVR66" s="1"/>
      <c r="KVS66" s="1"/>
      <c r="KVT66" s="1"/>
      <c r="KVU66" s="1"/>
      <c r="KVV66" s="1"/>
      <c r="KVW66" s="1"/>
      <c r="KVX66" s="1"/>
      <c r="KVY66" s="1"/>
      <c r="KVZ66" s="1"/>
      <c r="KWA66" s="1"/>
      <c r="KWB66" s="1"/>
      <c r="KWC66" s="1"/>
      <c r="KWD66" s="1"/>
      <c r="KWE66" s="1"/>
      <c r="KWF66" s="1"/>
      <c r="KWG66" s="1"/>
      <c r="KWH66" s="1"/>
      <c r="KWI66" s="1"/>
      <c r="KWJ66" s="1"/>
      <c r="KWK66" s="1"/>
      <c r="KWL66" s="1"/>
      <c r="KWM66" s="1"/>
      <c r="KWN66" s="1"/>
      <c r="KWO66" s="1"/>
      <c r="KWP66" s="1"/>
      <c r="KWQ66" s="1"/>
      <c r="KWR66" s="1"/>
      <c r="KWS66" s="1"/>
      <c r="KWT66" s="1"/>
      <c r="KWU66" s="1"/>
      <c r="KWV66" s="1"/>
      <c r="KWW66" s="1"/>
      <c r="KWX66" s="1"/>
      <c r="KWY66" s="1"/>
      <c r="KWZ66" s="1"/>
      <c r="KXA66" s="1"/>
      <c r="KXB66" s="1"/>
      <c r="KXC66" s="1"/>
      <c r="KXD66" s="1"/>
      <c r="KXE66" s="1"/>
      <c r="KXF66" s="1"/>
      <c r="KXG66" s="1"/>
      <c r="KXH66" s="1"/>
      <c r="KXI66" s="1"/>
      <c r="KXJ66" s="1"/>
      <c r="KXK66" s="1"/>
      <c r="KXL66" s="1"/>
      <c r="KXM66" s="1"/>
      <c r="KXN66" s="1"/>
      <c r="KXO66" s="1"/>
      <c r="KXP66" s="1"/>
      <c r="KXQ66" s="1"/>
      <c r="KXR66" s="1"/>
      <c r="KXS66" s="1"/>
      <c r="KXT66" s="1"/>
      <c r="KXU66" s="1"/>
      <c r="KXV66" s="1"/>
      <c r="KXW66" s="1"/>
      <c r="KXX66" s="1"/>
      <c r="KXY66" s="1"/>
      <c r="KXZ66" s="1"/>
      <c r="KYA66" s="1"/>
      <c r="KYB66" s="1"/>
      <c r="KYC66" s="1"/>
      <c r="KYD66" s="1"/>
      <c r="KYE66" s="1"/>
      <c r="KYF66" s="1"/>
      <c r="KYG66" s="1"/>
      <c r="KYH66" s="1"/>
      <c r="KYI66" s="1"/>
      <c r="KYJ66" s="1"/>
      <c r="KYK66" s="1"/>
      <c r="KYL66" s="1"/>
      <c r="KYM66" s="1"/>
      <c r="KYN66" s="1"/>
      <c r="KYO66" s="1"/>
      <c r="KYP66" s="1"/>
      <c r="KYQ66" s="1"/>
      <c r="KYR66" s="1"/>
      <c r="KYS66" s="1"/>
      <c r="KYT66" s="1"/>
      <c r="KYU66" s="1"/>
      <c r="KYV66" s="1"/>
      <c r="KYW66" s="1"/>
      <c r="KYX66" s="1"/>
      <c r="KYY66" s="1"/>
      <c r="KYZ66" s="1"/>
      <c r="KZA66" s="1"/>
      <c r="KZB66" s="1"/>
      <c r="KZC66" s="1"/>
      <c r="KZD66" s="1"/>
      <c r="KZE66" s="1"/>
      <c r="KZF66" s="1"/>
      <c r="KZG66" s="1"/>
      <c r="KZH66" s="1"/>
      <c r="KZI66" s="1"/>
      <c r="KZJ66" s="1"/>
      <c r="KZK66" s="1"/>
      <c r="KZL66" s="1"/>
      <c r="KZM66" s="1"/>
      <c r="KZN66" s="1"/>
      <c r="KZO66" s="1"/>
      <c r="KZP66" s="1"/>
      <c r="KZQ66" s="1"/>
      <c r="KZR66" s="1"/>
      <c r="KZS66" s="1"/>
      <c r="KZT66" s="1"/>
      <c r="KZU66" s="1"/>
      <c r="KZV66" s="1"/>
      <c r="KZW66" s="1"/>
      <c r="KZX66" s="1"/>
      <c r="KZY66" s="1"/>
      <c r="KZZ66" s="1"/>
      <c r="LAA66" s="1"/>
      <c r="LAB66" s="1"/>
      <c r="LAC66" s="1"/>
      <c r="LAD66" s="1"/>
      <c r="LAE66" s="1"/>
      <c r="LAF66" s="1"/>
      <c r="LAG66" s="1"/>
      <c r="LAH66" s="1"/>
      <c r="LAI66" s="1"/>
      <c r="LAJ66" s="1"/>
      <c r="LAK66" s="1"/>
      <c r="LAL66" s="1"/>
      <c r="LAM66" s="1"/>
      <c r="LAN66" s="1"/>
      <c r="LAO66" s="1"/>
      <c r="LAP66" s="1"/>
      <c r="LAQ66" s="1"/>
      <c r="LAR66" s="1"/>
      <c r="LAS66" s="1"/>
      <c r="LAT66" s="1"/>
      <c r="LAU66" s="1"/>
      <c r="LAV66" s="1"/>
      <c r="LAW66" s="1"/>
      <c r="LAX66" s="1"/>
      <c r="LAY66" s="1"/>
      <c r="LAZ66" s="1"/>
      <c r="LBA66" s="1"/>
      <c r="LBB66" s="1"/>
      <c r="LBC66" s="1"/>
      <c r="LBD66" s="1"/>
      <c r="LBE66" s="1"/>
      <c r="LBF66" s="1"/>
      <c r="LBG66" s="1"/>
      <c r="LBH66" s="1"/>
      <c r="LBI66" s="1"/>
      <c r="LBJ66" s="1"/>
      <c r="LBK66" s="1"/>
      <c r="LBL66" s="1"/>
      <c r="LBM66" s="1"/>
      <c r="LBN66" s="1"/>
      <c r="LBO66" s="1"/>
      <c r="LBP66" s="1"/>
      <c r="LBQ66" s="1"/>
      <c r="LBR66" s="1"/>
      <c r="LBS66" s="1"/>
      <c r="LBT66" s="1"/>
      <c r="LBU66" s="1"/>
      <c r="LBV66" s="1"/>
      <c r="LBW66" s="1"/>
      <c r="LBX66" s="1"/>
      <c r="LBY66" s="1"/>
      <c r="LBZ66" s="1"/>
      <c r="LCA66" s="1"/>
      <c r="LCB66" s="1"/>
      <c r="LCC66" s="1"/>
      <c r="LCD66" s="1"/>
      <c r="LCE66" s="1"/>
      <c r="LCF66" s="1"/>
      <c r="LCG66" s="1"/>
      <c r="LCH66" s="1"/>
      <c r="LCI66" s="1"/>
      <c r="LCJ66" s="1"/>
      <c r="LCK66" s="1"/>
      <c r="LCL66" s="1"/>
      <c r="LCM66" s="1"/>
      <c r="LCN66" s="1"/>
      <c r="LCO66" s="1"/>
      <c r="LCP66" s="1"/>
      <c r="LCQ66" s="1"/>
      <c r="LCR66" s="1"/>
      <c r="LCS66" s="1"/>
      <c r="LCT66" s="1"/>
      <c r="LCU66" s="1"/>
      <c r="LCV66" s="1"/>
      <c r="LCW66" s="1"/>
      <c r="LCX66" s="1"/>
      <c r="LCY66" s="1"/>
      <c r="LCZ66" s="1"/>
      <c r="LDA66" s="1"/>
      <c r="LDB66" s="1"/>
      <c r="LDC66" s="1"/>
      <c r="LDD66" s="1"/>
      <c r="LDE66" s="1"/>
      <c r="LDF66" s="1"/>
      <c r="LDG66" s="1"/>
      <c r="LDH66" s="1"/>
      <c r="LDI66" s="1"/>
      <c r="LDJ66" s="1"/>
      <c r="LDK66" s="1"/>
      <c r="LDL66" s="1"/>
      <c r="LDM66" s="1"/>
      <c r="LDN66" s="1"/>
      <c r="LDO66" s="1"/>
      <c r="LDP66" s="1"/>
      <c r="LDQ66" s="1"/>
      <c r="LDR66" s="1"/>
      <c r="LDS66" s="1"/>
      <c r="LDT66" s="1"/>
      <c r="LDU66" s="1"/>
      <c r="LDV66" s="1"/>
      <c r="LDW66" s="1"/>
      <c r="LDX66" s="1"/>
      <c r="LDY66" s="1"/>
      <c r="LDZ66" s="1"/>
      <c r="LEA66" s="1"/>
      <c r="LEB66" s="1"/>
      <c r="LEC66" s="1"/>
      <c r="LED66" s="1"/>
      <c r="LEE66" s="1"/>
      <c r="LEF66" s="1"/>
      <c r="LEG66" s="1"/>
      <c r="LEH66" s="1"/>
      <c r="LEI66" s="1"/>
      <c r="LEJ66" s="1"/>
      <c r="LEK66" s="1"/>
      <c r="LEL66" s="1"/>
      <c r="LEM66" s="1"/>
      <c r="LEN66" s="1"/>
      <c r="LEO66" s="1"/>
      <c r="LEP66" s="1"/>
      <c r="LEQ66" s="1"/>
      <c r="LER66" s="1"/>
      <c r="LES66" s="1"/>
      <c r="LET66" s="1"/>
      <c r="LEU66" s="1"/>
      <c r="LEV66" s="1"/>
      <c r="LEW66" s="1"/>
      <c r="LEX66" s="1"/>
      <c r="LEY66" s="1"/>
      <c r="LEZ66" s="1"/>
      <c r="LFA66" s="1"/>
      <c r="LFB66" s="1"/>
      <c r="LFC66" s="1"/>
      <c r="LFD66" s="1"/>
      <c r="LFE66" s="1"/>
      <c r="LFF66" s="1"/>
      <c r="LFG66" s="1"/>
      <c r="LFH66" s="1"/>
      <c r="LFI66" s="1"/>
      <c r="LFJ66" s="1"/>
      <c r="LFK66" s="1"/>
      <c r="LFL66" s="1"/>
      <c r="LFM66" s="1"/>
      <c r="LFN66" s="1"/>
      <c r="LFO66" s="1"/>
      <c r="LFP66" s="1"/>
      <c r="LFQ66" s="1"/>
      <c r="LFR66" s="1"/>
      <c r="LFS66" s="1"/>
      <c r="LFT66" s="1"/>
      <c r="LFU66" s="1"/>
      <c r="LFV66" s="1"/>
      <c r="LFW66" s="1"/>
      <c r="LFX66" s="1"/>
      <c r="LFY66" s="1"/>
      <c r="LFZ66" s="1"/>
      <c r="LGA66" s="1"/>
      <c r="LGB66" s="1"/>
      <c r="LGC66" s="1"/>
      <c r="LGD66" s="1"/>
      <c r="LGE66" s="1"/>
      <c r="LGF66" s="1"/>
      <c r="LGG66" s="1"/>
      <c r="LGH66" s="1"/>
      <c r="LGI66" s="1"/>
      <c r="LGJ66" s="1"/>
      <c r="LGK66" s="1"/>
      <c r="LGL66" s="1"/>
      <c r="LGM66" s="1"/>
      <c r="LGN66" s="1"/>
      <c r="LGO66" s="1"/>
      <c r="LGP66" s="1"/>
      <c r="LGQ66" s="1"/>
      <c r="LGR66" s="1"/>
      <c r="LGS66" s="1"/>
      <c r="LGT66" s="1"/>
      <c r="LGU66" s="1"/>
      <c r="LGV66" s="1"/>
      <c r="LGW66" s="1"/>
      <c r="LGX66" s="1"/>
      <c r="LGY66" s="1"/>
      <c r="LGZ66" s="1"/>
      <c r="LHA66" s="1"/>
      <c r="LHB66" s="1"/>
      <c r="LHC66" s="1"/>
      <c r="LHD66" s="1"/>
      <c r="LHE66" s="1"/>
      <c r="LHF66" s="1"/>
      <c r="LHG66" s="1"/>
      <c r="LHH66" s="1"/>
      <c r="LHI66" s="1"/>
      <c r="LHJ66" s="1"/>
      <c r="LHK66" s="1"/>
      <c r="LHL66" s="1"/>
      <c r="LHM66" s="1"/>
      <c r="LHN66" s="1"/>
      <c r="LHO66" s="1"/>
      <c r="LHP66" s="1"/>
      <c r="LHQ66" s="1"/>
      <c r="LHR66" s="1"/>
      <c r="LHS66" s="1"/>
      <c r="LHT66" s="1"/>
      <c r="LHU66" s="1"/>
      <c r="LHV66" s="1"/>
      <c r="LHW66" s="1"/>
      <c r="LHX66" s="1"/>
      <c r="LHY66" s="1"/>
      <c r="LHZ66" s="1"/>
      <c r="LIA66" s="1"/>
      <c r="LIB66" s="1"/>
      <c r="LIC66" s="1"/>
      <c r="LID66" s="1"/>
      <c r="LIE66" s="1"/>
      <c r="LIF66" s="1"/>
      <c r="LIG66" s="1"/>
      <c r="LIH66" s="1"/>
      <c r="LII66" s="1"/>
      <c r="LIJ66" s="1"/>
      <c r="LIK66" s="1"/>
      <c r="LIL66" s="1"/>
      <c r="LIM66" s="1"/>
      <c r="LIN66" s="1"/>
      <c r="LIO66" s="1"/>
      <c r="LIP66" s="1"/>
      <c r="LIQ66" s="1"/>
      <c r="LIR66" s="1"/>
      <c r="LIS66" s="1"/>
      <c r="LIT66" s="1"/>
      <c r="LIU66" s="1"/>
      <c r="LIV66" s="1"/>
      <c r="LIW66" s="1"/>
      <c r="LIX66" s="1"/>
      <c r="LIY66" s="1"/>
      <c r="LIZ66" s="1"/>
      <c r="LJA66" s="1"/>
      <c r="LJB66" s="1"/>
      <c r="LJC66" s="1"/>
      <c r="LJD66" s="1"/>
      <c r="LJE66" s="1"/>
      <c r="LJF66" s="1"/>
      <c r="LJG66" s="1"/>
      <c r="LJH66" s="1"/>
      <c r="LJI66" s="1"/>
      <c r="LJJ66" s="1"/>
      <c r="LJK66" s="1"/>
      <c r="LJL66" s="1"/>
      <c r="LJM66" s="1"/>
      <c r="LJN66" s="1"/>
      <c r="LJO66" s="1"/>
      <c r="LJP66" s="1"/>
      <c r="LJQ66" s="1"/>
      <c r="LJR66" s="1"/>
      <c r="LJS66" s="1"/>
      <c r="LJT66" s="1"/>
      <c r="LJU66" s="1"/>
      <c r="LJV66" s="1"/>
      <c r="LJW66" s="1"/>
      <c r="LJX66" s="1"/>
      <c r="LJY66" s="1"/>
      <c r="LJZ66" s="1"/>
      <c r="LKA66" s="1"/>
      <c r="LKB66" s="1"/>
      <c r="LKC66" s="1"/>
      <c r="LKD66" s="1"/>
      <c r="LKE66" s="1"/>
      <c r="LKF66" s="1"/>
      <c r="LKG66" s="1"/>
      <c r="LKH66" s="1"/>
      <c r="LKI66" s="1"/>
      <c r="LKJ66" s="1"/>
      <c r="LKK66" s="1"/>
      <c r="LKL66" s="1"/>
      <c r="LKM66" s="1"/>
      <c r="LKN66" s="1"/>
      <c r="LKO66" s="1"/>
      <c r="LKP66" s="1"/>
      <c r="LKQ66" s="1"/>
      <c r="LKR66" s="1"/>
      <c r="LKS66" s="1"/>
      <c r="LKT66" s="1"/>
      <c r="LKU66" s="1"/>
      <c r="LKV66" s="1"/>
      <c r="LKW66" s="1"/>
      <c r="LKX66" s="1"/>
      <c r="LKY66" s="1"/>
      <c r="LKZ66" s="1"/>
      <c r="LLA66" s="1"/>
      <c r="LLB66" s="1"/>
      <c r="LLC66" s="1"/>
      <c r="LLD66" s="1"/>
      <c r="LLE66" s="1"/>
      <c r="LLF66" s="1"/>
      <c r="LLG66" s="1"/>
      <c r="LLH66" s="1"/>
      <c r="LLI66" s="1"/>
      <c r="LLJ66" s="1"/>
      <c r="LLK66" s="1"/>
      <c r="LLL66" s="1"/>
      <c r="LLM66" s="1"/>
      <c r="LLN66" s="1"/>
      <c r="LLO66" s="1"/>
      <c r="LLP66" s="1"/>
      <c r="LLQ66" s="1"/>
      <c r="LLR66" s="1"/>
      <c r="LLS66" s="1"/>
      <c r="LLT66" s="1"/>
      <c r="LLU66" s="1"/>
      <c r="LLV66" s="1"/>
      <c r="LLW66" s="1"/>
      <c r="LLX66" s="1"/>
      <c r="LLY66" s="1"/>
      <c r="LLZ66" s="1"/>
      <c r="LMA66" s="1"/>
      <c r="LMB66" s="1"/>
      <c r="LMC66" s="1"/>
      <c r="LMD66" s="1"/>
      <c r="LME66" s="1"/>
      <c r="LMF66" s="1"/>
      <c r="LMG66" s="1"/>
      <c r="LMH66" s="1"/>
      <c r="LMI66" s="1"/>
      <c r="LMJ66" s="1"/>
      <c r="LMK66" s="1"/>
      <c r="LML66" s="1"/>
      <c r="LMM66" s="1"/>
      <c r="LMN66" s="1"/>
      <c r="LMO66" s="1"/>
      <c r="LMP66" s="1"/>
      <c r="LMQ66" s="1"/>
      <c r="LMR66" s="1"/>
      <c r="LMS66" s="1"/>
      <c r="LMT66" s="1"/>
      <c r="LMU66" s="1"/>
      <c r="LMV66" s="1"/>
      <c r="LMW66" s="1"/>
      <c r="LMX66" s="1"/>
      <c r="LMY66" s="1"/>
      <c r="LMZ66" s="1"/>
      <c r="LNA66" s="1"/>
      <c r="LNB66" s="1"/>
      <c r="LNC66" s="1"/>
      <c r="LND66" s="1"/>
      <c r="LNE66" s="1"/>
      <c r="LNF66" s="1"/>
      <c r="LNG66" s="1"/>
      <c r="LNH66" s="1"/>
      <c r="LNI66" s="1"/>
      <c r="LNJ66" s="1"/>
      <c r="LNK66" s="1"/>
      <c r="LNL66" s="1"/>
      <c r="LNM66" s="1"/>
      <c r="LNN66" s="1"/>
      <c r="LNO66" s="1"/>
      <c r="LNP66" s="1"/>
      <c r="LNQ66" s="1"/>
      <c r="LNR66" s="1"/>
      <c r="LNS66" s="1"/>
      <c r="LNT66" s="1"/>
      <c r="LNU66" s="1"/>
      <c r="LNV66" s="1"/>
      <c r="LNW66" s="1"/>
      <c r="LNX66" s="1"/>
      <c r="LNY66" s="1"/>
      <c r="LNZ66" s="1"/>
      <c r="LOA66" s="1"/>
      <c r="LOB66" s="1"/>
      <c r="LOC66" s="1"/>
      <c r="LOD66" s="1"/>
      <c r="LOE66" s="1"/>
      <c r="LOF66" s="1"/>
      <c r="LOG66" s="1"/>
      <c r="LOH66" s="1"/>
      <c r="LOI66" s="1"/>
      <c r="LOJ66" s="1"/>
      <c r="LOK66" s="1"/>
      <c r="LOL66" s="1"/>
      <c r="LOM66" s="1"/>
      <c r="LON66" s="1"/>
      <c r="LOO66" s="1"/>
      <c r="LOP66" s="1"/>
      <c r="LOQ66" s="1"/>
      <c r="LOR66" s="1"/>
      <c r="LOS66" s="1"/>
      <c r="LOT66" s="1"/>
      <c r="LOU66" s="1"/>
      <c r="LOV66" s="1"/>
      <c r="LOW66" s="1"/>
      <c r="LOX66" s="1"/>
      <c r="LOY66" s="1"/>
      <c r="LOZ66" s="1"/>
      <c r="LPA66" s="1"/>
      <c r="LPB66" s="1"/>
      <c r="LPC66" s="1"/>
      <c r="LPD66" s="1"/>
      <c r="LPE66" s="1"/>
      <c r="LPF66" s="1"/>
      <c r="LPG66" s="1"/>
      <c r="LPH66" s="1"/>
      <c r="LPI66" s="1"/>
      <c r="LPJ66" s="1"/>
      <c r="LPK66" s="1"/>
      <c r="LPL66" s="1"/>
      <c r="LPM66" s="1"/>
      <c r="LPN66" s="1"/>
      <c r="LPO66" s="1"/>
      <c r="LPP66" s="1"/>
      <c r="LPQ66" s="1"/>
      <c r="LPR66" s="1"/>
      <c r="LPS66" s="1"/>
      <c r="LPT66" s="1"/>
      <c r="LPU66" s="1"/>
      <c r="LPV66" s="1"/>
      <c r="LPW66" s="1"/>
      <c r="LPX66" s="1"/>
      <c r="LPY66" s="1"/>
      <c r="LPZ66" s="1"/>
      <c r="LQA66" s="1"/>
      <c r="LQB66" s="1"/>
      <c r="LQC66" s="1"/>
      <c r="LQD66" s="1"/>
      <c r="LQE66" s="1"/>
      <c r="LQF66" s="1"/>
      <c r="LQG66" s="1"/>
      <c r="LQH66" s="1"/>
      <c r="LQI66" s="1"/>
      <c r="LQJ66" s="1"/>
      <c r="LQK66" s="1"/>
      <c r="LQL66" s="1"/>
      <c r="LQM66" s="1"/>
      <c r="LQN66" s="1"/>
      <c r="LQO66" s="1"/>
      <c r="LQP66" s="1"/>
      <c r="LQQ66" s="1"/>
      <c r="LQR66" s="1"/>
      <c r="LQS66" s="1"/>
      <c r="LQT66" s="1"/>
      <c r="LQU66" s="1"/>
      <c r="LQV66" s="1"/>
      <c r="LQW66" s="1"/>
      <c r="LQX66" s="1"/>
      <c r="LQY66" s="1"/>
      <c r="LQZ66" s="1"/>
      <c r="LRA66" s="1"/>
      <c r="LRB66" s="1"/>
      <c r="LRC66" s="1"/>
      <c r="LRD66" s="1"/>
      <c r="LRE66" s="1"/>
      <c r="LRF66" s="1"/>
      <c r="LRG66" s="1"/>
      <c r="LRH66" s="1"/>
      <c r="LRI66" s="1"/>
      <c r="LRJ66" s="1"/>
      <c r="LRK66" s="1"/>
      <c r="LRL66" s="1"/>
      <c r="LRM66" s="1"/>
      <c r="LRN66" s="1"/>
      <c r="LRO66" s="1"/>
      <c r="LRP66" s="1"/>
      <c r="LRQ66" s="1"/>
      <c r="LRR66" s="1"/>
      <c r="LRS66" s="1"/>
      <c r="LRT66" s="1"/>
      <c r="LRU66" s="1"/>
      <c r="LRV66" s="1"/>
      <c r="LRW66" s="1"/>
      <c r="LRX66" s="1"/>
      <c r="LRY66" s="1"/>
      <c r="LRZ66" s="1"/>
      <c r="LSA66" s="1"/>
      <c r="LSB66" s="1"/>
      <c r="LSC66" s="1"/>
      <c r="LSD66" s="1"/>
      <c r="LSE66" s="1"/>
      <c r="LSF66" s="1"/>
      <c r="LSG66" s="1"/>
      <c r="LSH66" s="1"/>
      <c r="LSI66" s="1"/>
      <c r="LSJ66" s="1"/>
      <c r="LSK66" s="1"/>
      <c r="LSL66" s="1"/>
      <c r="LSM66" s="1"/>
      <c r="LSN66" s="1"/>
      <c r="LSO66" s="1"/>
      <c r="LSP66" s="1"/>
      <c r="LSQ66" s="1"/>
      <c r="LSR66" s="1"/>
      <c r="LSS66" s="1"/>
      <c r="LST66" s="1"/>
      <c r="LSU66" s="1"/>
      <c r="LSV66" s="1"/>
      <c r="LSW66" s="1"/>
      <c r="LSX66" s="1"/>
      <c r="LSY66" s="1"/>
      <c r="LSZ66" s="1"/>
      <c r="LTA66" s="1"/>
      <c r="LTB66" s="1"/>
      <c r="LTC66" s="1"/>
      <c r="LTD66" s="1"/>
      <c r="LTE66" s="1"/>
      <c r="LTF66" s="1"/>
      <c r="LTG66" s="1"/>
      <c r="LTH66" s="1"/>
      <c r="LTI66" s="1"/>
      <c r="LTJ66" s="1"/>
      <c r="LTK66" s="1"/>
      <c r="LTL66" s="1"/>
      <c r="LTM66" s="1"/>
      <c r="LTN66" s="1"/>
      <c r="LTO66" s="1"/>
      <c r="LTP66" s="1"/>
      <c r="LTQ66" s="1"/>
      <c r="LTR66" s="1"/>
      <c r="LTS66" s="1"/>
      <c r="LTT66" s="1"/>
      <c r="LTU66" s="1"/>
      <c r="LTV66" s="1"/>
      <c r="LTW66" s="1"/>
      <c r="LTX66" s="1"/>
      <c r="LTY66" s="1"/>
      <c r="LTZ66" s="1"/>
      <c r="LUA66" s="1"/>
      <c r="LUB66" s="1"/>
      <c r="LUC66" s="1"/>
      <c r="LUD66" s="1"/>
      <c r="LUE66" s="1"/>
      <c r="LUF66" s="1"/>
      <c r="LUG66" s="1"/>
      <c r="LUH66" s="1"/>
      <c r="LUI66" s="1"/>
      <c r="LUJ66" s="1"/>
      <c r="LUK66" s="1"/>
      <c r="LUL66" s="1"/>
      <c r="LUM66" s="1"/>
      <c r="LUN66" s="1"/>
      <c r="LUO66" s="1"/>
      <c r="LUP66" s="1"/>
      <c r="LUQ66" s="1"/>
      <c r="LUR66" s="1"/>
      <c r="LUS66" s="1"/>
      <c r="LUT66" s="1"/>
      <c r="LUU66" s="1"/>
      <c r="LUV66" s="1"/>
      <c r="LUW66" s="1"/>
      <c r="LUX66" s="1"/>
      <c r="LUY66" s="1"/>
      <c r="LUZ66" s="1"/>
      <c r="LVA66" s="1"/>
      <c r="LVB66" s="1"/>
      <c r="LVC66" s="1"/>
      <c r="LVD66" s="1"/>
      <c r="LVE66" s="1"/>
      <c r="LVF66" s="1"/>
      <c r="LVG66" s="1"/>
      <c r="LVH66" s="1"/>
      <c r="LVI66" s="1"/>
      <c r="LVJ66" s="1"/>
      <c r="LVK66" s="1"/>
      <c r="LVL66" s="1"/>
      <c r="LVM66" s="1"/>
      <c r="LVN66" s="1"/>
      <c r="LVO66" s="1"/>
      <c r="LVP66" s="1"/>
      <c r="LVQ66" s="1"/>
      <c r="LVR66" s="1"/>
      <c r="LVS66" s="1"/>
      <c r="LVT66" s="1"/>
      <c r="LVU66" s="1"/>
      <c r="LVV66" s="1"/>
      <c r="LVW66" s="1"/>
      <c r="LVX66" s="1"/>
      <c r="LVY66" s="1"/>
      <c r="LVZ66" s="1"/>
      <c r="LWA66" s="1"/>
      <c r="LWB66" s="1"/>
      <c r="LWC66" s="1"/>
      <c r="LWD66" s="1"/>
      <c r="LWE66" s="1"/>
      <c r="LWF66" s="1"/>
      <c r="LWG66" s="1"/>
      <c r="LWH66" s="1"/>
      <c r="LWI66" s="1"/>
      <c r="LWJ66" s="1"/>
      <c r="LWK66" s="1"/>
      <c r="LWL66" s="1"/>
      <c r="LWM66" s="1"/>
      <c r="LWN66" s="1"/>
      <c r="LWO66" s="1"/>
      <c r="LWP66" s="1"/>
      <c r="LWQ66" s="1"/>
      <c r="LWR66" s="1"/>
      <c r="LWS66" s="1"/>
      <c r="LWT66" s="1"/>
      <c r="LWU66" s="1"/>
      <c r="LWV66" s="1"/>
      <c r="LWW66" s="1"/>
      <c r="LWX66" s="1"/>
      <c r="LWY66" s="1"/>
      <c r="LWZ66" s="1"/>
      <c r="LXA66" s="1"/>
      <c r="LXB66" s="1"/>
      <c r="LXC66" s="1"/>
      <c r="LXD66" s="1"/>
      <c r="LXE66" s="1"/>
      <c r="LXF66" s="1"/>
      <c r="LXG66" s="1"/>
      <c r="LXH66" s="1"/>
      <c r="LXI66" s="1"/>
      <c r="LXJ66" s="1"/>
      <c r="LXK66" s="1"/>
      <c r="LXL66" s="1"/>
      <c r="LXM66" s="1"/>
      <c r="LXN66" s="1"/>
      <c r="LXO66" s="1"/>
      <c r="LXP66" s="1"/>
      <c r="LXQ66" s="1"/>
      <c r="LXR66" s="1"/>
      <c r="LXS66" s="1"/>
      <c r="LXT66" s="1"/>
      <c r="LXU66" s="1"/>
      <c r="LXV66" s="1"/>
      <c r="LXW66" s="1"/>
      <c r="LXX66" s="1"/>
      <c r="LXY66" s="1"/>
      <c r="LXZ66" s="1"/>
      <c r="LYA66" s="1"/>
      <c r="LYB66" s="1"/>
      <c r="LYC66" s="1"/>
      <c r="LYD66" s="1"/>
      <c r="LYE66" s="1"/>
      <c r="LYF66" s="1"/>
      <c r="LYG66" s="1"/>
      <c r="LYH66" s="1"/>
      <c r="LYI66" s="1"/>
      <c r="LYJ66" s="1"/>
      <c r="LYK66" s="1"/>
      <c r="LYL66" s="1"/>
      <c r="LYM66" s="1"/>
      <c r="LYN66" s="1"/>
      <c r="LYO66" s="1"/>
      <c r="LYP66" s="1"/>
      <c r="LYQ66" s="1"/>
      <c r="LYR66" s="1"/>
      <c r="LYS66" s="1"/>
      <c r="LYT66" s="1"/>
      <c r="LYU66" s="1"/>
      <c r="LYV66" s="1"/>
      <c r="LYW66" s="1"/>
      <c r="LYX66" s="1"/>
      <c r="LYY66" s="1"/>
      <c r="LYZ66" s="1"/>
      <c r="LZA66" s="1"/>
      <c r="LZB66" s="1"/>
      <c r="LZC66" s="1"/>
      <c r="LZD66" s="1"/>
      <c r="LZE66" s="1"/>
      <c r="LZF66" s="1"/>
      <c r="LZG66" s="1"/>
      <c r="LZH66" s="1"/>
      <c r="LZI66" s="1"/>
      <c r="LZJ66" s="1"/>
      <c r="LZK66" s="1"/>
      <c r="LZL66" s="1"/>
      <c r="LZM66" s="1"/>
      <c r="LZN66" s="1"/>
      <c r="LZO66" s="1"/>
      <c r="LZP66" s="1"/>
      <c r="LZQ66" s="1"/>
      <c r="LZR66" s="1"/>
      <c r="LZS66" s="1"/>
      <c r="LZT66" s="1"/>
      <c r="LZU66" s="1"/>
      <c r="LZV66" s="1"/>
      <c r="LZW66" s="1"/>
      <c r="LZX66" s="1"/>
      <c r="LZY66" s="1"/>
      <c r="LZZ66" s="1"/>
      <c r="MAA66" s="1"/>
      <c r="MAB66" s="1"/>
      <c r="MAC66" s="1"/>
      <c r="MAD66" s="1"/>
      <c r="MAE66" s="1"/>
      <c r="MAF66" s="1"/>
      <c r="MAG66" s="1"/>
      <c r="MAH66" s="1"/>
      <c r="MAI66" s="1"/>
      <c r="MAJ66" s="1"/>
      <c r="MAK66" s="1"/>
      <c r="MAL66" s="1"/>
      <c r="MAM66" s="1"/>
      <c r="MAN66" s="1"/>
      <c r="MAO66" s="1"/>
      <c r="MAP66" s="1"/>
      <c r="MAQ66" s="1"/>
      <c r="MAR66" s="1"/>
      <c r="MAS66" s="1"/>
      <c r="MAT66" s="1"/>
      <c r="MAU66" s="1"/>
      <c r="MAV66" s="1"/>
      <c r="MAW66" s="1"/>
      <c r="MAX66" s="1"/>
      <c r="MAY66" s="1"/>
      <c r="MAZ66" s="1"/>
      <c r="MBA66" s="1"/>
      <c r="MBB66" s="1"/>
      <c r="MBC66" s="1"/>
      <c r="MBD66" s="1"/>
      <c r="MBE66" s="1"/>
      <c r="MBF66" s="1"/>
      <c r="MBG66" s="1"/>
      <c r="MBH66" s="1"/>
      <c r="MBI66" s="1"/>
      <c r="MBJ66" s="1"/>
      <c r="MBK66" s="1"/>
      <c r="MBL66" s="1"/>
      <c r="MBM66" s="1"/>
      <c r="MBN66" s="1"/>
      <c r="MBO66" s="1"/>
      <c r="MBP66" s="1"/>
      <c r="MBQ66" s="1"/>
      <c r="MBR66" s="1"/>
      <c r="MBS66" s="1"/>
      <c r="MBT66" s="1"/>
      <c r="MBU66" s="1"/>
      <c r="MBV66" s="1"/>
      <c r="MBW66" s="1"/>
      <c r="MBX66" s="1"/>
      <c r="MBY66" s="1"/>
      <c r="MBZ66" s="1"/>
      <c r="MCA66" s="1"/>
      <c r="MCB66" s="1"/>
      <c r="MCC66" s="1"/>
      <c r="MCD66" s="1"/>
      <c r="MCE66" s="1"/>
      <c r="MCF66" s="1"/>
      <c r="MCG66" s="1"/>
      <c r="MCH66" s="1"/>
      <c r="MCI66" s="1"/>
      <c r="MCJ66" s="1"/>
      <c r="MCK66" s="1"/>
      <c r="MCL66" s="1"/>
      <c r="MCM66" s="1"/>
      <c r="MCN66" s="1"/>
      <c r="MCO66" s="1"/>
      <c r="MCP66" s="1"/>
      <c r="MCQ66" s="1"/>
      <c r="MCR66" s="1"/>
      <c r="MCS66" s="1"/>
      <c r="MCT66" s="1"/>
      <c r="MCU66" s="1"/>
      <c r="MCV66" s="1"/>
      <c r="MCW66" s="1"/>
      <c r="MCX66" s="1"/>
      <c r="MCY66" s="1"/>
      <c r="MCZ66" s="1"/>
      <c r="MDA66" s="1"/>
      <c r="MDB66" s="1"/>
      <c r="MDC66" s="1"/>
      <c r="MDD66" s="1"/>
      <c r="MDE66" s="1"/>
      <c r="MDF66" s="1"/>
      <c r="MDG66" s="1"/>
      <c r="MDH66" s="1"/>
      <c r="MDI66" s="1"/>
      <c r="MDJ66" s="1"/>
      <c r="MDK66" s="1"/>
      <c r="MDL66" s="1"/>
      <c r="MDM66" s="1"/>
      <c r="MDN66" s="1"/>
      <c r="MDO66" s="1"/>
      <c r="MDP66" s="1"/>
      <c r="MDQ66" s="1"/>
      <c r="MDR66" s="1"/>
      <c r="MDS66" s="1"/>
      <c r="MDT66" s="1"/>
      <c r="MDU66" s="1"/>
      <c r="MDV66" s="1"/>
      <c r="MDW66" s="1"/>
      <c r="MDX66" s="1"/>
      <c r="MDY66" s="1"/>
      <c r="MDZ66" s="1"/>
      <c r="MEA66" s="1"/>
      <c r="MEB66" s="1"/>
      <c r="MEC66" s="1"/>
      <c r="MED66" s="1"/>
      <c r="MEE66" s="1"/>
      <c r="MEF66" s="1"/>
      <c r="MEG66" s="1"/>
      <c r="MEH66" s="1"/>
      <c r="MEI66" s="1"/>
      <c r="MEJ66" s="1"/>
      <c r="MEK66" s="1"/>
      <c r="MEL66" s="1"/>
      <c r="MEM66" s="1"/>
      <c r="MEN66" s="1"/>
      <c r="MEO66" s="1"/>
      <c r="MEP66" s="1"/>
      <c r="MEQ66" s="1"/>
      <c r="MER66" s="1"/>
      <c r="MES66" s="1"/>
      <c r="MET66" s="1"/>
      <c r="MEU66" s="1"/>
      <c r="MEV66" s="1"/>
      <c r="MEW66" s="1"/>
      <c r="MEX66" s="1"/>
      <c r="MEY66" s="1"/>
      <c r="MEZ66" s="1"/>
      <c r="MFA66" s="1"/>
      <c r="MFB66" s="1"/>
      <c r="MFC66" s="1"/>
      <c r="MFD66" s="1"/>
      <c r="MFE66" s="1"/>
      <c r="MFF66" s="1"/>
      <c r="MFG66" s="1"/>
      <c r="MFH66" s="1"/>
      <c r="MFI66" s="1"/>
      <c r="MFJ66" s="1"/>
      <c r="MFK66" s="1"/>
      <c r="MFL66" s="1"/>
      <c r="MFM66" s="1"/>
      <c r="MFN66" s="1"/>
      <c r="MFO66" s="1"/>
      <c r="MFP66" s="1"/>
      <c r="MFQ66" s="1"/>
      <c r="MFR66" s="1"/>
      <c r="MFS66" s="1"/>
      <c r="MFT66" s="1"/>
      <c r="MFU66" s="1"/>
      <c r="MFV66" s="1"/>
      <c r="MFW66" s="1"/>
      <c r="MFX66" s="1"/>
      <c r="MFY66" s="1"/>
      <c r="MFZ66" s="1"/>
      <c r="MGA66" s="1"/>
      <c r="MGB66" s="1"/>
      <c r="MGC66" s="1"/>
      <c r="MGD66" s="1"/>
      <c r="MGE66" s="1"/>
      <c r="MGF66" s="1"/>
      <c r="MGG66" s="1"/>
      <c r="MGH66" s="1"/>
      <c r="MGI66" s="1"/>
      <c r="MGJ66" s="1"/>
      <c r="MGK66" s="1"/>
      <c r="MGL66" s="1"/>
      <c r="MGM66" s="1"/>
      <c r="MGN66" s="1"/>
      <c r="MGO66" s="1"/>
      <c r="MGP66" s="1"/>
      <c r="MGQ66" s="1"/>
      <c r="MGR66" s="1"/>
      <c r="MGS66" s="1"/>
      <c r="MGT66" s="1"/>
      <c r="MGU66" s="1"/>
      <c r="MGV66" s="1"/>
      <c r="MGW66" s="1"/>
      <c r="MGX66" s="1"/>
      <c r="MGY66" s="1"/>
      <c r="MGZ66" s="1"/>
      <c r="MHA66" s="1"/>
      <c r="MHB66" s="1"/>
      <c r="MHC66" s="1"/>
      <c r="MHD66" s="1"/>
      <c r="MHE66" s="1"/>
      <c r="MHF66" s="1"/>
      <c r="MHG66" s="1"/>
      <c r="MHH66" s="1"/>
      <c r="MHI66" s="1"/>
      <c r="MHJ66" s="1"/>
      <c r="MHK66" s="1"/>
      <c r="MHL66" s="1"/>
      <c r="MHM66" s="1"/>
      <c r="MHN66" s="1"/>
      <c r="MHO66" s="1"/>
      <c r="MHP66" s="1"/>
      <c r="MHQ66" s="1"/>
      <c r="MHR66" s="1"/>
      <c r="MHS66" s="1"/>
      <c r="MHT66" s="1"/>
      <c r="MHU66" s="1"/>
      <c r="MHV66" s="1"/>
      <c r="MHW66" s="1"/>
      <c r="MHX66" s="1"/>
      <c r="MHY66" s="1"/>
      <c r="MHZ66" s="1"/>
      <c r="MIA66" s="1"/>
      <c r="MIB66" s="1"/>
      <c r="MIC66" s="1"/>
      <c r="MID66" s="1"/>
      <c r="MIE66" s="1"/>
      <c r="MIF66" s="1"/>
      <c r="MIG66" s="1"/>
      <c r="MIH66" s="1"/>
      <c r="MII66" s="1"/>
      <c r="MIJ66" s="1"/>
      <c r="MIK66" s="1"/>
      <c r="MIL66" s="1"/>
      <c r="MIM66" s="1"/>
      <c r="MIN66" s="1"/>
      <c r="MIO66" s="1"/>
      <c r="MIP66" s="1"/>
      <c r="MIQ66" s="1"/>
      <c r="MIR66" s="1"/>
      <c r="MIS66" s="1"/>
      <c r="MIT66" s="1"/>
      <c r="MIU66" s="1"/>
      <c r="MIV66" s="1"/>
      <c r="MIW66" s="1"/>
      <c r="MIX66" s="1"/>
      <c r="MIY66" s="1"/>
      <c r="MIZ66" s="1"/>
      <c r="MJA66" s="1"/>
      <c r="MJB66" s="1"/>
      <c r="MJC66" s="1"/>
      <c r="MJD66" s="1"/>
      <c r="MJE66" s="1"/>
      <c r="MJF66" s="1"/>
      <c r="MJG66" s="1"/>
      <c r="MJH66" s="1"/>
      <c r="MJI66" s="1"/>
      <c r="MJJ66" s="1"/>
      <c r="MJK66" s="1"/>
      <c r="MJL66" s="1"/>
      <c r="MJM66" s="1"/>
      <c r="MJN66" s="1"/>
      <c r="MJO66" s="1"/>
      <c r="MJP66" s="1"/>
      <c r="MJQ66" s="1"/>
      <c r="MJR66" s="1"/>
      <c r="MJS66" s="1"/>
      <c r="MJT66" s="1"/>
      <c r="MJU66" s="1"/>
      <c r="MJV66" s="1"/>
      <c r="MJW66" s="1"/>
      <c r="MJX66" s="1"/>
      <c r="MJY66" s="1"/>
      <c r="MJZ66" s="1"/>
      <c r="MKA66" s="1"/>
      <c r="MKB66" s="1"/>
      <c r="MKC66" s="1"/>
      <c r="MKD66" s="1"/>
      <c r="MKE66" s="1"/>
      <c r="MKF66" s="1"/>
      <c r="MKG66" s="1"/>
      <c r="MKH66" s="1"/>
      <c r="MKI66" s="1"/>
      <c r="MKJ66" s="1"/>
      <c r="MKK66" s="1"/>
      <c r="MKL66" s="1"/>
      <c r="MKM66" s="1"/>
      <c r="MKN66" s="1"/>
      <c r="MKO66" s="1"/>
      <c r="MKP66" s="1"/>
      <c r="MKQ66" s="1"/>
      <c r="MKR66" s="1"/>
      <c r="MKS66" s="1"/>
      <c r="MKT66" s="1"/>
      <c r="MKU66" s="1"/>
      <c r="MKV66" s="1"/>
      <c r="MKW66" s="1"/>
      <c r="MKX66" s="1"/>
      <c r="MKY66" s="1"/>
      <c r="MKZ66" s="1"/>
      <c r="MLA66" s="1"/>
      <c r="MLB66" s="1"/>
      <c r="MLC66" s="1"/>
      <c r="MLD66" s="1"/>
      <c r="MLE66" s="1"/>
      <c r="MLF66" s="1"/>
      <c r="MLG66" s="1"/>
      <c r="MLH66" s="1"/>
      <c r="MLI66" s="1"/>
      <c r="MLJ66" s="1"/>
      <c r="MLK66" s="1"/>
      <c r="MLL66" s="1"/>
      <c r="MLM66" s="1"/>
      <c r="MLN66" s="1"/>
      <c r="MLO66" s="1"/>
      <c r="MLP66" s="1"/>
      <c r="MLQ66" s="1"/>
      <c r="MLR66" s="1"/>
      <c r="MLS66" s="1"/>
      <c r="MLT66" s="1"/>
      <c r="MLU66" s="1"/>
      <c r="MLV66" s="1"/>
      <c r="MLW66" s="1"/>
      <c r="MLX66" s="1"/>
      <c r="MLY66" s="1"/>
      <c r="MLZ66" s="1"/>
      <c r="MMA66" s="1"/>
      <c r="MMB66" s="1"/>
      <c r="MMC66" s="1"/>
      <c r="MMD66" s="1"/>
      <c r="MME66" s="1"/>
      <c r="MMF66" s="1"/>
      <c r="MMG66" s="1"/>
      <c r="MMH66" s="1"/>
      <c r="MMI66" s="1"/>
      <c r="MMJ66" s="1"/>
      <c r="MMK66" s="1"/>
      <c r="MML66" s="1"/>
      <c r="MMM66" s="1"/>
      <c r="MMN66" s="1"/>
      <c r="MMO66" s="1"/>
      <c r="MMP66" s="1"/>
      <c r="MMQ66" s="1"/>
      <c r="MMR66" s="1"/>
      <c r="MMS66" s="1"/>
      <c r="MMT66" s="1"/>
      <c r="MMU66" s="1"/>
      <c r="MMV66" s="1"/>
      <c r="MMW66" s="1"/>
      <c r="MMX66" s="1"/>
      <c r="MMY66" s="1"/>
      <c r="MMZ66" s="1"/>
      <c r="MNA66" s="1"/>
      <c r="MNB66" s="1"/>
      <c r="MNC66" s="1"/>
      <c r="MND66" s="1"/>
      <c r="MNE66" s="1"/>
      <c r="MNF66" s="1"/>
      <c r="MNG66" s="1"/>
      <c r="MNH66" s="1"/>
      <c r="MNI66" s="1"/>
      <c r="MNJ66" s="1"/>
      <c r="MNK66" s="1"/>
      <c r="MNL66" s="1"/>
      <c r="MNM66" s="1"/>
      <c r="MNN66" s="1"/>
      <c r="MNO66" s="1"/>
      <c r="MNP66" s="1"/>
      <c r="MNQ66" s="1"/>
      <c r="MNR66" s="1"/>
      <c r="MNS66" s="1"/>
      <c r="MNT66" s="1"/>
      <c r="MNU66" s="1"/>
      <c r="MNV66" s="1"/>
      <c r="MNW66" s="1"/>
      <c r="MNX66" s="1"/>
      <c r="MNY66" s="1"/>
      <c r="MNZ66" s="1"/>
      <c r="MOA66" s="1"/>
      <c r="MOB66" s="1"/>
      <c r="MOC66" s="1"/>
      <c r="MOD66" s="1"/>
      <c r="MOE66" s="1"/>
      <c r="MOF66" s="1"/>
      <c r="MOG66" s="1"/>
      <c r="MOH66" s="1"/>
      <c r="MOI66" s="1"/>
      <c r="MOJ66" s="1"/>
      <c r="MOK66" s="1"/>
      <c r="MOL66" s="1"/>
      <c r="MOM66" s="1"/>
      <c r="MON66" s="1"/>
      <c r="MOO66" s="1"/>
      <c r="MOP66" s="1"/>
      <c r="MOQ66" s="1"/>
      <c r="MOR66" s="1"/>
      <c r="MOS66" s="1"/>
      <c r="MOT66" s="1"/>
      <c r="MOU66" s="1"/>
      <c r="MOV66" s="1"/>
      <c r="MOW66" s="1"/>
      <c r="MOX66" s="1"/>
      <c r="MOY66" s="1"/>
      <c r="MOZ66" s="1"/>
      <c r="MPA66" s="1"/>
      <c r="MPB66" s="1"/>
      <c r="MPC66" s="1"/>
      <c r="MPD66" s="1"/>
      <c r="MPE66" s="1"/>
      <c r="MPF66" s="1"/>
      <c r="MPG66" s="1"/>
      <c r="MPH66" s="1"/>
      <c r="MPI66" s="1"/>
      <c r="MPJ66" s="1"/>
      <c r="MPK66" s="1"/>
      <c r="MPL66" s="1"/>
      <c r="MPM66" s="1"/>
      <c r="MPN66" s="1"/>
      <c r="MPO66" s="1"/>
      <c r="MPP66" s="1"/>
      <c r="MPQ66" s="1"/>
      <c r="MPR66" s="1"/>
      <c r="MPS66" s="1"/>
      <c r="MPT66" s="1"/>
      <c r="MPU66" s="1"/>
      <c r="MPV66" s="1"/>
      <c r="MPW66" s="1"/>
      <c r="MPX66" s="1"/>
      <c r="MPY66" s="1"/>
      <c r="MPZ66" s="1"/>
      <c r="MQA66" s="1"/>
      <c r="MQB66" s="1"/>
      <c r="MQC66" s="1"/>
      <c r="MQD66" s="1"/>
      <c r="MQE66" s="1"/>
      <c r="MQF66" s="1"/>
      <c r="MQG66" s="1"/>
      <c r="MQH66" s="1"/>
      <c r="MQI66" s="1"/>
      <c r="MQJ66" s="1"/>
      <c r="MQK66" s="1"/>
      <c r="MQL66" s="1"/>
      <c r="MQM66" s="1"/>
      <c r="MQN66" s="1"/>
      <c r="MQO66" s="1"/>
      <c r="MQP66" s="1"/>
      <c r="MQQ66" s="1"/>
      <c r="MQR66" s="1"/>
      <c r="MQS66" s="1"/>
      <c r="MQT66" s="1"/>
      <c r="MQU66" s="1"/>
      <c r="MQV66" s="1"/>
      <c r="MQW66" s="1"/>
      <c r="MQX66" s="1"/>
      <c r="MQY66" s="1"/>
      <c r="MQZ66" s="1"/>
      <c r="MRA66" s="1"/>
      <c r="MRB66" s="1"/>
      <c r="MRC66" s="1"/>
      <c r="MRD66" s="1"/>
      <c r="MRE66" s="1"/>
      <c r="MRF66" s="1"/>
      <c r="MRG66" s="1"/>
      <c r="MRH66" s="1"/>
      <c r="MRI66" s="1"/>
      <c r="MRJ66" s="1"/>
      <c r="MRK66" s="1"/>
      <c r="MRL66" s="1"/>
      <c r="MRM66" s="1"/>
      <c r="MRN66" s="1"/>
      <c r="MRO66" s="1"/>
      <c r="MRP66" s="1"/>
      <c r="MRQ66" s="1"/>
      <c r="MRR66" s="1"/>
      <c r="MRS66" s="1"/>
      <c r="MRT66" s="1"/>
      <c r="MRU66" s="1"/>
      <c r="MRV66" s="1"/>
      <c r="MRW66" s="1"/>
      <c r="MRX66" s="1"/>
      <c r="MRY66" s="1"/>
      <c r="MRZ66" s="1"/>
      <c r="MSA66" s="1"/>
      <c r="MSB66" s="1"/>
      <c r="MSC66" s="1"/>
      <c r="MSD66" s="1"/>
      <c r="MSE66" s="1"/>
      <c r="MSF66" s="1"/>
      <c r="MSG66" s="1"/>
      <c r="MSH66" s="1"/>
      <c r="MSI66" s="1"/>
      <c r="MSJ66" s="1"/>
      <c r="MSK66" s="1"/>
      <c r="MSL66" s="1"/>
      <c r="MSM66" s="1"/>
      <c r="MSN66" s="1"/>
      <c r="MSO66" s="1"/>
      <c r="MSP66" s="1"/>
      <c r="MSQ66" s="1"/>
      <c r="MSR66" s="1"/>
      <c r="MSS66" s="1"/>
      <c r="MST66" s="1"/>
      <c r="MSU66" s="1"/>
      <c r="MSV66" s="1"/>
      <c r="MSW66" s="1"/>
      <c r="MSX66" s="1"/>
      <c r="MSY66" s="1"/>
      <c r="MSZ66" s="1"/>
      <c r="MTA66" s="1"/>
      <c r="MTB66" s="1"/>
      <c r="MTC66" s="1"/>
      <c r="MTD66" s="1"/>
      <c r="MTE66" s="1"/>
      <c r="MTF66" s="1"/>
      <c r="MTG66" s="1"/>
      <c r="MTH66" s="1"/>
      <c r="MTI66" s="1"/>
      <c r="MTJ66" s="1"/>
      <c r="MTK66" s="1"/>
      <c r="MTL66" s="1"/>
      <c r="MTM66" s="1"/>
      <c r="MTN66" s="1"/>
      <c r="MTO66" s="1"/>
      <c r="MTP66" s="1"/>
      <c r="MTQ66" s="1"/>
      <c r="MTR66" s="1"/>
      <c r="MTS66" s="1"/>
      <c r="MTT66" s="1"/>
      <c r="MTU66" s="1"/>
      <c r="MTV66" s="1"/>
      <c r="MTW66" s="1"/>
      <c r="MTX66" s="1"/>
      <c r="MTY66" s="1"/>
      <c r="MTZ66" s="1"/>
      <c r="MUA66" s="1"/>
      <c r="MUB66" s="1"/>
      <c r="MUC66" s="1"/>
      <c r="MUD66" s="1"/>
      <c r="MUE66" s="1"/>
      <c r="MUF66" s="1"/>
      <c r="MUG66" s="1"/>
      <c r="MUH66" s="1"/>
      <c r="MUI66" s="1"/>
      <c r="MUJ66" s="1"/>
      <c r="MUK66" s="1"/>
      <c r="MUL66" s="1"/>
      <c r="MUM66" s="1"/>
      <c r="MUN66" s="1"/>
      <c r="MUO66" s="1"/>
      <c r="MUP66" s="1"/>
      <c r="MUQ66" s="1"/>
      <c r="MUR66" s="1"/>
      <c r="MUS66" s="1"/>
      <c r="MUT66" s="1"/>
      <c r="MUU66" s="1"/>
      <c r="MUV66" s="1"/>
      <c r="MUW66" s="1"/>
      <c r="MUX66" s="1"/>
      <c r="MUY66" s="1"/>
      <c r="MUZ66" s="1"/>
      <c r="MVA66" s="1"/>
      <c r="MVB66" s="1"/>
      <c r="MVC66" s="1"/>
      <c r="MVD66" s="1"/>
      <c r="MVE66" s="1"/>
      <c r="MVF66" s="1"/>
      <c r="MVG66" s="1"/>
      <c r="MVH66" s="1"/>
      <c r="MVI66" s="1"/>
      <c r="MVJ66" s="1"/>
      <c r="MVK66" s="1"/>
      <c r="MVL66" s="1"/>
      <c r="MVM66" s="1"/>
      <c r="MVN66" s="1"/>
      <c r="MVO66" s="1"/>
      <c r="MVP66" s="1"/>
      <c r="MVQ66" s="1"/>
      <c r="MVR66" s="1"/>
      <c r="MVS66" s="1"/>
      <c r="MVT66" s="1"/>
      <c r="MVU66" s="1"/>
      <c r="MVV66" s="1"/>
      <c r="MVW66" s="1"/>
      <c r="MVX66" s="1"/>
      <c r="MVY66" s="1"/>
      <c r="MVZ66" s="1"/>
      <c r="MWA66" s="1"/>
      <c r="MWB66" s="1"/>
      <c r="MWC66" s="1"/>
      <c r="MWD66" s="1"/>
      <c r="MWE66" s="1"/>
      <c r="MWF66" s="1"/>
      <c r="MWG66" s="1"/>
      <c r="MWH66" s="1"/>
      <c r="MWI66" s="1"/>
      <c r="MWJ66" s="1"/>
      <c r="MWK66" s="1"/>
      <c r="MWL66" s="1"/>
      <c r="MWM66" s="1"/>
      <c r="MWN66" s="1"/>
      <c r="MWO66" s="1"/>
      <c r="MWP66" s="1"/>
      <c r="MWQ66" s="1"/>
      <c r="MWR66" s="1"/>
      <c r="MWS66" s="1"/>
      <c r="MWT66" s="1"/>
      <c r="MWU66" s="1"/>
      <c r="MWV66" s="1"/>
      <c r="MWW66" s="1"/>
      <c r="MWX66" s="1"/>
      <c r="MWY66" s="1"/>
      <c r="MWZ66" s="1"/>
      <c r="MXA66" s="1"/>
      <c r="MXB66" s="1"/>
      <c r="MXC66" s="1"/>
      <c r="MXD66" s="1"/>
      <c r="MXE66" s="1"/>
      <c r="MXF66" s="1"/>
      <c r="MXG66" s="1"/>
      <c r="MXH66" s="1"/>
      <c r="MXI66" s="1"/>
      <c r="MXJ66" s="1"/>
      <c r="MXK66" s="1"/>
      <c r="MXL66" s="1"/>
      <c r="MXM66" s="1"/>
      <c r="MXN66" s="1"/>
      <c r="MXO66" s="1"/>
      <c r="MXP66" s="1"/>
      <c r="MXQ66" s="1"/>
      <c r="MXR66" s="1"/>
      <c r="MXS66" s="1"/>
      <c r="MXT66" s="1"/>
      <c r="MXU66" s="1"/>
      <c r="MXV66" s="1"/>
      <c r="MXW66" s="1"/>
      <c r="MXX66" s="1"/>
      <c r="MXY66" s="1"/>
      <c r="MXZ66" s="1"/>
      <c r="MYA66" s="1"/>
      <c r="MYB66" s="1"/>
      <c r="MYC66" s="1"/>
      <c r="MYD66" s="1"/>
      <c r="MYE66" s="1"/>
      <c r="MYF66" s="1"/>
      <c r="MYG66" s="1"/>
      <c r="MYH66" s="1"/>
      <c r="MYI66" s="1"/>
      <c r="MYJ66" s="1"/>
      <c r="MYK66" s="1"/>
      <c r="MYL66" s="1"/>
      <c r="MYM66" s="1"/>
      <c r="MYN66" s="1"/>
      <c r="MYO66" s="1"/>
      <c r="MYP66" s="1"/>
      <c r="MYQ66" s="1"/>
      <c r="MYR66" s="1"/>
      <c r="MYS66" s="1"/>
      <c r="MYT66" s="1"/>
      <c r="MYU66" s="1"/>
      <c r="MYV66" s="1"/>
      <c r="MYW66" s="1"/>
      <c r="MYX66" s="1"/>
      <c r="MYY66" s="1"/>
      <c r="MYZ66" s="1"/>
      <c r="MZA66" s="1"/>
      <c r="MZB66" s="1"/>
      <c r="MZC66" s="1"/>
      <c r="MZD66" s="1"/>
      <c r="MZE66" s="1"/>
      <c r="MZF66" s="1"/>
      <c r="MZG66" s="1"/>
      <c r="MZH66" s="1"/>
      <c r="MZI66" s="1"/>
      <c r="MZJ66" s="1"/>
      <c r="MZK66" s="1"/>
      <c r="MZL66" s="1"/>
      <c r="MZM66" s="1"/>
      <c r="MZN66" s="1"/>
      <c r="MZO66" s="1"/>
      <c r="MZP66" s="1"/>
      <c r="MZQ66" s="1"/>
      <c r="MZR66" s="1"/>
      <c r="MZS66" s="1"/>
      <c r="MZT66" s="1"/>
      <c r="MZU66" s="1"/>
      <c r="MZV66" s="1"/>
      <c r="MZW66" s="1"/>
      <c r="MZX66" s="1"/>
      <c r="MZY66" s="1"/>
      <c r="MZZ66" s="1"/>
      <c r="NAA66" s="1"/>
      <c r="NAB66" s="1"/>
      <c r="NAC66" s="1"/>
      <c r="NAD66" s="1"/>
      <c r="NAE66" s="1"/>
      <c r="NAF66" s="1"/>
      <c r="NAG66" s="1"/>
      <c r="NAH66" s="1"/>
      <c r="NAI66" s="1"/>
      <c r="NAJ66" s="1"/>
      <c r="NAK66" s="1"/>
      <c r="NAL66" s="1"/>
      <c r="NAM66" s="1"/>
      <c r="NAN66" s="1"/>
      <c r="NAO66" s="1"/>
      <c r="NAP66" s="1"/>
      <c r="NAQ66" s="1"/>
      <c r="NAR66" s="1"/>
      <c r="NAS66" s="1"/>
      <c r="NAT66" s="1"/>
      <c r="NAU66" s="1"/>
      <c r="NAV66" s="1"/>
      <c r="NAW66" s="1"/>
      <c r="NAX66" s="1"/>
      <c r="NAY66" s="1"/>
      <c r="NAZ66" s="1"/>
      <c r="NBA66" s="1"/>
      <c r="NBB66" s="1"/>
      <c r="NBC66" s="1"/>
      <c r="NBD66" s="1"/>
      <c r="NBE66" s="1"/>
      <c r="NBF66" s="1"/>
      <c r="NBG66" s="1"/>
      <c r="NBH66" s="1"/>
      <c r="NBI66" s="1"/>
      <c r="NBJ66" s="1"/>
      <c r="NBK66" s="1"/>
      <c r="NBL66" s="1"/>
      <c r="NBM66" s="1"/>
      <c r="NBN66" s="1"/>
      <c r="NBO66" s="1"/>
      <c r="NBP66" s="1"/>
      <c r="NBQ66" s="1"/>
      <c r="NBR66" s="1"/>
      <c r="NBS66" s="1"/>
      <c r="NBT66" s="1"/>
      <c r="NBU66" s="1"/>
      <c r="NBV66" s="1"/>
      <c r="NBW66" s="1"/>
      <c r="NBX66" s="1"/>
      <c r="NBY66" s="1"/>
      <c r="NBZ66" s="1"/>
      <c r="NCA66" s="1"/>
      <c r="NCB66" s="1"/>
      <c r="NCC66" s="1"/>
      <c r="NCD66" s="1"/>
      <c r="NCE66" s="1"/>
      <c r="NCF66" s="1"/>
      <c r="NCG66" s="1"/>
      <c r="NCH66" s="1"/>
      <c r="NCI66" s="1"/>
      <c r="NCJ66" s="1"/>
      <c r="NCK66" s="1"/>
      <c r="NCL66" s="1"/>
      <c r="NCM66" s="1"/>
      <c r="NCN66" s="1"/>
      <c r="NCO66" s="1"/>
      <c r="NCP66" s="1"/>
      <c r="NCQ66" s="1"/>
      <c r="NCR66" s="1"/>
      <c r="NCS66" s="1"/>
      <c r="NCT66" s="1"/>
      <c r="NCU66" s="1"/>
      <c r="NCV66" s="1"/>
      <c r="NCW66" s="1"/>
      <c r="NCX66" s="1"/>
      <c r="NCY66" s="1"/>
      <c r="NCZ66" s="1"/>
      <c r="NDA66" s="1"/>
      <c r="NDB66" s="1"/>
      <c r="NDC66" s="1"/>
      <c r="NDD66" s="1"/>
      <c r="NDE66" s="1"/>
      <c r="NDF66" s="1"/>
      <c r="NDG66" s="1"/>
      <c r="NDH66" s="1"/>
      <c r="NDI66" s="1"/>
      <c r="NDJ66" s="1"/>
      <c r="NDK66" s="1"/>
      <c r="NDL66" s="1"/>
      <c r="NDM66" s="1"/>
      <c r="NDN66" s="1"/>
      <c r="NDO66" s="1"/>
      <c r="NDP66" s="1"/>
      <c r="NDQ66" s="1"/>
      <c r="NDR66" s="1"/>
      <c r="NDS66" s="1"/>
      <c r="NDT66" s="1"/>
      <c r="NDU66" s="1"/>
      <c r="NDV66" s="1"/>
      <c r="NDW66" s="1"/>
      <c r="NDX66" s="1"/>
      <c r="NDY66" s="1"/>
      <c r="NDZ66" s="1"/>
      <c r="NEA66" s="1"/>
      <c r="NEB66" s="1"/>
      <c r="NEC66" s="1"/>
      <c r="NED66" s="1"/>
      <c r="NEE66" s="1"/>
      <c r="NEF66" s="1"/>
      <c r="NEG66" s="1"/>
      <c r="NEH66" s="1"/>
      <c r="NEI66" s="1"/>
      <c r="NEJ66" s="1"/>
      <c r="NEK66" s="1"/>
      <c r="NEL66" s="1"/>
      <c r="NEM66" s="1"/>
      <c r="NEN66" s="1"/>
      <c r="NEO66" s="1"/>
      <c r="NEP66" s="1"/>
      <c r="NEQ66" s="1"/>
      <c r="NER66" s="1"/>
      <c r="NES66" s="1"/>
      <c r="NET66" s="1"/>
      <c r="NEU66" s="1"/>
      <c r="NEV66" s="1"/>
      <c r="NEW66" s="1"/>
      <c r="NEX66" s="1"/>
      <c r="NEY66" s="1"/>
      <c r="NEZ66" s="1"/>
      <c r="NFA66" s="1"/>
      <c r="NFB66" s="1"/>
      <c r="NFC66" s="1"/>
      <c r="NFD66" s="1"/>
      <c r="NFE66" s="1"/>
      <c r="NFF66" s="1"/>
      <c r="NFG66" s="1"/>
      <c r="NFH66" s="1"/>
      <c r="NFI66" s="1"/>
      <c r="NFJ66" s="1"/>
      <c r="NFK66" s="1"/>
      <c r="NFL66" s="1"/>
      <c r="NFM66" s="1"/>
      <c r="NFN66" s="1"/>
      <c r="NFO66" s="1"/>
      <c r="NFP66" s="1"/>
      <c r="NFQ66" s="1"/>
      <c r="NFR66" s="1"/>
      <c r="NFS66" s="1"/>
      <c r="NFT66" s="1"/>
      <c r="NFU66" s="1"/>
      <c r="NFV66" s="1"/>
      <c r="NFW66" s="1"/>
      <c r="NFX66" s="1"/>
      <c r="NFY66" s="1"/>
      <c r="NFZ66" s="1"/>
      <c r="NGA66" s="1"/>
      <c r="NGB66" s="1"/>
      <c r="NGC66" s="1"/>
      <c r="NGD66" s="1"/>
      <c r="NGE66" s="1"/>
      <c r="NGF66" s="1"/>
      <c r="NGG66" s="1"/>
      <c r="NGH66" s="1"/>
      <c r="NGI66" s="1"/>
      <c r="NGJ66" s="1"/>
      <c r="NGK66" s="1"/>
      <c r="NGL66" s="1"/>
      <c r="NGM66" s="1"/>
      <c r="NGN66" s="1"/>
      <c r="NGO66" s="1"/>
      <c r="NGP66" s="1"/>
      <c r="NGQ66" s="1"/>
      <c r="NGR66" s="1"/>
      <c r="NGS66" s="1"/>
      <c r="NGT66" s="1"/>
      <c r="NGU66" s="1"/>
      <c r="NGV66" s="1"/>
      <c r="NGW66" s="1"/>
      <c r="NGX66" s="1"/>
      <c r="NGY66" s="1"/>
      <c r="NGZ66" s="1"/>
      <c r="NHA66" s="1"/>
      <c r="NHB66" s="1"/>
      <c r="NHC66" s="1"/>
      <c r="NHD66" s="1"/>
      <c r="NHE66" s="1"/>
      <c r="NHF66" s="1"/>
      <c r="NHG66" s="1"/>
      <c r="NHH66" s="1"/>
      <c r="NHI66" s="1"/>
      <c r="NHJ66" s="1"/>
      <c r="NHK66" s="1"/>
      <c r="NHL66" s="1"/>
      <c r="NHM66" s="1"/>
      <c r="NHN66" s="1"/>
      <c r="NHO66" s="1"/>
      <c r="NHP66" s="1"/>
      <c r="NHQ66" s="1"/>
      <c r="NHR66" s="1"/>
      <c r="NHS66" s="1"/>
      <c r="NHT66" s="1"/>
      <c r="NHU66" s="1"/>
      <c r="NHV66" s="1"/>
      <c r="NHW66" s="1"/>
      <c r="NHX66" s="1"/>
      <c r="NHY66" s="1"/>
      <c r="NHZ66" s="1"/>
      <c r="NIA66" s="1"/>
      <c r="NIB66" s="1"/>
      <c r="NIC66" s="1"/>
      <c r="NID66" s="1"/>
      <c r="NIE66" s="1"/>
      <c r="NIF66" s="1"/>
      <c r="NIG66" s="1"/>
      <c r="NIH66" s="1"/>
      <c r="NII66" s="1"/>
      <c r="NIJ66" s="1"/>
      <c r="NIK66" s="1"/>
      <c r="NIL66" s="1"/>
      <c r="NIM66" s="1"/>
      <c r="NIN66" s="1"/>
      <c r="NIO66" s="1"/>
      <c r="NIP66" s="1"/>
      <c r="NIQ66" s="1"/>
      <c r="NIR66" s="1"/>
      <c r="NIS66" s="1"/>
      <c r="NIT66" s="1"/>
      <c r="NIU66" s="1"/>
      <c r="NIV66" s="1"/>
      <c r="NIW66" s="1"/>
      <c r="NIX66" s="1"/>
      <c r="NIY66" s="1"/>
      <c r="NIZ66" s="1"/>
      <c r="NJA66" s="1"/>
      <c r="NJB66" s="1"/>
      <c r="NJC66" s="1"/>
      <c r="NJD66" s="1"/>
      <c r="NJE66" s="1"/>
      <c r="NJF66" s="1"/>
      <c r="NJG66" s="1"/>
      <c r="NJH66" s="1"/>
      <c r="NJI66" s="1"/>
      <c r="NJJ66" s="1"/>
      <c r="NJK66" s="1"/>
      <c r="NJL66" s="1"/>
      <c r="NJM66" s="1"/>
      <c r="NJN66" s="1"/>
      <c r="NJO66" s="1"/>
      <c r="NJP66" s="1"/>
      <c r="NJQ66" s="1"/>
      <c r="NJR66" s="1"/>
      <c r="NJS66" s="1"/>
      <c r="NJT66" s="1"/>
      <c r="NJU66" s="1"/>
      <c r="NJV66" s="1"/>
      <c r="NJW66" s="1"/>
      <c r="NJX66" s="1"/>
      <c r="NJY66" s="1"/>
      <c r="NJZ66" s="1"/>
      <c r="NKA66" s="1"/>
      <c r="NKB66" s="1"/>
      <c r="NKC66" s="1"/>
      <c r="NKD66" s="1"/>
      <c r="NKE66" s="1"/>
      <c r="NKF66" s="1"/>
      <c r="NKG66" s="1"/>
      <c r="NKH66" s="1"/>
      <c r="NKI66" s="1"/>
      <c r="NKJ66" s="1"/>
      <c r="NKK66" s="1"/>
      <c r="NKL66" s="1"/>
      <c r="NKM66" s="1"/>
      <c r="NKN66" s="1"/>
      <c r="NKO66" s="1"/>
      <c r="NKP66" s="1"/>
      <c r="NKQ66" s="1"/>
      <c r="NKR66" s="1"/>
      <c r="NKS66" s="1"/>
      <c r="NKT66" s="1"/>
      <c r="NKU66" s="1"/>
      <c r="NKV66" s="1"/>
      <c r="NKW66" s="1"/>
      <c r="NKX66" s="1"/>
      <c r="NKY66" s="1"/>
      <c r="NKZ66" s="1"/>
      <c r="NLA66" s="1"/>
      <c r="NLB66" s="1"/>
      <c r="NLC66" s="1"/>
      <c r="NLD66" s="1"/>
      <c r="NLE66" s="1"/>
      <c r="NLF66" s="1"/>
      <c r="NLG66" s="1"/>
      <c r="NLH66" s="1"/>
      <c r="NLI66" s="1"/>
      <c r="NLJ66" s="1"/>
      <c r="NLK66" s="1"/>
      <c r="NLL66" s="1"/>
      <c r="NLM66" s="1"/>
      <c r="NLN66" s="1"/>
      <c r="NLO66" s="1"/>
      <c r="NLP66" s="1"/>
      <c r="NLQ66" s="1"/>
      <c r="NLR66" s="1"/>
      <c r="NLS66" s="1"/>
      <c r="NLT66" s="1"/>
      <c r="NLU66" s="1"/>
      <c r="NLV66" s="1"/>
      <c r="NLW66" s="1"/>
      <c r="NLX66" s="1"/>
      <c r="NLY66" s="1"/>
      <c r="NLZ66" s="1"/>
      <c r="NMA66" s="1"/>
      <c r="NMB66" s="1"/>
      <c r="NMC66" s="1"/>
      <c r="NMD66" s="1"/>
      <c r="NME66" s="1"/>
      <c r="NMF66" s="1"/>
      <c r="NMG66" s="1"/>
      <c r="NMH66" s="1"/>
      <c r="NMI66" s="1"/>
      <c r="NMJ66" s="1"/>
      <c r="NMK66" s="1"/>
      <c r="NML66" s="1"/>
      <c r="NMM66" s="1"/>
      <c r="NMN66" s="1"/>
      <c r="NMO66" s="1"/>
      <c r="NMP66" s="1"/>
      <c r="NMQ66" s="1"/>
      <c r="NMR66" s="1"/>
      <c r="NMS66" s="1"/>
      <c r="NMT66" s="1"/>
      <c r="NMU66" s="1"/>
      <c r="NMV66" s="1"/>
      <c r="NMW66" s="1"/>
      <c r="NMX66" s="1"/>
      <c r="NMY66" s="1"/>
      <c r="NMZ66" s="1"/>
      <c r="NNA66" s="1"/>
      <c r="NNB66" s="1"/>
      <c r="NNC66" s="1"/>
      <c r="NND66" s="1"/>
      <c r="NNE66" s="1"/>
      <c r="NNF66" s="1"/>
      <c r="NNG66" s="1"/>
      <c r="NNH66" s="1"/>
      <c r="NNI66" s="1"/>
      <c r="NNJ66" s="1"/>
      <c r="NNK66" s="1"/>
      <c r="NNL66" s="1"/>
      <c r="NNM66" s="1"/>
      <c r="NNN66" s="1"/>
      <c r="NNO66" s="1"/>
      <c r="NNP66" s="1"/>
      <c r="NNQ66" s="1"/>
      <c r="NNR66" s="1"/>
      <c r="NNS66" s="1"/>
      <c r="NNT66" s="1"/>
      <c r="NNU66" s="1"/>
      <c r="NNV66" s="1"/>
      <c r="NNW66" s="1"/>
      <c r="NNX66" s="1"/>
      <c r="NNY66" s="1"/>
      <c r="NNZ66" s="1"/>
      <c r="NOA66" s="1"/>
      <c r="NOB66" s="1"/>
      <c r="NOC66" s="1"/>
      <c r="NOD66" s="1"/>
      <c r="NOE66" s="1"/>
      <c r="NOF66" s="1"/>
      <c r="NOG66" s="1"/>
      <c r="NOH66" s="1"/>
      <c r="NOI66" s="1"/>
      <c r="NOJ66" s="1"/>
      <c r="NOK66" s="1"/>
      <c r="NOL66" s="1"/>
      <c r="NOM66" s="1"/>
      <c r="NON66" s="1"/>
      <c r="NOO66" s="1"/>
      <c r="NOP66" s="1"/>
      <c r="NOQ66" s="1"/>
      <c r="NOR66" s="1"/>
      <c r="NOS66" s="1"/>
      <c r="NOT66" s="1"/>
      <c r="NOU66" s="1"/>
      <c r="NOV66" s="1"/>
      <c r="NOW66" s="1"/>
      <c r="NOX66" s="1"/>
      <c r="NOY66" s="1"/>
      <c r="NOZ66" s="1"/>
      <c r="NPA66" s="1"/>
      <c r="NPB66" s="1"/>
      <c r="NPC66" s="1"/>
      <c r="NPD66" s="1"/>
      <c r="NPE66" s="1"/>
      <c r="NPF66" s="1"/>
      <c r="NPG66" s="1"/>
      <c r="NPH66" s="1"/>
      <c r="NPI66" s="1"/>
      <c r="NPJ66" s="1"/>
      <c r="NPK66" s="1"/>
      <c r="NPL66" s="1"/>
      <c r="NPM66" s="1"/>
      <c r="NPN66" s="1"/>
      <c r="NPO66" s="1"/>
      <c r="NPP66" s="1"/>
      <c r="NPQ66" s="1"/>
      <c r="NPR66" s="1"/>
      <c r="NPS66" s="1"/>
      <c r="NPT66" s="1"/>
      <c r="NPU66" s="1"/>
      <c r="NPV66" s="1"/>
      <c r="NPW66" s="1"/>
      <c r="NPX66" s="1"/>
      <c r="NPY66" s="1"/>
      <c r="NPZ66" s="1"/>
      <c r="NQA66" s="1"/>
      <c r="NQB66" s="1"/>
      <c r="NQC66" s="1"/>
      <c r="NQD66" s="1"/>
      <c r="NQE66" s="1"/>
      <c r="NQF66" s="1"/>
      <c r="NQG66" s="1"/>
      <c r="NQH66" s="1"/>
      <c r="NQI66" s="1"/>
      <c r="NQJ66" s="1"/>
      <c r="NQK66" s="1"/>
      <c r="NQL66" s="1"/>
      <c r="NQM66" s="1"/>
      <c r="NQN66" s="1"/>
      <c r="NQO66" s="1"/>
      <c r="NQP66" s="1"/>
      <c r="NQQ66" s="1"/>
      <c r="NQR66" s="1"/>
      <c r="NQS66" s="1"/>
      <c r="NQT66" s="1"/>
      <c r="NQU66" s="1"/>
      <c r="NQV66" s="1"/>
      <c r="NQW66" s="1"/>
      <c r="NQX66" s="1"/>
      <c r="NQY66" s="1"/>
      <c r="NQZ66" s="1"/>
      <c r="NRA66" s="1"/>
      <c r="NRB66" s="1"/>
      <c r="NRC66" s="1"/>
      <c r="NRD66" s="1"/>
      <c r="NRE66" s="1"/>
      <c r="NRF66" s="1"/>
      <c r="NRG66" s="1"/>
      <c r="NRH66" s="1"/>
      <c r="NRI66" s="1"/>
      <c r="NRJ66" s="1"/>
      <c r="NRK66" s="1"/>
      <c r="NRL66" s="1"/>
      <c r="NRM66" s="1"/>
      <c r="NRN66" s="1"/>
      <c r="NRO66" s="1"/>
      <c r="NRP66" s="1"/>
      <c r="NRQ66" s="1"/>
      <c r="NRR66" s="1"/>
      <c r="NRS66" s="1"/>
      <c r="NRT66" s="1"/>
      <c r="NRU66" s="1"/>
      <c r="NRV66" s="1"/>
      <c r="NRW66" s="1"/>
      <c r="NRX66" s="1"/>
      <c r="NRY66" s="1"/>
      <c r="NRZ66" s="1"/>
      <c r="NSA66" s="1"/>
      <c r="NSB66" s="1"/>
      <c r="NSC66" s="1"/>
      <c r="NSD66" s="1"/>
      <c r="NSE66" s="1"/>
      <c r="NSF66" s="1"/>
      <c r="NSG66" s="1"/>
      <c r="NSH66" s="1"/>
      <c r="NSI66" s="1"/>
      <c r="NSJ66" s="1"/>
      <c r="NSK66" s="1"/>
      <c r="NSL66" s="1"/>
      <c r="NSM66" s="1"/>
      <c r="NSN66" s="1"/>
      <c r="NSO66" s="1"/>
      <c r="NSP66" s="1"/>
      <c r="NSQ66" s="1"/>
      <c r="NSR66" s="1"/>
      <c r="NSS66" s="1"/>
      <c r="NST66" s="1"/>
      <c r="NSU66" s="1"/>
      <c r="NSV66" s="1"/>
      <c r="NSW66" s="1"/>
      <c r="NSX66" s="1"/>
      <c r="NSY66" s="1"/>
      <c r="NSZ66" s="1"/>
      <c r="NTA66" s="1"/>
      <c r="NTB66" s="1"/>
      <c r="NTC66" s="1"/>
      <c r="NTD66" s="1"/>
      <c r="NTE66" s="1"/>
      <c r="NTF66" s="1"/>
      <c r="NTG66" s="1"/>
      <c r="NTH66" s="1"/>
      <c r="NTI66" s="1"/>
      <c r="NTJ66" s="1"/>
      <c r="NTK66" s="1"/>
      <c r="NTL66" s="1"/>
      <c r="NTM66" s="1"/>
      <c r="NTN66" s="1"/>
      <c r="NTO66" s="1"/>
      <c r="NTP66" s="1"/>
      <c r="NTQ66" s="1"/>
      <c r="NTR66" s="1"/>
      <c r="NTS66" s="1"/>
      <c r="NTT66" s="1"/>
      <c r="NTU66" s="1"/>
      <c r="NTV66" s="1"/>
      <c r="NTW66" s="1"/>
      <c r="NTX66" s="1"/>
      <c r="NTY66" s="1"/>
      <c r="NTZ66" s="1"/>
      <c r="NUA66" s="1"/>
      <c r="NUB66" s="1"/>
      <c r="NUC66" s="1"/>
      <c r="NUD66" s="1"/>
      <c r="NUE66" s="1"/>
      <c r="NUF66" s="1"/>
      <c r="NUG66" s="1"/>
      <c r="NUH66" s="1"/>
      <c r="NUI66" s="1"/>
      <c r="NUJ66" s="1"/>
      <c r="NUK66" s="1"/>
      <c r="NUL66" s="1"/>
      <c r="NUM66" s="1"/>
      <c r="NUN66" s="1"/>
      <c r="NUO66" s="1"/>
      <c r="NUP66" s="1"/>
      <c r="NUQ66" s="1"/>
      <c r="NUR66" s="1"/>
      <c r="NUS66" s="1"/>
      <c r="NUT66" s="1"/>
      <c r="NUU66" s="1"/>
      <c r="NUV66" s="1"/>
      <c r="NUW66" s="1"/>
      <c r="NUX66" s="1"/>
      <c r="NUY66" s="1"/>
      <c r="NUZ66" s="1"/>
      <c r="NVA66" s="1"/>
      <c r="NVB66" s="1"/>
      <c r="NVC66" s="1"/>
      <c r="NVD66" s="1"/>
      <c r="NVE66" s="1"/>
      <c r="NVF66" s="1"/>
      <c r="NVG66" s="1"/>
      <c r="NVH66" s="1"/>
      <c r="NVI66" s="1"/>
      <c r="NVJ66" s="1"/>
      <c r="NVK66" s="1"/>
      <c r="NVL66" s="1"/>
      <c r="NVM66" s="1"/>
      <c r="NVN66" s="1"/>
      <c r="NVO66" s="1"/>
      <c r="NVP66" s="1"/>
      <c r="NVQ66" s="1"/>
      <c r="NVR66" s="1"/>
      <c r="NVS66" s="1"/>
      <c r="NVT66" s="1"/>
      <c r="NVU66" s="1"/>
      <c r="NVV66" s="1"/>
      <c r="NVW66" s="1"/>
      <c r="NVX66" s="1"/>
      <c r="NVY66" s="1"/>
      <c r="NVZ66" s="1"/>
      <c r="NWA66" s="1"/>
      <c r="NWB66" s="1"/>
      <c r="NWC66" s="1"/>
      <c r="NWD66" s="1"/>
      <c r="NWE66" s="1"/>
      <c r="NWF66" s="1"/>
      <c r="NWG66" s="1"/>
      <c r="NWH66" s="1"/>
      <c r="NWI66" s="1"/>
      <c r="NWJ66" s="1"/>
      <c r="NWK66" s="1"/>
      <c r="NWL66" s="1"/>
      <c r="NWM66" s="1"/>
      <c r="NWN66" s="1"/>
      <c r="NWO66" s="1"/>
      <c r="NWP66" s="1"/>
      <c r="NWQ66" s="1"/>
      <c r="NWR66" s="1"/>
      <c r="NWS66" s="1"/>
      <c r="NWT66" s="1"/>
      <c r="NWU66" s="1"/>
      <c r="NWV66" s="1"/>
      <c r="NWW66" s="1"/>
      <c r="NWX66" s="1"/>
      <c r="NWY66" s="1"/>
      <c r="NWZ66" s="1"/>
      <c r="NXA66" s="1"/>
      <c r="NXB66" s="1"/>
      <c r="NXC66" s="1"/>
      <c r="NXD66" s="1"/>
      <c r="NXE66" s="1"/>
      <c r="NXF66" s="1"/>
      <c r="NXG66" s="1"/>
      <c r="NXH66" s="1"/>
      <c r="NXI66" s="1"/>
      <c r="NXJ66" s="1"/>
      <c r="NXK66" s="1"/>
      <c r="NXL66" s="1"/>
      <c r="NXM66" s="1"/>
      <c r="NXN66" s="1"/>
      <c r="NXO66" s="1"/>
      <c r="NXP66" s="1"/>
      <c r="NXQ66" s="1"/>
      <c r="NXR66" s="1"/>
      <c r="NXS66" s="1"/>
      <c r="NXT66" s="1"/>
      <c r="NXU66" s="1"/>
      <c r="NXV66" s="1"/>
      <c r="NXW66" s="1"/>
      <c r="NXX66" s="1"/>
      <c r="NXY66" s="1"/>
      <c r="NXZ66" s="1"/>
      <c r="NYA66" s="1"/>
      <c r="NYB66" s="1"/>
      <c r="NYC66" s="1"/>
      <c r="NYD66" s="1"/>
      <c r="NYE66" s="1"/>
      <c r="NYF66" s="1"/>
      <c r="NYG66" s="1"/>
      <c r="NYH66" s="1"/>
      <c r="NYI66" s="1"/>
      <c r="NYJ66" s="1"/>
      <c r="NYK66" s="1"/>
      <c r="NYL66" s="1"/>
      <c r="NYM66" s="1"/>
      <c r="NYN66" s="1"/>
      <c r="NYO66" s="1"/>
      <c r="NYP66" s="1"/>
      <c r="NYQ66" s="1"/>
      <c r="NYR66" s="1"/>
      <c r="NYS66" s="1"/>
      <c r="NYT66" s="1"/>
      <c r="NYU66" s="1"/>
      <c r="NYV66" s="1"/>
      <c r="NYW66" s="1"/>
      <c r="NYX66" s="1"/>
      <c r="NYY66" s="1"/>
      <c r="NYZ66" s="1"/>
      <c r="NZA66" s="1"/>
      <c r="NZB66" s="1"/>
      <c r="NZC66" s="1"/>
      <c r="NZD66" s="1"/>
      <c r="NZE66" s="1"/>
      <c r="NZF66" s="1"/>
      <c r="NZG66" s="1"/>
      <c r="NZH66" s="1"/>
      <c r="NZI66" s="1"/>
      <c r="NZJ66" s="1"/>
      <c r="NZK66" s="1"/>
      <c r="NZL66" s="1"/>
      <c r="NZM66" s="1"/>
      <c r="NZN66" s="1"/>
      <c r="NZO66" s="1"/>
      <c r="NZP66" s="1"/>
      <c r="NZQ66" s="1"/>
      <c r="NZR66" s="1"/>
      <c r="NZS66" s="1"/>
      <c r="NZT66" s="1"/>
      <c r="NZU66" s="1"/>
      <c r="NZV66" s="1"/>
      <c r="NZW66" s="1"/>
      <c r="NZX66" s="1"/>
      <c r="NZY66" s="1"/>
      <c r="NZZ66" s="1"/>
      <c r="OAA66" s="1"/>
      <c r="OAB66" s="1"/>
      <c r="OAC66" s="1"/>
      <c r="OAD66" s="1"/>
      <c r="OAE66" s="1"/>
      <c r="OAF66" s="1"/>
      <c r="OAG66" s="1"/>
      <c r="OAH66" s="1"/>
      <c r="OAI66" s="1"/>
      <c r="OAJ66" s="1"/>
      <c r="OAK66" s="1"/>
      <c r="OAL66" s="1"/>
      <c r="OAM66" s="1"/>
      <c r="OAN66" s="1"/>
      <c r="OAO66" s="1"/>
      <c r="OAP66" s="1"/>
      <c r="OAQ66" s="1"/>
      <c r="OAR66" s="1"/>
      <c r="OAS66" s="1"/>
      <c r="OAT66" s="1"/>
      <c r="OAU66" s="1"/>
      <c r="OAV66" s="1"/>
      <c r="OAW66" s="1"/>
      <c r="OAX66" s="1"/>
      <c r="OAY66" s="1"/>
      <c r="OAZ66" s="1"/>
      <c r="OBA66" s="1"/>
      <c r="OBB66" s="1"/>
      <c r="OBC66" s="1"/>
      <c r="OBD66" s="1"/>
      <c r="OBE66" s="1"/>
      <c r="OBF66" s="1"/>
      <c r="OBG66" s="1"/>
      <c r="OBH66" s="1"/>
      <c r="OBI66" s="1"/>
      <c r="OBJ66" s="1"/>
      <c r="OBK66" s="1"/>
      <c r="OBL66" s="1"/>
      <c r="OBM66" s="1"/>
      <c r="OBN66" s="1"/>
      <c r="OBO66" s="1"/>
      <c r="OBP66" s="1"/>
      <c r="OBQ66" s="1"/>
      <c r="OBR66" s="1"/>
      <c r="OBS66" s="1"/>
      <c r="OBT66" s="1"/>
      <c r="OBU66" s="1"/>
      <c r="OBV66" s="1"/>
      <c r="OBW66" s="1"/>
      <c r="OBX66" s="1"/>
      <c r="OBY66" s="1"/>
      <c r="OBZ66" s="1"/>
      <c r="OCA66" s="1"/>
      <c r="OCB66" s="1"/>
      <c r="OCC66" s="1"/>
      <c r="OCD66" s="1"/>
      <c r="OCE66" s="1"/>
      <c r="OCF66" s="1"/>
      <c r="OCG66" s="1"/>
      <c r="OCH66" s="1"/>
      <c r="OCI66" s="1"/>
      <c r="OCJ66" s="1"/>
      <c r="OCK66" s="1"/>
      <c r="OCL66" s="1"/>
      <c r="OCM66" s="1"/>
      <c r="OCN66" s="1"/>
      <c r="OCO66" s="1"/>
      <c r="OCP66" s="1"/>
      <c r="OCQ66" s="1"/>
      <c r="OCR66" s="1"/>
      <c r="OCS66" s="1"/>
      <c r="OCT66" s="1"/>
      <c r="OCU66" s="1"/>
      <c r="OCV66" s="1"/>
      <c r="OCW66" s="1"/>
      <c r="OCX66" s="1"/>
      <c r="OCY66" s="1"/>
      <c r="OCZ66" s="1"/>
      <c r="ODA66" s="1"/>
      <c r="ODB66" s="1"/>
      <c r="ODC66" s="1"/>
      <c r="ODD66" s="1"/>
      <c r="ODE66" s="1"/>
      <c r="ODF66" s="1"/>
      <c r="ODG66" s="1"/>
      <c r="ODH66" s="1"/>
      <c r="ODI66" s="1"/>
      <c r="ODJ66" s="1"/>
      <c r="ODK66" s="1"/>
      <c r="ODL66" s="1"/>
      <c r="ODM66" s="1"/>
      <c r="ODN66" s="1"/>
      <c r="ODO66" s="1"/>
      <c r="ODP66" s="1"/>
      <c r="ODQ66" s="1"/>
      <c r="ODR66" s="1"/>
      <c r="ODS66" s="1"/>
      <c r="ODT66" s="1"/>
      <c r="ODU66" s="1"/>
      <c r="ODV66" s="1"/>
      <c r="ODW66" s="1"/>
      <c r="ODX66" s="1"/>
      <c r="ODY66" s="1"/>
      <c r="ODZ66" s="1"/>
      <c r="OEA66" s="1"/>
      <c r="OEB66" s="1"/>
      <c r="OEC66" s="1"/>
      <c r="OED66" s="1"/>
      <c r="OEE66" s="1"/>
      <c r="OEF66" s="1"/>
      <c r="OEG66" s="1"/>
      <c r="OEH66" s="1"/>
      <c r="OEI66" s="1"/>
      <c r="OEJ66" s="1"/>
      <c r="OEK66" s="1"/>
      <c r="OEL66" s="1"/>
      <c r="OEM66" s="1"/>
      <c r="OEN66" s="1"/>
      <c r="OEO66" s="1"/>
      <c r="OEP66" s="1"/>
      <c r="OEQ66" s="1"/>
      <c r="OER66" s="1"/>
      <c r="OES66" s="1"/>
      <c r="OET66" s="1"/>
      <c r="OEU66" s="1"/>
      <c r="OEV66" s="1"/>
      <c r="OEW66" s="1"/>
      <c r="OEX66" s="1"/>
      <c r="OEY66" s="1"/>
      <c r="OEZ66" s="1"/>
      <c r="OFA66" s="1"/>
      <c r="OFB66" s="1"/>
      <c r="OFC66" s="1"/>
      <c r="OFD66" s="1"/>
      <c r="OFE66" s="1"/>
      <c r="OFF66" s="1"/>
      <c r="OFG66" s="1"/>
      <c r="OFH66" s="1"/>
      <c r="OFI66" s="1"/>
      <c r="OFJ66" s="1"/>
      <c r="OFK66" s="1"/>
      <c r="OFL66" s="1"/>
      <c r="OFM66" s="1"/>
      <c r="OFN66" s="1"/>
      <c r="OFO66" s="1"/>
      <c r="OFP66" s="1"/>
      <c r="OFQ66" s="1"/>
      <c r="OFR66" s="1"/>
      <c r="OFS66" s="1"/>
      <c r="OFT66" s="1"/>
      <c r="OFU66" s="1"/>
      <c r="OFV66" s="1"/>
      <c r="OFW66" s="1"/>
      <c r="OFX66" s="1"/>
      <c r="OFY66" s="1"/>
      <c r="OFZ66" s="1"/>
      <c r="OGA66" s="1"/>
      <c r="OGB66" s="1"/>
      <c r="OGC66" s="1"/>
      <c r="OGD66" s="1"/>
      <c r="OGE66" s="1"/>
      <c r="OGF66" s="1"/>
      <c r="OGG66" s="1"/>
      <c r="OGH66" s="1"/>
      <c r="OGI66" s="1"/>
      <c r="OGJ66" s="1"/>
      <c r="OGK66" s="1"/>
      <c r="OGL66" s="1"/>
      <c r="OGM66" s="1"/>
      <c r="OGN66" s="1"/>
      <c r="OGO66" s="1"/>
      <c r="OGP66" s="1"/>
      <c r="OGQ66" s="1"/>
      <c r="OGR66" s="1"/>
      <c r="OGS66" s="1"/>
      <c r="OGT66" s="1"/>
      <c r="OGU66" s="1"/>
      <c r="OGV66" s="1"/>
      <c r="OGW66" s="1"/>
      <c r="OGX66" s="1"/>
      <c r="OGY66" s="1"/>
      <c r="OGZ66" s="1"/>
      <c r="OHA66" s="1"/>
      <c r="OHB66" s="1"/>
      <c r="OHC66" s="1"/>
      <c r="OHD66" s="1"/>
      <c r="OHE66" s="1"/>
      <c r="OHF66" s="1"/>
      <c r="OHG66" s="1"/>
      <c r="OHH66" s="1"/>
      <c r="OHI66" s="1"/>
      <c r="OHJ66" s="1"/>
      <c r="OHK66" s="1"/>
      <c r="OHL66" s="1"/>
      <c r="OHM66" s="1"/>
      <c r="OHN66" s="1"/>
      <c r="OHO66" s="1"/>
      <c r="OHP66" s="1"/>
      <c r="OHQ66" s="1"/>
      <c r="OHR66" s="1"/>
      <c r="OHS66" s="1"/>
      <c r="OHT66" s="1"/>
      <c r="OHU66" s="1"/>
      <c r="OHV66" s="1"/>
      <c r="OHW66" s="1"/>
      <c r="OHX66" s="1"/>
      <c r="OHY66" s="1"/>
      <c r="OHZ66" s="1"/>
      <c r="OIA66" s="1"/>
      <c r="OIB66" s="1"/>
      <c r="OIC66" s="1"/>
      <c r="OID66" s="1"/>
      <c r="OIE66" s="1"/>
      <c r="OIF66" s="1"/>
      <c r="OIG66" s="1"/>
      <c r="OIH66" s="1"/>
      <c r="OII66" s="1"/>
      <c r="OIJ66" s="1"/>
      <c r="OIK66" s="1"/>
      <c r="OIL66" s="1"/>
      <c r="OIM66" s="1"/>
      <c r="OIN66" s="1"/>
      <c r="OIO66" s="1"/>
      <c r="OIP66" s="1"/>
      <c r="OIQ66" s="1"/>
      <c r="OIR66" s="1"/>
      <c r="OIS66" s="1"/>
      <c r="OIT66" s="1"/>
      <c r="OIU66" s="1"/>
      <c r="OIV66" s="1"/>
      <c r="OIW66" s="1"/>
      <c r="OIX66" s="1"/>
      <c r="OIY66" s="1"/>
      <c r="OIZ66" s="1"/>
      <c r="OJA66" s="1"/>
      <c r="OJB66" s="1"/>
      <c r="OJC66" s="1"/>
      <c r="OJD66" s="1"/>
      <c r="OJE66" s="1"/>
      <c r="OJF66" s="1"/>
      <c r="OJG66" s="1"/>
      <c r="OJH66" s="1"/>
      <c r="OJI66" s="1"/>
      <c r="OJJ66" s="1"/>
      <c r="OJK66" s="1"/>
      <c r="OJL66" s="1"/>
      <c r="OJM66" s="1"/>
      <c r="OJN66" s="1"/>
      <c r="OJO66" s="1"/>
      <c r="OJP66" s="1"/>
      <c r="OJQ66" s="1"/>
      <c r="OJR66" s="1"/>
      <c r="OJS66" s="1"/>
      <c r="OJT66" s="1"/>
      <c r="OJU66" s="1"/>
      <c r="OJV66" s="1"/>
      <c r="OJW66" s="1"/>
      <c r="OJX66" s="1"/>
      <c r="OJY66" s="1"/>
      <c r="OJZ66" s="1"/>
      <c r="OKA66" s="1"/>
      <c r="OKB66" s="1"/>
      <c r="OKC66" s="1"/>
      <c r="OKD66" s="1"/>
      <c r="OKE66" s="1"/>
      <c r="OKF66" s="1"/>
      <c r="OKG66" s="1"/>
      <c r="OKH66" s="1"/>
      <c r="OKI66" s="1"/>
      <c r="OKJ66" s="1"/>
      <c r="OKK66" s="1"/>
      <c r="OKL66" s="1"/>
      <c r="OKM66" s="1"/>
      <c r="OKN66" s="1"/>
      <c r="OKO66" s="1"/>
      <c r="OKP66" s="1"/>
      <c r="OKQ66" s="1"/>
      <c r="OKR66" s="1"/>
      <c r="OKS66" s="1"/>
      <c r="OKT66" s="1"/>
      <c r="OKU66" s="1"/>
      <c r="OKV66" s="1"/>
      <c r="OKW66" s="1"/>
      <c r="OKX66" s="1"/>
      <c r="OKY66" s="1"/>
      <c r="OKZ66" s="1"/>
      <c r="OLA66" s="1"/>
      <c r="OLB66" s="1"/>
      <c r="OLC66" s="1"/>
      <c r="OLD66" s="1"/>
      <c r="OLE66" s="1"/>
      <c r="OLF66" s="1"/>
      <c r="OLG66" s="1"/>
      <c r="OLH66" s="1"/>
      <c r="OLI66" s="1"/>
      <c r="OLJ66" s="1"/>
      <c r="OLK66" s="1"/>
      <c r="OLL66" s="1"/>
      <c r="OLM66" s="1"/>
      <c r="OLN66" s="1"/>
      <c r="OLO66" s="1"/>
      <c r="OLP66" s="1"/>
      <c r="OLQ66" s="1"/>
      <c r="OLR66" s="1"/>
      <c r="OLS66" s="1"/>
      <c r="OLT66" s="1"/>
      <c r="OLU66" s="1"/>
      <c r="OLV66" s="1"/>
      <c r="OLW66" s="1"/>
      <c r="OLX66" s="1"/>
      <c r="OLY66" s="1"/>
      <c r="OLZ66" s="1"/>
      <c r="OMA66" s="1"/>
      <c r="OMB66" s="1"/>
      <c r="OMC66" s="1"/>
      <c r="OMD66" s="1"/>
      <c r="OME66" s="1"/>
      <c r="OMF66" s="1"/>
      <c r="OMG66" s="1"/>
      <c r="OMH66" s="1"/>
      <c r="OMI66" s="1"/>
      <c r="OMJ66" s="1"/>
      <c r="OMK66" s="1"/>
      <c r="OML66" s="1"/>
      <c r="OMM66" s="1"/>
      <c r="OMN66" s="1"/>
      <c r="OMO66" s="1"/>
      <c r="OMP66" s="1"/>
      <c r="OMQ66" s="1"/>
      <c r="OMR66" s="1"/>
      <c r="OMS66" s="1"/>
      <c r="OMT66" s="1"/>
      <c r="OMU66" s="1"/>
      <c r="OMV66" s="1"/>
      <c r="OMW66" s="1"/>
      <c r="OMX66" s="1"/>
      <c r="OMY66" s="1"/>
      <c r="OMZ66" s="1"/>
      <c r="ONA66" s="1"/>
      <c r="ONB66" s="1"/>
      <c r="ONC66" s="1"/>
      <c r="OND66" s="1"/>
      <c r="ONE66" s="1"/>
      <c r="ONF66" s="1"/>
      <c r="ONG66" s="1"/>
      <c r="ONH66" s="1"/>
      <c r="ONI66" s="1"/>
      <c r="ONJ66" s="1"/>
      <c r="ONK66" s="1"/>
      <c r="ONL66" s="1"/>
      <c r="ONM66" s="1"/>
      <c r="ONN66" s="1"/>
      <c r="ONO66" s="1"/>
      <c r="ONP66" s="1"/>
      <c r="ONQ66" s="1"/>
      <c r="ONR66" s="1"/>
      <c r="ONS66" s="1"/>
      <c r="ONT66" s="1"/>
      <c r="ONU66" s="1"/>
      <c r="ONV66" s="1"/>
      <c r="ONW66" s="1"/>
      <c r="ONX66" s="1"/>
      <c r="ONY66" s="1"/>
      <c r="ONZ66" s="1"/>
      <c r="OOA66" s="1"/>
      <c r="OOB66" s="1"/>
      <c r="OOC66" s="1"/>
      <c r="OOD66" s="1"/>
      <c r="OOE66" s="1"/>
      <c r="OOF66" s="1"/>
      <c r="OOG66" s="1"/>
      <c r="OOH66" s="1"/>
      <c r="OOI66" s="1"/>
      <c r="OOJ66" s="1"/>
      <c r="OOK66" s="1"/>
      <c r="OOL66" s="1"/>
      <c r="OOM66" s="1"/>
      <c r="OON66" s="1"/>
      <c r="OOO66" s="1"/>
      <c r="OOP66" s="1"/>
      <c r="OOQ66" s="1"/>
      <c r="OOR66" s="1"/>
      <c r="OOS66" s="1"/>
      <c r="OOT66" s="1"/>
      <c r="OOU66" s="1"/>
      <c r="OOV66" s="1"/>
      <c r="OOW66" s="1"/>
      <c r="OOX66" s="1"/>
      <c r="OOY66" s="1"/>
      <c r="OOZ66" s="1"/>
      <c r="OPA66" s="1"/>
      <c r="OPB66" s="1"/>
      <c r="OPC66" s="1"/>
      <c r="OPD66" s="1"/>
      <c r="OPE66" s="1"/>
      <c r="OPF66" s="1"/>
      <c r="OPG66" s="1"/>
      <c r="OPH66" s="1"/>
      <c r="OPI66" s="1"/>
      <c r="OPJ66" s="1"/>
      <c r="OPK66" s="1"/>
      <c r="OPL66" s="1"/>
      <c r="OPM66" s="1"/>
      <c r="OPN66" s="1"/>
      <c r="OPO66" s="1"/>
      <c r="OPP66" s="1"/>
      <c r="OPQ66" s="1"/>
      <c r="OPR66" s="1"/>
      <c r="OPS66" s="1"/>
      <c r="OPT66" s="1"/>
      <c r="OPU66" s="1"/>
      <c r="OPV66" s="1"/>
      <c r="OPW66" s="1"/>
      <c r="OPX66" s="1"/>
      <c r="OPY66" s="1"/>
      <c r="OPZ66" s="1"/>
      <c r="OQA66" s="1"/>
      <c r="OQB66" s="1"/>
      <c r="OQC66" s="1"/>
      <c r="OQD66" s="1"/>
      <c r="OQE66" s="1"/>
      <c r="OQF66" s="1"/>
      <c r="OQG66" s="1"/>
      <c r="OQH66" s="1"/>
      <c r="OQI66" s="1"/>
      <c r="OQJ66" s="1"/>
      <c r="OQK66" s="1"/>
      <c r="OQL66" s="1"/>
      <c r="OQM66" s="1"/>
      <c r="OQN66" s="1"/>
      <c r="OQO66" s="1"/>
      <c r="OQP66" s="1"/>
      <c r="OQQ66" s="1"/>
      <c r="OQR66" s="1"/>
      <c r="OQS66" s="1"/>
      <c r="OQT66" s="1"/>
      <c r="OQU66" s="1"/>
      <c r="OQV66" s="1"/>
      <c r="OQW66" s="1"/>
      <c r="OQX66" s="1"/>
      <c r="OQY66" s="1"/>
      <c r="OQZ66" s="1"/>
      <c r="ORA66" s="1"/>
      <c r="ORB66" s="1"/>
      <c r="ORC66" s="1"/>
      <c r="ORD66" s="1"/>
      <c r="ORE66" s="1"/>
      <c r="ORF66" s="1"/>
      <c r="ORG66" s="1"/>
      <c r="ORH66" s="1"/>
      <c r="ORI66" s="1"/>
      <c r="ORJ66" s="1"/>
      <c r="ORK66" s="1"/>
      <c r="ORL66" s="1"/>
      <c r="ORM66" s="1"/>
      <c r="ORN66" s="1"/>
      <c r="ORO66" s="1"/>
      <c r="ORP66" s="1"/>
      <c r="ORQ66" s="1"/>
      <c r="ORR66" s="1"/>
      <c r="ORS66" s="1"/>
      <c r="ORT66" s="1"/>
      <c r="ORU66" s="1"/>
      <c r="ORV66" s="1"/>
      <c r="ORW66" s="1"/>
      <c r="ORX66" s="1"/>
      <c r="ORY66" s="1"/>
      <c r="ORZ66" s="1"/>
      <c r="OSA66" s="1"/>
      <c r="OSB66" s="1"/>
      <c r="OSC66" s="1"/>
      <c r="OSD66" s="1"/>
      <c r="OSE66" s="1"/>
      <c r="OSF66" s="1"/>
      <c r="OSG66" s="1"/>
      <c r="OSH66" s="1"/>
      <c r="OSI66" s="1"/>
      <c r="OSJ66" s="1"/>
      <c r="OSK66" s="1"/>
      <c r="OSL66" s="1"/>
      <c r="OSM66" s="1"/>
      <c r="OSN66" s="1"/>
      <c r="OSO66" s="1"/>
      <c r="OSP66" s="1"/>
      <c r="OSQ66" s="1"/>
      <c r="OSR66" s="1"/>
      <c r="OSS66" s="1"/>
      <c r="OST66" s="1"/>
      <c r="OSU66" s="1"/>
      <c r="OSV66" s="1"/>
      <c r="OSW66" s="1"/>
      <c r="OSX66" s="1"/>
      <c r="OSY66" s="1"/>
      <c r="OSZ66" s="1"/>
      <c r="OTA66" s="1"/>
      <c r="OTB66" s="1"/>
      <c r="OTC66" s="1"/>
      <c r="OTD66" s="1"/>
      <c r="OTE66" s="1"/>
      <c r="OTF66" s="1"/>
      <c r="OTG66" s="1"/>
      <c r="OTH66" s="1"/>
      <c r="OTI66" s="1"/>
      <c r="OTJ66" s="1"/>
      <c r="OTK66" s="1"/>
      <c r="OTL66" s="1"/>
      <c r="OTM66" s="1"/>
      <c r="OTN66" s="1"/>
      <c r="OTO66" s="1"/>
      <c r="OTP66" s="1"/>
      <c r="OTQ66" s="1"/>
      <c r="OTR66" s="1"/>
      <c r="OTS66" s="1"/>
      <c r="OTT66" s="1"/>
      <c r="OTU66" s="1"/>
      <c r="OTV66" s="1"/>
      <c r="OTW66" s="1"/>
      <c r="OTX66" s="1"/>
      <c r="OTY66" s="1"/>
      <c r="OTZ66" s="1"/>
      <c r="OUA66" s="1"/>
      <c r="OUB66" s="1"/>
      <c r="OUC66" s="1"/>
      <c r="OUD66" s="1"/>
      <c r="OUE66" s="1"/>
      <c r="OUF66" s="1"/>
      <c r="OUG66" s="1"/>
      <c r="OUH66" s="1"/>
      <c r="OUI66" s="1"/>
      <c r="OUJ66" s="1"/>
      <c r="OUK66" s="1"/>
      <c r="OUL66" s="1"/>
      <c r="OUM66" s="1"/>
      <c r="OUN66" s="1"/>
      <c r="OUO66" s="1"/>
      <c r="OUP66" s="1"/>
      <c r="OUQ66" s="1"/>
      <c r="OUR66" s="1"/>
      <c r="OUS66" s="1"/>
      <c r="OUT66" s="1"/>
      <c r="OUU66" s="1"/>
      <c r="OUV66" s="1"/>
      <c r="OUW66" s="1"/>
      <c r="OUX66" s="1"/>
      <c r="OUY66" s="1"/>
      <c r="OUZ66" s="1"/>
      <c r="OVA66" s="1"/>
      <c r="OVB66" s="1"/>
      <c r="OVC66" s="1"/>
      <c r="OVD66" s="1"/>
      <c r="OVE66" s="1"/>
      <c r="OVF66" s="1"/>
      <c r="OVG66" s="1"/>
      <c r="OVH66" s="1"/>
      <c r="OVI66" s="1"/>
      <c r="OVJ66" s="1"/>
      <c r="OVK66" s="1"/>
      <c r="OVL66" s="1"/>
      <c r="OVM66" s="1"/>
      <c r="OVN66" s="1"/>
      <c r="OVO66" s="1"/>
      <c r="OVP66" s="1"/>
      <c r="OVQ66" s="1"/>
      <c r="OVR66" s="1"/>
      <c r="OVS66" s="1"/>
      <c r="OVT66" s="1"/>
      <c r="OVU66" s="1"/>
      <c r="OVV66" s="1"/>
      <c r="OVW66" s="1"/>
      <c r="OVX66" s="1"/>
      <c r="OVY66" s="1"/>
      <c r="OVZ66" s="1"/>
      <c r="OWA66" s="1"/>
      <c r="OWB66" s="1"/>
      <c r="OWC66" s="1"/>
      <c r="OWD66" s="1"/>
      <c r="OWE66" s="1"/>
      <c r="OWF66" s="1"/>
      <c r="OWG66" s="1"/>
      <c r="OWH66" s="1"/>
      <c r="OWI66" s="1"/>
      <c r="OWJ66" s="1"/>
      <c r="OWK66" s="1"/>
      <c r="OWL66" s="1"/>
      <c r="OWM66" s="1"/>
      <c r="OWN66" s="1"/>
      <c r="OWO66" s="1"/>
      <c r="OWP66" s="1"/>
      <c r="OWQ66" s="1"/>
      <c r="OWR66" s="1"/>
      <c r="OWS66" s="1"/>
      <c r="OWT66" s="1"/>
      <c r="OWU66" s="1"/>
      <c r="OWV66" s="1"/>
      <c r="OWW66" s="1"/>
      <c r="OWX66" s="1"/>
      <c r="OWY66" s="1"/>
      <c r="OWZ66" s="1"/>
      <c r="OXA66" s="1"/>
      <c r="OXB66" s="1"/>
      <c r="OXC66" s="1"/>
      <c r="OXD66" s="1"/>
      <c r="OXE66" s="1"/>
      <c r="OXF66" s="1"/>
      <c r="OXG66" s="1"/>
      <c r="OXH66" s="1"/>
      <c r="OXI66" s="1"/>
      <c r="OXJ66" s="1"/>
      <c r="OXK66" s="1"/>
      <c r="OXL66" s="1"/>
      <c r="OXM66" s="1"/>
      <c r="OXN66" s="1"/>
      <c r="OXO66" s="1"/>
      <c r="OXP66" s="1"/>
      <c r="OXQ66" s="1"/>
      <c r="OXR66" s="1"/>
      <c r="OXS66" s="1"/>
      <c r="OXT66" s="1"/>
      <c r="OXU66" s="1"/>
      <c r="OXV66" s="1"/>
      <c r="OXW66" s="1"/>
      <c r="OXX66" s="1"/>
      <c r="OXY66" s="1"/>
      <c r="OXZ66" s="1"/>
      <c r="OYA66" s="1"/>
      <c r="OYB66" s="1"/>
      <c r="OYC66" s="1"/>
      <c r="OYD66" s="1"/>
      <c r="OYE66" s="1"/>
      <c r="OYF66" s="1"/>
      <c r="OYG66" s="1"/>
      <c r="OYH66" s="1"/>
      <c r="OYI66" s="1"/>
      <c r="OYJ66" s="1"/>
      <c r="OYK66" s="1"/>
      <c r="OYL66" s="1"/>
      <c r="OYM66" s="1"/>
      <c r="OYN66" s="1"/>
      <c r="OYO66" s="1"/>
      <c r="OYP66" s="1"/>
      <c r="OYQ66" s="1"/>
      <c r="OYR66" s="1"/>
      <c r="OYS66" s="1"/>
      <c r="OYT66" s="1"/>
      <c r="OYU66" s="1"/>
      <c r="OYV66" s="1"/>
      <c r="OYW66" s="1"/>
      <c r="OYX66" s="1"/>
      <c r="OYY66" s="1"/>
      <c r="OYZ66" s="1"/>
      <c r="OZA66" s="1"/>
      <c r="OZB66" s="1"/>
      <c r="OZC66" s="1"/>
      <c r="OZD66" s="1"/>
      <c r="OZE66" s="1"/>
      <c r="OZF66" s="1"/>
      <c r="OZG66" s="1"/>
      <c r="OZH66" s="1"/>
      <c r="OZI66" s="1"/>
      <c r="OZJ66" s="1"/>
      <c r="OZK66" s="1"/>
      <c r="OZL66" s="1"/>
      <c r="OZM66" s="1"/>
      <c r="OZN66" s="1"/>
      <c r="OZO66" s="1"/>
      <c r="OZP66" s="1"/>
      <c r="OZQ66" s="1"/>
      <c r="OZR66" s="1"/>
      <c r="OZS66" s="1"/>
      <c r="OZT66" s="1"/>
      <c r="OZU66" s="1"/>
      <c r="OZV66" s="1"/>
      <c r="OZW66" s="1"/>
      <c r="OZX66" s="1"/>
      <c r="OZY66" s="1"/>
      <c r="OZZ66" s="1"/>
      <c r="PAA66" s="1"/>
      <c r="PAB66" s="1"/>
      <c r="PAC66" s="1"/>
      <c r="PAD66" s="1"/>
      <c r="PAE66" s="1"/>
      <c r="PAF66" s="1"/>
      <c r="PAG66" s="1"/>
      <c r="PAH66" s="1"/>
      <c r="PAI66" s="1"/>
      <c r="PAJ66" s="1"/>
      <c r="PAK66" s="1"/>
      <c r="PAL66" s="1"/>
      <c r="PAM66" s="1"/>
      <c r="PAN66" s="1"/>
      <c r="PAO66" s="1"/>
      <c r="PAP66" s="1"/>
      <c r="PAQ66" s="1"/>
      <c r="PAR66" s="1"/>
      <c r="PAS66" s="1"/>
      <c r="PAT66" s="1"/>
      <c r="PAU66" s="1"/>
      <c r="PAV66" s="1"/>
      <c r="PAW66" s="1"/>
      <c r="PAX66" s="1"/>
      <c r="PAY66" s="1"/>
      <c r="PAZ66" s="1"/>
      <c r="PBA66" s="1"/>
      <c r="PBB66" s="1"/>
      <c r="PBC66" s="1"/>
      <c r="PBD66" s="1"/>
      <c r="PBE66" s="1"/>
      <c r="PBF66" s="1"/>
      <c r="PBG66" s="1"/>
      <c r="PBH66" s="1"/>
      <c r="PBI66" s="1"/>
      <c r="PBJ66" s="1"/>
      <c r="PBK66" s="1"/>
      <c r="PBL66" s="1"/>
      <c r="PBM66" s="1"/>
      <c r="PBN66" s="1"/>
      <c r="PBO66" s="1"/>
      <c r="PBP66" s="1"/>
      <c r="PBQ66" s="1"/>
      <c r="PBR66" s="1"/>
      <c r="PBS66" s="1"/>
      <c r="PBT66" s="1"/>
      <c r="PBU66" s="1"/>
      <c r="PBV66" s="1"/>
      <c r="PBW66" s="1"/>
      <c r="PBX66" s="1"/>
      <c r="PBY66" s="1"/>
      <c r="PBZ66" s="1"/>
      <c r="PCA66" s="1"/>
      <c r="PCB66" s="1"/>
      <c r="PCC66" s="1"/>
      <c r="PCD66" s="1"/>
      <c r="PCE66" s="1"/>
      <c r="PCF66" s="1"/>
      <c r="PCG66" s="1"/>
      <c r="PCH66" s="1"/>
      <c r="PCI66" s="1"/>
      <c r="PCJ66" s="1"/>
      <c r="PCK66" s="1"/>
      <c r="PCL66" s="1"/>
      <c r="PCM66" s="1"/>
      <c r="PCN66" s="1"/>
      <c r="PCO66" s="1"/>
      <c r="PCP66" s="1"/>
      <c r="PCQ66" s="1"/>
      <c r="PCR66" s="1"/>
      <c r="PCS66" s="1"/>
      <c r="PCT66" s="1"/>
      <c r="PCU66" s="1"/>
      <c r="PCV66" s="1"/>
      <c r="PCW66" s="1"/>
      <c r="PCX66" s="1"/>
      <c r="PCY66" s="1"/>
      <c r="PCZ66" s="1"/>
      <c r="PDA66" s="1"/>
      <c r="PDB66" s="1"/>
      <c r="PDC66" s="1"/>
      <c r="PDD66" s="1"/>
      <c r="PDE66" s="1"/>
      <c r="PDF66" s="1"/>
      <c r="PDG66" s="1"/>
      <c r="PDH66" s="1"/>
      <c r="PDI66" s="1"/>
      <c r="PDJ66" s="1"/>
      <c r="PDK66" s="1"/>
      <c r="PDL66" s="1"/>
      <c r="PDM66" s="1"/>
      <c r="PDN66" s="1"/>
      <c r="PDO66" s="1"/>
      <c r="PDP66" s="1"/>
      <c r="PDQ66" s="1"/>
      <c r="PDR66" s="1"/>
      <c r="PDS66" s="1"/>
      <c r="PDT66" s="1"/>
      <c r="PDU66" s="1"/>
      <c r="PDV66" s="1"/>
      <c r="PDW66" s="1"/>
      <c r="PDX66" s="1"/>
      <c r="PDY66" s="1"/>
      <c r="PDZ66" s="1"/>
      <c r="PEA66" s="1"/>
      <c r="PEB66" s="1"/>
      <c r="PEC66" s="1"/>
      <c r="PED66" s="1"/>
      <c r="PEE66" s="1"/>
      <c r="PEF66" s="1"/>
      <c r="PEG66" s="1"/>
      <c r="PEH66" s="1"/>
      <c r="PEI66" s="1"/>
      <c r="PEJ66" s="1"/>
      <c r="PEK66" s="1"/>
      <c r="PEL66" s="1"/>
      <c r="PEM66" s="1"/>
      <c r="PEN66" s="1"/>
      <c r="PEO66" s="1"/>
      <c r="PEP66" s="1"/>
      <c r="PEQ66" s="1"/>
      <c r="PER66" s="1"/>
      <c r="PES66" s="1"/>
      <c r="PET66" s="1"/>
      <c r="PEU66" s="1"/>
      <c r="PEV66" s="1"/>
      <c r="PEW66" s="1"/>
      <c r="PEX66" s="1"/>
      <c r="PEY66" s="1"/>
      <c r="PEZ66" s="1"/>
      <c r="PFA66" s="1"/>
      <c r="PFB66" s="1"/>
      <c r="PFC66" s="1"/>
      <c r="PFD66" s="1"/>
      <c r="PFE66" s="1"/>
      <c r="PFF66" s="1"/>
      <c r="PFG66" s="1"/>
      <c r="PFH66" s="1"/>
      <c r="PFI66" s="1"/>
      <c r="PFJ66" s="1"/>
      <c r="PFK66" s="1"/>
      <c r="PFL66" s="1"/>
      <c r="PFM66" s="1"/>
      <c r="PFN66" s="1"/>
      <c r="PFO66" s="1"/>
      <c r="PFP66" s="1"/>
      <c r="PFQ66" s="1"/>
      <c r="PFR66" s="1"/>
      <c r="PFS66" s="1"/>
      <c r="PFT66" s="1"/>
      <c r="PFU66" s="1"/>
      <c r="PFV66" s="1"/>
      <c r="PFW66" s="1"/>
      <c r="PFX66" s="1"/>
      <c r="PFY66" s="1"/>
      <c r="PFZ66" s="1"/>
      <c r="PGA66" s="1"/>
      <c r="PGB66" s="1"/>
      <c r="PGC66" s="1"/>
      <c r="PGD66" s="1"/>
      <c r="PGE66" s="1"/>
      <c r="PGF66" s="1"/>
      <c r="PGG66" s="1"/>
      <c r="PGH66" s="1"/>
      <c r="PGI66" s="1"/>
      <c r="PGJ66" s="1"/>
      <c r="PGK66" s="1"/>
      <c r="PGL66" s="1"/>
      <c r="PGM66" s="1"/>
      <c r="PGN66" s="1"/>
      <c r="PGO66" s="1"/>
      <c r="PGP66" s="1"/>
      <c r="PGQ66" s="1"/>
      <c r="PGR66" s="1"/>
      <c r="PGS66" s="1"/>
      <c r="PGT66" s="1"/>
      <c r="PGU66" s="1"/>
      <c r="PGV66" s="1"/>
      <c r="PGW66" s="1"/>
      <c r="PGX66" s="1"/>
      <c r="PGY66" s="1"/>
      <c r="PGZ66" s="1"/>
      <c r="PHA66" s="1"/>
      <c r="PHB66" s="1"/>
      <c r="PHC66" s="1"/>
      <c r="PHD66" s="1"/>
      <c r="PHE66" s="1"/>
      <c r="PHF66" s="1"/>
      <c r="PHG66" s="1"/>
      <c r="PHH66" s="1"/>
      <c r="PHI66" s="1"/>
      <c r="PHJ66" s="1"/>
      <c r="PHK66" s="1"/>
      <c r="PHL66" s="1"/>
      <c r="PHM66" s="1"/>
      <c r="PHN66" s="1"/>
      <c r="PHO66" s="1"/>
      <c r="PHP66" s="1"/>
      <c r="PHQ66" s="1"/>
      <c r="PHR66" s="1"/>
      <c r="PHS66" s="1"/>
      <c r="PHT66" s="1"/>
      <c r="PHU66" s="1"/>
      <c r="PHV66" s="1"/>
      <c r="PHW66" s="1"/>
      <c r="PHX66" s="1"/>
      <c r="PHY66" s="1"/>
      <c r="PHZ66" s="1"/>
      <c r="PIA66" s="1"/>
      <c r="PIB66" s="1"/>
      <c r="PIC66" s="1"/>
      <c r="PID66" s="1"/>
      <c r="PIE66" s="1"/>
      <c r="PIF66" s="1"/>
      <c r="PIG66" s="1"/>
      <c r="PIH66" s="1"/>
      <c r="PII66" s="1"/>
      <c r="PIJ66" s="1"/>
      <c r="PIK66" s="1"/>
      <c r="PIL66" s="1"/>
      <c r="PIM66" s="1"/>
      <c r="PIN66" s="1"/>
      <c r="PIO66" s="1"/>
      <c r="PIP66" s="1"/>
      <c r="PIQ66" s="1"/>
      <c r="PIR66" s="1"/>
      <c r="PIS66" s="1"/>
      <c r="PIT66" s="1"/>
      <c r="PIU66" s="1"/>
      <c r="PIV66" s="1"/>
      <c r="PIW66" s="1"/>
      <c r="PIX66" s="1"/>
      <c r="PIY66" s="1"/>
      <c r="PIZ66" s="1"/>
      <c r="PJA66" s="1"/>
      <c r="PJB66" s="1"/>
      <c r="PJC66" s="1"/>
      <c r="PJD66" s="1"/>
      <c r="PJE66" s="1"/>
      <c r="PJF66" s="1"/>
      <c r="PJG66" s="1"/>
      <c r="PJH66" s="1"/>
      <c r="PJI66" s="1"/>
      <c r="PJJ66" s="1"/>
      <c r="PJK66" s="1"/>
      <c r="PJL66" s="1"/>
      <c r="PJM66" s="1"/>
      <c r="PJN66" s="1"/>
      <c r="PJO66" s="1"/>
      <c r="PJP66" s="1"/>
      <c r="PJQ66" s="1"/>
      <c r="PJR66" s="1"/>
      <c r="PJS66" s="1"/>
      <c r="PJT66" s="1"/>
      <c r="PJU66" s="1"/>
      <c r="PJV66" s="1"/>
      <c r="PJW66" s="1"/>
      <c r="PJX66" s="1"/>
      <c r="PJY66" s="1"/>
      <c r="PJZ66" s="1"/>
      <c r="PKA66" s="1"/>
      <c r="PKB66" s="1"/>
      <c r="PKC66" s="1"/>
      <c r="PKD66" s="1"/>
      <c r="PKE66" s="1"/>
      <c r="PKF66" s="1"/>
      <c r="PKG66" s="1"/>
      <c r="PKH66" s="1"/>
      <c r="PKI66" s="1"/>
      <c r="PKJ66" s="1"/>
      <c r="PKK66" s="1"/>
      <c r="PKL66" s="1"/>
      <c r="PKM66" s="1"/>
      <c r="PKN66" s="1"/>
      <c r="PKO66" s="1"/>
      <c r="PKP66" s="1"/>
      <c r="PKQ66" s="1"/>
      <c r="PKR66" s="1"/>
      <c r="PKS66" s="1"/>
      <c r="PKT66" s="1"/>
      <c r="PKU66" s="1"/>
      <c r="PKV66" s="1"/>
      <c r="PKW66" s="1"/>
      <c r="PKX66" s="1"/>
      <c r="PKY66" s="1"/>
      <c r="PKZ66" s="1"/>
      <c r="PLA66" s="1"/>
      <c r="PLB66" s="1"/>
      <c r="PLC66" s="1"/>
      <c r="PLD66" s="1"/>
      <c r="PLE66" s="1"/>
      <c r="PLF66" s="1"/>
      <c r="PLG66" s="1"/>
      <c r="PLH66" s="1"/>
      <c r="PLI66" s="1"/>
      <c r="PLJ66" s="1"/>
      <c r="PLK66" s="1"/>
      <c r="PLL66" s="1"/>
      <c r="PLM66" s="1"/>
      <c r="PLN66" s="1"/>
      <c r="PLO66" s="1"/>
      <c r="PLP66" s="1"/>
      <c r="PLQ66" s="1"/>
      <c r="PLR66" s="1"/>
      <c r="PLS66" s="1"/>
      <c r="PLT66" s="1"/>
      <c r="PLU66" s="1"/>
      <c r="PLV66" s="1"/>
      <c r="PLW66" s="1"/>
      <c r="PLX66" s="1"/>
      <c r="PLY66" s="1"/>
      <c r="PLZ66" s="1"/>
      <c r="PMA66" s="1"/>
      <c r="PMB66" s="1"/>
      <c r="PMC66" s="1"/>
      <c r="PMD66" s="1"/>
      <c r="PME66" s="1"/>
      <c r="PMF66" s="1"/>
      <c r="PMG66" s="1"/>
      <c r="PMH66" s="1"/>
      <c r="PMI66" s="1"/>
      <c r="PMJ66" s="1"/>
      <c r="PMK66" s="1"/>
      <c r="PML66" s="1"/>
      <c r="PMM66" s="1"/>
      <c r="PMN66" s="1"/>
      <c r="PMO66" s="1"/>
      <c r="PMP66" s="1"/>
      <c r="PMQ66" s="1"/>
      <c r="PMR66" s="1"/>
      <c r="PMS66" s="1"/>
      <c r="PMT66" s="1"/>
      <c r="PMU66" s="1"/>
      <c r="PMV66" s="1"/>
      <c r="PMW66" s="1"/>
      <c r="PMX66" s="1"/>
      <c r="PMY66" s="1"/>
      <c r="PMZ66" s="1"/>
      <c r="PNA66" s="1"/>
      <c r="PNB66" s="1"/>
      <c r="PNC66" s="1"/>
      <c r="PND66" s="1"/>
      <c r="PNE66" s="1"/>
      <c r="PNF66" s="1"/>
      <c r="PNG66" s="1"/>
      <c r="PNH66" s="1"/>
      <c r="PNI66" s="1"/>
      <c r="PNJ66" s="1"/>
      <c r="PNK66" s="1"/>
      <c r="PNL66" s="1"/>
      <c r="PNM66" s="1"/>
      <c r="PNN66" s="1"/>
      <c r="PNO66" s="1"/>
      <c r="PNP66" s="1"/>
      <c r="PNQ66" s="1"/>
      <c r="PNR66" s="1"/>
      <c r="PNS66" s="1"/>
      <c r="PNT66" s="1"/>
      <c r="PNU66" s="1"/>
      <c r="PNV66" s="1"/>
      <c r="PNW66" s="1"/>
      <c r="PNX66" s="1"/>
      <c r="PNY66" s="1"/>
      <c r="PNZ66" s="1"/>
      <c r="POA66" s="1"/>
      <c r="POB66" s="1"/>
      <c r="POC66" s="1"/>
      <c r="POD66" s="1"/>
      <c r="POE66" s="1"/>
      <c r="POF66" s="1"/>
      <c r="POG66" s="1"/>
      <c r="POH66" s="1"/>
      <c r="POI66" s="1"/>
      <c r="POJ66" s="1"/>
      <c r="POK66" s="1"/>
      <c r="POL66" s="1"/>
      <c r="POM66" s="1"/>
      <c r="PON66" s="1"/>
      <c r="POO66" s="1"/>
      <c r="POP66" s="1"/>
      <c r="POQ66" s="1"/>
      <c r="POR66" s="1"/>
      <c r="POS66" s="1"/>
      <c r="POT66" s="1"/>
      <c r="POU66" s="1"/>
      <c r="POV66" s="1"/>
      <c r="POW66" s="1"/>
      <c r="POX66" s="1"/>
      <c r="POY66" s="1"/>
      <c r="POZ66" s="1"/>
      <c r="PPA66" s="1"/>
      <c r="PPB66" s="1"/>
      <c r="PPC66" s="1"/>
      <c r="PPD66" s="1"/>
      <c r="PPE66" s="1"/>
      <c r="PPF66" s="1"/>
      <c r="PPG66" s="1"/>
      <c r="PPH66" s="1"/>
      <c r="PPI66" s="1"/>
      <c r="PPJ66" s="1"/>
      <c r="PPK66" s="1"/>
      <c r="PPL66" s="1"/>
      <c r="PPM66" s="1"/>
      <c r="PPN66" s="1"/>
      <c r="PPO66" s="1"/>
      <c r="PPP66" s="1"/>
      <c r="PPQ66" s="1"/>
      <c r="PPR66" s="1"/>
      <c r="PPS66" s="1"/>
      <c r="PPT66" s="1"/>
      <c r="PPU66" s="1"/>
      <c r="PPV66" s="1"/>
      <c r="PPW66" s="1"/>
      <c r="PPX66" s="1"/>
      <c r="PPY66" s="1"/>
      <c r="PPZ66" s="1"/>
      <c r="PQA66" s="1"/>
      <c r="PQB66" s="1"/>
      <c r="PQC66" s="1"/>
      <c r="PQD66" s="1"/>
      <c r="PQE66" s="1"/>
      <c r="PQF66" s="1"/>
      <c r="PQG66" s="1"/>
      <c r="PQH66" s="1"/>
      <c r="PQI66" s="1"/>
      <c r="PQJ66" s="1"/>
      <c r="PQK66" s="1"/>
      <c r="PQL66" s="1"/>
      <c r="PQM66" s="1"/>
      <c r="PQN66" s="1"/>
      <c r="PQO66" s="1"/>
      <c r="PQP66" s="1"/>
      <c r="PQQ66" s="1"/>
      <c r="PQR66" s="1"/>
      <c r="PQS66" s="1"/>
      <c r="PQT66" s="1"/>
      <c r="PQU66" s="1"/>
      <c r="PQV66" s="1"/>
      <c r="PQW66" s="1"/>
      <c r="PQX66" s="1"/>
      <c r="PQY66" s="1"/>
      <c r="PQZ66" s="1"/>
      <c r="PRA66" s="1"/>
      <c r="PRB66" s="1"/>
      <c r="PRC66" s="1"/>
      <c r="PRD66" s="1"/>
      <c r="PRE66" s="1"/>
      <c r="PRF66" s="1"/>
      <c r="PRG66" s="1"/>
      <c r="PRH66" s="1"/>
      <c r="PRI66" s="1"/>
      <c r="PRJ66" s="1"/>
      <c r="PRK66" s="1"/>
      <c r="PRL66" s="1"/>
      <c r="PRM66" s="1"/>
      <c r="PRN66" s="1"/>
      <c r="PRO66" s="1"/>
      <c r="PRP66" s="1"/>
      <c r="PRQ66" s="1"/>
      <c r="PRR66" s="1"/>
      <c r="PRS66" s="1"/>
      <c r="PRT66" s="1"/>
      <c r="PRU66" s="1"/>
      <c r="PRV66" s="1"/>
      <c r="PRW66" s="1"/>
      <c r="PRX66" s="1"/>
      <c r="PRY66" s="1"/>
      <c r="PRZ66" s="1"/>
      <c r="PSA66" s="1"/>
      <c r="PSB66" s="1"/>
      <c r="PSC66" s="1"/>
      <c r="PSD66" s="1"/>
      <c r="PSE66" s="1"/>
      <c r="PSF66" s="1"/>
      <c r="PSG66" s="1"/>
      <c r="PSH66" s="1"/>
      <c r="PSI66" s="1"/>
      <c r="PSJ66" s="1"/>
      <c r="PSK66" s="1"/>
      <c r="PSL66" s="1"/>
      <c r="PSM66" s="1"/>
      <c r="PSN66" s="1"/>
      <c r="PSO66" s="1"/>
      <c r="PSP66" s="1"/>
      <c r="PSQ66" s="1"/>
      <c r="PSR66" s="1"/>
      <c r="PSS66" s="1"/>
      <c r="PST66" s="1"/>
      <c r="PSU66" s="1"/>
      <c r="PSV66" s="1"/>
      <c r="PSW66" s="1"/>
      <c r="PSX66" s="1"/>
      <c r="PSY66" s="1"/>
      <c r="PSZ66" s="1"/>
      <c r="PTA66" s="1"/>
      <c r="PTB66" s="1"/>
      <c r="PTC66" s="1"/>
      <c r="PTD66" s="1"/>
      <c r="PTE66" s="1"/>
      <c r="PTF66" s="1"/>
      <c r="PTG66" s="1"/>
      <c r="PTH66" s="1"/>
      <c r="PTI66" s="1"/>
      <c r="PTJ66" s="1"/>
      <c r="PTK66" s="1"/>
      <c r="PTL66" s="1"/>
      <c r="PTM66" s="1"/>
      <c r="PTN66" s="1"/>
      <c r="PTO66" s="1"/>
      <c r="PTP66" s="1"/>
      <c r="PTQ66" s="1"/>
      <c r="PTR66" s="1"/>
      <c r="PTS66" s="1"/>
      <c r="PTT66" s="1"/>
      <c r="PTU66" s="1"/>
      <c r="PTV66" s="1"/>
      <c r="PTW66" s="1"/>
      <c r="PTX66" s="1"/>
      <c r="PTY66" s="1"/>
      <c r="PTZ66" s="1"/>
      <c r="PUA66" s="1"/>
      <c r="PUB66" s="1"/>
      <c r="PUC66" s="1"/>
      <c r="PUD66" s="1"/>
      <c r="PUE66" s="1"/>
      <c r="PUF66" s="1"/>
      <c r="PUG66" s="1"/>
      <c r="PUH66" s="1"/>
      <c r="PUI66" s="1"/>
      <c r="PUJ66" s="1"/>
      <c r="PUK66" s="1"/>
      <c r="PUL66" s="1"/>
      <c r="PUM66" s="1"/>
      <c r="PUN66" s="1"/>
      <c r="PUO66" s="1"/>
      <c r="PUP66" s="1"/>
      <c r="PUQ66" s="1"/>
      <c r="PUR66" s="1"/>
      <c r="PUS66" s="1"/>
      <c r="PUT66" s="1"/>
      <c r="PUU66" s="1"/>
      <c r="PUV66" s="1"/>
      <c r="PUW66" s="1"/>
      <c r="PUX66" s="1"/>
      <c r="PUY66" s="1"/>
      <c r="PUZ66" s="1"/>
      <c r="PVA66" s="1"/>
      <c r="PVB66" s="1"/>
      <c r="PVC66" s="1"/>
      <c r="PVD66" s="1"/>
      <c r="PVE66" s="1"/>
      <c r="PVF66" s="1"/>
      <c r="PVG66" s="1"/>
      <c r="PVH66" s="1"/>
      <c r="PVI66" s="1"/>
      <c r="PVJ66" s="1"/>
      <c r="PVK66" s="1"/>
      <c r="PVL66" s="1"/>
      <c r="PVM66" s="1"/>
      <c r="PVN66" s="1"/>
      <c r="PVO66" s="1"/>
      <c r="PVP66" s="1"/>
      <c r="PVQ66" s="1"/>
      <c r="PVR66" s="1"/>
      <c r="PVS66" s="1"/>
      <c r="PVT66" s="1"/>
      <c r="PVU66" s="1"/>
      <c r="PVV66" s="1"/>
      <c r="PVW66" s="1"/>
      <c r="PVX66" s="1"/>
      <c r="PVY66" s="1"/>
      <c r="PVZ66" s="1"/>
      <c r="PWA66" s="1"/>
      <c r="PWB66" s="1"/>
      <c r="PWC66" s="1"/>
      <c r="PWD66" s="1"/>
      <c r="PWE66" s="1"/>
      <c r="PWF66" s="1"/>
      <c r="PWG66" s="1"/>
      <c r="PWH66" s="1"/>
      <c r="PWI66" s="1"/>
      <c r="PWJ66" s="1"/>
      <c r="PWK66" s="1"/>
      <c r="PWL66" s="1"/>
      <c r="PWM66" s="1"/>
      <c r="PWN66" s="1"/>
      <c r="PWO66" s="1"/>
      <c r="PWP66" s="1"/>
      <c r="PWQ66" s="1"/>
      <c r="PWR66" s="1"/>
      <c r="PWS66" s="1"/>
      <c r="PWT66" s="1"/>
      <c r="PWU66" s="1"/>
      <c r="PWV66" s="1"/>
      <c r="PWW66" s="1"/>
      <c r="PWX66" s="1"/>
      <c r="PWY66" s="1"/>
      <c r="PWZ66" s="1"/>
      <c r="PXA66" s="1"/>
      <c r="PXB66" s="1"/>
      <c r="PXC66" s="1"/>
      <c r="PXD66" s="1"/>
      <c r="PXE66" s="1"/>
      <c r="PXF66" s="1"/>
      <c r="PXG66" s="1"/>
      <c r="PXH66" s="1"/>
      <c r="PXI66" s="1"/>
      <c r="PXJ66" s="1"/>
      <c r="PXK66" s="1"/>
      <c r="PXL66" s="1"/>
      <c r="PXM66" s="1"/>
      <c r="PXN66" s="1"/>
      <c r="PXO66" s="1"/>
      <c r="PXP66" s="1"/>
      <c r="PXQ66" s="1"/>
      <c r="PXR66" s="1"/>
      <c r="PXS66" s="1"/>
      <c r="PXT66" s="1"/>
      <c r="PXU66" s="1"/>
      <c r="PXV66" s="1"/>
      <c r="PXW66" s="1"/>
      <c r="PXX66" s="1"/>
      <c r="PXY66" s="1"/>
      <c r="PXZ66" s="1"/>
      <c r="PYA66" s="1"/>
      <c r="PYB66" s="1"/>
      <c r="PYC66" s="1"/>
      <c r="PYD66" s="1"/>
      <c r="PYE66" s="1"/>
      <c r="PYF66" s="1"/>
      <c r="PYG66" s="1"/>
      <c r="PYH66" s="1"/>
      <c r="PYI66" s="1"/>
      <c r="PYJ66" s="1"/>
      <c r="PYK66" s="1"/>
      <c r="PYL66" s="1"/>
      <c r="PYM66" s="1"/>
      <c r="PYN66" s="1"/>
      <c r="PYO66" s="1"/>
      <c r="PYP66" s="1"/>
      <c r="PYQ66" s="1"/>
      <c r="PYR66" s="1"/>
      <c r="PYS66" s="1"/>
      <c r="PYT66" s="1"/>
      <c r="PYU66" s="1"/>
      <c r="PYV66" s="1"/>
      <c r="PYW66" s="1"/>
      <c r="PYX66" s="1"/>
      <c r="PYY66" s="1"/>
      <c r="PYZ66" s="1"/>
      <c r="PZA66" s="1"/>
      <c r="PZB66" s="1"/>
      <c r="PZC66" s="1"/>
      <c r="PZD66" s="1"/>
      <c r="PZE66" s="1"/>
      <c r="PZF66" s="1"/>
      <c r="PZG66" s="1"/>
      <c r="PZH66" s="1"/>
      <c r="PZI66" s="1"/>
      <c r="PZJ66" s="1"/>
      <c r="PZK66" s="1"/>
      <c r="PZL66" s="1"/>
      <c r="PZM66" s="1"/>
      <c r="PZN66" s="1"/>
      <c r="PZO66" s="1"/>
      <c r="PZP66" s="1"/>
      <c r="PZQ66" s="1"/>
      <c r="PZR66" s="1"/>
      <c r="PZS66" s="1"/>
      <c r="PZT66" s="1"/>
      <c r="PZU66" s="1"/>
      <c r="PZV66" s="1"/>
      <c r="PZW66" s="1"/>
      <c r="PZX66" s="1"/>
      <c r="PZY66" s="1"/>
      <c r="PZZ66" s="1"/>
      <c r="QAA66" s="1"/>
      <c r="QAB66" s="1"/>
      <c r="QAC66" s="1"/>
      <c r="QAD66" s="1"/>
      <c r="QAE66" s="1"/>
      <c r="QAF66" s="1"/>
      <c r="QAG66" s="1"/>
      <c r="QAH66" s="1"/>
      <c r="QAI66" s="1"/>
      <c r="QAJ66" s="1"/>
      <c r="QAK66" s="1"/>
      <c r="QAL66" s="1"/>
      <c r="QAM66" s="1"/>
      <c r="QAN66" s="1"/>
      <c r="QAO66" s="1"/>
      <c r="QAP66" s="1"/>
      <c r="QAQ66" s="1"/>
      <c r="QAR66" s="1"/>
      <c r="QAS66" s="1"/>
      <c r="QAT66" s="1"/>
      <c r="QAU66" s="1"/>
      <c r="QAV66" s="1"/>
      <c r="QAW66" s="1"/>
      <c r="QAX66" s="1"/>
      <c r="QAY66" s="1"/>
      <c r="QAZ66" s="1"/>
      <c r="QBA66" s="1"/>
      <c r="QBB66" s="1"/>
      <c r="QBC66" s="1"/>
      <c r="QBD66" s="1"/>
      <c r="QBE66" s="1"/>
      <c r="QBF66" s="1"/>
      <c r="QBG66" s="1"/>
      <c r="QBH66" s="1"/>
      <c r="QBI66" s="1"/>
      <c r="QBJ66" s="1"/>
      <c r="QBK66" s="1"/>
      <c r="QBL66" s="1"/>
      <c r="QBM66" s="1"/>
      <c r="QBN66" s="1"/>
      <c r="QBO66" s="1"/>
      <c r="QBP66" s="1"/>
      <c r="QBQ66" s="1"/>
      <c r="QBR66" s="1"/>
      <c r="QBS66" s="1"/>
      <c r="QBT66" s="1"/>
      <c r="QBU66" s="1"/>
      <c r="QBV66" s="1"/>
      <c r="QBW66" s="1"/>
      <c r="QBX66" s="1"/>
      <c r="QBY66" s="1"/>
      <c r="QBZ66" s="1"/>
      <c r="QCA66" s="1"/>
      <c r="QCB66" s="1"/>
      <c r="QCC66" s="1"/>
      <c r="QCD66" s="1"/>
      <c r="QCE66" s="1"/>
      <c r="QCF66" s="1"/>
      <c r="QCG66" s="1"/>
      <c r="QCH66" s="1"/>
      <c r="QCI66" s="1"/>
      <c r="QCJ66" s="1"/>
      <c r="QCK66" s="1"/>
      <c r="QCL66" s="1"/>
      <c r="QCM66" s="1"/>
      <c r="QCN66" s="1"/>
      <c r="QCO66" s="1"/>
      <c r="QCP66" s="1"/>
      <c r="QCQ66" s="1"/>
      <c r="QCR66" s="1"/>
      <c r="QCS66" s="1"/>
      <c r="QCT66" s="1"/>
      <c r="QCU66" s="1"/>
      <c r="QCV66" s="1"/>
      <c r="QCW66" s="1"/>
      <c r="QCX66" s="1"/>
      <c r="QCY66" s="1"/>
      <c r="QCZ66" s="1"/>
      <c r="QDA66" s="1"/>
      <c r="QDB66" s="1"/>
      <c r="QDC66" s="1"/>
      <c r="QDD66" s="1"/>
      <c r="QDE66" s="1"/>
      <c r="QDF66" s="1"/>
      <c r="QDG66" s="1"/>
      <c r="QDH66" s="1"/>
      <c r="QDI66" s="1"/>
      <c r="QDJ66" s="1"/>
      <c r="QDK66" s="1"/>
      <c r="QDL66" s="1"/>
      <c r="QDM66" s="1"/>
      <c r="QDN66" s="1"/>
      <c r="QDO66" s="1"/>
      <c r="QDP66" s="1"/>
      <c r="QDQ66" s="1"/>
      <c r="QDR66" s="1"/>
      <c r="QDS66" s="1"/>
      <c r="QDT66" s="1"/>
      <c r="QDU66" s="1"/>
      <c r="QDV66" s="1"/>
      <c r="QDW66" s="1"/>
      <c r="QDX66" s="1"/>
      <c r="QDY66" s="1"/>
      <c r="QDZ66" s="1"/>
      <c r="QEA66" s="1"/>
      <c r="QEB66" s="1"/>
      <c r="QEC66" s="1"/>
      <c r="QED66" s="1"/>
      <c r="QEE66" s="1"/>
      <c r="QEF66" s="1"/>
      <c r="QEG66" s="1"/>
      <c r="QEH66" s="1"/>
      <c r="QEI66" s="1"/>
      <c r="QEJ66" s="1"/>
      <c r="QEK66" s="1"/>
      <c r="QEL66" s="1"/>
      <c r="QEM66" s="1"/>
      <c r="QEN66" s="1"/>
      <c r="QEO66" s="1"/>
      <c r="QEP66" s="1"/>
      <c r="QEQ66" s="1"/>
      <c r="QER66" s="1"/>
      <c r="QES66" s="1"/>
      <c r="QET66" s="1"/>
      <c r="QEU66" s="1"/>
      <c r="QEV66" s="1"/>
      <c r="QEW66" s="1"/>
      <c r="QEX66" s="1"/>
      <c r="QEY66" s="1"/>
      <c r="QEZ66" s="1"/>
      <c r="QFA66" s="1"/>
      <c r="QFB66" s="1"/>
      <c r="QFC66" s="1"/>
      <c r="QFD66" s="1"/>
      <c r="QFE66" s="1"/>
      <c r="QFF66" s="1"/>
      <c r="QFG66" s="1"/>
      <c r="QFH66" s="1"/>
      <c r="QFI66" s="1"/>
      <c r="QFJ66" s="1"/>
      <c r="QFK66" s="1"/>
      <c r="QFL66" s="1"/>
      <c r="QFM66" s="1"/>
      <c r="QFN66" s="1"/>
      <c r="QFO66" s="1"/>
      <c r="QFP66" s="1"/>
      <c r="QFQ66" s="1"/>
      <c r="QFR66" s="1"/>
      <c r="QFS66" s="1"/>
      <c r="QFT66" s="1"/>
      <c r="QFU66" s="1"/>
      <c r="QFV66" s="1"/>
      <c r="QFW66" s="1"/>
      <c r="QFX66" s="1"/>
      <c r="QFY66" s="1"/>
      <c r="QFZ66" s="1"/>
      <c r="QGA66" s="1"/>
      <c r="QGB66" s="1"/>
      <c r="QGC66" s="1"/>
      <c r="QGD66" s="1"/>
      <c r="QGE66" s="1"/>
      <c r="QGF66" s="1"/>
      <c r="QGG66" s="1"/>
      <c r="QGH66" s="1"/>
      <c r="QGI66" s="1"/>
      <c r="QGJ66" s="1"/>
      <c r="QGK66" s="1"/>
      <c r="QGL66" s="1"/>
      <c r="QGM66" s="1"/>
      <c r="QGN66" s="1"/>
      <c r="QGO66" s="1"/>
      <c r="QGP66" s="1"/>
      <c r="QGQ66" s="1"/>
      <c r="QGR66" s="1"/>
      <c r="QGS66" s="1"/>
      <c r="QGT66" s="1"/>
      <c r="QGU66" s="1"/>
      <c r="QGV66" s="1"/>
      <c r="QGW66" s="1"/>
      <c r="QGX66" s="1"/>
      <c r="QGY66" s="1"/>
      <c r="QGZ66" s="1"/>
      <c r="QHA66" s="1"/>
      <c r="QHB66" s="1"/>
      <c r="QHC66" s="1"/>
      <c r="QHD66" s="1"/>
      <c r="QHE66" s="1"/>
      <c r="QHF66" s="1"/>
      <c r="QHG66" s="1"/>
      <c r="QHH66" s="1"/>
      <c r="QHI66" s="1"/>
      <c r="QHJ66" s="1"/>
      <c r="QHK66" s="1"/>
      <c r="QHL66" s="1"/>
      <c r="QHM66" s="1"/>
      <c r="QHN66" s="1"/>
      <c r="QHO66" s="1"/>
      <c r="QHP66" s="1"/>
      <c r="QHQ66" s="1"/>
      <c r="QHR66" s="1"/>
      <c r="QHS66" s="1"/>
      <c r="QHT66" s="1"/>
      <c r="QHU66" s="1"/>
      <c r="QHV66" s="1"/>
      <c r="QHW66" s="1"/>
      <c r="QHX66" s="1"/>
      <c r="QHY66" s="1"/>
      <c r="QHZ66" s="1"/>
      <c r="QIA66" s="1"/>
      <c r="QIB66" s="1"/>
      <c r="QIC66" s="1"/>
      <c r="QID66" s="1"/>
      <c r="QIE66" s="1"/>
      <c r="QIF66" s="1"/>
      <c r="QIG66" s="1"/>
      <c r="QIH66" s="1"/>
      <c r="QII66" s="1"/>
      <c r="QIJ66" s="1"/>
      <c r="QIK66" s="1"/>
      <c r="QIL66" s="1"/>
      <c r="QIM66" s="1"/>
      <c r="QIN66" s="1"/>
      <c r="QIO66" s="1"/>
      <c r="QIP66" s="1"/>
      <c r="QIQ66" s="1"/>
      <c r="QIR66" s="1"/>
      <c r="QIS66" s="1"/>
      <c r="QIT66" s="1"/>
      <c r="QIU66" s="1"/>
      <c r="QIV66" s="1"/>
      <c r="QIW66" s="1"/>
      <c r="QIX66" s="1"/>
      <c r="QIY66" s="1"/>
      <c r="QIZ66" s="1"/>
      <c r="QJA66" s="1"/>
      <c r="QJB66" s="1"/>
      <c r="QJC66" s="1"/>
      <c r="QJD66" s="1"/>
      <c r="QJE66" s="1"/>
      <c r="QJF66" s="1"/>
      <c r="QJG66" s="1"/>
      <c r="QJH66" s="1"/>
      <c r="QJI66" s="1"/>
      <c r="QJJ66" s="1"/>
      <c r="QJK66" s="1"/>
      <c r="QJL66" s="1"/>
      <c r="QJM66" s="1"/>
      <c r="QJN66" s="1"/>
      <c r="QJO66" s="1"/>
      <c r="QJP66" s="1"/>
      <c r="QJQ66" s="1"/>
      <c r="QJR66" s="1"/>
      <c r="QJS66" s="1"/>
      <c r="QJT66" s="1"/>
      <c r="QJU66" s="1"/>
      <c r="QJV66" s="1"/>
      <c r="QJW66" s="1"/>
      <c r="QJX66" s="1"/>
      <c r="QJY66" s="1"/>
      <c r="QJZ66" s="1"/>
      <c r="QKA66" s="1"/>
      <c r="QKB66" s="1"/>
      <c r="QKC66" s="1"/>
      <c r="QKD66" s="1"/>
      <c r="QKE66" s="1"/>
      <c r="QKF66" s="1"/>
      <c r="QKG66" s="1"/>
      <c r="QKH66" s="1"/>
      <c r="QKI66" s="1"/>
      <c r="QKJ66" s="1"/>
      <c r="QKK66" s="1"/>
      <c r="QKL66" s="1"/>
      <c r="QKM66" s="1"/>
      <c r="QKN66" s="1"/>
      <c r="QKO66" s="1"/>
      <c r="QKP66" s="1"/>
      <c r="QKQ66" s="1"/>
      <c r="QKR66" s="1"/>
      <c r="QKS66" s="1"/>
      <c r="QKT66" s="1"/>
      <c r="QKU66" s="1"/>
      <c r="QKV66" s="1"/>
      <c r="QKW66" s="1"/>
      <c r="QKX66" s="1"/>
      <c r="QKY66" s="1"/>
      <c r="QKZ66" s="1"/>
      <c r="QLA66" s="1"/>
      <c r="QLB66" s="1"/>
      <c r="QLC66" s="1"/>
      <c r="QLD66" s="1"/>
      <c r="QLE66" s="1"/>
      <c r="QLF66" s="1"/>
      <c r="QLG66" s="1"/>
      <c r="QLH66" s="1"/>
      <c r="QLI66" s="1"/>
      <c r="QLJ66" s="1"/>
      <c r="QLK66" s="1"/>
      <c r="QLL66" s="1"/>
      <c r="QLM66" s="1"/>
      <c r="QLN66" s="1"/>
      <c r="QLO66" s="1"/>
      <c r="QLP66" s="1"/>
      <c r="QLQ66" s="1"/>
      <c r="QLR66" s="1"/>
      <c r="QLS66" s="1"/>
      <c r="QLT66" s="1"/>
      <c r="QLU66" s="1"/>
      <c r="QLV66" s="1"/>
      <c r="QLW66" s="1"/>
      <c r="QLX66" s="1"/>
      <c r="QLY66" s="1"/>
      <c r="QLZ66" s="1"/>
      <c r="QMA66" s="1"/>
      <c r="QMB66" s="1"/>
      <c r="QMC66" s="1"/>
      <c r="QMD66" s="1"/>
      <c r="QME66" s="1"/>
      <c r="QMF66" s="1"/>
      <c r="QMG66" s="1"/>
      <c r="QMH66" s="1"/>
      <c r="QMI66" s="1"/>
      <c r="QMJ66" s="1"/>
      <c r="QMK66" s="1"/>
      <c r="QML66" s="1"/>
      <c r="QMM66" s="1"/>
      <c r="QMN66" s="1"/>
      <c r="QMO66" s="1"/>
      <c r="QMP66" s="1"/>
      <c r="QMQ66" s="1"/>
      <c r="QMR66" s="1"/>
      <c r="QMS66" s="1"/>
      <c r="QMT66" s="1"/>
      <c r="QMU66" s="1"/>
      <c r="QMV66" s="1"/>
      <c r="QMW66" s="1"/>
      <c r="QMX66" s="1"/>
      <c r="QMY66" s="1"/>
      <c r="QMZ66" s="1"/>
      <c r="QNA66" s="1"/>
      <c r="QNB66" s="1"/>
      <c r="QNC66" s="1"/>
      <c r="QND66" s="1"/>
      <c r="QNE66" s="1"/>
      <c r="QNF66" s="1"/>
      <c r="QNG66" s="1"/>
      <c r="QNH66" s="1"/>
      <c r="QNI66" s="1"/>
      <c r="QNJ66" s="1"/>
      <c r="QNK66" s="1"/>
      <c r="QNL66" s="1"/>
      <c r="QNM66" s="1"/>
      <c r="QNN66" s="1"/>
      <c r="QNO66" s="1"/>
      <c r="QNP66" s="1"/>
      <c r="QNQ66" s="1"/>
      <c r="QNR66" s="1"/>
      <c r="QNS66" s="1"/>
      <c r="QNT66" s="1"/>
      <c r="QNU66" s="1"/>
      <c r="QNV66" s="1"/>
      <c r="QNW66" s="1"/>
      <c r="QNX66" s="1"/>
      <c r="QNY66" s="1"/>
      <c r="QNZ66" s="1"/>
      <c r="QOA66" s="1"/>
      <c r="QOB66" s="1"/>
      <c r="QOC66" s="1"/>
      <c r="QOD66" s="1"/>
      <c r="QOE66" s="1"/>
      <c r="QOF66" s="1"/>
      <c r="QOG66" s="1"/>
      <c r="QOH66" s="1"/>
      <c r="QOI66" s="1"/>
      <c r="QOJ66" s="1"/>
      <c r="QOK66" s="1"/>
      <c r="QOL66" s="1"/>
      <c r="QOM66" s="1"/>
      <c r="QON66" s="1"/>
      <c r="QOO66" s="1"/>
      <c r="QOP66" s="1"/>
      <c r="QOQ66" s="1"/>
      <c r="QOR66" s="1"/>
      <c r="QOS66" s="1"/>
      <c r="QOT66" s="1"/>
      <c r="QOU66" s="1"/>
      <c r="QOV66" s="1"/>
      <c r="QOW66" s="1"/>
      <c r="QOX66" s="1"/>
      <c r="QOY66" s="1"/>
      <c r="QOZ66" s="1"/>
      <c r="QPA66" s="1"/>
      <c r="QPB66" s="1"/>
      <c r="QPC66" s="1"/>
      <c r="QPD66" s="1"/>
      <c r="QPE66" s="1"/>
      <c r="QPF66" s="1"/>
      <c r="QPG66" s="1"/>
      <c r="QPH66" s="1"/>
      <c r="QPI66" s="1"/>
      <c r="QPJ66" s="1"/>
      <c r="QPK66" s="1"/>
      <c r="QPL66" s="1"/>
      <c r="QPM66" s="1"/>
      <c r="QPN66" s="1"/>
      <c r="QPO66" s="1"/>
      <c r="QPP66" s="1"/>
      <c r="QPQ66" s="1"/>
      <c r="QPR66" s="1"/>
      <c r="QPS66" s="1"/>
      <c r="QPT66" s="1"/>
      <c r="QPU66" s="1"/>
      <c r="QPV66" s="1"/>
      <c r="QPW66" s="1"/>
      <c r="QPX66" s="1"/>
      <c r="QPY66" s="1"/>
      <c r="QPZ66" s="1"/>
      <c r="QQA66" s="1"/>
      <c r="QQB66" s="1"/>
      <c r="QQC66" s="1"/>
      <c r="QQD66" s="1"/>
      <c r="QQE66" s="1"/>
      <c r="QQF66" s="1"/>
      <c r="QQG66" s="1"/>
      <c r="QQH66" s="1"/>
      <c r="QQI66" s="1"/>
      <c r="QQJ66" s="1"/>
      <c r="QQK66" s="1"/>
      <c r="QQL66" s="1"/>
      <c r="QQM66" s="1"/>
      <c r="QQN66" s="1"/>
      <c r="QQO66" s="1"/>
      <c r="QQP66" s="1"/>
      <c r="QQQ66" s="1"/>
      <c r="QQR66" s="1"/>
      <c r="QQS66" s="1"/>
      <c r="QQT66" s="1"/>
      <c r="QQU66" s="1"/>
      <c r="QQV66" s="1"/>
      <c r="QQW66" s="1"/>
      <c r="QQX66" s="1"/>
      <c r="QQY66" s="1"/>
      <c r="QQZ66" s="1"/>
      <c r="QRA66" s="1"/>
      <c r="QRB66" s="1"/>
      <c r="QRC66" s="1"/>
      <c r="QRD66" s="1"/>
      <c r="QRE66" s="1"/>
      <c r="QRF66" s="1"/>
      <c r="QRG66" s="1"/>
      <c r="QRH66" s="1"/>
      <c r="QRI66" s="1"/>
      <c r="QRJ66" s="1"/>
      <c r="QRK66" s="1"/>
      <c r="QRL66" s="1"/>
      <c r="QRM66" s="1"/>
      <c r="QRN66" s="1"/>
      <c r="QRO66" s="1"/>
      <c r="QRP66" s="1"/>
      <c r="QRQ66" s="1"/>
      <c r="QRR66" s="1"/>
      <c r="QRS66" s="1"/>
      <c r="QRT66" s="1"/>
      <c r="QRU66" s="1"/>
      <c r="QRV66" s="1"/>
      <c r="QRW66" s="1"/>
      <c r="QRX66" s="1"/>
      <c r="QRY66" s="1"/>
      <c r="QRZ66" s="1"/>
      <c r="QSA66" s="1"/>
      <c r="QSB66" s="1"/>
      <c r="QSC66" s="1"/>
      <c r="QSD66" s="1"/>
      <c r="QSE66" s="1"/>
      <c r="QSF66" s="1"/>
      <c r="QSG66" s="1"/>
      <c r="QSH66" s="1"/>
      <c r="QSI66" s="1"/>
      <c r="QSJ66" s="1"/>
      <c r="QSK66" s="1"/>
      <c r="QSL66" s="1"/>
      <c r="QSM66" s="1"/>
      <c r="QSN66" s="1"/>
      <c r="QSO66" s="1"/>
      <c r="QSP66" s="1"/>
      <c r="QSQ66" s="1"/>
      <c r="QSR66" s="1"/>
      <c r="QSS66" s="1"/>
      <c r="QST66" s="1"/>
      <c r="QSU66" s="1"/>
      <c r="QSV66" s="1"/>
      <c r="QSW66" s="1"/>
      <c r="QSX66" s="1"/>
      <c r="QSY66" s="1"/>
      <c r="QSZ66" s="1"/>
      <c r="QTA66" s="1"/>
      <c r="QTB66" s="1"/>
      <c r="QTC66" s="1"/>
      <c r="QTD66" s="1"/>
      <c r="QTE66" s="1"/>
      <c r="QTF66" s="1"/>
      <c r="QTG66" s="1"/>
      <c r="QTH66" s="1"/>
      <c r="QTI66" s="1"/>
      <c r="QTJ66" s="1"/>
      <c r="QTK66" s="1"/>
      <c r="QTL66" s="1"/>
      <c r="QTM66" s="1"/>
      <c r="QTN66" s="1"/>
      <c r="QTO66" s="1"/>
      <c r="QTP66" s="1"/>
      <c r="QTQ66" s="1"/>
      <c r="QTR66" s="1"/>
      <c r="QTS66" s="1"/>
      <c r="QTT66" s="1"/>
      <c r="QTU66" s="1"/>
      <c r="QTV66" s="1"/>
      <c r="QTW66" s="1"/>
      <c r="QTX66" s="1"/>
      <c r="QTY66" s="1"/>
      <c r="QTZ66" s="1"/>
      <c r="QUA66" s="1"/>
      <c r="QUB66" s="1"/>
      <c r="QUC66" s="1"/>
      <c r="QUD66" s="1"/>
      <c r="QUE66" s="1"/>
      <c r="QUF66" s="1"/>
      <c r="QUG66" s="1"/>
      <c r="QUH66" s="1"/>
      <c r="QUI66" s="1"/>
      <c r="QUJ66" s="1"/>
      <c r="QUK66" s="1"/>
      <c r="QUL66" s="1"/>
      <c r="QUM66" s="1"/>
      <c r="QUN66" s="1"/>
      <c r="QUO66" s="1"/>
      <c r="QUP66" s="1"/>
      <c r="QUQ66" s="1"/>
      <c r="QUR66" s="1"/>
      <c r="QUS66" s="1"/>
      <c r="QUT66" s="1"/>
      <c r="QUU66" s="1"/>
      <c r="QUV66" s="1"/>
      <c r="QUW66" s="1"/>
      <c r="QUX66" s="1"/>
      <c r="QUY66" s="1"/>
      <c r="QUZ66" s="1"/>
      <c r="QVA66" s="1"/>
      <c r="QVB66" s="1"/>
      <c r="QVC66" s="1"/>
      <c r="QVD66" s="1"/>
      <c r="QVE66" s="1"/>
      <c r="QVF66" s="1"/>
      <c r="QVG66" s="1"/>
      <c r="QVH66" s="1"/>
      <c r="QVI66" s="1"/>
      <c r="QVJ66" s="1"/>
      <c r="QVK66" s="1"/>
      <c r="QVL66" s="1"/>
      <c r="QVM66" s="1"/>
      <c r="QVN66" s="1"/>
      <c r="QVO66" s="1"/>
      <c r="QVP66" s="1"/>
      <c r="QVQ66" s="1"/>
      <c r="QVR66" s="1"/>
      <c r="QVS66" s="1"/>
      <c r="QVT66" s="1"/>
      <c r="QVU66" s="1"/>
      <c r="QVV66" s="1"/>
      <c r="QVW66" s="1"/>
      <c r="QVX66" s="1"/>
      <c r="QVY66" s="1"/>
      <c r="QVZ66" s="1"/>
      <c r="QWA66" s="1"/>
      <c r="QWB66" s="1"/>
      <c r="QWC66" s="1"/>
      <c r="QWD66" s="1"/>
      <c r="QWE66" s="1"/>
      <c r="QWF66" s="1"/>
      <c r="QWG66" s="1"/>
      <c r="QWH66" s="1"/>
      <c r="QWI66" s="1"/>
      <c r="QWJ66" s="1"/>
      <c r="QWK66" s="1"/>
      <c r="QWL66" s="1"/>
      <c r="QWM66" s="1"/>
      <c r="QWN66" s="1"/>
      <c r="QWO66" s="1"/>
      <c r="QWP66" s="1"/>
      <c r="QWQ66" s="1"/>
      <c r="QWR66" s="1"/>
      <c r="QWS66" s="1"/>
      <c r="QWT66" s="1"/>
      <c r="QWU66" s="1"/>
      <c r="QWV66" s="1"/>
      <c r="QWW66" s="1"/>
      <c r="QWX66" s="1"/>
      <c r="QWY66" s="1"/>
      <c r="QWZ66" s="1"/>
      <c r="QXA66" s="1"/>
      <c r="QXB66" s="1"/>
      <c r="QXC66" s="1"/>
      <c r="QXD66" s="1"/>
      <c r="QXE66" s="1"/>
      <c r="QXF66" s="1"/>
      <c r="QXG66" s="1"/>
      <c r="QXH66" s="1"/>
      <c r="QXI66" s="1"/>
      <c r="QXJ66" s="1"/>
      <c r="QXK66" s="1"/>
      <c r="QXL66" s="1"/>
      <c r="QXM66" s="1"/>
      <c r="QXN66" s="1"/>
      <c r="QXO66" s="1"/>
      <c r="QXP66" s="1"/>
      <c r="QXQ66" s="1"/>
      <c r="QXR66" s="1"/>
      <c r="QXS66" s="1"/>
      <c r="QXT66" s="1"/>
      <c r="QXU66" s="1"/>
      <c r="QXV66" s="1"/>
      <c r="QXW66" s="1"/>
      <c r="QXX66" s="1"/>
      <c r="QXY66" s="1"/>
      <c r="QXZ66" s="1"/>
      <c r="QYA66" s="1"/>
      <c r="QYB66" s="1"/>
      <c r="QYC66" s="1"/>
      <c r="QYD66" s="1"/>
      <c r="QYE66" s="1"/>
      <c r="QYF66" s="1"/>
      <c r="QYG66" s="1"/>
      <c r="QYH66" s="1"/>
      <c r="QYI66" s="1"/>
      <c r="QYJ66" s="1"/>
      <c r="QYK66" s="1"/>
      <c r="QYL66" s="1"/>
      <c r="QYM66" s="1"/>
      <c r="QYN66" s="1"/>
      <c r="QYO66" s="1"/>
      <c r="QYP66" s="1"/>
      <c r="QYQ66" s="1"/>
      <c r="QYR66" s="1"/>
      <c r="QYS66" s="1"/>
      <c r="QYT66" s="1"/>
      <c r="QYU66" s="1"/>
      <c r="QYV66" s="1"/>
      <c r="QYW66" s="1"/>
      <c r="QYX66" s="1"/>
      <c r="QYY66" s="1"/>
      <c r="QYZ66" s="1"/>
      <c r="QZA66" s="1"/>
      <c r="QZB66" s="1"/>
      <c r="QZC66" s="1"/>
      <c r="QZD66" s="1"/>
      <c r="QZE66" s="1"/>
      <c r="QZF66" s="1"/>
      <c r="QZG66" s="1"/>
      <c r="QZH66" s="1"/>
      <c r="QZI66" s="1"/>
      <c r="QZJ66" s="1"/>
      <c r="QZK66" s="1"/>
      <c r="QZL66" s="1"/>
      <c r="QZM66" s="1"/>
      <c r="QZN66" s="1"/>
      <c r="QZO66" s="1"/>
      <c r="QZP66" s="1"/>
      <c r="QZQ66" s="1"/>
      <c r="QZR66" s="1"/>
      <c r="QZS66" s="1"/>
      <c r="QZT66" s="1"/>
      <c r="QZU66" s="1"/>
      <c r="QZV66" s="1"/>
      <c r="QZW66" s="1"/>
      <c r="QZX66" s="1"/>
      <c r="QZY66" s="1"/>
      <c r="QZZ66" s="1"/>
      <c r="RAA66" s="1"/>
      <c r="RAB66" s="1"/>
      <c r="RAC66" s="1"/>
      <c r="RAD66" s="1"/>
      <c r="RAE66" s="1"/>
      <c r="RAF66" s="1"/>
      <c r="RAG66" s="1"/>
      <c r="RAH66" s="1"/>
      <c r="RAI66" s="1"/>
      <c r="RAJ66" s="1"/>
      <c r="RAK66" s="1"/>
      <c r="RAL66" s="1"/>
      <c r="RAM66" s="1"/>
      <c r="RAN66" s="1"/>
      <c r="RAO66" s="1"/>
      <c r="RAP66" s="1"/>
      <c r="RAQ66" s="1"/>
      <c r="RAR66" s="1"/>
      <c r="RAS66" s="1"/>
      <c r="RAT66" s="1"/>
      <c r="RAU66" s="1"/>
      <c r="RAV66" s="1"/>
      <c r="RAW66" s="1"/>
      <c r="RAX66" s="1"/>
      <c r="RAY66" s="1"/>
      <c r="RAZ66" s="1"/>
      <c r="RBA66" s="1"/>
      <c r="RBB66" s="1"/>
      <c r="RBC66" s="1"/>
      <c r="RBD66" s="1"/>
      <c r="RBE66" s="1"/>
      <c r="RBF66" s="1"/>
      <c r="RBG66" s="1"/>
      <c r="RBH66" s="1"/>
      <c r="RBI66" s="1"/>
      <c r="RBJ66" s="1"/>
      <c r="RBK66" s="1"/>
      <c r="RBL66" s="1"/>
      <c r="RBM66" s="1"/>
      <c r="RBN66" s="1"/>
      <c r="RBO66" s="1"/>
      <c r="RBP66" s="1"/>
      <c r="RBQ66" s="1"/>
      <c r="RBR66" s="1"/>
      <c r="RBS66" s="1"/>
      <c r="RBT66" s="1"/>
      <c r="RBU66" s="1"/>
      <c r="RBV66" s="1"/>
      <c r="RBW66" s="1"/>
      <c r="RBX66" s="1"/>
      <c r="RBY66" s="1"/>
      <c r="RBZ66" s="1"/>
      <c r="RCA66" s="1"/>
      <c r="RCB66" s="1"/>
      <c r="RCC66" s="1"/>
      <c r="RCD66" s="1"/>
      <c r="RCE66" s="1"/>
      <c r="RCF66" s="1"/>
      <c r="RCG66" s="1"/>
      <c r="RCH66" s="1"/>
      <c r="RCI66" s="1"/>
      <c r="RCJ66" s="1"/>
      <c r="RCK66" s="1"/>
      <c r="RCL66" s="1"/>
      <c r="RCM66" s="1"/>
      <c r="RCN66" s="1"/>
      <c r="RCO66" s="1"/>
      <c r="RCP66" s="1"/>
      <c r="RCQ66" s="1"/>
      <c r="RCR66" s="1"/>
      <c r="RCS66" s="1"/>
      <c r="RCT66" s="1"/>
      <c r="RCU66" s="1"/>
      <c r="RCV66" s="1"/>
      <c r="RCW66" s="1"/>
      <c r="RCX66" s="1"/>
      <c r="RCY66" s="1"/>
      <c r="RCZ66" s="1"/>
      <c r="RDA66" s="1"/>
      <c r="RDB66" s="1"/>
      <c r="RDC66" s="1"/>
      <c r="RDD66" s="1"/>
      <c r="RDE66" s="1"/>
      <c r="RDF66" s="1"/>
      <c r="RDG66" s="1"/>
      <c r="RDH66" s="1"/>
      <c r="RDI66" s="1"/>
      <c r="RDJ66" s="1"/>
      <c r="RDK66" s="1"/>
      <c r="RDL66" s="1"/>
      <c r="RDM66" s="1"/>
      <c r="RDN66" s="1"/>
      <c r="RDO66" s="1"/>
      <c r="RDP66" s="1"/>
      <c r="RDQ66" s="1"/>
      <c r="RDR66" s="1"/>
      <c r="RDS66" s="1"/>
      <c r="RDT66" s="1"/>
      <c r="RDU66" s="1"/>
      <c r="RDV66" s="1"/>
      <c r="RDW66" s="1"/>
      <c r="RDX66" s="1"/>
      <c r="RDY66" s="1"/>
      <c r="RDZ66" s="1"/>
      <c r="REA66" s="1"/>
      <c r="REB66" s="1"/>
      <c r="REC66" s="1"/>
      <c r="RED66" s="1"/>
      <c r="REE66" s="1"/>
      <c r="REF66" s="1"/>
      <c r="REG66" s="1"/>
      <c r="REH66" s="1"/>
      <c r="REI66" s="1"/>
      <c r="REJ66" s="1"/>
      <c r="REK66" s="1"/>
      <c r="REL66" s="1"/>
      <c r="REM66" s="1"/>
      <c r="REN66" s="1"/>
      <c r="REO66" s="1"/>
      <c r="REP66" s="1"/>
      <c r="REQ66" s="1"/>
      <c r="RER66" s="1"/>
      <c r="RES66" s="1"/>
      <c r="RET66" s="1"/>
      <c r="REU66" s="1"/>
      <c r="REV66" s="1"/>
      <c r="REW66" s="1"/>
      <c r="REX66" s="1"/>
      <c r="REY66" s="1"/>
      <c r="REZ66" s="1"/>
      <c r="RFA66" s="1"/>
      <c r="RFB66" s="1"/>
      <c r="RFC66" s="1"/>
      <c r="RFD66" s="1"/>
      <c r="RFE66" s="1"/>
      <c r="RFF66" s="1"/>
      <c r="RFG66" s="1"/>
      <c r="RFH66" s="1"/>
      <c r="RFI66" s="1"/>
      <c r="RFJ66" s="1"/>
      <c r="RFK66" s="1"/>
      <c r="RFL66" s="1"/>
      <c r="RFM66" s="1"/>
      <c r="RFN66" s="1"/>
      <c r="RFO66" s="1"/>
      <c r="RFP66" s="1"/>
      <c r="RFQ66" s="1"/>
      <c r="RFR66" s="1"/>
      <c r="RFS66" s="1"/>
      <c r="RFT66" s="1"/>
      <c r="RFU66" s="1"/>
      <c r="RFV66" s="1"/>
      <c r="RFW66" s="1"/>
      <c r="RFX66" s="1"/>
      <c r="RFY66" s="1"/>
      <c r="RFZ66" s="1"/>
      <c r="RGA66" s="1"/>
      <c r="RGB66" s="1"/>
      <c r="RGC66" s="1"/>
      <c r="RGD66" s="1"/>
      <c r="RGE66" s="1"/>
      <c r="RGF66" s="1"/>
      <c r="RGG66" s="1"/>
      <c r="RGH66" s="1"/>
      <c r="RGI66" s="1"/>
      <c r="RGJ66" s="1"/>
      <c r="RGK66" s="1"/>
      <c r="RGL66" s="1"/>
      <c r="RGM66" s="1"/>
      <c r="RGN66" s="1"/>
      <c r="RGO66" s="1"/>
      <c r="RGP66" s="1"/>
      <c r="RGQ66" s="1"/>
      <c r="RGR66" s="1"/>
      <c r="RGS66" s="1"/>
      <c r="RGT66" s="1"/>
      <c r="RGU66" s="1"/>
      <c r="RGV66" s="1"/>
      <c r="RGW66" s="1"/>
      <c r="RGX66" s="1"/>
      <c r="RGY66" s="1"/>
      <c r="RGZ66" s="1"/>
      <c r="RHA66" s="1"/>
      <c r="RHB66" s="1"/>
      <c r="RHC66" s="1"/>
      <c r="RHD66" s="1"/>
      <c r="RHE66" s="1"/>
      <c r="RHF66" s="1"/>
      <c r="RHG66" s="1"/>
      <c r="RHH66" s="1"/>
      <c r="RHI66" s="1"/>
      <c r="RHJ66" s="1"/>
      <c r="RHK66" s="1"/>
      <c r="RHL66" s="1"/>
      <c r="RHM66" s="1"/>
      <c r="RHN66" s="1"/>
      <c r="RHO66" s="1"/>
      <c r="RHP66" s="1"/>
      <c r="RHQ66" s="1"/>
      <c r="RHR66" s="1"/>
      <c r="RHS66" s="1"/>
      <c r="RHT66" s="1"/>
      <c r="RHU66" s="1"/>
      <c r="RHV66" s="1"/>
      <c r="RHW66" s="1"/>
      <c r="RHX66" s="1"/>
      <c r="RHY66" s="1"/>
      <c r="RHZ66" s="1"/>
      <c r="RIA66" s="1"/>
      <c r="RIB66" s="1"/>
      <c r="RIC66" s="1"/>
      <c r="RID66" s="1"/>
      <c r="RIE66" s="1"/>
      <c r="RIF66" s="1"/>
      <c r="RIG66" s="1"/>
      <c r="RIH66" s="1"/>
      <c r="RII66" s="1"/>
      <c r="RIJ66" s="1"/>
      <c r="RIK66" s="1"/>
      <c r="RIL66" s="1"/>
      <c r="RIM66" s="1"/>
      <c r="RIN66" s="1"/>
      <c r="RIO66" s="1"/>
      <c r="RIP66" s="1"/>
      <c r="RIQ66" s="1"/>
      <c r="RIR66" s="1"/>
      <c r="RIS66" s="1"/>
      <c r="RIT66" s="1"/>
      <c r="RIU66" s="1"/>
      <c r="RIV66" s="1"/>
      <c r="RIW66" s="1"/>
      <c r="RIX66" s="1"/>
      <c r="RIY66" s="1"/>
      <c r="RIZ66" s="1"/>
      <c r="RJA66" s="1"/>
      <c r="RJB66" s="1"/>
      <c r="RJC66" s="1"/>
      <c r="RJD66" s="1"/>
      <c r="RJE66" s="1"/>
      <c r="RJF66" s="1"/>
      <c r="RJG66" s="1"/>
      <c r="RJH66" s="1"/>
      <c r="RJI66" s="1"/>
      <c r="RJJ66" s="1"/>
      <c r="RJK66" s="1"/>
      <c r="RJL66" s="1"/>
      <c r="RJM66" s="1"/>
      <c r="RJN66" s="1"/>
      <c r="RJO66" s="1"/>
      <c r="RJP66" s="1"/>
      <c r="RJQ66" s="1"/>
      <c r="RJR66" s="1"/>
      <c r="RJS66" s="1"/>
      <c r="RJT66" s="1"/>
      <c r="RJU66" s="1"/>
      <c r="RJV66" s="1"/>
      <c r="RJW66" s="1"/>
      <c r="RJX66" s="1"/>
      <c r="RJY66" s="1"/>
      <c r="RJZ66" s="1"/>
      <c r="RKA66" s="1"/>
      <c r="RKB66" s="1"/>
      <c r="RKC66" s="1"/>
      <c r="RKD66" s="1"/>
      <c r="RKE66" s="1"/>
      <c r="RKF66" s="1"/>
      <c r="RKG66" s="1"/>
      <c r="RKH66" s="1"/>
      <c r="RKI66" s="1"/>
      <c r="RKJ66" s="1"/>
      <c r="RKK66" s="1"/>
      <c r="RKL66" s="1"/>
      <c r="RKM66" s="1"/>
      <c r="RKN66" s="1"/>
      <c r="RKO66" s="1"/>
      <c r="RKP66" s="1"/>
      <c r="RKQ66" s="1"/>
      <c r="RKR66" s="1"/>
      <c r="RKS66" s="1"/>
      <c r="RKT66" s="1"/>
      <c r="RKU66" s="1"/>
      <c r="RKV66" s="1"/>
      <c r="RKW66" s="1"/>
      <c r="RKX66" s="1"/>
      <c r="RKY66" s="1"/>
      <c r="RKZ66" s="1"/>
      <c r="RLA66" s="1"/>
      <c r="RLB66" s="1"/>
      <c r="RLC66" s="1"/>
      <c r="RLD66" s="1"/>
      <c r="RLE66" s="1"/>
      <c r="RLF66" s="1"/>
      <c r="RLG66" s="1"/>
      <c r="RLH66" s="1"/>
      <c r="RLI66" s="1"/>
      <c r="RLJ66" s="1"/>
      <c r="RLK66" s="1"/>
      <c r="RLL66" s="1"/>
      <c r="RLM66" s="1"/>
      <c r="RLN66" s="1"/>
      <c r="RLO66" s="1"/>
      <c r="RLP66" s="1"/>
      <c r="RLQ66" s="1"/>
      <c r="RLR66" s="1"/>
      <c r="RLS66" s="1"/>
      <c r="RLT66" s="1"/>
      <c r="RLU66" s="1"/>
      <c r="RLV66" s="1"/>
      <c r="RLW66" s="1"/>
      <c r="RLX66" s="1"/>
      <c r="RLY66" s="1"/>
      <c r="RLZ66" s="1"/>
      <c r="RMA66" s="1"/>
      <c r="RMB66" s="1"/>
      <c r="RMC66" s="1"/>
      <c r="RMD66" s="1"/>
      <c r="RME66" s="1"/>
      <c r="RMF66" s="1"/>
      <c r="RMG66" s="1"/>
      <c r="RMH66" s="1"/>
      <c r="RMI66" s="1"/>
      <c r="RMJ66" s="1"/>
      <c r="RMK66" s="1"/>
      <c r="RML66" s="1"/>
      <c r="RMM66" s="1"/>
      <c r="RMN66" s="1"/>
      <c r="RMO66" s="1"/>
      <c r="RMP66" s="1"/>
      <c r="RMQ66" s="1"/>
      <c r="RMR66" s="1"/>
      <c r="RMS66" s="1"/>
      <c r="RMT66" s="1"/>
      <c r="RMU66" s="1"/>
      <c r="RMV66" s="1"/>
      <c r="RMW66" s="1"/>
      <c r="RMX66" s="1"/>
      <c r="RMY66" s="1"/>
      <c r="RMZ66" s="1"/>
      <c r="RNA66" s="1"/>
      <c r="RNB66" s="1"/>
      <c r="RNC66" s="1"/>
      <c r="RND66" s="1"/>
      <c r="RNE66" s="1"/>
      <c r="RNF66" s="1"/>
      <c r="RNG66" s="1"/>
      <c r="RNH66" s="1"/>
      <c r="RNI66" s="1"/>
      <c r="RNJ66" s="1"/>
      <c r="RNK66" s="1"/>
      <c r="RNL66" s="1"/>
      <c r="RNM66" s="1"/>
      <c r="RNN66" s="1"/>
      <c r="RNO66" s="1"/>
      <c r="RNP66" s="1"/>
      <c r="RNQ66" s="1"/>
      <c r="RNR66" s="1"/>
      <c r="RNS66" s="1"/>
      <c r="RNT66" s="1"/>
      <c r="RNU66" s="1"/>
      <c r="RNV66" s="1"/>
      <c r="RNW66" s="1"/>
      <c r="RNX66" s="1"/>
      <c r="RNY66" s="1"/>
      <c r="RNZ66" s="1"/>
      <c r="ROA66" s="1"/>
      <c r="ROB66" s="1"/>
      <c r="ROC66" s="1"/>
      <c r="ROD66" s="1"/>
      <c r="ROE66" s="1"/>
      <c r="ROF66" s="1"/>
      <c r="ROG66" s="1"/>
      <c r="ROH66" s="1"/>
      <c r="ROI66" s="1"/>
      <c r="ROJ66" s="1"/>
      <c r="ROK66" s="1"/>
      <c r="ROL66" s="1"/>
      <c r="ROM66" s="1"/>
      <c r="RON66" s="1"/>
      <c r="ROO66" s="1"/>
      <c r="ROP66" s="1"/>
      <c r="ROQ66" s="1"/>
      <c r="ROR66" s="1"/>
      <c r="ROS66" s="1"/>
      <c r="ROT66" s="1"/>
      <c r="ROU66" s="1"/>
      <c r="ROV66" s="1"/>
      <c r="ROW66" s="1"/>
      <c r="ROX66" s="1"/>
      <c r="ROY66" s="1"/>
      <c r="ROZ66" s="1"/>
      <c r="RPA66" s="1"/>
      <c r="RPB66" s="1"/>
      <c r="RPC66" s="1"/>
      <c r="RPD66" s="1"/>
      <c r="RPE66" s="1"/>
      <c r="RPF66" s="1"/>
      <c r="RPG66" s="1"/>
      <c r="RPH66" s="1"/>
      <c r="RPI66" s="1"/>
      <c r="RPJ66" s="1"/>
      <c r="RPK66" s="1"/>
      <c r="RPL66" s="1"/>
      <c r="RPM66" s="1"/>
      <c r="RPN66" s="1"/>
      <c r="RPO66" s="1"/>
      <c r="RPP66" s="1"/>
      <c r="RPQ66" s="1"/>
      <c r="RPR66" s="1"/>
      <c r="RPS66" s="1"/>
      <c r="RPT66" s="1"/>
      <c r="RPU66" s="1"/>
      <c r="RPV66" s="1"/>
      <c r="RPW66" s="1"/>
      <c r="RPX66" s="1"/>
      <c r="RPY66" s="1"/>
      <c r="RPZ66" s="1"/>
      <c r="RQA66" s="1"/>
      <c r="RQB66" s="1"/>
      <c r="RQC66" s="1"/>
      <c r="RQD66" s="1"/>
      <c r="RQE66" s="1"/>
      <c r="RQF66" s="1"/>
      <c r="RQG66" s="1"/>
      <c r="RQH66" s="1"/>
      <c r="RQI66" s="1"/>
      <c r="RQJ66" s="1"/>
      <c r="RQK66" s="1"/>
      <c r="RQL66" s="1"/>
      <c r="RQM66" s="1"/>
      <c r="RQN66" s="1"/>
      <c r="RQO66" s="1"/>
      <c r="RQP66" s="1"/>
      <c r="RQQ66" s="1"/>
      <c r="RQR66" s="1"/>
      <c r="RQS66" s="1"/>
      <c r="RQT66" s="1"/>
      <c r="RQU66" s="1"/>
      <c r="RQV66" s="1"/>
      <c r="RQW66" s="1"/>
      <c r="RQX66" s="1"/>
      <c r="RQY66" s="1"/>
      <c r="RQZ66" s="1"/>
      <c r="RRA66" s="1"/>
      <c r="RRB66" s="1"/>
      <c r="RRC66" s="1"/>
      <c r="RRD66" s="1"/>
      <c r="RRE66" s="1"/>
      <c r="RRF66" s="1"/>
      <c r="RRG66" s="1"/>
      <c r="RRH66" s="1"/>
      <c r="RRI66" s="1"/>
      <c r="RRJ66" s="1"/>
      <c r="RRK66" s="1"/>
      <c r="RRL66" s="1"/>
      <c r="RRM66" s="1"/>
      <c r="RRN66" s="1"/>
      <c r="RRO66" s="1"/>
      <c r="RRP66" s="1"/>
      <c r="RRQ66" s="1"/>
      <c r="RRR66" s="1"/>
      <c r="RRS66" s="1"/>
      <c r="RRT66" s="1"/>
      <c r="RRU66" s="1"/>
      <c r="RRV66" s="1"/>
      <c r="RRW66" s="1"/>
      <c r="RRX66" s="1"/>
      <c r="RRY66" s="1"/>
      <c r="RRZ66" s="1"/>
      <c r="RSA66" s="1"/>
      <c r="RSB66" s="1"/>
      <c r="RSC66" s="1"/>
      <c r="RSD66" s="1"/>
      <c r="RSE66" s="1"/>
      <c r="RSF66" s="1"/>
      <c r="RSG66" s="1"/>
      <c r="RSH66" s="1"/>
      <c r="RSI66" s="1"/>
      <c r="RSJ66" s="1"/>
      <c r="RSK66" s="1"/>
      <c r="RSL66" s="1"/>
      <c r="RSM66" s="1"/>
      <c r="RSN66" s="1"/>
      <c r="RSO66" s="1"/>
      <c r="RSP66" s="1"/>
      <c r="RSQ66" s="1"/>
      <c r="RSR66" s="1"/>
      <c r="RSS66" s="1"/>
      <c r="RST66" s="1"/>
      <c r="RSU66" s="1"/>
      <c r="RSV66" s="1"/>
      <c r="RSW66" s="1"/>
      <c r="RSX66" s="1"/>
      <c r="RSY66" s="1"/>
      <c r="RSZ66" s="1"/>
      <c r="RTA66" s="1"/>
      <c r="RTB66" s="1"/>
      <c r="RTC66" s="1"/>
      <c r="RTD66" s="1"/>
      <c r="RTE66" s="1"/>
      <c r="RTF66" s="1"/>
      <c r="RTG66" s="1"/>
      <c r="RTH66" s="1"/>
      <c r="RTI66" s="1"/>
      <c r="RTJ66" s="1"/>
      <c r="RTK66" s="1"/>
      <c r="RTL66" s="1"/>
      <c r="RTM66" s="1"/>
      <c r="RTN66" s="1"/>
      <c r="RTO66" s="1"/>
      <c r="RTP66" s="1"/>
      <c r="RTQ66" s="1"/>
      <c r="RTR66" s="1"/>
      <c r="RTS66" s="1"/>
      <c r="RTT66" s="1"/>
      <c r="RTU66" s="1"/>
      <c r="RTV66" s="1"/>
      <c r="RTW66" s="1"/>
      <c r="RTX66" s="1"/>
      <c r="RTY66" s="1"/>
      <c r="RTZ66" s="1"/>
      <c r="RUA66" s="1"/>
      <c r="RUB66" s="1"/>
      <c r="RUC66" s="1"/>
      <c r="RUD66" s="1"/>
      <c r="RUE66" s="1"/>
      <c r="RUF66" s="1"/>
      <c r="RUG66" s="1"/>
      <c r="RUH66" s="1"/>
      <c r="RUI66" s="1"/>
      <c r="RUJ66" s="1"/>
      <c r="RUK66" s="1"/>
      <c r="RUL66" s="1"/>
      <c r="RUM66" s="1"/>
      <c r="RUN66" s="1"/>
      <c r="RUO66" s="1"/>
      <c r="RUP66" s="1"/>
      <c r="RUQ66" s="1"/>
      <c r="RUR66" s="1"/>
      <c r="RUS66" s="1"/>
      <c r="RUT66" s="1"/>
      <c r="RUU66" s="1"/>
      <c r="RUV66" s="1"/>
      <c r="RUW66" s="1"/>
      <c r="RUX66" s="1"/>
      <c r="RUY66" s="1"/>
      <c r="RUZ66" s="1"/>
      <c r="RVA66" s="1"/>
      <c r="RVB66" s="1"/>
      <c r="RVC66" s="1"/>
      <c r="RVD66" s="1"/>
      <c r="RVE66" s="1"/>
      <c r="RVF66" s="1"/>
      <c r="RVG66" s="1"/>
      <c r="RVH66" s="1"/>
      <c r="RVI66" s="1"/>
      <c r="RVJ66" s="1"/>
      <c r="RVK66" s="1"/>
      <c r="RVL66" s="1"/>
      <c r="RVM66" s="1"/>
      <c r="RVN66" s="1"/>
      <c r="RVO66" s="1"/>
      <c r="RVP66" s="1"/>
      <c r="RVQ66" s="1"/>
      <c r="RVR66" s="1"/>
      <c r="RVS66" s="1"/>
      <c r="RVT66" s="1"/>
      <c r="RVU66" s="1"/>
      <c r="RVV66" s="1"/>
      <c r="RVW66" s="1"/>
      <c r="RVX66" s="1"/>
      <c r="RVY66" s="1"/>
      <c r="RVZ66" s="1"/>
      <c r="RWA66" s="1"/>
      <c r="RWB66" s="1"/>
      <c r="RWC66" s="1"/>
      <c r="RWD66" s="1"/>
      <c r="RWE66" s="1"/>
      <c r="RWF66" s="1"/>
      <c r="RWG66" s="1"/>
      <c r="RWH66" s="1"/>
      <c r="RWI66" s="1"/>
      <c r="RWJ66" s="1"/>
      <c r="RWK66" s="1"/>
      <c r="RWL66" s="1"/>
      <c r="RWM66" s="1"/>
      <c r="RWN66" s="1"/>
      <c r="RWO66" s="1"/>
      <c r="RWP66" s="1"/>
      <c r="RWQ66" s="1"/>
      <c r="RWR66" s="1"/>
      <c r="RWS66" s="1"/>
      <c r="RWT66" s="1"/>
      <c r="RWU66" s="1"/>
      <c r="RWV66" s="1"/>
      <c r="RWW66" s="1"/>
      <c r="RWX66" s="1"/>
      <c r="RWY66" s="1"/>
      <c r="RWZ66" s="1"/>
      <c r="RXA66" s="1"/>
      <c r="RXB66" s="1"/>
      <c r="RXC66" s="1"/>
      <c r="RXD66" s="1"/>
      <c r="RXE66" s="1"/>
      <c r="RXF66" s="1"/>
      <c r="RXG66" s="1"/>
      <c r="RXH66" s="1"/>
      <c r="RXI66" s="1"/>
      <c r="RXJ66" s="1"/>
      <c r="RXK66" s="1"/>
      <c r="RXL66" s="1"/>
      <c r="RXM66" s="1"/>
      <c r="RXN66" s="1"/>
      <c r="RXO66" s="1"/>
      <c r="RXP66" s="1"/>
      <c r="RXQ66" s="1"/>
      <c r="RXR66" s="1"/>
      <c r="RXS66" s="1"/>
      <c r="RXT66" s="1"/>
      <c r="RXU66" s="1"/>
      <c r="RXV66" s="1"/>
      <c r="RXW66" s="1"/>
      <c r="RXX66" s="1"/>
      <c r="RXY66" s="1"/>
      <c r="RXZ66" s="1"/>
      <c r="RYA66" s="1"/>
      <c r="RYB66" s="1"/>
      <c r="RYC66" s="1"/>
      <c r="RYD66" s="1"/>
      <c r="RYE66" s="1"/>
      <c r="RYF66" s="1"/>
      <c r="RYG66" s="1"/>
      <c r="RYH66" s="1"/>
      <c r="RYI66" s="1"/>
      <c r="RYJ66" s="1"/>
      <c r="RYK66" s="1"/>
      <c r="RYL66" s="1"/>
      <c r="RYM66" s="1"/>
      <c r="RYN66" s="1"/>
      <c r="RYO66" s="1"/>
      <c r="RYP66" s="1"/>
      <c r="RYQ66" s="1"/>
      <c r="RYR66" s="1"/>
      <c r="RYS66" s="1"/>
      <c r="RYT66" s="1"/>
      <c r="RYU66" s="1"/>
      <c r="RYV66" s="1"/>
      <c r="RYW66" s="1"/>
      <c r="RYX66" s="1"/>
      <c r="RYY66" s="1"/>
      <c r="RYZ66" s="1"/>
      <c r="RZA66" s="1"/>
      <c r="RZB66" s="1"/>
      <c r="RZC66" s="1"/>
      <c r="RZD66" s="1"/>
      <c r="RZE66" s="1"/>
      <c r="RZF66" s="1"/>
      <c r="RZG66" s="1"/>
      <c r="RZH66" s="1"/>
      <c r="RZI66" s="1"/>
      <c r="RZJ66" s="1"/>
      <c r="RZK66" s="1"/>
      <c r="RZL66" s="1"/>
      <c r="RZM66" s="1"/>
      <c r="RZN66" s="1"/>
      <c r="RZO66" s="1"/>
      <c r="RZP66" s="1"/>
      <c r="RZQ66" s="1"/>
      <c r="RZR66" s="1"/>
      <c r="RZS66" s="1"/>
      <c r="RZT66" s="1"/>
      <c r="RZU66" s="1"/>
      <c r="RZV66" s="1"/>
      <c r="RZW66" s="1"/>
      <c r="RZX66" s="1"/>
      <c r="RZY66" s="1"/>
      <c r="RZZ66" s="1"/>
      <c r="SAA66" s="1"/>
      <c r="SAB66" s="1"/>
      <c r="SAC66" s="1"/>
      <c r="SAD66" s="1"/>
      <c r="SAE66" s="1"/>
      <c r="SAF66" s="1"/>
      <c r="SAG66" s="1"/>
      <c r="SAH66" s="1"/>
      <c r="SAI66" s="1"/>
      <c r="SAJ66" s="1"/>
      <c r="SAK66" s="1"/>
      <c r="SAL66" s="1"/>
      <c r="SAM66" s="1"/>
      <c r="SAN66" s="1"/>
      <c r="SAO66" s="1"/>
      <c r="SAP66" s="1"/>
      <c r="SAQ66" s="1"/>
      <c r="SAR66" s="1"/>
      <c r="SAS66" s="1"/>
      <c r="SAT66" s="1"/>
      <c r="SAU66" s="1"/>
      <c r="SAV66" s="1"/>
      <c r="SAW66" s="1"/>
      <c r="SAX66" s="1"/>
      <c r="SAY66" s="1"/>
      <c r="SAZ66" s="1"/>
      <c r="SBA66" s="1"/>
      <c r="SBB66" s="1"/>
      <c r="SBC66" s="1"/>
      <c r="SBD66" s="1"/>
      <c r="SBE66" s="1"/>
      <c r="SBF66" s="1"/>
      <c r="SBG66" s="1"/>
      <c r="SBH66" s="1"/>
      <c r="SBI66" s="1"/>
      <c r="SBJ66" s="1"/>
      <c r="SBK66" s="1"/>
      <c r="SBL66" s="1"/>
      <c r="SBM66" s="1"/>
      <c r="SBN66" s="1"/>
      <c r="SBO66" s="1"/>
      <c r="SBP66" s="1"/>
      <c r="SBQ66" s="1"/>
      <c r="SBR66" s="1"/>
      <c r="SBS66" s="1"/>
      <c r="SBT66" s="1"/>
      <c r="SBU66" s="1"/>
      <c r="SBV66" s="1"/>
      <c r="SBW66" s="1"/>
      <c r="SBX66" s="1"/>
      <c r="SBY66" s="1"/>
      <c r="SBZ66" s="1"/>
      <c r="SCA66" s="1"/>
      <c r="SCB66" s="1"/>
      <c r="SCC66" s="1"/>
      <c r="SCD66" s="1"/>
      <c r="SCE66" s="1"/>
      <c r="SCF66" s="1"/>
      <c r="SCG66" s="1"/>
      <c r="SCH66" s="1"/>
      <c r="SCI66" s="1"/>
      <c r="SCJ66" s="1"/>
      <c r="SCK66" s="1"/>
      <c r="SCL66" s="1"/>
      <c r="SCM66" s="1"/>
      <c r="SCN66" s="1"/>
      <c r="SCO66" s="1"/>
      <c r="SCP66" s="1"/>
      <c r="SCQ66" s="1"/>
      <c r="SCR66" s="1"/>
      <c r="SCS66" s="1"/>
      <c r="SCT66" s="1"/>
      <c r="SCU66" s="1"/>
      <c r="SCV66" s="1"/>
      <c r="SCW66" s="1"/>
      <c r="SCX66" s="1"/>
      <c r="SCY66" s="1"/>
      <c r="SCZ66" s="1"/>
      <c r="SDA66" s="1"/>
      <c r="SDB66" s="1"/>
      <c r="SDC66" s="1"/>
      <c r="SDD66" s="1"/>
      <c r="SDE66" s="1"/>
      <c r="SDF66" s="1"/>
      <c r="SDG66" s="1"/>
      <c r="SDH66" s="1"/>
      <c r="SDI66" s="1"/>
      <c r="SDJ66" s="1"/>
      <c r="SDK66" s="1"/>
      <c r="SDL66" s="1"/>
      <c r="SDM66" s="1"/>
      <c r="SDN66" s="1"/>
      <c r="SDO66" s="1"/>
      <c r="SDP66" s="1"/>
      <c r="SDQ66" s="1"/>
      <c r="SDR66" s="1"/>
      <c r="SDS66" s="1"/>
      <c r="SDT66" s="1"/>
      <c r="SDU66" s="1"/>
      <c r="SDV66" s="1"/>
      <c r="SDW66" s="1"/>
      <c r="SDX66" s="1"/>
      <c r="SDY66" s="1"/>
      <c r="SDZ66" s="1"/>
      <c r="SEA66" s="1"/>
      <c r="SEB66" s="1"/>
      <c r="SEC66" s="1"/>
      <c r="SED66" s="1"/>
      <c r="SEE66" s="1"/>
      <c r="SEF66" s="1"/>
      <c r="SEG66" s="1"/>
      <c r="SEH66" s="1"/>
      <c r="SEI66" s="1"/>
      <c r="SEJ66" s="1"/>
      <c r="SEK66" s="1"/>
      <c r="SEL66" s="1"/>
      <c r="SEM66" s="1"/>
      <c r="SEN66" s="1"/>
      <c r="SEO66" s="1"/>
      <c r="SEP66" s="1"/>
      <c r="SEQ66" s="1"/>
      <c r="SER66" s="1"/>
      <c r="SES66" s="1"/>
      <c r="SET66" s="1"/>
      <c r="SEU66" s="1"/>
      <c r="SEV66" s="1"/>
      <c r="SEW66" s="1"/>
      <c r="SEX66" s="1"/>
      <c r="SEY66" s="1"/>
      <c r="SEZ66" s="1"/>
      <c r="SFA66" s="1"/>
      <c r="SFB66" s="1"/>
      <c r="SFC66" s="1"/>
      <c r="SFD66" s="1"/>
      <c r="SFE66" s="1"/>
      <c r="SFF66" s="1"/>
      <c r="SFG66" s="1"/>
      <c r="SFH66" s="1"/>
      <c r="SFI66" s="1"/>
      <c r="SFJ66" s="1"/>
      <c r="SFK66" s="1"/>
      <c r="SFL66" s="1"/>
      <c r="SFM66" s="1"/>
      <c r="SFN66" s="1"/>
      <c r="SFO66" s="1"/>
      <c r="SFP66" s="1"/>
      <c r="SFQ66" s="1"/>
      <c r="SFR66" s="1"/>
      <c r="SFS66" s="1"/>
      <c r="SFT66" s="1"/>
      <c r="SFU66" s="1"/>
      <c r="SFV66" s="1"/>
      <c r="SFW66" s="1"/>
      <c r="SFX66" s="1"/>
      <c r="SFY66" s="1"/>
      <c r="SFZ66" s="1"/>
      <c r="SGA66" s="1"/>
      <c r="SGB66" s="1"/>
      <c r="SGC66" s="1"/>
      <c r="SGD66" s="1"/>
      <c r="SGE66" s="1"/>
      <c r="SGF66" s="1"/>
      <c r="SGG66" s="1"/>
      <c r="SGH66" s="1"/>
      <c r="SGI66" s="1"/>
      <c r="SGJ66" s="1"/>
      <c r="SGK66" s="1"/>
      <c r="SGL66" s="1"/>
      <c r="SGM66" s="1"/>
      <c r="SGN66" s="1"/>
      <c r="SGO66" s="1"/>
      <c r="SGP66" s="1"/>
      <c r="SGQ66" s="1"/>
      <c r="SGR66" s="1"/>
      <c r="SGS66" s="1"/>
      <c r="SGT66" s="1"/>
      <c r="SGU66" s="1"/>
      <c r="SGV66" s="1"/>
      <c r="SGW66" s="1"/>
      <c r="SGX66" s="1"/>
      <c r="SGY66" s="1"/>
      <c r="SGZ66" s="1"/>
      <c r="SHA66" s="1"/>
      <c r="SHB66" s="1"/>
      <c r="SHC66" s="1"/>
      <c r="SHD66" s="1"/>
      <c r="SHE66" s="1"/>
      <c r="SHF66" s="1"/>
      <c r="SHG66" s="1"/>
      <c r="SHH66" s="1"/>
      <c r="SHI66" s="1"/>
      <c r="SHJ66" s="1"/>
      <c r="SHK66" s="1"/>
      <c r="SHL66" s="1"/>
      <c r="SHM66" s="1"/>
      <c r="SHN66" s="1"/>
      <c r="SHO66" s="1"/>
      <c r="SHP66" s="1"/>
      <c r="SHQ66" s="1"/>
      <c r="SHR66" s="1"/>
      <c r="SHS66" s="1"/>
      <c r="SHT66" s="1"/>
      <c r="SHU66" s="1"/>
      <c r="SHV66" s="1"/>
      <c r="SHW66" s="1"/>
      <c r="SHX66" s="1"/>
      <c r="SHY66" s="1"/>
      <c r="SHZ66" s="1"/>
      <c r="SIA66" s="1"/>
      <c r="SIB66" s="1"/>
      <c r="SIC66" s="1"/>
      <c r="SID66" s="1"/>
      <c r="SIE66" s="1"/>
      <c r="SIF66" s="1"/>
      <c r="SIG66" s="1"/>
      <c r="SIH66" s="1"/>
      <c r="SII66" s="1"/>
      <c r="SIJ66" s="1"/>
      <c r="SIK66" s="1"/>
      <c r="SIL66" s="1"/>
      <c r="SIM66" s="1"/>
      <c r="SIN66" s="1"/>
      <c r="SIO66" s="1"/>
      <c r="SIP66" s="1"/>
      <c r="SIQ66" s="1"/>
      <c r="SIR66" s="1"/>
      <c r="SIS66" s="1"/>
      <c r="SIT66" s="1"/>
      <c r="SIU66" s="1"/>
      <c r="SIV66" s="1"/>
      <c r="SIW66" s="1"/>
      <c r="SIX66" s="1"/>
      <c r="SIY66" s="1"/>
      <c r="SIZ66" s="1"/>
      <c r="SJA66" s="1"/>
      <c r="SJB66" s="1"/>
      <c r="SJC66" s="1"/>
      <c r="SJD66" s="1"/>
      <c r="SJE66" s="1"/>
      <c r="SJF66" s="1"/>
      <c r="SJG66" s="1"/>
      <c r="SJH66" s="1"/>
      <c r="SJI66" s="1"/>
      <c r="SJJ66" s="1"/>
      <c r="SJK66" s="1"/>
      <c r="SJL66" s="1"/>
      <c r="SJM66" s="1"/>
      <c r="SJN66" s="1"/>
      <c r="SJO66" s="1"/>
      <c r="SJP66" s="1"/>
      <c r="SJQ66" s="1"/>
      <c r="SJR66" s="1"/>
      <c r="SJS66" s="1"/>
      <c r="SJT66" s="1"/>
      <c r="SJU66" s="1"/>
      <c r="SJV66" s="1"/>
      <c r="SJW66" s="1"/>
      <c r="SJX66" s="1"/>
      <c r="SJY66" s="1"/>
      <c r="SJZ66" s="1"/>
      <c r="SKA66" s="1"/>
      <c r="SKB66" s="1"/>
      <c r="SKC66" s="1"/>
      <c r="SKD66" s="1"/>
      <c r="SKE66" s="1"/>
      <c r="SKF66" s="1"/>
      <c r="SKG66" s="1"/>
      <c r="SKH66" s="1"/>
      <c r="SKI66" s="1"/>
      <c r="SKJ66" s="1"/>
      <c r="SKK66" s="1"/>
      <c r="SKL66" s="1"/>
      <c r="SKM66" s="1"/>
      <c r="SKN66" s="1"/>
      <c r="SKO66" s="1"/>
      <c r="SKP66" s="1"/>
      <c r="SKQ66" s="1"/>
      <c r="SKR66" s="1"/>
      <c r="SKS66" s="1"/>
      <c r="SKT66" s="1"/>
      <c r="SKU66" s="1"/>
      <c r="SKV66" s="1"/>
      <c r="SKW66" s="1"/>
      <c r="SKX66" s="1"/>
      <c r="SKY66" s="1"/>
      <c r="SKZ66" s="1"/>
      <c r="SLA66" s="1"/>
      <c r="SLB66" s="1"/>
      <c r="SLC66" s="1"/>
      <c r="SLD66" s="1"/>
      <c r="SLE66" s="1"/>
      <c r="SLF66" s="1"/>
      <c r="SLG66" s="1"/>
      <c r="SLH66" s="1"/>
      <c r="SLI66" s="1"/>
      <c r="SLJ66" s="1"/>
      <c r="SLK66" s="1"/>
      <c r="SLL66" s="1"/>
      <c r="SLM66" s="1"/>
      <c r="SLN66" s="1"/>
      <c r="SLO66" s="1"/>
      <c r="SLP66" s="1"/>
      <c r="SLQ66" s="1"/>
      <c r="SLR66" s="1"/>
      <c r="SLS66" s="1"/>
      <c r="SLT66" s="1"/>
      <c r="SLU66" s="1"/>
      <c r="SLV66" s="1"/>
      <c r="SLW66" s="1"/>
      <c r="SLX66" s="1"/>
      <c r="SLY66" s="1"/>
      <c r="SLZ66" s="1"/>
      <c r="SMA66" s="1"/>
      <c r="SMB66" s="1"/>
      <c r="SMC66" s="1"/>
      <c r="SMD66" s="1"/>
      <c r="SME66" s="1"/>
      <c r="SMF66" s="1"/>
      <c r="SMG66" s="1"/>
      <c r="SMH66" s="1"/>
      <c r="SMI66" s="1"/>
      <c r="SMJ66" s="1"/>
      <c r="SMK66" s="1"/>
      <c r="SML66" s="1"/>
      <c r="SMM66" s="1"/>
      <c r="SMN66" s="1"/>
      <c r="SMO66" s="1"/>
      <c r="SMP66" s="1"/>
      <c r="SMQ66" s="1"/>
      <c r="SMR66" s="1"/>
      <c r="SMS66" s="1"/>
      <c r="SMT66" s="1"/>
      <c r="SMU66" s="1"/>
      <c r="SMV66" s="1"/>
      <c r="SMW66" s="1"/>
      <c r="SMX66" s="1"/>
      <c r="SMY66" s="1"/>
      <c r="SMZ66" s="1"/>
      <c r="SNA66" s="1"/>
      <c r="SNB66" s="1"/>
      <c r="SNC66" s="1"/>
      <c r="SND66" s="1"/>
      <c r="SNE66" s="1"/>
      <c r="SNF66" s="1"/>
      <c r="SNG66" s="1"/>
      <c r="SNH66" s="1"/>
      <c r="SNI66" s="1"/>
      <c r="SNJ66" s="1"/>
      <c r="SNK66" s="1"/>
      <c r="SNL66" s="1"/>
      <c r="SNM66" s="1"/>
      <c r="SNN66" s="1"/>
      <c r="SNO66" s="1"/>
      <c r="SNP66" s="1"/>
      <c r="SNQ66" s="1"/>
      <c r="SNR66" s="1"/>
      <c r="SNS66" s="1"/>
      <c r="SNT66" s="1"/>
      <c r="SNU66" s="1"/>
      <c r="SNV66" s="1"/>
      <c r="SNW66" s="1"/>
      <c r="SNX66" s="1"/>
      <c r="SNY66" s="1"/>
      <c r="SNZ66" s="1"/>
      <c r="SOA66" s="1"/>
      <c r="SOB66" s="1"/>
      <c r="SOC66" s="1"/>
      <c r="SOD66" s="1"/>
      <c r="SOE66" s="1"/>
      <c r="SOF66" s="1"/>
      <c r="SOG66" s="1"/>
      <c r="SOH66" s="1"/>
      <c r="SOI66" s="1"/>
      <c r="SOJ66" s="1"/>
      <c r="SOK66" s="1"/>
      <c r="SOL66" s="1"/>
      <c r="SOM66" s="1"/>
      <c r="SON66" s="1"/>
      <c r="SOO66" s="1"/>
      <c r="SOP66" s="1"/>
      <c r="SOQ66" s="1"/>
      <c r="SOR66" s="1"/>
      <c r="SOS66" s="1"/>
      <c r="SOT66" s="1"/>
      <c r="SOU66" s="1"/>
      <c r="SOV66" s="1"/>
      <c r="SOW66" s="1"/>
      <c r="SOX66" s="1"/>
      <c r="SOY66" s="1"/>
      <c r="SOZ66" s="1"/>
      <c r="SPA66" s="1"/>
      <c r="SPB66" s="1"/>
      <c r="SPC66" s="1"/>
      <c r="SPD66" s="1"/>
      <c r="SPE66" s="1"/>
      <c r="SPF66" s="1"/>
      <c r="SPG66" s="1"/>
      <c r="SPH66" s="1"/>
      <c r="SPI66" s="1"/>
      <c r="SPJ66" s="1"/>
      <c r="SPK66" s="1"/>
      <c r="SPL66" s="1"/>
      <c r="SPM66" s="1"/>
      <c r="SPN66" s="1"/>
      <c r="SPO66" s="1"/>
      <c r="SPP66" s="1"/>
      <c r="SPQ66" s="1"/>
      <c r="SPR66" s="1"/>
      <c r="SPS66" s="1"/>
      <c r="SPT66" s="1"/>
      <c r="SPU66" s="1"/>
      <c r="SPV66" s="1"/>
      <c r="SPW66" s="1"/>
      <c r="SPX66" s="1"/>
      <c r="SPY66" s="1"/>
      <c r="SPZ66" s="1"/>
      <c r="SQA66" s="1"/>
      <c r="SQB66" s="1"/>
      <c r="SQC66" s="1"/>
      <c r="SQD66" s="1"/>
      <c r="SQE66" s="1"/>
      <c r="SQF66" s="1"/>
      <c r="SQG66" s="1"/>
      <c r="SQH66" s="1"/>
      <c r="SQI66" s="1"/>
      <c r="SQJ66" s="1"/>
      <c r="SQK66" s="1"/>
      <c r="SQL66" s="1"/>
      <c r="SQM66" s="1"/>
      <c r="SQN66" s="1"/>
      <c r="SQO66" s="1"/>
      <c r="SQP66" s="1"/>
      <c r="SQQ66" s="1"/>
      <c r="SQR66" s="1"/>
      <c r="SQS66" s="1"/>
      <c r="SQT66" s="1"/>
      <c r="SQU66" s="1"/>
      <c r="SQV66" s="1"/>
      <c r="SQW66" s="1"/>
      <c r="SQX66" s="1"/>
      <c r="SQY66" s="1"/>
      <c r="SQZ66" s="1"/>
      <c r="SRA66" s="1"/>
      <c r="SRB66" s="1"/>
      <c r="SRC66" s="1"/>
      <c r="SRD66" s="1"/>
      <c r="SRE66" s="1"/>
      <c r="SRF66" s="1"/>
      <c r="SRG66" s="1"/>
      <c r="SRH66" s="1"/>
      <c r="SRI66" s="1"/>
      <c r="SRJ66" s="1"/>
      <c r="SRK66" s="1"/>
      <c r="SRL66" s="1"/>
      <c r="SRM66" s="1"/>
      <c r="SRN66" s="1"/>
      <c r="SRO66" s="1"/>
      <c r="SRP66" s="1"/>
      <c r="SRQ66" s="1"/>
      <c r="SRR66" s="1"/>
      <c r="SRS66" s="1"/>
      <c r="SRT66" s="1"/>
      <c r="SRU66" s="1"/>
      <c r="SRV66" s="1"/>
      <c r="SRW66" s="1"/>
      <c r="SRX66" s="1"/>
      <c r="SRY66" s="1"/>
      <c r="SRZ66" s="1"/>
      <c r="SSA66" s="1"/>
      <c r="SSB66" s="1"/>
      <c r="SSC66" s="1"/>
      <c r="SSD66" s="1"/>
      <c r="SSE66" s="1"/>
      <c r="SSF66" s="1"/>
      <c r="SSG66" s="1"/>
      <c r="SSH66" s="1"/>
      <c r="SSI66" s="1"/>
      <c r="SSJ66" s="1"/>
      <c r="SSK66" s="1"/>
      <c r="SSL66" s="1"/>
      <c r="SSM66" s="1"/>
      <c r="SSN66" s="1"/>
      <c r="SSO66" s="1"/>
      <c r="SSP66" s="1"/>
      <c r="SSQ66" s="1"/>
      <c r="SSR66" s="1"/>
      <c r="SSS66" s="1"/>
      <c r="SST66" s="1"/>
      <c r="SSU66" s="1"/>
      <c r="SSV66" s="1"/>
      <c r="SSW66" s="1"/>
      <c r="SSX66" s="1"/>
      <c r="SSY66" s="1"/>
      <c r="SSZ66" s="1"/>
      <c r="STA66" s="1"/>
      <c r="STB66" s="1"/>
      <c r="STC66" s="1"/>
      <c r="STD66" s="1"/>
      <c r="STE66" s="1"/>
      <c r="STF66" s="1"/>
      <c r="STG66" s="1"/>
      <c r="STH66" s="1"/>
      <c r="STI66" s="1"/>
      <c r="STJ66" s="1"/>
      <c r="STK66" s="1"/>
      <c r="STL66" s="1"/>
      <c r="STM66" s="1"/>
      <c r="STN66" s="1"/>
      <c r="STO66" s="1"/>
      <c r="STP66" s="1"/>
      <c r="STQ66" s="1"/>
      <c r="STR66" s="1"/>
      <c r="STS66" s="1"/>
      <c r="STT66" s="1"/>
      <c r="STU66" s="1"/>
      <c r="STV66" s="1"/>
      <c r="STW66" s="1"/>
      <c r="STX66" s="1"/>
      <c r="STY66" s="1"/>
      <c r="STZ66" s="1"/>
      <c r="SUA66" s="1"/>
      <c r="SUB66" s="1"/>
      <c r="SUC66" s="1"/>
      <c r="SUD66" s="1"/>
      <c r="SUE66" s="1"/>
      <c r="SUF66" s="1"/>
      <c r="SUG66" s="1"/>
      <c r="SUH66" s="1"/>
      <c r="SUI66" s="1"/>
      <c r="SUJ66" s="1"/>
      <c r="SUK66" s="1"/>
      <c r="SUL66" s="1"/>
      <c r="SUM66" s="1"/>
      <c r="SUN66" s="1"/>
      <c r="SUO66" s="1"/>
      <c r="SUP66" s="1"/>
      <c r="SUQ66" s="1"/>
      <c r="SUR66" s="1"/>
      <c r="SUS66" s="1"/>
      <c r="SUT66" s="1"/>
      <c r="SUU66" s="1"/>
      <c r="SUV66" s="1"/>
      <c r="SUW66" s="1"/>
      <c r="SUX66" s="1"/>
      <c r="SUY66" s="1"/>
      <c r="SUZ66" s="1"/>
      <c r="SVA66" s="1"/>
      <c r="SVB66" s="1"/>
      <c r="SVC66" s="1"/>
      <c r="SVD66" s="1"/>
      <c r="SVE66" s="1"/>
      <c r="SVF66" s="1"/>
      <c r="SVG66" s="1"/>
      <c r="SVH66" s="1"/>
      <c r="SVI66" s="1"/>
      <c r="SVJ66" s="1"/>
      <c r="SVK66" s="1"/>
      <c r="SVL66" s="1"/>
      <c r="SVM66" s="1"/>
      <c r="SVN66" s="1"/>
      <c r="SVO66" s="1"/>
      <c r="SVP66" s="1"/>
      <c r="SVQ66" s="1"/>
      <c r="SVR66" s="1"/>
      <c r="SVS66" s="1"/>
      <c r="SVT66" s="1"/>
      <c r="SVU66" s="1"/>
      <c r="SVV66" s="1"/>
      <c r="SVW66" s="1"/>
      <c r="SVX66" s="1"/>
      <c r="SVY66" s="1"/>
      <c r="SVZ66" s="1"/>
      <c r="SWA66" s="1"/>
      <c r="SWB66" s="1"/>
      <c r="SWC66" s="1"/>
      <c r="SWD66" s="1"/>
      <c r="SWE66" s="1"/>
      <c r="SWF66" s="1"/>
      <c r="SWG66" s="1"/>
      <c r="SWH66" s="1"/>
      <c r="SWI66" s="1"/>
      <c r="SWJ66" s="1"/>
      <c r="SWK66" s="1"/>
      <c r="SWL66" s="1"/>
      <c r="SWM66" s="1"/>
      <c r="SWN66" s="1"/>
      <c r="SWO66" s="1"/>
      <c r="SWP66" s="1"/>
      <c r="SWQ66" s="1"/>
      <c r="SWR66" s="1"/>
      <c r="SWS66" s="1"/>
      <c r="SWT66" s="1"/>
      <c r="SWU66" s="1"/>
      <c r="SWV66" s="1"/>
      <c r="SWW66" s="1"/>
      <c r="SWX66" s="1"/>
      <c r="SWY66" s="1"/>
      <c r="SWZ66" s="1"/>
      <c r="SXA66" s="1"/>
      <c r="SXB66" s="1"/>
      <c r="SXC66" s="1"/>
      <c r="SXD66" s="1"/>
      <c r="SXE66" s="1"/>
      <c r="SXF66" s="1"/>
      <c r="SXG66" s="1"/>
      <c r="SXH66" s="1"/>
      <c r="SXI66" s="1"/>
      <c r="SXJ66" s="1"/>
      <c r="SXK66" s="1"/>
      <c r="SXL66" s="1"/>
      <c r="SXM66" s="1"/>
      <c r="SXN66" s="1"/>
      <c r="SXO66" s="1"/>
      <c r="SXP66" s="1"/>
      <c r="SXQ66" s="1"/>
      <c r="SXR66" s="1"/>
      <c r="SXS66" s="1"/>
      <c r="SXT66" s="1"/>
      <c r="SXU66" s="1"/>
      <c r="SXV66" s="1"/>
      <c r="SXW66" s="1"/>
      <c r="SXX66" s="1"/>
      <c r="SXY66" s="1"/>
      <c r="SXZ66" s="1"/>
      <c r="SYA66" s="1"/>
      <c r="SYB66" s="1"/>
      <c r="SYC66" s="1"/>
      <c r="SYD66" s="1"/>
      <c r="SYE66" s="1"/>
      <c r="SYF66" s="1"/>
      <c r="SYG66" s="1"/>
      <c r="SYH66" s="1"/>
      <c r="SYI66" s="1"/>
      <c r="SYJ66" s="1"/>
      <c r="SYK66" s="1"/>
      <c r="SYL66" s="1"/>
      <c r="SYM66" s="1"/>
      <c r="SYN66" s="1"/>
      <c r="SYO66" s="1"/>
      <c r="SYP66" s="1"/>
      <c r="SYQ66" s="1"/>
      <c r="SYR66" s="1"/>
      <c r="SYS66" s="1"/>
      <c r="SYT66" s="1"/>
      <c r="SYU66" s="1"/>
      <c r="SYV66" s="1"/>
      <c r="SYW66" s="1"/>
      <c r="SYX66" s="1"/>
      <c r="SYY66" s="1"/>
      <c r="SYZ66" s="1"/>
      <c r="SZA66" s="1"/>
      <c r="SZB66" s="1"/>
      <c r="SZC66" s="1"/>
      <c r="SZD66" s="1"/>
      <c r="SZE66" s="1"/>
      <c r="SZF66" s="1"/>
      <c r="SZG66" s="1"/>
      <c r="SZH66" s="1"/>
      <c r="SZI66" s="1"/>
      <c r="SZJ66" s="1"/>
      <c r="SZK66" s="1"/>
      <c r="SZL66" s="1"/>
      <c r="SZM66" s="1"/>
      <c r="SZN66" s="1"/>
      <c r="SZO66" s="1"/>
      <c r="SZP66" s="1"/>
      <c r="SZQ66" s="1"/>
      <c r="SZR66" s="1"/>
      <c r="SZS66" s="1"/>
      <c r="SZT66" s="1"/>
      <c r="SZU66" s="1"/>
      <c r="SZV66" s="1"/>
      <c r="SZW66" s="1"/>
      <c r="SZX66" s="1"/>
      <c r="SZY66" s="1"/>
      <c r="SZZ66" s="1"/>
      <c r="TAA66" s="1"/>
      <c r="TAB66" s="1"/>
      <c r="TAC66" s="1"/>
      <c r="TAD66" s="1"/>
      <c r="TAE66" s="1"/>
      <c r="TAF66" s="1"/>
      <c r="TAG66" s="1"/>
      <c r="TAH66" s="1"/>
      <c r="TAI66" s="1"/>
      <c r="TAJ66" s="1"/>
      <c r="TAK66" s="1"/>
      <c r="TAL66" s="1"/>
      <c r="TAM66" s="1"/>
      <c r="TAN66" s="1"/>
      <c r="TAO66" s="1"/>
      <c r="TAP66" s="1"/>
      <c r="TAQ66" s="1"/>
      <c r="TAR66" s="1"/>
      <c r="TAS66" s="1"/>
      <c r="TAT66" s="1"/>
      <c r="TAU66" s="1"/>
      <c r="TAV66" s="1"/>
      <c r="TAW66" s="1"/>
      <c r="TAX66" s="1"/>
      <c r="TAY66" s="1"/>
      <c r="TAZ66" s="1"/>
      <c r="TBA66" s="1"/>
      <c r="TBB66" s="1"/>
      <c r="TBC66" s="1"/>
      <c r="TBD66" s="1"/>
      <c r="TBE66" s="1"/>
      <c r="TBF66" s="1"/>
      <c r="TBG66" s="1"/>
      <c r="TBH66" s="1"/>
      <c r="TBI66" s="1"/>
      <c r="TBJ66" s="1"/>
      <c r="TBK66" s="1"/>
      <c r="TBL66" s="1"/>
      <c r="TBM66" s="1"/>
      <c r="TBN66" s="1"/>
      <c r="TBO66" s="1"/>
      <c r="TBP66" s="1"/>
      <c r="TBQ66" s="1"/>
      <c r="TBR66" s="1"/>
      <c r="TBS66" s="1"/>
      <c r="TBT66" s="1"/>
      <c r="TBU66" s="1"/>
      <c r="TBV66" s="1"/>
      <c r="TBW66" s="1"/>
      <c r="TBX66" s="1"/>
      <c r="TBY66" s="1"/>
      <c r="TBZ66" s="1"/>
      <c r="TCA66" s="1"/>
      <c r="TCB66" s="1"/>
      <c r="TCC66" s="1"/>
      <c r="TCD66" s="1"/>
      <c r="TCE66" s="1"/>
      <c r="TCF66" s="1"/>
      <c r="TCG66" s="1"/>
      <c r="TCH66" s="1"/>
      <c r="TCI66" s="1"/>
      <c r="TCJ66" s="1"/>
      <c r="TCK66" s="1"/>
      <c r="TCL66" s="1"/>
      <c r="TCM66" s="1"/>
      <c r="TCN66" s="1"/>
      <c r="TCO66" s="1"/>
      <c r="TCP66" s="1"/>
      <c r="TCQ66" s="1"/>
      <c r="TCR66" s="1"/>
      <c r="TCS66" s="1"/>
      <c r="TCT66" s="1"/>
      <c r="TCU66" s="1"/>
      <c r="TCV66" s="1"/>
      <c r="TCW66" s="1"/>
      <c r="TCX66" s="1"/>
      <c r="TCY66" s="1"/>
      <c r="TCZ66" s="1"/>
      <c r="TDA66" s="1"/>
      <c r="TDB66" s="1"/>
      <c r="TDC66" s="1"/>
      <c r="TDD66" s="1"/>
      <c r="TDE66" s="1"/>
      <c r="TDF66" s="1"/>
      <c r="TDG66" s="1"/>
      <c r="TDH66" s="1"/>
      <c r="TDI66" s="1"/>
      <c r="TDJ66" s="1"/>
      <c r="TDK66" s="1"/>
      <c r="TDL66" s="1"/>
      <c r="TDM66" s="1"/>
      <c r="TDN66" s="1"/>
      <c r="TDO66" s="1"/>
      <c r="TDP66" s="1"/>
      <c r="TDQ66" s="1"/>
      <c r="TDR66" s="1"/>
      <c r="TDS66" s="1"/>
      <c r="TDT66" s="1"/>
      <c r="TDU66" s="1"/>
      <c r="TDV66" s="1"/>
      <c r="TDW66" s="1"/>
      <c r="TDX66" s="1"/>
      <c r="TDY66" s="1"/>
      <c r="TDZ66" s="1"/>
      <c r="TEA66" s="1"/>
      <c r="TEB66" s="1"/>
      <c r="TEC66" s="1"/>
      <c r="TED66" s="1"/>
      <c r="TEE66" s="1"/>
      <c r="TEF66" s="1"/>
      <c r="TEG66" s="1"/>
      <c r="TEH66" s="1"/>
      <c r="TEI66" s="1"/>
      <c r="TEJ66" s="1"/>
      <c r="TEK66" s="1"/>
      <c r="TEL66" s="1"/>
      <c r="TEM66" s="1"/>
      <c r="TEN66" s="1"/>
      <c r="TEO66" s="1"/>
      <c r="TEP66" s="1"/>
      <c r="TEQ66" s="1"/>
      <c r="TER66" s="1"/>
      <c r="TES66" s="1"/>
      <c r="TET66" s="1"/>
      <c r="TEU66" s="1"/>
      <c r="TEV66" s="1"/>
      <c r="TEW66" s="1"/>
      <c r="TEX66" s="1"/>
      <c r="TEY66" s="1"/>
      <c r="TEZ66" s="1"/>
      <c r="TFA66" s="1"/>
      <c r="TFB66" s="1"/>
      <c r="TFC66" s="1"/>
      <c r="TFD66" s="1"/>
      <c r="TFE66" s="1"/>
      <c r="TFF66" s="1"/>
      <c r="TFG66" s="1"/>
      <c r="TFH66" s="1"/>
      <c r="TFI66" s="1"/>
      <c r="TFJ66" s="1"/>
      <c r="TFK66" s="1"/>
      <c r="TFL66" s="1"/>
      <c r="TFM66" s="1"/>
      <c r="TFN66" s="1"/>
      <c r="TFO66" s="1"/>
      <c r="TFP66" s="1"/>
      <c r="TFQ66" s="1"/>
      <c r="TFR66" s="1"/>
      <c r="TFS66" s="1"/>
      <c r="TFT66" s="1"/>
      <c r="TFU66" s="1"/>
      <c r="TFV66" s="1"/>
      <c r="TFW66" s="1"/>
      <c r="TFX66" s="1"/>
      <c r="TFY66" s="1"/>
      <c r="TFZ66" s="1"/>
      <c r="TGA66" s="1"/>
      <c r="TGB66" s="1"/>
      <c r="TGC66" s="1"/>
      <c r="TGD66" s="1"/>
      <c r="TGE66" s="1"/>
      <c r="TGF66" s="1"/>
      <c r="TGG66" s="1"/>
      <c r="TGH66" s="1"/>
      <c r="TGI66" s="1"/>
      <c r="TGJ66" s="1"/>
      <c r="TGK66" s="1"/>
      <c r="TGL66" s="1"/>
      <c r="TGM66" s="1"/>
      <c r="TGN66" s="1"/>
      <c r="TGO66" s="1"/>
      <c r="TGP66" s="1"/>
      <c r="TGQ66" s="1"/>
      <c r="TGR66" s="1"/>
      <c r="TGS66" s="1"/>
      <c r="TGT66" s="1"/>
      <c r="TGU66" s="1"/>
      <c r="TGV66" s="1"/>
      <c r="TGW66" s="1"/>
      <c r="TGX66" s="1"/>
      <c r="TGY66" s="1"/>
      <c r="TGZ66" s="1"/>
      <c r="THA66" s="1"/>
      <c r="THB66" s="1"/>
      <c r="THC66" s="1"/>
      <c r="THD66" s="1"/>
      <c r="THE66" s="1"/>
      <c r="THF66" s="1"/>
      <c r="THG66" s="1"/>
      <c r="THH66" s="1"/>
      <c r="THI66" s="1"/>
      <c r="THJ66" s="1"/>
      <c r="THK66" s="1"/>
      <c r="THL66" s="1"/>
      <c r="THM66" s="1"/>
      <c r="THN66" s="1"/>
      <c r="THO66" s="1"/>
      <c r="THP66" s="1"/>
      <c r="THQ66" s="1"/>
      <c r="THR66" s="1"/>
      <c r="THS66" s="1"/>
      <c r="THT66" s="1"/>
      <c r="THU66" s="1"/>
      <c r="THV66" s="1"/>
      <c r="THW66" s="1"/>
      <c r="THX66" s="1"/>
      <c r="THY66" s="1"/>
      <c r="THZ66" s="1"/>
      <c r="TIA66" s="1"/>
      <c r="TIB66" s="1"/>
      <c r="TIC66" s="1"/>
      <c r="TID66" s="1"/>
      <c r="TIE66" s="1"/>
      <c r="TIF66" s="1"/>
      <c r="TIG66" s="1"/>
      <c r="TIH66" s="1"/>
      <c r="TII66" s="1"/>
      <c r="TIJ66" s="1"/>
      <c r="TIK66" s="1"/>
      <c r="TIL66" s="1"/>
      <c r="TIM66" s="1"/>
      <c r="TIN66" s="1"/>
      <c r="TIO66" s="1"/>
      <c r="TIP66" s="1"/>
      <c r="TIQ66" s="1"/>
      <c r="TIR66" s="1"/>
      <c r="TIS66" s="1"/>
      <c r="TIT66" s="1"/>
      <c r="TIU66" s="1"/>
      <c r="TIV66" s="1"/>
      <c r="TIW66" s="1"/>
      <c r="TIX66" s="1"/>
      <c r="TIY66" s="1"/>
      <c r="TIZ66" s="1"/>
      <c r="TJA66" s="1"/>
      <c r="TJB66" s="1"/>
      <c r="TJC66" s="1"/>
      <c r="TJD66" s="1"/>
      <c r="TJE66" s="1"/>
      <c r="TJF66" s="1"/>
      <c r="TJG66" s="1"/>
      <c r="TJH66" s="1"/>
      <c r="TJI66" s="1"/>
      <c r="TJJ66" s="1"/>
      <c r="TJK66" s="1"/>
      <c r="TJL66" s="1"/>
      <c r="TJM66" s="1"/>
      <c r="TJN66" s="1"/>
      <c r="TJO66" s="1"/>
      <c r="TJP66" s="1"/>
      <c r="TJQ66" s="1"/>
      <c r="TJR66" s="1"/>
      <c r="TJS66" s="1"/>
      <c r="TJT66" s="1"/>
      <c r="TJU66" s="1"/>
      <c r="TJV66" s="1"/>
      <c r="TJW66" s="1"/>
      <c r="TJX66" s="1"/>
      <c r="TJY66" s="1"/>
      <c r="TJZ66" s="1"/>
      <c r="TKA66" s="1"/>
      <c r="TKB66" s="1"/>
      <c r="TKC66" s="1"/>
      <c r="TKD66" s="1"/>
      <c r="TKE66" s="1"/>
      <c r="TKF66" s="1"/>
      <c r="TKG66" s="1"/>
      <c r="TKH66" s="1"/>
      <c r="TKI66" s="1"/>
      <c r="TKJ66" s="1"/>
      <c r="TKK66" s="1"/>
      <c r="TKL66" s="1"/>
      <c r="TKM66" s="1"/>
      <c r="TKN66" s="1"/>
      <c r="TKO66" s="1"/>
      <c r="TKP66" s="1"/>
      <c r="TKQ66" s="1"/>
      <c r="TKR66" s="1"/>
      <c r="TKS66" s="1"/>
      <c r="TKT66" s="1"/>
      <c r="TKU66" s="1"/>
      <c r="TKV66" s="1"/>
      <c r="TKW66" s="1"/>
      <c r="TKX66" s="1"/>
      <c r="TKY66" s="1"/>
      <c r="TKZ66" s="1"/>
      <c r="TLA66" s="1"/>
      <c r="TLB66" s="1"/>
      <c r="TLC66" s="1"/>
      <c r="TLD66" s="1"/>
      <c r="TLE66" s="1"/>
      <c r="TLF66" s="1"/>
      <c r="TLG66" s="1"/>
      <c r="TLH66" s="1"/>
      <c r="TLI66" s="1"/>
      <c r="TLJ66" s="1"/>
      <c r="TLK66" s="1"/>
      <c r="TLL66" s="1"/>
      <c r="TLM66" s="1"/>
      <c r="TLN66" s="1"/>
      <c r="TLO66" s="1"/>
      <c r="TLP66" s="1"/>
      <c r="TLQ66" s="1"/>
      <c r="TLR66" s="1"/>
      <c r="TLS66" s="1"/>
      <c r="TLT66" s="1"/>
      <c r="TLU66" s="1"/>
      <c r="TLV66" s="1"/>
      <c r="TLW66" s="1"/>
      <c r="TLX66" s="1"/>
      <c r="TLY66" s="1"/>
      <c r="TLZ66" s="1"/>
      <c r="TMA66" s="1"/>
      <c r="TMB66" s="1"/>
      <c r="TMC66" s="1"/>
      <c r="TMD66" s="1"/>
      <c r="TME66" s="1"/>
      <c r="TMF66" s="1"/>
      <c r="TMG66" s="1"/>
      <c r="TMH66" s="1"/>
      <c r="TMI66" s="1"/>
      <c r="TMJ66" s="1"/>
      <c r="TMK66" s="1"/>
      <c r="TML66" s="1"/>
      <c r="TMM66" s="1"/>
      <c r="TMN66" s="1"/>
      <c r="TMO66" s="1"/>
      <c r="TMP66" s="1"/>
      <c r="TMQ66" s="1"/>
      <c r="TMR66" s="1"/>
      <c r="TMS66" s="1"/>
      <c r="TMT66" s="1"/>
      <c r="TMU66" s="1"/>
      <c r="TMV66" s="1"/>
      <c r="TMW66" s="1"/>
      <c r="TMX66" s="1"/>
      <c r="TMY66" s="1"/>
      <c r="TMZ66" s="1"/>
      <c r="TNA66" s="1"/>
      <c r="TNB66" s="1"/>
      <c r="TNC66" s="1"/>
      <c r="TND66" s="1"/>
      <c r="TNE66" s="1"/>
      <c r="TNF66" s="1"/>
      <c r="TNG66" s="1"/>
      <c r="TNH66" s="1"/>
      <c r="TNI66" s="1"/>
      <c r="TNJ66" s="1"/>
      <c r="TNK66" s="1"/>
      <c r="TNL66" s="1"/>
      <c r="TNM66" s="1"/>
      <c r="TNN66" s="1"/>
      <c r="TNO66" s="1"/>
      <c r="TNP66" s="1"/>
      <c r="TNQ66" s="1"/>
      <c r="TNR66" s="1"/>
      <c r="TNS66" s="1"/>
      <c r="TNT66" s="1"/>
      <c r="TNU66" s="1"/>
      <c r="TNV66" s="1"/>
      <c r="TNW66" s="1"/>
      <c r="TNX66" s="1"/>
      <c r="TNY66" s="1"/>
      <c r="TNZ66" s="1"/>
      <c r="TOA66" s="1"/>
      <c r="TOB66" s="1"/>
      <c r="TOC66" s="1"/>
      <c r="TOD66" s="1"/>
      <c r="TOE66" s="1"/>
      <c r="TOF66" s="1"/>
      <c r="TOG66" s="1"/>
      <c r="TOH66" s="1"/>
      <c r="TOI66" s="1"/>
      <c r="TOJ66" s="1"/>
      <c r="TOK66" s="1"/>
      <c r="TOL66" s="1"/>
      <c r="TOM66" s="1"/>
      <c r="TON66" s="1"/>
      <c r="TOO66" s="1"/>
      <c r="TOP66" s="1"/>
      <c r="TOQ66" s="1"/>
      <c r="TOR66" s="1"/>
      <c r="TOS66" s="1"/>
      <c r="TOT66" s="1"/>
      <c r="TOU66" s="1"/>
      <c r="TOV66" s="1"/>
      <c r="TOW66" s="1"/>
      <c r="TOX66" s="1"/>
      <c r="TOY66" s="1"/>
      <c r="TOZ66" s="1"/>
      <c r="TPA66" s="1"/>
      <c r="TPB66" s="1"/>
      <c r="TPC66" s="1"/>
      <c r="TPD66" s="1"/>
      <c r="TPE66" s="1"/>
      <c r="TPF66" s="1"/>
      <c r="TPG66" s="1"/>
      <c r="TPH66" s="1"/>
      <c r="TPI66" s="1"/>
      <c r="TPJ66" s="1"/>
      <c r="TPK66" s="1"/>
      <c r="TPL66" s="1"/>
      <c r="TPM66" s="1"/>
      <c r="TPN66" s="1"/>
      <c r="TPO66" s="1"/>
      <c r="TPP66" s="1"/>
      <c r="TPQ66" s="1"/>
      <c r="TPR66" s="1"/>
      <c r="TPS66" s="1"/>
      <c r="TPT66" s="1"/>
      <c r="TPU66" s="1"/>
      <c r="TPV66" s="1"/>
      <c r="TPW66" s="1"/>
      <c r="TPX66" s="1"/>
      <c r="TPY66" s="1"/>
      <c r="TPZ66" s="1"/>
      <c r="TQA66" s="1"/>
      <c r="TQB66" s="1"/>
      <c r="TQC66" s="1"/>
      <c r="TQD66" s="1"/>
      <c r="TQE66" s="1"/>
      <c r="TQF66" s="1"/>
      <c r="TQG66" s="1"/>
      <c r="TQH66" s="1"/>
      <c r="TQI66" s="1"/>
      <c r="TQJ66" s="1"/>
      <c r="TQK66" s="1"/>
      <c r="TQL66" s="1"/>
      <c r="TQM66" s="1"/>
      <c r="TQN66" s="1"/>
      <c r="TQO66" s="1"/>
      <c r="TQP66" s="1"/>
      <c r="TQQ66" s="1"/>
      <c r="TQR66" s="1"/>
      <c r="TQS66" s="1"/>
      <c r="TQT66" s="1"/>
      <c r="TQU66" s="1"/>
      <c r="TQV66" s="1"/>
      <c r="TQW66" s="1"/>
      <c r="TQX66" s="1"/>
      <c r="TQY66" s="1"/>
      <c r="TQZ66" s="1"/>
      <c r="TRA66" s="1"/>
      <c r="TRB66" s="1"/>
      <c r="TRC66" s="1"/>
      <c r="TRD66" s="1"/>
      <c r="TRE66" s="1"/>
      <c r="TRF66" s="1"/>
      <c r="TRG66" s="1"/>
      <c r="TRH66" s="1"/>
      <c r="TRI66" s="1"/>
      <c r="TRJ66" s="1"/>
      <c r="TRK66" s="1"/>
      <c r="TRL66" s="1"/>
      <c r="TRM66" s="1"/>
      <c r="TRN66" s="1"/>
      <c r="TRO66" s="1"/>
      <c r="TRP66" s="1"/>
      <c r="TRQ66" s="1"/>
      <c r="TRR66" s="1"/>
      <c r="TRS66" s="1"/>
      <c r="TRT66" s="1"/>
      <c r="TRU66" s="1"/>
      <c r="TRV66" s="1"/>
      <c r="TRW66" s="1"/>
      <c r="TRX66" s="1"/>
      <c r="TRY66" s="1"/>
      <c r="TRZ66" s="1"/>
      <c r="TSA66" s="1"/>
      <c r="TSB66" s="1"/>
      <c r="TSC66" s="1"/>
      <c r="TSD66" s="1"/>
      <c r="TSE66" s="1"/>
      <c r="TSF66" s="1"/>
      <c r="TSG66" s="1"/>
      <c r="TSH66" s="1"/>
      <c r="TSI66" s="1"/>
      <c r="TSJ66" s="1"/>
      <c r="TSK66" s="1"/>
      <c r="TSL66" s="1"/>
      <c r="TSM66" s="1"/>
      <c r="TSN66" s="1"/>
      <c r="TSO66" s="1"/>
      <c r="TSP66" s="1"/>
      <c r="TSQ66" s="1"/>
      <c r="TSR66" s="1"/>
      <c r="TSS66" s="1"/>
      <c r="TST66" s="1"/>
      <c r="TSU66" s="1"/>
      <c r="TSV66" s="1"/>
      <c r="TSW66" s="1"/>
      <c r="TSX66" s="1"/>
      <c r="TSY66" s="1"/>
      <c r="TSZ66" s="1"/>
      <c r="TTA66" s="1"/>
      <c r="TTB66" s="1"/>
      <c r="TTC66" s="1"/>
      <c r="TTD66" s="1"/>
      <c r="TTE66" s="1"/>
      <c r="TTF66" s="1"/>
      <c r="TTG66" s="1"/>
      <c r="TTH66" s="1"/>
      <c r="TTI66" s="1"/>
      <c r="TTJ66" s="1"/>
      <c r="TTK66" s="1"/>
      <c r="TTL66" s="1"/>
      <c r="TTM66" s="1"/>
      <c r="TTN66" s="1"/>
      <c r="TTO66" s="1"/>
      <c r="TTP66" s="1"/>
      <c r="TTQ66" s="1"/>
      <c r="TTR66" s="1"/>
      <c r="TTS66" s="1"/>
      <c r="TTT66" s="1"/>
      <c r="TTU66" s="1"/>
      <c r="TTV66" s="1"/>
      <c r="TTW66" s="1"/>
      <c r="TTX66" s="1"/>
      <c r="TTY66" s="1"/>
      <c r="TTZ66" s="1"/>
      <c r="TUA66" s="1"/>
      <c r="TUB66" s="1"/>
      <c r="TUC66" s="1"/>
      <c r="TUD66" s="1"/>
      <c r="TUE66" s="1"/>
      <c r="TUF66" s="1"/>
      <c r="TUG66" s="1"/>
      <c r="TUH66" s="1"/>
      <c r="TUI66" s="1"/>
      <c r="TUJ66" s="1"/>
      <c r="TUK66" s="1"/>
      <c r="TUL66" s="1"/>
      <c r="TUM66" s="1"/>
      <c r="TUN66" s="1"/>
      <c r="TUO66" s="1"/>
      <c r="TUP66" s="1"/>
      <c r="TUQ66" s="1"/>
      <c r="TUR66" s="1"/>
      <c r="TUS66" s="1"/>
      <c r="TUT66" s="1"/>
      <c r="TUU66" s="1"/>
      <c r="TUV66" s="1"/>
      <c r="TUW66" s="1"/>
      <c r="TUX66" s="1"/>
      <c r="TUY66" s="1"/>
      <c r="TUZ66" s="1"/>
      <c r="TVA66" s="1"/>
      <c r="TVB66" s="1"/>
      <c r="TVC66" s="1"/>
      <c r="TVD66" s="1"/>
      <c r="TVE66" s="1"/>
      <c r="TVF66" s="1"/>
      <c r="TVG66" s="1"/>
      <c r="TVH66" s="1"/>
      <c r="TVI66" s="1"/>
      <c r="TVJ66" s="1"/>
      <c r="TVK66" s="1"/>
      <c r="TVL66" s="1"/>
      <c r="TVM66" s="1"/>
      <c r="TVN66" s="1"/>
      <c r="TVO66" s="1"/>
      <c r="TVP66" s="1"/>
      <c r="TVQ66" s="1"/>
      <c r="TVR66" s="1"/>
      <c r="TVS66" s="1"/>
      <c r="TVT66" s="1"/>
      <c r="TVU66" s="1"/>
      <c r="TVV66" s="1"/>
      <c r="TVW66" s="1"/>
      <c r="TVX66" s="1"/>
      <c r="TVY66" s="1"/>
      <c r="TVZ66" s="1"/>
      <c r="TWA66" s="1"/>
      <c r="TWB66" s="1"/>
      <c r="TWC66" s="1"/>
      <c r="TWD66" s="1"/>
      <c r="TWE66" s="1"/>
      <c r="TWF66" s="1"/>
      <c r="TWG66" s="1"/>
      <c r="TWH66" s="1"/>
      <c r="TWI66" s="1"/>
      <c r="TWJ66" s="1"/>
      <c r="TWK66" s="1"/>
      <c r="TWL66" s="1"/>
      <c r="TWM66" s="1"/>
      <c r="TWN66" s="1"/>
      <c r="TWO66" s="1"/>
      <c r="TWP66" s="1"/>
      <c r="TWQ66" s="1"/>
      <c r="TWR66" s="1"/>
      <c r="TWS66" s="1"/>
      <c r="TWT66" s="1"/>
      <c r="TWU66" s="1"/>
      <c r="TWV66" s="1"/>
      <c r="TWW66" s="1"/>
      <c r="TWX66" s="1"/>
      <c r="TWY66" s="1"/>
      <c r="TWZ66" s="1"/>
      <c r="TXA66" s="1"/>
      <c r="TXB66" s="1"/>
      <c r="TXC66" s="1"/>
      <c r="TXD66" s="1"/>
      <c r="TXE66" s="1"/>
      <c r="TXF66" s="1"/>
      <c r="TXG66" s="1"/>
      <c r="TXH66" s="1"/>
      <c r="TXI66" s="1"/>
      <c r="TXJ66" s="1"/>
      <c r="TXK66" s="1"/>
      <c r="TXL66" s="1"/>
      <c r="TXM66" s="1"/>
      <c r="TXN66" s="1"/>
      <c r="TXO66" s="1"/>
      <c r="TXP66" s="1"/>
      <c r="TXQ66" s="1"/>
      <c r="TXR66" s="1"/>
      <c r="TXS66" s="1"/>
      <c r="TXT66" s="1"/>
      <c r="TXU66" s="1"/>
      <c r="TXV66" s="1"/>
      <c r="TXW66" s="1"/>
      <c r="TXX66" s="1"/>
      <c r="TXY66" s="1"/>
      <c r="TXZ66" s="1"/>
      <c r="TYA66" s="1"/>
      <c r="TYB66" s="1"/>
      <c r="TYC66" s="1"/>
      <c r="TYD66" s="1"/>
      <c r="TYE66" s="1"/>
      <c r="TYF66" s="1"/>
      <c r="TYG66" s="1"/>
      <c r="TYH66" s="1"/>
      <c r="TYI66" s="1"/>
      <c r="TYJ66" s="1"/>
      <c r="TYK66" s="1"/>
      <c r="TYL66" s="1"/>
      <c r="TYM66" s="1"/>
      <c r="TYN66" s="1"/>
      <c r="TYO66" s="1"/>
      <c r="TYP66" s="1"/>
      <c r="TYQ66" s="1"/>
      <c r="TYR66" s="1"/>
      <c r="TYS66" s="1"/>
      <c r="TYT66" s="1"/>
      <c r="TYU66" s="1"/>
      <c r="TYV66" s="1"/>
      <c r="TYW66" s="1"/>
      <c r="TYX66" s="1"/>
      <c r="TYY66" s="1"/>
      <c r="TYZ66" s="1"/>
      <c r="TZA66" s="1"/>
      <c r="TZB66" s="1"/>
      <c r="TZC66" s="1"/>
      <c r="TZD66" s="1"/>
      <c r="TZE66" s="1"/>
      <c r="TZF66" s="1"/>
      <c r="TZG66" s="1"/>
      <c r="TZH66" s="1"/>
      <c r="TZI66" s="1"/>
      <c r="TZJ66" s="1"/>
      <c r="TZK66" s="1"/>
      <c r="TZL66" s="1"/>
      <c r="TZM66" s="1"/>
      <c r="TZN66" s="1"/>
      <c r="TZO66" s="1"/>
      <c r="TZP66" s="1"/>
      <c r="TZQ66" s="1"/>
      <c r="TZR66" s="1"/>
      <c r="TZS66" s="1"/>
      <c r="TZT66" s="1"/>
      <c r="TZU66" s="1"/>
      <c r="TZV66" s="1"/>
      <c r="TZW66" s="1"/>
      <c r="TZX66" s="1"/>
      <c r="TZY66" s="1"/>
      <c r="TZZ66" s="1"/>
      <c r="UAA66" s="1"/>
      <c r="UAB66" s="1"/>
      <c r="UAC66" s="1"/>
      <c r="UAD66" s="1"/>
      <c r="UAE66" s="1"/>
      <c r="UAF66" s="1"/>
      <c r="UAG66" s="1"/>
      <c r="UAH66" s="1"/>
      <c r="UAI66" s="1"/>
      <c r="UAJ66" s="1"/>
      <c r="UAK66" s="1"/>
      <c r="UAL66" s="1"/>
      <c r="UAM66" s="1"/>
      <c r="UAN66" s="1"/>
      <c r="UAO66" s="1"/>
      <c r="UAP66" s="1"/>
      <c r="UAQ66" s="1"/>
      <c r="UAR66" s="1"/>
      <c r="UAS66" s="1"/>
      <c r="UAT66" s="1"/>
      <c r="UAU66" s="1"/>
      <c r="UAV66" s="1"/>
      <c r="UAW66" s="1"/>
      <c r="UAX66" s="1"/>
      <c r="UAY66" s="1"/>
      <c r="UAZ66" s="1"/>
      <c r="UBA66" s="1"/>
      <c r="UBB66" s="1"/>
      <c r="UBC66" s="1"/>
      <c r="UBD66" s="1"/>
      <c r="UBE66" s="1"/>
      <c r="UBF66" s="1"/>
      <c r="UBG66" s="1"/>
      <c r="UBH66" s="1"/>
      <c r="UBI66" s="1"/>
      <c r="UBJ66" s="1"/>
      <c r="UBK66" s="1"/>
      <c r="UBL66" s="1"/>
      <c r="UBM66" s="1"/>
      <c r="UBN66" s="1"/>
      <c r="UBO66" s="1"/>
      <c r="UBP66" s="1"/>
      <c r="UBQ66" s="1"/>
      <c r="UBR66" s="1"/>
      <c r="UBS66" s="1"/>
      <c r="UBT66" s="1"/>
      <c r="UBU66" s="1"/>
      <c r="UBV66" s="1"/>
      <c r="UBW66" s="1"/>
      <c r="UBX66" s="1"/>
      <c r="UBY66" s="1"/>
      <c r="UBZ66" s="1"/>
      <c r="UCA66" s="1"/>
      <c r="UCB66" s="1"/>
      <c r="UCC66" s="1"/>
      <c r="UCD66" s="1"/>
      <c r="UCE66" s="1"/>
      <c r="UCF66" s="1"/>
      <c r="UCG66" s="1"/>
      <c r="UCH66" s="1"/>
      <c r="UCI66" s="1"/>
      <c r="UCJ66" s="1"/>
      <c r="UCK66" s="1"/>
      <c r="UCL66" s="1"/>
      <c r="UCM66" s="1"/>
      <c r="UCN66" s="1"/>
      <c r="UCO66" s="1"/>
      <c r="UCP66" s="1"/>
      <c r="UCQ66" s="1"/>
      <c r="UCR66" s="1"/>
      <c r="UCS66" s="1"/>
      <c r="UCT66" s="1"/>
      <c r="UCU66" s="1"/>
      <c r="UCV66" s="1"/>
      <c r="UCW66" s="1"/>
      <c r="UCX66" s="1"/>
      <c r="UCY66" s="1"/>
      <c r="UCZ66" s="1"/>
      <c r="UDA66" s="1"/>
      <c r="UDB66" s="1"/>
      <c r="UDC66" s="1"/>
      <c r="UDD66" s="1"/>
      <c r="UDE66" s="1"/>
      <c r="UDF66" s="1"/>
      <c r="UDG66" s="1"/>
      <c r="UDH66" s="1"/>
      <c r="UDI66" s="1"/>
      <c r="UDJ66" s="1"/>
      <c r="UDK66" s="1"/>
      <c r="UDL66" s="1"/>
      <c r="UDM66" s="1"/>
      <c r="UDN66" s="1"/>
      <c r="UDO66" s="1"/>
      <c r="UDP66" s="1"/>
      <c r="UDQ66" s="1"/>
      <c r="UDR66" s="1"/>
      <c r="UDS66" s="1"/>
      <c r="UDT66" s="1"/>
      <c r="UDU66" s="1"/>
      <c r="UDV66" s="1"/>
      <c r="UDW66" s="1"/>
      <c r="UDX66" s="1"/>
      <c r="UDY66" s="1"/>
      <c r="UDZ66" s="1"/>
      <c r="UEA66" s="1"/>
      <c r="UEB66" s="1"/>
      <c r="UEC66" s="1"/>
      <c r="UED66" s="1"/>
      <c r="UEE66" s="1"/>
      <c r="UEF66" s="1"/>
      <c r="UEG66" s="1"/>
      <c r="UEH66" s="1"/>
      <c r="UEI66" s="1"/>
      <c r="UEJ66" s="1"/>
      <c r="UEK66" s="1"/>
      <c r="UEL66" s="1"/>
      <c r="UEM66" s="1"/>
      <c r="UEN66" s="1"/>
      <c r="UEO66" s="1"/>
      <c r="UEP66" s="1"/>
      <c r="UEQ66" s="1"/>
      <c r="UER66" s="1"/>
      <c r="UES66" s="1"/>
      <c r="UET66" s="1"/>
      <c r="UEU66" s="1"/>
      <c r="UEV66" s="1"/>
      <c r="UEW66" s="1"/>
      <c r="UEX66" s="1"/>
      <c r="UEY66" s="1"/>
      <c r="UEZ66" s="1"/>
      <c r="UFA66" s="1"/>
      <c r="UFB66" s="1"/>
      <c r="UFC66" s="1"/>
      <c r="UFD66" s="1"/>
      <c r="UFE66" s="1"/>
      <c r="UFF66" s="1"/>
      <c r="UFG66" s="1"/>
      <c r="UFH66" s="1"/>
      <c r="UFI66" s="1"/>
      <c r="UFJ66" s="1"/>
      <c r="UFK66" s="1"/>
      <c r="UFL66" s="1"/>
      <c r="UFM66" s="1"/>
      <c r="UFN66" s="1"/>
      <c r="UFO66" s="1"/>
      <c r="UFP66" s="1"/>
      <c r="UFQ66" s="1"/>
      <c r="UFR66" s="1"/>
      <c r="UFS66" s="1"/>
      <c r="UFT66" s="1"/>
      <c r="UFU66" s="1"/>
      <c r="UFV66" s="1"/>
      <c r="UFW66" s="1"/>
      <c r="UFX66" s="1"/>
      <c r="UFY66" s="1"/>
      <c r="UFZ66" s="1"/>
      <c r="UGA66" s="1"/>
      <c r="UGB66" s="1"/>
      <c r="UGC66" s="1"/>
      <c r="UGD66" s="1"/>
      <c r="UGE66" s="1"/>
      <c r="UGF66" s="1"/>
      <c r="UGG66" s="1"/>
      <c r="UGH66" s="1"/>
      <c r="UGI66" s="1"/>
      <c r="UGJ66" s="1"/>
      <c r="UGK66" s="1"/>
      <c r="UGL66" s="1"/>
      <c r="UGM66" s="1"/>
      <c r="UGN66" s="1"/>
      <c r="UGO66" s="1"/>
      <c r="UGP66" s="1"/>
      <c r="UGQ66" s="1"/>
      <c r="UGR66" s="1"/>
      <c r="UGS66" s="1"/>
      <c r="UGT66" s="1"/>
      <c r="UGU66" s="1"/>
      <c r="UGV66" s="1"/>
      <c r="UGW66" s="1"/>
      <c r="UGX66" s="1"/>
      <c r="UGY66" s="1"/>
      <c r="UGZ66" s="1"/>
      <c r="UHA66" s="1"/>
      <c r="UHB66" s="1"/>
      <c r="UHC66" s="1"/>
      <c r="UHD66" s="1"/>
      <c r="UHE66" s="1"/>
      <c r="UHF66" s="1"/>
      <c r="UHG66" s="1"/>
      <c r="UHH66" s="1"/>
      <c r="UHI66" s="1"/>
      <c r="UHJ66" s="1"/>
      <c r="UHK66" s="1"/>
      <c r="UHL66" s="1"/>
      <c r="UHM66" s="1"/>
      <c r="UHN66" s="1"/>
      <c r="UHO66" s="1"/>
      <c r="UHP66" s="1"/>
      <c r="UHQ66" s="1"/>
      <c r="UHR66" s="1"/>
      <c r="UHS66" s="1"/>
      <c r="UHT66" s="1"/>
      <c r="UHU66" s="1"/>
      <c r="UHV66" s="1"/>
      <c r="UHW66" s="1"/>
      <c r="UHX66" s="1"/>
      <c r="UHY66" s="1"/>
      <c r="UHZ66" s="1"/>
      <c r="UIA66" s="1"/>
      <c r="UIB66" s="1"/>
      <c r="UIC66" s="1"/>
      <c r="UID66" s="1"/>
      <c r="UIE66" s="1"/>
      <c r="UIF66" s="1"/>
      <c r="UIG66" s="1"/>
      <c r="UIH66" s="1"/>
      <c r="UII66" s="1"/>
      <c r="UIJ66" s="1"/>
      <c r="UIK66" s="1"/>
      <c r="UIL66" s="1"/>
      <c r="UIM66" s="1"/>
      <c r="UIN66" s="1"/>
      <c r="UIO66" s="1"/>
      <c r="UIP66" s="1"/>
      <c r="UIQ66" s="1"/>
      <c r="UIR66" s="1"/>
      <c r="UIS66" s="1"/>
      <c r="UIT66" s="1"/>
      <c r="UIU66" s="1"/>
      <c r="UIV66" s="1"/>
      <c r="UIW66" s="1"/>
      <c r="UIX66" s="1"/>
      <c r="UIY66" s="1"/>
      <c r="UIZ66" s="1"/>
      <c r="UJA66" s="1"/>
      <c r="UJB66" s="1"/>
      <c r="UJC66" s="1"/>
      <c r="UJD66" s="1"/>
      <c r="UJE66" s="1"/>
      <c r="UJF66" s="1"/>
      <c r="UJG66" s="1"/>
      <c r="UJH66" s="1"/>
      <c r="UJI66" s="1"/>
      <c r="UJJ66" s="1"/>
      <c r="UJK66" s="1"/>
      <c r="UJL66" s="1"/>
      <c r="UJM66" s="1"/>
      <c r="UJN66" s="1"/>
      <c r="UJO66" s="1"/>
      <c r="UJP66" s="1"/>
      <c r="UJQ66" s="1"/>
      <c r="UJR66" s="1"/>
      <c r="UJS66" s="1"/>
      <c r="UJT66" s="1"/>
      <c r="UJU66" s="1"/>
      <c r="UJV66" s="1"/>
      <c r="UJW66" s="1"/>
      <c r="UJX66" s="1"/>
      <c r="UJY66" s="1"/>
      <c r="UJZ66" s="1"/>
      <c r="UKA66" s="1"/>
      <c r="UKB66" s="1"/>
      <c r="UKC66" s="1"/>
      <c r="UKD66" s="1"/>
      <c r="UKE66" s="1"/>
      <c r="UKF66" s="1"/>
      <c r="UKG66" s="1"/>
      <c r="UKH66" s="1"/>
      <c r="UKI66" s="1"/>
      <c r="UKJ66" s="1"/>
      <c r="UKK66" s="1"/>
      <c r="UKL66" s="1"/>
      <c r="UKM66" s="1"/>
      <c r="UKN66" s="1"/>
      <c r="UKO66" s="1"/>
      <c r="UKP66" s="1"/>
      <c r="UKQ66" s="1"/>
      <c r="UKR66" s="1"/>
      <c r="UKS66" s="1"/>
      <c r="UKT66" s="1"/>
      <c r="UKU66" s="1"/>
      <c r="UKV66" s="1"/>
      <c r="UKW66" s="1"/>
      <c r="UKX66" s="1"/>
      <c r="UKY66" s="1"/>
      <c r="UKZ66" s="1"/>
      <c r="ULA66" s="1"/>
      <c r="ULB66" s="1"/>
      <c r="ULC66" s="1"/>
      <c r="ULD66" s="1"/>
      <c r="ULE66" s="1"/>
      <c r="ULF66" s="1"/>
      <c r="ULG66" s="1"/>
      <c r="ULH66" s="1"/>
      <c r="ULI66" s="1"/>
      <c r="ULJ66" s="1"/>
      <c r="ULK66" s="1"/>
      <c r="ULL66" s="1"/>
      <c r="ULM66" s="1"/>
      <c r="ULN66" s="1"/>
      <c r="ULO66" s="1"/>
      <c r="ULP66" s="1"/>
      <c r="ULQ66" s="1"/>
      <c r="ULR66" s="1"/>
      <c r="ULS66" s="1"/>
      <c r="ULT66" s="1"/>
      <c r="ULU66" s="1"/>
      <c r="ULV66" s="1"/>
      <c r="ULW66" s="1"/>
      <c r="ULX66" s="1"/>
      <c r="ULY66" s="1"/>
      <c r="ULZ66" s="1"/>
      <c r="UMA66" s="1"/>
      <c r="UMB66" s="1"/>
      <c r="UMC66" s="1"/>
      <c r="UMD66" s="1"/>
      <c r="UME66" s="1"/>
      <c r="UMF66" s="1"/>
      <c r="UMG66" s="1"/>
      <c r="UMH66" s="1"/>
      <c r="UMI66" s="1"/>
      <c r="UMJ66" s="1"/>
      <c r="UMK66" s="1"/>
      <c r="UML66" s="1"/>
      <c r="UMM66" s="1"/>
      <c r="UMN66" s="1"/>
      <c r="UMO66" s="1"/>
      <c r="UMP66" s="1"/>
      <c r="UMQ66" s="1"/>
      <c r="UMR66" s="1"/>
      <c r="UMS66" s="1"/>
      <c r="UMT66" s="1"/>
      <c r="UMU66" s="1"/>
      <c r="UMV66" s="1"/>
      <c r="UMW66" s="1"/>
      <c r="UMX66" s="1"/>
      <c r="UMY66" s="1"/>
      <c r="UMZ66" s="1"/>
      <c r="UNA66" s="1"/>
      <c r="UNB66" s="1"/>
      <c r="UNC66" s="1"/>
      <c r="UND66" s="1"/>
      <c r="UNE66" s="1"/>
      <c r="UNF66" s="1"/>
      <c r="UNG66" s="1"/>
      <c r="UNH66" s="1"/>
      <c r="UNI66" s="1"/>
      <c r="UNJ66" s="1"/>
      <c r="UNK66" s="1"/>
      <c r="UNL66" s="1"/>
      <c r="UNM66" s="1"/>
      <c r="UNN66" s="1"/>
      <c r="UNO66" s="1"/>
      <c r="UNP66" s="1"/>
      <c r="UNQ66" s="1"/>
      <c r="UNR66" s="1"/>
      <c r="UNS66" s="1"/>
      <c r="UNT66" s="1"/>
      <c r="UNU66" s="1"/>
      <c r="UNV66" s="1"/>
      <c r="UNW66" s="1"/>
      <c r="UNX66" s="1"/>
      <c r="UNY66" s="1"/>
      <c r="UNZ66" s="1"/>
      <c r="UOA66" s="1"/>
      <c r="UOB66" s="1"/>
      <c r="UOC66" s="1"/>
      <c r="UOD66" s="1"/>
      <c r="UOE66" s="1"/>
      <c r="UOF66" s="1"/>
      <c r="UOG66" s="1"/>
      <c r="UOH66" s="1"/>
      <c r="UOI66" s="1"/>
      <c r="UOJ66" s="1"/>
      <c r="UOK66" s="1"/>
      <c r="UOL66" s="1"/>
      <c r="UOM66" s="1"/>
      <c r="UON66" s="1"/>
      <c r="UOO66" s="1"/>
      <c r="UOP66" s="1"/>
      <c r="UOQ66" s="1"/>
      <c r="UOR66" s="1"/>
      <c r="UOS66" s="1"/>
      <c r="UOT66" s="1"/>
      <c r="UOU66" s="1"/>
      <c r="UOV66" s="1"/>
      <c r="UOW66" s="1"/>
      <c r="UOX66" s="1"/>
      <c r="UOY66" s="1"/>
      <c r="UOZ66" s="1"/>
      <c r="UPA66" s="1"/>
      <c r="UPB66" s="1"/>
      <c r="UPC66" s="1"/>
      <c r="UPD66" s="1"/>
      <c r="UPE66" s="1"/>
      <c r="UPF66" s="1"/>
      <c r="UPG66" s="1"/>
      <c r="UPH66" s="1"/>
      <c r="UPI66" s="1"/>
      <c r="UPJ66" s="1"/>
      <c r="UPK66" s="1"/>
      <c r="UPL66" s="1"/>
      <c r="UPM66" s="1"/>
      <c r="UPN66" s="1"/>
      <c r="UPO66" s="1"/>
      <c r="UPP66" s="1"/>
      <c r="UPQ66" s="1"/>
      <c r="UPR66" s="1"/>
      <c r="UPS66" s="1"/>
      <c r="UPT66" s="1"/>
      <c r="UPU66" s="1"/>
      <c r="UPV66" s="1"/>
      <c r="UPW66" s="1"/>
      <c r="UPX66" s="1"/>
      <c r="UPY66" s="1"/>
      <c r="UPZ66" s="1"/>
      <c r="UQA66" s="1"/>
      <c r="UQB66" s="1"/>
      <c r="UQC66" s="1"/>
      <c r="UQD66" s="1"/>
      <c r="UQE66" s="1"/>
      <c r="UQF66" s="1"/>
      <c r="UQG66" s="1"/>
      <c r="UQH66" s="1"/>
      <c r="UQI66" s="1"/>
      <c r="UQJ66" s="1"/>
      <c r="UQK66" s="1"/>
      <c r="UQL66" s="1"/>
      <c r="UQM66" s="1"/>
      <c r="UQN66" s="1"/>
      <c r="UQO66" s="1"/>
      <c r="UQP66" s="1"/>
      <c r="UQQ66" s="1"/>
      <c r="UQR66" s="1"/>
      <c r="UQS66" s="1"/>
      <c r="UQT66" s="1"/>
      <c r="UQU66" s="1"/>
      <c r="UQV66" s="1"/>
      <c r="UQW66" s="1"/>
      <c r="UQX66" s="1"/>
      <c r="UQY66" s="1"/>
      <c r="UQZ66" s="1"/>
      <c r="URA66" s="1"/>
      <c r="URB66" s="1"/>
      <c r="URC66" s="1"/>
      <c r="URD66" s="1"/>
      <c r="URE66" s="1"/>
      <c r="URF66" s="1"/>
      <c r="URG66" s="1"/>
      <c r="URH66" s="1"/>
      <c r="URI66" s="1"/>
      <c r="URJ66" s="1"/>
      <c r="URK66" s="1"/>
      <c r="URL66" s="1"/>
      <c r="URM66" s="1"/>
      <c r="URN66" s="1"/>
      <c r="URO66" s="1"/>
      <c r="URP66" s="1"/>
      <c r="URQ66" s="1"/>
      <c r="URR66" s="1"/>
      <c r="URS66" s="1"/>
      <c r="URT66" s="1"/>
      <c r="URU66" s="1"/>
      <c r="URV66" s="1"/>
      <c r="URW66" s="1"/>
      <c r="URX66" s="1"/>
      <c r="URY66" s="1"/>
      <c r="URZ66" s="1"/>
      <c r="USA66" s="1"/>
      <c r="USB66" s="1"/>
      <c r="USC66" s="1"/>
      <c r="USD66" s="1"/>
      <c r="USE66" s="1"/>
      <c r="USF66" s="1"/>
      <c r="USG66" s="1"/>
      <c r="USH66" s="1"/>
      <c r="USI66" s="1"/>
      <c r="USJ66" s="1"/>
      <c r="USK66" s="1"/>
      <c r="USL66" s="1"/>
      <c r="USM66" s="1"/>
      <c r="USN66" s="1"/>
      <c r="USO66" s="1"/>
      <c r="USP66" s="1"/>
      <c r="USQ66" s="1"/>
      <c r="USR66" s="1"/>
      <c r="USS66" s="1"/>
      <c r="UST66" s="1"/>
      <c r="USU66" s="1"/>
      <c r="USV66" s="1"/>
      <c r="USW66" s="1"/>
      <c r="USX66" s="1"/>
      <c r="USY66" s="1"/>
      <c r="USZ66" s="1"/>
      <c r="UTA66" s="1"/>
      <c r="UTB66" s="1"/>
      <c r="UTC66" s="1"/>
      <c r="UTD66" s="1"/>
      <c r="UTE66" s="1"/>
      <c r="UTF66" s="1"/>
      <c r="UTG66" s="1"/>
      <c r="UTH66" s="1"/>
      <c r="UTI66" s="1"/>
      <c r="UTJ66" s="1"/>
      <c r="UTK66" s="1"/>
      <c r="UTL66" s="1"/>
      <c r="UTM66" s="1"/>
      <c r="UTN66" s="1"/>
      <c r="UTO66" s="1"/>
      <c r="UTP66" s="1"/>
      <c r="UTQ66" s="1"/>
      <c r="UTR66" s="1"/>
      <c r="UTS66" s="1"/>
      <c r="UTT66" s="1"/>
      <c r="UTU66" s="1"/>
      <c r="UTV66" s="1"/>
      <c r="UTW66" s="1"/>
      <c r="UTX66" s="1"/>
      <c r="UTY66" s="1"/>
      <c r="UTZ66" s="1"/>
      <c r="UUA66" s="1"/>
      <c r="UUB66" s="1"/>
      <c r="UUC66" s="1"/>
      <c r="UUD66" s="1"/>
      <c r="UUE66" s="1"/>
      <c r="UUF66" s="1"/>
      <c r="UUG66" s="1"/>
      <c r="UUH66" s="1"/>
      <c r="UUI66" s="1"/>
      <c r="UUJ66" s="1"/>
      <c r="UUK66" s="1"/>
      <c r="UUL66" s="1"/>
      <c r="UUM66" s="1"/>
      <c r="UUN66" s="1"/>
      <c r="UUO66" s="1"/>
      <c r="UUP66" s="1"/>
      <c r="UUQ66" s="1"/>
      <c r="UUR66" s="1"/>
      <c r="UUS66" s="1"/>
      <c r="UUT66" s="1"/>
      <c r="UUU66" s="1"/>
      <c r="UUV66" s="1"/>
      <c r="UUW66" s="1"/>
      <c r="UUX66" s="1"/>
      <c r="UUY66" s="1"/>
      <c r="UUZ66" s="1"/>
      <c r="UVA66" s="1"/>
      <c r="UVB66" s="1"/>
      <c r="UVC66" s="1"/>
      <c r="UVD66" s="1"/>
      <c r="UVE66" s="1"/>
      <c r="UVF66" s="1"/>
      <c r="UVG66" s="1"/>
      <c r="UVH66" s="1"/>
      <c r="UVI66" s="1"/>
      <c r="UVJ66" s="1"/>
      <c r="UVK66" s="1"/>
      <c r="UVL66" s="1"/>
      <c r="UVM66" s="1"/>
      <c r="UVN66" s="1"/>
      <c r="UVO66" s="1"/>
      <c r="UVP66" s="1"/>
      <c r="UVQ66" s="1"/>
      <c r="UVR66" s="1"/>
      <c r="UVS66" s="1"/>
      <c r="UVT66" s="1"/>
      <c r="UVU66" s="1"/>
      <c r="UVV66" s="1"/>
      <c r="UVW66" s="1"/>
      <c r="UVX66" s="1"/>
      <c r="UVY66" s="1"/>
      <c r="UVZ66" s="1"/>
      <c r="UWA66" s="1"/>
      <c r="UWB66" s="1"/>
      <c r="UWC66" s="1"/>
      <c r="UWD66" s="1"/>
      <c r="UWE66" s="1"/>
      <c r="UWF66" s="1"/>
      <c r="UWG66" s="1"/>
      <c r="UWH66" s="1"/>
      <c r="UWI66" s="1"/>
      <c r="UWJ66" s="1"/>
      <c r="UWK66" s="1"/>
      <c r="UWL66" s="1"/>
      <c r="UWM66" s="1"/>
      <c r="UWN66" s="1"/>
      <c r="UWO66" s="1"/>
      <c r="UWP66" s="1"/>
      <c r="UWQ66" s="1"/>
      <c r="UWR66" s="1"/>
      <c r="UWS66" s="1"/>
      <c r="UWT66" s="1"/>
      <c r="UWU66" s="1"/>
      <c r="UWV66" s="1"/>
      <c r="UWW66" s="1"/>
      <c r="UWX66" s="1"/>
      <c r="UWY66" s="1"/>
      <c r="UWZ66" s="1"/>
      <c r="UXA66" s="1"/>
      <c r="UXB66" s="1"/>
      <c r="UXC66" s="1"/>
      <c r="UXD66" s="1"/>
      <c r="UXE66" s="1"/>
      <c r="UXF66" s="1"/>
      <c r="UXG66" s="1"/>
      <c r="UXH66" s="1"/>
      <c r="UXI66" s="1"/>
      <c r="UXJ66" s="1"/>
      <c r="UXK66" s="1"/>
      <c r="UXL66" s="1"/>
      <c r="UXM66" s="1"/>
      <c r="UXN66" s="1"/>
      <c r="UXO66" s="1"/>
      <c r="UXP66" s="1"/>
      <c r="UXQ66" s="1"/>
      <c r="UXR66" s="1"/>
      <c r="UXS66" s="1"/>
      <c r="UXT66" s="1"/>
      <c r="UXU66" s="1"/>
      <c r="UXV66" s="1"/>
      <c r="UXW66" s="1"/>
      <c r="UXX66" s="1"/>
      <c r="UXY66" s="1"/>
      <c r="UXZ66" s="1"/>
      <c r="UYA66" s="1"/>
      <c r="UYB66" s="1"/>
      <c r="UYC66" s="1"/>
      <c r="UYD66" s="1"/>
      <c r="UYE66" s="1"/>
      <c r="UYF66" s="1"/>
      <c r="UYG66" s="1"/>
      <c r="UYH66" s="1"/>
      <c r="UYI66" s="1"/>
      <c r="UYJ66" s="1"/>
      <c r="UYK66" s="1"/>
      <c r="UYL66" s="1"/>
      <c r="UYM66" s="1"/>
      <c r="UYN66" s="1"/>
      <c r="UYO66" s="1"/>
      <c r="UYP66" s="1"/>
      <c r="UYQ66" s="1"/>
      <c r="UYR66" s="1"/>
      <c r="UYS66" s="1"/>
      <c r="UYT66" s="1"/>
      <c r="UYU66" s="1"/>
      <c r="UYV66" s="1"/>
      <c r="UYW66" s="1"/>
      <c r="UYX66" s="1"/>
      <c r="UYY66" s="1"/>
      <c r="UYZ66" s="1"/>
      <c r="UZA66" s="1"/>
      <c r="UZB66" s="1"/>
      <c r="UZC66" s="1"/>
      <c r="UZD66" s="1"/>
      <c r="UZE66" s="1"/>
      <c r="UZF66" s="1"/>
      <c r="UZG66" s="1"/>
      <c r="UZH66" s="1"/>
      <c r="UZI66" s="1"/>
      <c r="UZJ66" s="1"/>
      <c r="UZK66" s="1"/>
      <c r="UZL66" s="1"/>
      <c r="UZM66" s="1"/>
      <c r="UZN66" s="1"/>
      <c r="UZO66" s="1"/>
      <c r="UZP66" s="1"/>
      <c r="UZQ66" s="1"/>
      <c r="UZR66" s="1"/>
      <c r="UZS66" s="1"/>
      <c r="UZT66" s="1"/>
      <c r="UZU66" s="1"/>
      <c r="UZV66" s="1"/>
      <c r="UZW66" s="1"/>
      <c r="UZX66" s="1"/>
      <c r="UZY66" s="1"/>
      <c r="UZZ66" s="1"/>
      <c r="VAA66" s="1"/>
      <c r="VAB66" s="1"/>
      <c r="VAC66" s="1"/>
      <c r="VAD66" s="1"/>
      <c r="VAE66" s="1"/>
      <c r="VAF66" s="1"/>
      <c r="VAG66" s="1"/>
      <c r="VAH66" s="1"/>
      <c r="VAI66" s="1"/>
      <c r="VAJ66" s="1"/>
      <c r="VAK66" s="1"/>
      <c r="VAL66" s="1"/>
      <c r="VAM66" s="1"/>
      <c r="VAN66" s="1"/>
      <c r="VAO66" s="1"/>
      <c r="VAP66" s="1"/>
      <c r="VAQ66" s="1"/>
      <c r="VAR66" s="1"/>
      <c r="VAS66" s="1"/>
      <c r="VAT66" s="1"/>
      <c r="VAU66" s="1"/>
      <c r="VAV66" s="1"/>
      <c r="VAW66" s="1"/>
      <c r="VAX66" s="1"/>
      <c r="VAY66" s="1"/>
      <c r="VAZ66" s="1"/>
      <c r="VBA66" s="1"/>
      <c r="VBB66" s="1"/>
      <c r="VBC66" s="1"/>
      <c r="VBD66" s="1"/>
      <c r="VBE66" s="1"/>
      <c r="VBF66" s="1"/>
      <c r="VBG66" s="1"/>
      <c r="VBH66" s="1"/>
      <c r="VBI66" s="1"/>
      <c r="VBJ66" s="1"/>
      <c r="VBK66" s="1"/>
      <c r="VBL66" s="1"/>
      <c r="VBM66" s="1"/>
      <c r="VBN66" s="1"/>
      <c r="VBO66" s="1"/>
      <c r="VBP66" s="1"/>
      <c r="VBQ66" s="1"/>
      <c r="VBR66" s="1"/>
      <c r="VBS66" s="1"/>
      <c r="VBT66" s="1"/>
      <c r="VBU66" s="1"/>
      <c r="VBV66" s="1"/>
      <c r="VBW66" s="1"/>
      <c r="VBX66" s="1"/>
      <c r="VBY66" s="1"/>
      <c r="VBZ66" s="1"/>
      <c r="VCA66" s="1"/>
      <c r="VCB66" s="1"/>
      <c r="VCC66" s="1"/>
      <c r="VCD66" s="1"/>
      <c r="VCE66" s="1"/>
      <c r="VCF66" s="1"/>
      <c r="VCG66" s="1"/>
      <c r="VCH66" s="1"/>
      <c r="VCI66" s="1"/>
      <c r="VCJ66" s="1"/>
      <c r="VCK66" s="1"/>
      <c r="VCL66" s="1"/>
      <c r="VCM66" s="1"/>
      <c r="VCN66" s="1"/>
      <c r="VCO66" s="1"/>
      <c r="VCP66" s="1"/>
      <c r="VCQ66" s="1"/>
      <c r="VCR66" s="1"/>
      <c r="VCS66" s="1"/>
      <c r="VCT66" s="1"/>
      <c r="VCU66" s="1"/>
      <c r="VCV66" s="1"/>
      <c r="VCW66" s="1"/>
      <c r="VCX66" s="1"/>
      <c r="VCY66" s="1"/>
      <c r="VCZ66" s="1"/>
      <c r="VDA66" s="1"/>
      <c r="VDB66" s="1"/>
      <c r="VDC66" s="1"/>
      <c r="VDD66" s="1"/>
      <c r="VDE66" s="1"/>
      <c r="VDF66" s="1"/>
      <c r="VDG66" s="1"/>
      <c r="VDH66" s="1"/>
      <c r="VDI66" s="1"/>
      <c r="VDJ66" s="1"/>
      <c r="VDK66" s="1"/>
      <c r="VDL66" s="1"/>
      <c r="VDM66" s="1"/>
      <c r="VDN66" s="1"/>
      <c r="VDO66" s="1"/>
      <c r="VDP66" s="1"/>
      <c r="VDQ66" s="1"/>
      <c r="VDR66" s="1"/>
      <c r="VDS66" s="1"/>
      <c r="VDT66" s="1"/>
      <c r="VDU66" s="1"/>
      <c r="VDV66" s="1"/>
      <c r="VDW66" s="1"/>
      <c r="VDX66" s="1"/>
      <c r="VDY66" s="1"/>
      <c r="VDZ66" s="1"/>
      <c r="VEA66" s="1"/>
      <c r="VEB66" s="1"/>
      <c r="VEC66" s="1"/>
      <c r="VED66" s="1"/>
      <c r="VEE66" s="1"/>
      <c r="VEF66" s="1"/>
      <c r="VEG66" s="1"/>
      <c r="VEH66" s="1"/>
      <c r="VEI66" s="1"/>
      <c r="VEJ66" s="1"/>
      <c r="VEK66" s="1"/>
      <c r="VEL66" s="1"/>
      <c r="VEM66" s="1"/>
      <c r="VEN66" s="1"/>
      <c r="VEO66" s="1"/>
      <c r="VEP66" s="1"/>
      <c r="VEQ66" s="1"/>
      <c r="VER66" s="1"/>
      <c r="VES66" s="1"/>
      <c r="VET66" s="1"/>
      <c r="VEU66" s="1"/>
      <c r="VEV66" s="1"/>
      <c r="VEW66" s="1"/>
      <c r="VEX66" s="1"/>
      <c r="VEY66" s="1"/>
      <c r="VEZ66" s="1"/>
      <c r="VFA66" s="1"/>
      <c r="VFB66" s="1"/>
      <c r="VFC66" s="1"/>
      <c r="VFD66" s="1"/>
      <c r="VFE66" s="1"/>
      <c r="VFF66" s="1"/>
      <c r="VFG66" s="1"/>
      <c r="VFH66" s="1"/>
      <c r="VFI66" s="1"/>
      <c r="VFJ66" s="1"/>
      <c r="VFK66" s="1"/>
      <c r="VFL66" s="1"/>
      <c r="VFM66" s="1"/>
      <c r="VFN66" s="1"/>
      <c r="VFO66" s="1"/>
      <c r="VFP66" s="1"/>
      <c r="VFQ66" s="1"/>
      <c r="VFR66" s="1"/>
      <c r="VFS66" s="1"/>
      <c r="VFT66" s="1"/>
      <c r="VFU66" s="1"/>
      <c r="VFV66" s="1"/>
      <c r="VFW66" s="1"/>
      <c r="VFX66" s="1"/>
      <c r="VFY66" s="1"/>
      <c r="VFZ66" s="1"/>
      <c r="VGA66" s="1"/>
      <c r="VGB66" s="1"/>
      <c r="VGC66" s="1"/>
      <c r="VGD66" s="1"/>
      <c r="VGE66" s="1"/>
      <c r="VGF66" s="1"/>
      <c r="VGG66" s="1"/>
      <c r="VGH66" s="1"/>
      <c r="VGI66" s="1"/>
      <c r="VGJ66" s="1"/>
      <c r="VGK66" s="1"/>
      <c r="VGL66" s="1"/>
      <c r="VGM66" s="1"/>
      <c r="VGN66" s="1"/>
      <c r="VGO66" s="1"/>
      <c r="VGP66" s="1"/>
      <c r="VGQ66" s="1"/>
      <c r="VGR66" s="1"/>
      <c r="VGS66" s="1"/>
      <c r="VGT66" s="1"/>
      <c r="VGU66" s="1"/>
      <c r="VGV66" s="1"/>
      <c r="VGW66" s="1"/>
      <c r="VGX66" s="1"/>
      <c r="VGY66" s="1"/>
      <c r="VGZ66" s="1"/>
      <c r="VHA66" s="1"/>
      <c r="VHB66" s="1"/>
      <c r="VHC66" s="1"/>
      <c r="VHD66" s="1"/>
      <c r="VHE66" s="1"/>
      <c r="VHF66" s="1"/>
      <c r="VHG66" s="1"/>
      <c r="VHH66" s="1"/>
      <c r="VHI66" s="1"/>
      <c r="VHJ66" s="1"/>
      <c r="VHK66" s="1"/>
      <c r="VHL66" s="1"/>
      <c r="VHM66" s="1"/>
      <c r="VHN66" s="1"/>
      <c r="VHO66" s="1"/>
      <c r="VHP66" s="1"/>
      <c r="VHQ66" s="1"/>
      <c r="VHR66" s="1"/>
      <c r="VHS66" s="1"/>
      <c r="VHT66" s="1"/>
      <c r="VHU66" s="1"/>
      <c r="VHV66" s="1"/>
      <c r="VHW66" s="1"/>
      <c r="VHX66" s="1"/>
      <c r="VHY66" s="1"/>
      <c r="VHZ66" s="1"/>
      <c r="VIA66" s="1"/>
      <c r="VIB66" s="1"/>
      <c r="VIC66" s="1"/>
      <c r="VID66" s="1"/>
      <c r="VIE66" s="1"/>
      <c r="VIF66" s="1"/>
      <c r="VIG66" s="1"/>
      <c r="VIH66" s="1"/>
      <c r="VII66" s="1"/>
      <c r="VIJ66" s="1"/>
      <c r="VIK66" s="1"/>
      <c r="VIL66" s="1"/>
      <c r="VIM66" s="1"/>
      <c r="VIN66" s="1"/>
      <c r="VIO66" s="1"/>
      <c r="VIP66" s="1"/>
      <c r="VIQ66" s="1"/>
      <c r="VIR66" s="1"/>
      <c r="VIS66" s="1"/>
      <c r="VIT66" s="1"/>
      <c r="VIU66" s="1"/>
      <c r="VIV66" s="1"/>
      <c r="VIW66" s="1"/>
      <c r="VIX66" s="1"/>
      <c r="VIY66" s="1"/>
      <c r="VIZ66" s="1"/>
      <c r="VJA66" s="1"/>
      <c r="VJB66" s="1"/>
      <c r="VJC66" s="1"/>
      <c r="VJD66" s="1"/>
      <c r="VJE66" s="1"/>
      <c r="VJF66" s="1"/>
      <c r="VJG66" s="1"/>
      <c r="VJH66" s="1"/>
      <c r="VJI66" s="1"/>
      <c r="VJJ66" s="1"/>
      <c r="VJK66" s="1"/>
      <c r="VJL66" s="1"/>
      <c r="VJM66" s="1"/>
      <c r="VJN66" s="1"/>
      <c r="VJO66" s="1"/>
      <c r="VJP66" s="1"/>
      <c r="VJQ66" s="1"/>
      <c r="VJR66" s="1"/>
      <c r="VJS66" s="1"/>
      <c r="VJT66" s="1"/>
      <c r="VJU66" s="1"/>
      <c r="VJV66" s="1"/>
      <c r="VJW66" s="1"/>
      <c r="VJX66" s="1"/>
      <c r="VJY66" s="1"/>
      <c r="VJZ66" s="1"/>
      <c r="VKA66" s="1"/>
      <c r="VKB66" s="1"/>
      <c r="VKC66" s="1"/>
      <c r="VKD66" s="1"/>
      <c r="VKE66" s="1"/>
      <c r="VKF66" s="1"/>
      <c r="VKG66" s="1"/>
      <c r="VKH66" s="1"/>
      <c r="VKI66" s="1"/>
      <c r="VKJ66" s="1"/>
      <c r="VKK66" s="1"/>
      <c r="VKL66" s="1"/>
      <c r="VKM66" s="1"/>
      <c r="VKN66" s="1"/>
      <c r="VKO66" s="1"/>
      <c r="VKP66" s="1"/>
      <c r="VKQ66" s="1"/>
      <c r="VKR66" s="1"/>
      <c r="VKS66" s="1"/>
      <c r="VKT66" s="1"/>
      <c r="VKU66" s="1"/>
      <c r="VKV66" s="1"/>
      <c r="VKW66" s="1"/>
      <c r="VKX66" s="1"/>
      <c r="VKY66" s="1"/>
      <c r="VKZ66" s="1"/>
      <c r="VLA66" s="1"/>
      <c r="VLB66" s="1"/>
      <c r="VLC66" s="1"/>
      <c r="VLD66" s="1"/>
      <c r="VLE66" s="1"/>
      <c r="VLF66" s="1"/>
      <c r="VLG66" s="1"/>
      <c r="VLH66" s="1"/>
      <c r="VLI66" s="1"/>
      <c r="VLJ66" s="1"/>
      <c r="VLK66" s="1"/>
      <c r="VLL66" s="1"/>
      <c r="VLM66" s="1"/>
      <c r="VLN66" s="1"/>
      <c r="VLO66" s="1"/>
      <c r="VLP66" s="1"/>
      <c r="VLQ66" s="1"/>
      <c r="VLR66" s="1"/>
      <c r="VLS66" s="1"/>
      <c r="VLT66" s="1"/>
      <c r="VLU66" s="1"/>
      <c r="VLV66" s="1"/>
      <c r="VLW66" s="1"/>
      <c r="VLX66" s="1"/>
      <c r="VLY66" s="1"/>
      <c r="VLZ66" s="1"/>
      <c r="VMA66" s="1"/>
      <c r="VMB66" s="1"/>
      <c r="VMC66" s="1"/>
      <c r="VMD66" s="1"/>
      <c r="VME66" s="1"/>
      <c r="VMF66" s="1"/>
      <c r="VMG66" s="1"/>
      <c r="VMH66" s="1"/>
      <c r="VMI66" s="1"/>
      <c r="VMJ66" s="1"/>
      <c r="VMK66" s="1"/>
      <c r="VML66" s="1"/>
      <c r="VMM66" s="1"/>
      <c r="VMN66" s="1"/>
      <c r="VMO66" s="1"/>
      <c r="VMP66" s="1"/>
      <c r="VMQ66" s="1"/>
      <c r="VMR66" s="1"/>
      <c r="VMS66" s="1"/>
      <c r="VMT66" s="1"/>
      <c r="VMU66" s="1"/>
      <c r="VMV66" s="1"/>
      <c r="VMW66" s="1"/>
      <c r="VMX66" s="1"/>
      <c r="VMY66" s="1"/>
      <c r="VMZ66" s="1"/>
      <c r="VNA66" s="1"/>
      <c r="VNB66" s="1"/>
      <c r="VNC66" s="1"/>
      <c r="VND66" s="1"/>
      <c r="VNE66" s="1"/>
      <c r="VNF66" s="1"/>
      <c r="VNG66" s="1"/>
      <c r="VNH66" s="1"/>
      <c r="VNI66" s="1"/>
      <c r="VNJ66" s="1"/>
      <c r="VNK66" s="1"/>
      <c r="VNL66" s="1"/>
      <c r="VNM66" s="1"/>
      <c r="VNN66" s="1"/>
      <c r="VNO66" s="1"/>
      <c r="VNP66" s="1"/>
      <c r="VNQ66" s="1"/>
      <c r="VNR66" s="1"/>
      <c r="VNS66" s="1"/>
      <c r="VNT66" s="1"/>
      <c r="VNU66" s="1"/>
      <c r="VNV66" s="1"/>
      <c r="VNW66" s="1"/>
      <c r="VNX66" s="1"/>
      <c r="VNY66" s="1"/>
      <c r="VNZ66" s="1"/>
      <c r="VOA66" s="1"/>
      <c r="VOB66" s="1"/>
      <c r="VOC66" s="1"/>
      <c r="VOD66" s="1"/>
      <c r="VOE66" s="1"/>
      <c r="VOF66" s="1"/>
      <c r="VOG66" s="1"/>
      <c r="VOH66" s="1"/>
      <c r="VOI66" s="1"/>
      <c r="VOJ66" s="1"/>
      <c r="VOK66" s="1"/>
      <c r="VOL66" s="1"/>
      <c r="VOM66" s="1"/>
      <c r="VON66" s="1"/>
      <c r="VOO66" s="1"/>
      <c r="VOP66" s="1"/>
      <c r="VOQ66" s="1"/>
      <c r="VOR66" s="1"/>
      <c r="VOS66" s="1"/>
      <c r="VOT66" s="1"/>
      <c r="VOU66" s="1"/>
      <c r="VOV66" s="1"/>
      <c r="VOW66" s="1"/>
      <c r="VOX66" s="1"/>
      <c r="VOY66" s="1"/>
      <c r="VOZ66" s="1"/>
      <c r="VPA66" s="1"/>
      <c r="VPB66" s="1"/>
      <c r="VPC66" s="1"/>
      <c r="VPD66" s="1"/>
      <c r="VPE66" s="1"/>
      <c r="VPF66" s="1"/>
      <c r="VPG66" s="1"/>
      <c r="VPH66" s="1"/>
      <c r="VPI66" s="1"/>
      <c r="VPJ66" s="1"/>
      <c r="VPK66" s="1"/>
      <c r="VPL66" s="1"/>
      <c r="VPM66" s="1"/>
      <c r="VPN66" s="1"/>
      <c r="VPO66" s="1"/>
      <c r="VPP66" s="1"/>
      <c r="VPQ66" s="1"/>
      <c r="VPR66" s="1"/>
      <c r="VPS66" s="1"/>
      <c r="VPT66" s="1"/>
      <c r="VPU66" s="1"/>
      <c r="VPV66" s="1"/>
      <c r="VPW66" s="1"/>
      <c r="VPX66" s="1"/>
      <c r="VPY66" s="1"/>
      <c r="VPZ66" s="1"/>
      <c r="VQA66" s="1"/>
      <c r="VQB66" s="1"/>
      <c r="VQC66" s="1"/>
      <c r="VQD66" s="1"/>
      <c r="VQE66" s="1"/>
      <c r="VQF66" s="1"/>
      <c r="VQG66" s="1"/>
      <c r="VQH66" s="1"/>
      <c r="VQI66" s="1"/>
      <c r="VQJ66" s="1"/>
      <c r="VQK66" s="1"/>
      <c r="VQL66" s="1"/>
      <c r="VQM66" s="1"/>
      <c r="VQN66" s="1"/>
      <c r="VQO66" s="1"/>
      <c r="VQP66" s="1"/>
      <c r="VQQ66" s="1"/>
      <c r="VQR66" s="1"/>
      <c r="VQS66" s="1"/>
      <c r="VQT66" s="1"/>
      <c r="VQU66" s="1"/>
      <c r="VQV66" s="1"/>
      <c r="VQW66" s="1"/>
      <c r="VQX66" s="1"/>
      <c r="VQY66" s="1"/>
      <c r="VQZ66" s="1"/>
      <c r="VRA66" s="1"/>
      <c r="VRB66" s="1"/>
      <c r="VRC66" s="1"/>
      <c r="VRD66" s="1"/>
      <c r="VRE66" s="1"/>
      <c r="VRF66" s="1"/>
      <c r="VRG66" s="1"/>
      <c r="VRH66" s="1"/>
      <c r="VRI66" s="1"/>
      <c r="VRJ66" s="1"/>
      <c r="VRK66" s="1"/>
      <c r="VRL66" s="1"/>
      <c r="VRM66" s="1"/>
      <c r="VRN66" s="1"/>
      <c r="VRO66" s="1"/>
      <c r="VRP66" s="1"/>
      <c r="VRQ66" s="1"/>
      <c r="VRR66" s="1"/>
      <c r="VRS66" s="1"/>
      <c r="VRT66" s="1"/>
      <c r="VRU66" s="1"/>
      <c r="VRV66" s="1"/>
      <c r="VRW66" s="1"/>
      <c r="VRX66" s="1"/>
      <c r="VRY66" s="1"/>
      <c r="VRZ66" s="1"/>
      <c r="VSA66" s="1"/>
      <c r="VSB66" s="1"/>
      <c r="VSC66" s="1"/>
      <c r="VSD66" s="1"/>
      <c r="VSE66" s="1"/>
      <c r="VSF66" s="1"/>
      <c r="VSG66" s="1"/>
      <c r="VSH66" s="1"/>
      <c r="VSI66" s="1"/>
      <c r="VSJ66" s="1"/>
      <c r="VSK66" s="1"/>
      <c r="VSL66" s="1"/>
      <c r="VSM66" s="1"/>
      <c r="VSN66" s="1"/>
      <c r="VSO66" s="1"/>
      <c r="VSP66" s="1"/>
      <c r="VSQ66" s="1"/>
      <c r="VSR66" s="1"/>
      <c r="VSS66" s="1"/>
      <c r="VST66" s="1"/>
      <c r="VSU66" s="1"/>
      <c r="VSV66" s="1"/>
      <c r="VSW66" s="1"/>
      <c r="VSX66" s="1"/>
      <c r="VSY66" s="1"/>
      <c r="VSZ66" s="1"/>
      <c r="VTA66" s="1"/>
      <c r="VTB66" s="1"/>
      <c r="VTC66" s="1"/>
      <c r="VTD66" s="1"/>
      <c r="VTE66" s="1"/>
      <c r="VTF66" s="1"/>
      <c r="VTG66" s="1"/>
      <c r="VTH66" s="1"/>
      <c r="VTI66" s="1"/>
      <c r="VTJ66" s="1"/>
      <c r="VTK66" s="1"/>
      <c r="VTL66" s="1"/>
      <c r="VTM66" s="1"/>
      <c r="VTN66" s="1"/>
      <c r="VTO66" s="1"/>
      <c r="VTP66" s="1"/>
      <c r="VTQ66" s="1"/>
      <c r="VTR66" s="1"/>
      <c r="VTS66" s="1"/>
      <c r="VTT66" s="1"/>
      <c r="VTU66" s="1"/>
      <c r="VTV66" s="1"/>
      <c r="VTW66" s="1"/>
      <c r="VTX66" s="1"/>
      <c r="VTY66" s="1"/>
      <c r="VTZ66" s="1"/>
      <c r="VUA66" s="1"/>
      <c r="VUB66" s="1"/>
      <c r="VUC66" s="1"/>
      <c r="VUD66" s="1"/>
      <c r="VUE66" s="1"/>
      <c r="VUF66" s="1"/>
      <c r="VUG66" s="1"/>
      <c r="VUH66" s="1"/>
      <c r="VUI66" s="1"/>
      <c r="VUJ66" s="1"/>
      <c r="VUK66" s="1"/>
      <c r="VUL66" s="1"/>
      <c r="VUM66" s="1"/>
      <c r="VUN66" s="1"/>
      <c r="VUO66" s="1"/>
      <c r="VUP66" s="1"/>
      <c r="VUQ66" s="1"/>
      <c r="VUR66" s="1"/>
      <c r="VUS66" s="1"/>
      <c r="VUT66" s="1"/>
      <c r="VUU66" s="1"/>
      <c r="VUV66" s="1"/>
      <c r="VUW66" s="1"/>
      <c r="VUX66" s="1"/>
      <c r="VUY66" s="1"/>
      <c r="VUZ66" s="1"/>
      <c r="VVA66" s="1"/>
      <c r="VVB66" s="1"/>
      <c r="VVC66" s="1"/>
      <c r="VVD66" s="1"/>
      <c r="VVE66" s="1"/>
      <c r="VVF66" s="1"/>
      <c r="VVG66" s="1"/>
      <c r="VVH66" s="1"/>
      <c r="VVI66" s="1"/>
      <c r="VVJ66" s="1"/>
      <c r="VVK66" s="1"/>
      <c r="VVL66" s="1"/>
      <c r="VVM66" s="1"/>
      <c r="VVN66" s="1"/>
      <c r="VVO66" s="1"/>
      <c r="VVP66" s="1"/>
      <c r="VVQ66" s="1"/>
      <c r="VVR66" s="1"/>
      <c r="VVS66" s="1"/>
      <c r="VVT66" s="1"/>
      <c r="VVU66" s="1"/>
      <c r="VVV66" s="1"/>
      <c r="VVW66" s="1"/>
      <c r="VVX66" s="1"/>
      <c r="VVY66" s="1"/>
      <c r="VVZ66" s="1"/>
      <c r="VWA66" s="1"/>
      <c r="VWB66" s="1"/>
      <c r="VWC66" s="1"/>
      <c r="VWD66" s="1"/>
      <c r="VWE66" s="1"/>
      <c r="VWF66" s="1"/>
      <c r="VWG66" s="1"/>
      <c r="VWH66" s="1"/>
      <c r="VWI66" s="1"/>
      <c r="VWJ66" s="1"/>
      <c r="VWK66" s="1"/>
      <c r="VWL66" s="1"/>
      <c r="VWM66" s="1"/>
      <c r="VWN66" s="1"/>
      <c r="VWO66" s="1"/>
      <c r="VWP66" s="1"/>
      <c r="VWQ66" s="1"/>
      <c r="VWR66" s="1"/>
      <c r="VWS66" s="1"/>
      <c r="VWT66" s="1"/>
      <c r="VWU66" s="1"/>
      <c r="VWV66" s="1"/>
      <c r="VWW66" s="1"/>
      <c r="VWX66" s="1"/>
      <c r="VWY66" s="1"/>
      <c r="VWZ66" s="1"/>
      <c r="VXA66" s="1"/>
      <c r="VXB66" s="1"/>
      <c r="VXC66" s="1"/>
      <c r="VXD66" s="1"/>
      <c r="VXE66" s="1"/>
      <c r="VXF66" s="1"/>
      <c r="VXG66" s="1"/>
      <c r="VXH66" s="1"/>
      <c r="VXI66" s="1"/>
      <c r="VXJ66" s="1"/>
      <c r="VXK66" s="1"/>
      <c r="VXL66" s="1"/>
      <c r="VXM66" s="1"/>
      <c r="VXN66" s="1"/>
      <c r="VXO66" s="1"/>
      <c r="VXP66" s="1"/>
      <c r="VXQ66" s="1"/>
      <c r="VXR66" s="1"/>
      <c r="VXS66" s="1"/>
      <c r="VXT66" s="1"/>
      <c r="VXU66" s="1"/>
      <c r="VXV66" s="1"/>
      <c r="VXW66" s="1"/>
      <c r="VXX66" s="1"/>
      <c r="VXY66" s="1"/>
      <c r="VXZ66" s="1"/>
      <c r="VYA66" s="1"/>
      <c r="VYB66" s="1"/>
      <c r="VYC66" s="1"/>
      <c r="VYD66" s="1"/>
      <c r="VYE66" s="1"/>
      <c r="VYF66" s="1"/>
      <c r="VYG66" s="1"/>
      <c r="VYH66" s="1"/>
      <c r="VYI66" s="1"/>
      <c r="VYJ66" s="1"/>
      <c r="VYK66" s="1"/>
      <c r="VYL66" s="1"/>
      <c r="VYM66" s="1"/>
      <c r="VYN66" s="1"/>
      <c r="VYO66" s="1"/>
      <c r="VYP66" s="1"/>
      <c r="VYQ66" s="1"/>
      <c r="VYR66" s="1"/>
      <c r="VYS66" s="1"/>
      <c r="VYT66" s="1"/>
      <c r="VYU66" s="1"/>
      <c r="VYV66" s="1"/>
      <c r="VYW66" s="1"/>
      <c r="VYX66" s="1"/>
      <c r="VYY66" s="1"/>
      <c r="VYZ66" s="1"/>
      <c r="VZA66" s="1"/>
      <c r="VZB66" s="1"/>
      <c r="VZC66" s="1"/>
      <c r="VZD66" s="1"/>
      <c r="VZE66" s="1"/>
      <c r="VZF66" s="1"/>
      <c r="VZG66" s="1"/>
      <c r="VZH66" s="1"/>
      <c r="VZI66" s="1"/>
      <c r="VZJ66" s="1"/>
      <c r="VZK66" s="1"/>
      <c r="VZL66" s="1"/>
      <c r="VZM66" s="1"/>
      <c r="VZN66" s="1"/>
      <c r="VZO66" s="1"/>
      <c r="VZP66" s="1"/>
      <c r="VZQ66" s="1"/>
      <c r="VZR66" s="1"/>
      <c r="VZS66" s="1"/>
      <c r="VZT66" s="1"/>
      <c r="VZU66" s="1"/>
      <c r="VZV66" s="1"/>
      <c r="VZW66" s="1"/>
      <c r="VZX66" s="1"/>
      <c r="VZY66" s="1"/>
      <c r="VZZ66" s="1"/>
      <c r="WAA66" s="1"/>
      <c r="WAB66" s="1"/>
      <c r="WAC66" s="1"/>
      <c r="WAD66" s="1"/>
      <c r="WAE66" s="1"/>
      <c r="WAF66" s="1"/>
      <c r="WAG66" s="1"/>
      <c r="WAH66" s="1"/>
      <c r="WAI66" s="1"/>
      <c r="WAJ66" s="1"/>
      <c r="WAK66" s="1"/>
      <c r="WAL66" s="1"/>
      <c r="WAM66" s="1"/>
      <c r="WAN66" s="1"/>
      <c r="WAO66" s="1"/>
      <c r="WAP66" s="1"/>
      <c r="WAQ66" s="1"/>
      <c r="WAR66" s="1"/>
      <c r="WAS66" s="1"/>
      <c r="WAT66" s="1"/>
      <c r="WAU66" s="1"/>
      <c r="WAV66" s="1"/>
      <c r="WAW66" s="1"/>
      <c r="WAX66" s="1"/>
      <c r="WAY66" s="1"/>
      <c r="WAZ66" s="1"/>
      <c r="WBA66" s="1"/>
      <c r="WBB66" s="1"/>
      <c r="WBC66" s="1"/>
      <c r="WBD66" s="1"/>
      <c r="WBE66" s="1"/>
      <c r="WBF66" s="1"/>
      <c r="WBG66" s="1"/>
      <c r="WBH66" s="1"/>
      <c r="WBI66" s="1"/>
      <c r="WBJ66" s="1"/>
      <c r="WBK66" s="1"/>
      <c r="WBL66" s="1"/>
      <c r="WBM66" s="1"/>
      <c r="WBN66" s="1"/>
      <c r="WBO66" s="1"/>
      <c r="WBP66" s="1"/>
      <c r="WBQ66" s="1"/>
      <c r="WBR66" s="1"/>
      <c r="WBS66" s="1"/>
      <c r="WBT66" s="1"/>
      <c r="WBU66" s="1"/>
      <c r="WBV66" s="1"/>
      <c r="WBW66" s="1"/>
      <c r="WBX66" s="1"/>
      <c r="WBY66" s="1"/>
      <c r="WBZ66" s="1"/>
      <c r="WCA66" s="1"/>
      <c r="WCB66" s="1"/>
      <c r="WCC66" s="1"/>
      <c r="WCD66" s="1"/>
      <c r="WCE66" s="1"/>
      <c r="WCF66" s="1"/>
      <c r="WCG66" s="1"/>
      <c r="WCH66" s="1"/>
      <c r="WCI66" s="1"/>
      <c r="WCJ66" s="1"/>
      <c r="WCK66" s="1"/>
      <c r="WCL66" s="1"/>
      <c r="WCM66" s="1"/>
      <c r="WCN66" s="1"/>
      <c r="WCO66" s="1"/>
      <c r="WCP66" s="1"/>
      <c r="WCQ66" s="1"/>
      <c r="WCR66" s="1"/>
      <c r="WCS66" s="1"/>
      <c r="WCT66" s="1"/>
      <c r="WCU66" s="1"/>
      <c r="WCV66" s="1"/>
      <c r="WCW66" s="1"/>
      <c r="WCX66" s="1"/>
      <c r="WCY66" s="1"/>
      <c r="WCZ66" s="1"/>
      <c r="WDA66" s="1"/>
      <c r="WDB66" s="1"/>
      <c r="WDC66" s="1"/>
      <c r="WDD66" s="1"/>
      <c r="WDE66" s="1"/>
      <c r="WDF66" s="1"/>
      <c r="WDG66" s="1"/>
      <c r="WDH66" s="1"/>
      <c r="WDI66" s="1"/>
      <c r="WDJ66" s="1"/>
      <c r="WDK66" s="1"/>
      <c r="WDL66" s="1"/>
      <c r="WDM66" s="1"/>
      <c r="WDN66" s="1"/>
      <c r="WDO66" s="1"/>
      <c r="WDP66" s="1"/>
      <c r="WDQ66" s="1"/>
      <c r="WDR66" s="1"/>
      <c r="WDS66" s="1"/>
      <c r="WDT66" s="1"/>
      <c r="WDU66" s="1"/>
      <c r="WDV66" s="1"/>
      <c r="WDW66" s="1"/>
      <c r="WDX66" s="1"/>
      <c r="WDY66" s="1"/>
      <c r="WDZ66" s="1"/>
      <c r="WEA66" s="1"/>
      <c r="WEB66" s="1"/>
      <c r="WEC66" s="1"/>
      <c r="WED66" s="1"/>
      <c r="WEE66" s="1"/>
      <c r="WEF66" s="1"/>
      <c r="WEG66" s="1"/>
      <c r="WEH66" s="1"/>
      <c r="WEI66" s="1"/>
      <c r="WEJ66" s="1"/>
      <c r="WEK66" s="1"/>
      <c r="WEL66" s="1"/>
      <c r="WEM66" s="1"/>
      <c r="WEN66" s="1"/>
      <c r="WEO66" s="1"/>
      <c r="WEP66" s="1"/>
      <c r="WEQ66" s="1"/>
      <c r="WER66" s="1"/>
      <c r="WES66" s="1"/>
      <c r="WET66" s="1"/>
      <c r="WEU66" s="1"/>
      <c r="WEV66" s="1"/>
      <c r="WEW66" s="1"/>
      <c r="WEX66" s="1"/>
      <c r="WEY66" s="1"/>
      <c r="WEZ66" s="1"/>
      <c r="WFA66" s="1"/>
      <c r="WFB66" s="1"/>
      <c r="WFC66" s="1"/>
      <c r="WFD66" s="1"/>
      <c r="WFE66" s="1"/>
      <c r="WFF66" s="1"/>
      <c r="WFG66" s="1"/>
      <c r="WFH66" s="1"/>
      <c r="WFI66" s="1"/>
      <c r="WFJ66" s="1"/>
      <c r="WFK66" s="1"/>
      <c r="WFL66" s="1"/>
      <c r="WFM66" s="1"/>
      <c r="WFN66" s="1"/>
      <c r="WFO66" s="1"/>
      <c r="WFP66" s="1"/>
      <c r="WFQ66" s="1"/>
      <c r="WFR66" s="1"/>
      <c r="WFS66" s="1"/>
      <c r="WFT66" s="1"/>
      <c r="WFU66" s="1"/>
      <c r="WFV66" s="1"/>
      <c r="WFW66" s="1"/>
      <c r="WFX66" s="1"/>
      <c r="WFY66" s="1"/>
      <c r="WFZ66" s="1"/>
      <c r="WGA66" s="1"/>
      <c r="WGB66" s="1"/>
      <c r="WGC66" s="1"/>
      <c r="WGD66" s="1"/>
      <c r="WGE66" s="1"/>
      <c r="WGF66" s="1"/>
      <c r="WGG66" s="1"/>
      <c r="WGH66" s="1"/>
      <c r="WGI66" s="1"/>
      <c r="WGJ66" s="1"/>
      <c r="WGK66" s="1"/>
      <c r="WGL66" s="1"/>
      <c r="WGM66" s="1"/>
      <c r="WGN66" s="1"/>
      <c r="WGO66" s="1"/>
      <c r="WGP66" s="1"/>
      <c r="WGQ66" s="1"/>
      <c r="WGR66" s="1"/>
      <c r="WGS66" s="1"/>
      <c r="WGT66" s="1"/>
      <c r="WGU66" s="1"/>
      <c r="WGV66" s="1"/>
      <c r="WGW66" s="1"/>
      <c r="WGX66" s="1"/>
      <c r="WGY66" s="1"/>
      <c r="WGZ66" s="1"/>
      <c r="WHA66" s="1"/>
      <c r="WHB66" s="1"/>
      <c r="WHC66" s="1"/>
      <c r="WHD66" s="1"/>
      <c r="WHE66" s="1"/>
      <c r="WHF66" s="1"/>
      <c r="WHG66" s="1"/>
      <c r="WHH66" s="1"/>
      <c r="WHI66" s="1"/>
      <c r="WHJ66" s="1"/>
      <c r="WHK66" s="1"/>
      <c r="WHL66" s="1"/>
      <c r="WHM66" s="1"/>
      <c r="WHN66" s="1"/>
      <c r="WHO66" s="1"/>
      <c r="WHP66" s="1"/>
      <c r="WHQ66" s="1"/>
      <c r="WHR66" s="1"/>
      <c r="WHS66" s="1"/>
      <c r="WHT66" s="1"/>
      <c r="WHU66" s="1"/>
      <c r="WHV66" s="1"/>
      <c r="WHW66" s="1"/>
      <c r="WHX66" s="1"/>
      <c r="WHY66" s="1"/>
      <c r="WHZ66" s="1"/>
      <c r="WIA66" s="1"/>
      <c r="WIB66" s="1"/>
      <c r="WIC66" s="1"/>
      <c r="WID66" s="1"/>
      <c r="WIE66" s="1"/>
      <c r="WIF66" s="1"/>
      <c r="WIG66" s="1"/>
      <c r="WIH66" s="1"/>
      <c r="WII66" s="1"/>
      <c r="WIJ66" s="1"/>
      <c r="WIK66" s="1"/>
      <c r="WIL66" s="1"/>
      <c r="WIM66" s="1"/>
      <c r="WIN66" s="1"/>
      <c r="WIO66" s="1"/>
      <c r="WIP66" s="1"/>
      <c r="WIQ66" s="1"/>
      <c r="WIR66" s="1"/>
      <c r="WIS66" s="1"/>
      <c r="WIT66" s="1"/>
      <c r="WIU66" s="1"/>
      <c r="WIV66" s="1"/>
      <c r="WIW66" s="1"/>
      <c r="WIX66" s="1"/>
      <c r="WIY66" s="1"/>
      <c r="WIZ66" s="1"/>
      <c r="WJA66" s="1"/>
      <c r="WJB66" s="1"/>
      <c r="WJC66" s="1"/>
      <c r="WJD66" s="1"/>
      <c r="WJE66" s="1"/>
      <c r="WJF66" s="1"/>
      <c r="WJG66" s="1"/>
      <c r="WJH66" s="1"/>
      <c r="WJI66" s="1"/>
      <c r="WJJ66" s="1"/>
      <c r="WJK66" s="1"/>
      <c r="WJL66" s="1"/>
      <c r="WJM66" s="1"/>
      <c r="WJN66" s="1"/>
      <c r="WJO66" s="1"/>
      <c r="WJP66" s="1"/>
      <c r="WJQ66" s="1"/>
      <c r="WJR66" s="1"/>
      <c r="WJS66" s="1"/>
      <c r="WJT66" s="1"/>
      <c r="WJU66" s="1"/>
      <c r="WJV66" s="1"/>
      <c r="WJW66" s="1"/>
      <c r="WJX66" s="1"/>
      <c r="WJY66" s="1"/>
      <c r="WJZ66" s="1"/>
      <c r="WKA66" s="1"/>
      <c r="WKB66" s="1"/>
      <c r="WKC66" s="1"/>
      <c r="WKD66" s="1"/>
      <c r="WKE66" s="1"/>
      <c r="WKF66" s="1"/>
      <c r="WKG66" s="1"/>
      <c r="WKH66" s="1"/>
      <c r="WKI66" s="1"/>
      <c r="WKJ66" s="1"/>
      <c r="WKK66" s="1"/>
      <c r="WKL66" s="1"/>
      <c r="WKM66" s="1"/>
      <c r="WKN66" s="1"/>
      <c r="WKO66" s="1"/>
      <c r="WKP66" s="1"/>
      <c r="WKQ66" s="1"/>
      <c r="WKR66" s="1"/>
      <c r="WKS66" s="1"/>
      <c r="WKT66" s="1"/>
      <c r="WKU66" s="1"/>
      <c r="WKV66" s="1"/>
      <c r="WKW66" s="1"/>
      <c r="WKX66" s="1"/>
      <c r="WKY66" s="1"/>
      <c r="WKZ66" s="1"/>
      <c r="WLA66" s="1"/>
      <c r="WLB66" s="1"/>
      <c r="WLC66" s="1"/>
      <c r="WLD66" s="1"/>
      <c r="WLE66" s="1"/>
      <c r="WLF66" s="1"/>
      <c r="WLG66" s="1"/>
      <c r="WLH66" s="1"/>
      <c r="WLI66" s="1"/>
      <c r="WLJ66" s="1"/>
      <c r="WLK66" s="1"/>
      <c r="WLL66" s="1"/>
      <c r="WLM66" s="1"/>
      <c r="WLN66" s="1"/>
      <c r="WLO66" s="1"/>
      <c r="WLP66" s="1"/>
      <c r="WLQ66" s="1"/>
      <c r="WLR66" s="1"/>
      <c r="WLS66" s="1"/>
      <c r="WLT66" s="1"/>
      <c r="WLU66" s="1"/>
      <c r="WLV66" s="1"/>
      <c r="WLW66" s="1"/>
      <c r="WLX66" s="1"/>
      <c r="WLY66" s="1"/>
      <c r="WLZ66" s="1"/>
      <c r="WMA66" s="1"/>
      <c r="WMB66" s="1"/>
      <c r="WMC66" s="1"/>
      <c r="WMD66" s="1"/>
      <c r="WME66" s="1"/>
      <c r="WMF66" s="1"/>
      <c r="WMG66" s="1"/>
      <c r="WMH66" s="1"/>
      <c r="WMI66" s="1"/>
      <c r="WMJ66" s="1"/>
      <c r="WMK66" s="1"/>
      <c r="WML66" s="1"/>
      <c r="WMM66" s="1"/>
      <c r="WMN66" s="1"/>
      <c r="WMO66" s="1"/>
      <c r="WMP66" s="1"/>
      <c r="WMQ66" s="1"/>
      <c r="WMR66" s="1"/>
      <c r="WMS66" s="1"/>
      <c r="WMT66" s="1"/>
      <c r="WMU66" s="1"/>
      <c r="WMV66" s="1"/>
      <c r="WMW66" s="1"/>
      <c r="WMX66" s="1"/>
      <c r="WMY66" s="1"/>
      <c r="WMZ66" s="1"/>
      <c r="WNA66" s="1"/>
      <c r="WNB66" s="1"/>
      <c r="WNC66" s="1"/>
      <c r="WND66" s="1"/>
      <c r="WNE66" s="1"/>
      <c r="WNF66" s="1"/>
      <c r="WNG66" s="1"/>
      <c r="WNH66" s="1"/>
      <c r="WNI66" s="1"/>
      <c r="WNJ66" s="1"/>
      <c r="WNK66" s="1"/>
      <c r="WNL66" s="1"/>
      <c r="WNM66" s="1"/>
      <c r="WNN66" s="1"/>
      <c r="WNO66" s="1"/>
      <c r="WNP66" s="1"/>
      <c r="WNQ66" s="1"/>
      <c r="WNR66" s="1"/>
      <c r="WNS66" s="1"/>
      <c r="WNT66" s="1"/>
      <c r="WNU66" s="1"/>
      <c r="WNV66" s="1"/>
      <c r="WNW66" s="1"/>
      <c r="WNX66" s="1"/>
      <c r="WNY66" s="1"/>
      <c r="WNZ66" s="1"/>
      <c r="WOA66" s="1"/>
      <c r="WOB66" s="1"/>
      <c r="WOC66" s="1"/>
      <c r="WOD66" s="1"/>
      <c r="WOE66" s="1"/>
      <c r="WOF66" s="1"/>
      <c r="WOG66" s="1"/>
      <c r="WOH66" s="1"/>
      <c r="WOI66" s="1"/>
      <c r="WOJ66" s="1"/>
      <c r="WOK66" s="1"/>
      <c r="WOL66" s="1"/>
      <c r="WOM66" s="1"/>
      <c r="WON66" s="1"/>
      <c r="WOO66" s="1"/>
      <c r="WOP66" s="1"/>
      <c r="WOQ66" s="1"/>
      <c r="WOR66" s="1"/>
      <c r="WOS66" s="1"/>
      <c r="WOT66" s="1"/>
      <c r="WOU66" s="1"/>
      <c r="WOV66" s="1"/>
      <c r="WOW66" s="1"/>
      <c r="WOX66" s="1"/>
      <c r="WOY66" s="1"/>
      <c r="WOZ66" s="1"/>
      <c r="WPA66" s="1"/>
      <c r="WPB66" s="1"/>
      <c r="WPC66" s="1"/>
      <c r="WPD66" s="1"/>
      <c r="WPE66" s="1"/>
      <c r="WPF66" s="1"/>
      <c r="WPG66" s="1"/>
      <c r="WPH66" s="1"/>
      <c r="WPI66" s="1"/>
      <c r="WPJ66" s="1"/>
      <c r="WPK66" s="1"/>
      <c r="WPL66" s="1"/>
      <c r="WPM66" s="1"/>
      <c r="WPN66" s="1"/>
      <c r="WPO66" s="1"/>
      <c r="WPP66" s="1"/>
      <c r="WPQ66" s="1"/>
      <c r="WPR66" s="1"/>
      <c r="WPS66" s="1"/>
      <c r="WPT66" s="1"/>
      <c r="WPU66" s="1"/>
      <c r="WPV66" s="1"/>
      <c r="WPW66" s="1"/>
      <c r="WPX66" s="1"/>
      <c r="WPY66" s="1"/>
      <c r="WPZ66" s="1"/>
      <c r="WQA66" s="1"/>
      <c r="WQB66" s="1"/>
      <c r="WQC66" s="1"/>
      <c r="WQD66" s="1"/>
      <c r="WQE66" s="1"/>
      <c r="WQF66" s="1"/>
      <c r="WQG66" s="1"/>
      <c r="WQH66" s="1"/>
      <c r="WQI66" s="1"/>
      <c r="WQJ66" s="1"/>
      <c r="WQK66" s="1"/>
      <c r="WQL66" s="1"/>
      <c r="WQM66" s="1"/>
      <c r="WQN66" s="1"/>
      <c r="WQO66" s="1"/>
      <c r="WQP66" s="1"/>
      <c r="WQQ66" s="1"/>
      <c r="WQR66" s="1"/>
      <c r="WQS66" s="1"/>
      <c r="WQT66" s="1"/>
      <c r="WQU66" s="1"/>
      <c r="WQV66" s="1"/>
      <c r="WQW66" s="1"/>
      <c r="WQX66" s="1"/>
      <c r="WQY66" s="1"/>
      <c r="WQZ66" s="1"/>
      <c r="WRA66" s="1"/>
      <c r="WRB66" s="1"/>
      <c r="WRC66" s="1"/>
      <c r="WRD66" s="1"/>
      <c r="WRE66" s="1"/>
      <c r="WRF66" s="1"/>
      <c r="WRG66" s="1"/>
      <c r="WRH66" s="1"/>
      <c r="WRI66" s="1"/>
      <c r="WRJ66" s="1"/>
      <c r="WRK66" s="1"/>
      <c r="WRL66" s="1"/>
      <c r="WRM66" s="1"/>
      <c r="WRN66" s="1"/>
      <c r="WRO66" s="1"/>
      <c r="WRP66" s="1"/>
      <c r="WRQ66" s="1"/>
      <c r="WRR66" s="1"/>
      <c r="WRS66" s="1"/>
      <c r="WRT66" s="1"/>
      <c r="WRU66" s="1"/>
      <c r="WRV66" s="1"/>
      <c r="WRW66" s="1"/>
      <c r="WRX66" s="1"/>
      <c r="WRY66" s="1"/>
      <c r="WRZ66" s="1"/>
      <c r="WSA66" s="1"/>
      <c r="WSB66" s="1"/>
      <c r="WSC66" s="1"/>
      <c r="WSD66" s="1"/>
      <c r="WSE66" s="1"/>
      <c r="WSF66" s="1"/>
      <c r="WSG66" s="1"/>
      <c r="WSH66" s="1"/>
      <c r="WSI66" s="1"/>
      <c r="WSJ66" s="1"/>
      <c r="WSK66" s="1"/>
      <c r="WSL66" s="1"/>
      <c r="WSM66" s="1"/>
      <c r="WSN66" s="1"/>
      <c r="WSO66" s="1"/>
      <c r="WSP66" s="1"/>
      <c r="WSQ66" s="1"/>
      <c r="WSR66" s="1"/>
      <c r="WSS66" s="1"/>
      <c r="WST66" s="1"/>
      <c r="WSU66" s="1"/>
      <c r="WSV66" s="1"/>
      <c r="WSW66" s="1"/>
      <c r="WSX66" s="1"/>
      <c r="WSY66" s="1"/>
      <c r="WSZ66" s="1"/>
      <c r="WTA66" s="1"/>
      <c r="WTB66" s="1"/>
      <c r="WTC66" s="1"/>
      <c r="WTD66" s="1"/>
      <c r="WTE66" s="1"/>
      <c r="WTF66" s="1"/>
      <c r="WTG66" s="1"/>
      <c r="WTH66" s="1"/>
      <c r="WTI66" s="1"/>
      <c r="WTJ66" s="1"/>
      <c r="WTK66" s="1"/>
      <c r="WTL66" s="1"/>
      <c r="WTM66" s="1"/>
      <c r="WTN66" s="1"/>
      <c r="WTO66" s="1"/>
      <c r="WTP66" s="1"/>
      <c r="WTQ66" s="1"/>
      <c r="WTR66" s="1"/>
      <c r="WTS66" s="1"/>
      <c r="WTT66" s="1"/>
      <c r="WTU66" s="1"/>
      <c r="WTV66" s="1"/>
      <c r="WTW66" s="1"/>
      <c r="WTX66" s="1"/>
      <c r="WTY66" s="1"/>
      <c r="WTZ66" s="1"/>
      <c r="WUA66" s="1"/>
      <c r="WUB66" s="1"/>
      <c r="WUC66" s="1"/>
      <c r="WUD66" s="1"/>
      <c r="WUE66" s="1"/>
      <c r="WUF66" s="1"/>
      <c r="WUG66" s="1"/>
      <c r="WUH66" s="1"/>
      <c r="WUI66" s="1"/>
      <c r="WUJ66" s="1"/>
      <c r="WUK66" s="1"/>
      <c r="WUL66" s="1"/>
      <c r="WUM66" s="1"/>
      <c r="WUN66" s="1"/>
    </row>
    <row r="67" spans="1:16108" s="13" customFormat="1">
      <c r="A67" s="1"/>
      <c r="B67" s="1"/>
      <c r="C67" s="1"/>
      <c r="D67" s="1"/>
      <c r="E67" s="354"/>
      <c r="F67" s="369"/>
      <c r="G67" s="369"/>
      <c r="H67" s="1"/>
      <c r="I67" s="1"/>
      <c r="J67" s="1"/>
      <c r="K67" s="56"/>
      <c r="M67" s="1"/>
      <c r="N67" s="1"/>
      <c r="O67" s="7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  <c r="AMK67" s="1"/>
      <c r="AML67" s="1"/>
      <c r="AMM67" s="1"/>
      <c r="AMN67" s="1"/>
      <c r="AMO67" s="1"/>
      <c r="AMP67" s="1"/>
      <c r="AMQ67" s="1"/>
      <c r="AMR67" s="1"/>
      <c r="AMS67" s="1"/>
      <c r="AMT67" s="1"/>
      <c r="AMU67" s="1"/>
      <c r="AMV67" s="1"/>
      <c r="AMW67" s="1"/>
      <c r="AMX67" s="1"/>
      <c r="AMY67" s="1"/>
      <c r="AMZ67" s="1"/>
      <c r="ANA67" s="1"/>
      <c r="ANB67" s="1"/>
      <c r="ANC67" s="1"/>
      <c r="AND67" s="1"/>
      <c r="ANE67" s="1"/>
      <c r="ANF67" s="1"/>
      <c r="ANG67" s="1"/>
      <c r="ANH67" s="1"/>
      <c r="ANI67" s="1"/>
      <c r="ANJ67" s="1"/>
      <c r="ANK67" s="1"/>
      <c r="ANL67" s="1"/>
      <c r="ANM67" s="1"/>
      <c r="ANN67" s="1"/>
      <c r="ANO67" s="1"/>
      <c r="ANP67" s="1"/>
      <c r="ANQ67" s="1"/>
      <c r="ANR67" s="1"/>
      <c r="ANS67" s="1"/>
      <c r="ANT67" s="1"/>
      <c r="ANU67" s="1"/>
      <c r="ANV67" s="1"/>
      <c r="ANW67" s="1"/>
      <c r="ANX67" s="1"/>
      <c r="ANY67" s="1"/>
      <c r="ANZ67" s="1"/>
      <c r="AOA67" s="1"/>
      <c r="AOB67" s="1"/>
      <c r="AOC67" s="1"/>
      <c r="AOD67" s="1"/>
      <c r="AOE67" s="1"/>
      <c r="AOF67" s="1"/>
      <c r="AOG67" s="1"/>
      <c r="AOH67" s="1"/>
      <c r="AOI67" s="1"/>
      <c r="AOJ67" s="1"/>
      <c r="AOK67" s="1"/>
      <c r="AOL67" s="1"/>
      <c r="AOM67" s="1"/>
      <c r="AON67" s="1"/>
      <c r="AOO67" s="1"/>
      <c r="AOP67" s="1"/>
      <c r="AOQ67" s="1"/>
      <c r="AOR67" s="1"/>
      <c r="AOS67" s="1"/>
      <c r="AOT67" s="1"/>
      <c r="AOU67" s="1"/>
      <c r="AOV67" s="1"/>
      <c r="AOW67" s="1"/>
      <c r="AOX67" s="1"/>
      <c r="AOY67" s="1"/>
      <c r="AOZ67" s="1"/>
      <c r="APA67" s="1"/>
      <c r="APB67" s="1"/>
      <c r="APC67" s="1"/>
      <c r="APD67" s="1"/>
      <c r="APE67" s="1"/>
      <c r="APF67" s="1"/>
      <c r="APG67" s="1"/>
      <c r="APH67" s="1"/>
      <c r="API67" s="1"/>
      <c r="APJ67" s="1"/>
      <c r="APK67" s="1"/>
      <c r="APL67" s="1"/>
      <c r="APM67" s="1"/>
      <c r="APN67" s="1"/>
      <c r="APO67" s="1"/>
      <c r="APP67" s="1"/>
      <c r="APQ67" s="1"/>
      <c r="APR67" s="1"/>
      <c r="APS67" s="1"/>
      <c r="APT67" s="1"/>
      <c r="APU67" s="1"/>
      <c r="APV67" s="1"/>
      <c r="APW67" s="1"/>
      <c r="APX67" s="1"/>
      <c r="APY67" s="1"/>
      <c r="APZ67" s="1"/>
      <c r="AQA67" s="1"/>
      <c r="AQB67" s="1"/>
      <c r="AQC67" s="1"/>
      <c r="AQD67" s="1"/>
      <c r="AQE67" s="1"/>
      <c r="AQF67" s="1"/>
      <c r="AQG67" s="1"/>
      <c r="AQH67" s="1"/>
      <c r="AQI67" s="1"/>
      <c r="AQJ67" s="1"/>
      <c r="AQK67" s="1"/>
      <c r="AQL67" s="1"/>
      <c r="AQM67" s="1"/>
      <c r="AQN67" s="1"/>
      <c r="AQO67" s="1"/>
      <c r="AQP67" s="1"/>
      <c r="AQQ67" s="1"/>
      <c r="AQR67" s="1"/>
      <c r="AQS67" s="1"/>
      <c r="AQT67" s="1"/>
      <c r="AQU67" s="1"/>
      <c r="AQV67" s="1"/>
      <c r="AQW67" s="1"/>
      <c r="AQX67" s="1"/>
      <c r="AQY67" s="1"/>
      <c r="AQZ67" s="1"/>
      <c r="ARA67" s="1"/>
      <c r="ARB67" s="1"/>
      <c r="ARC67" s="1"/>
      <c r="ARD67" s="1"/>
      <c r="ARE67" s="1"/>
      <c r="ARF67" s="1"/>
      <c r="ARG67" s="1"/>
      <c r="ARH67" s="1"/>
      <c r="ARI67" s="1"/>
      <c r="ARJ67" s="1"/>
      <c r="ARK67" s="1"/>
      <c r="ARL67" s="1"/>
      <c r="ARM67" s="1"/>
      <c r="ARN67" s="1"/>
      <c r="ARO67" s="1"/>
      <c r="ARP67" s="1"/>
      <c r="ARQ67" s="1"/>
      <c r="ARR67" s="1"/>
      <c r="ARS67" s="1"/>
      <c r="ART67" s="1"/>
      <c r="ARU67" s="1"/>
      <c r="ARV67" s="1"/>
      <c r="ARW67" s="1"/>
      <c r="ARX67" s="1"/>
      <c r="ARY67" s="1"/>
      <c r="ARZ67" s="1"/>
      <c r="ASA67" s="1"/>
      <c r="ASB67" s="1"/>
      <c r="ASC67" s="1"/>
      <c r="ASD67" s="1"/>
      <c r="ASE67" s="1"/>
      <c r="ASF67" s="1"/>
      <c r="ASG67" s="1"/>
      <c r="ASH67" s="1"/>
      <c r="ASI67" s="1"/>
      <c r="ASJ67" s="1"/>
      <c r="ASK67" s="1"/>
      <c r="ASL67" s="1"/>
      <c r="ASM67" s="1"/>
      <c r="ASN67" s="1"/>
      <c r="ASO67" s="1"/>
      <c r="ASP67" s="1"/>
      <c r="ASQ67" s="1"/>
      <c r="ASR67" s="1"/>
      <c r="ASS67" s="1"/>
      <c r="AST67" s="1"/>
      <c r="ASU67" s="1"/>
      <c r="ASV67" s="1"/>
      <c r="ASW67" s="1"/>
      <c r="ASX67" s="1"/>
      <c r="ASY67" s="1"/>
      <c r="ASZ67" s="1"/>
      <c r="ATA67" s="1"/>
      <c r="ATB67" s="1"/>
      <c r="ATC67" s="1"/>
      <c r="ATD67" s="1"/>
      <c r="ATE67" s="1"/>
      <c r="ATF67" s="1"/>
      <c r="ATG67" s="1"/>
      <c r="ATH67" s="1"/>
      <c r="ATI67" s="1"/>
      <c r="ATJ67" s="1"/>
      <c r="ATK67" s="1"/>
      <c r="ATL67" s="1"/>
      <c r="ATM67" s="1"/>
      <c r="ATN67" s="1"/>
      <c r="ATO67" s="1"/>
      <c r="ATP67" s="1"/>
      <c r="ATQ67" s="1"/>
      <c r="ATR67" s="1"/>
      <c r="ATS67" s="1"/>
      <c r="ATT67" s="1"/>
      <c r="ATU67" s="1"/>
      <c r="ATV67" s="1"/>
      <c r="ATW67" s="1"/>
      <c r="ATX67" s="1"/>
      <c r="ATY67" s="1"/>
      <c r="ATZ67" s="1"/>
      <c r="AUA67" s="1"/>
      <c r="AUB67" s="1"/>
      <c r="AUC67" s="1"/>
      <c r="AUD67" s="1"/>
      <c r="AUE67" s="1"/>
      <c r="AUF67" s="1"/>
      <c r="AUG67" s="1"/>
      <c r="AUH67" s="1"/>
      <c r="AUI67" s="1"/>
      <c r="AUJ67" s="1"/>
      <c r="AUK67" s="1"/>
      <c r="AUL67" s="1"/>
      <c r="AUM67" s="1"/>
      <c r="AUN67" s="1"/>
      <c r="AUO67" s="1"/>
      <c r="AUP67" s="1"/>
      <c r="AUQ67" s="1"/>
      <c r="AUR67" s="1"/>
      <c r="AUS67" s="1"/>
      <c r="AUT67" s="1"/>
      <c r="AUU67" s="1"/>
      <c r="AUV67" s="1"/>
      <c r="AUW67" s="1"/>
      <c r="AUX67" s="1"/>
      <c r="AUY67" s="1"/>
      <c r="AUZ67" s="1"/>
      <c r="AVA67" s="1"/>
      <c r="AVB67" s="1"/>
      <c r="AVC67" s="1"/>
      <c r="AVD67" s="1"/>
      <c r="AVE67" s="1"/>
      <c r="AVF67" s="1"/>
      <c r="AVG67" s="1"/>
      <c r="AVH67" s="1"/>
      <c r="AVI67" s="1"/>
      <c r="AVJ67" s="1"/>
      <c r="AVK67" s="1"/>
      <c r="AVL67" s="1"/>
      <c r="AVM67" s="1"/>
      <c r="AVN67" s="1"/>
      <c r="AVO67" s="1"/>
      <c r="AVP67" s="1"/>
      <c r="AVQ67" s="1"/>
      <c r="AVR67" s="1"/>
      <c r="AVS67" s="1"/>
      <c r="AVT67" s="1"/>
      <c r="AVU67" s="1"/>
      <c r="AVV67" s="1"/>
      <c r="AVW67" s="1"/>
      <c r="AVX67" s="1"/>
      <c r="AVY67" s="1"/>
      <c r="AVZ67" s="1"/>
      <c r="AWA67" s="1"/>
      <c r="AWB67" s="1"/>
      <c r="AWC67" s="1"/>
      <c r="AWD67" s="1"/>
      <c r="AWE67" s="1"/>
      <c r="AWF67" s="1"/>
      <c r="AWG67" s="1"/>
      <c r="AWH67" s="1"/>
      <c r="AWI67" s="1"/>
      <c r="AWJ67" s="1"/>
      <c r="AWK67" s="1"/>
      <c r="AWL67" s="1"/>
      <c r="AWM67" s="1"/>
      <c r="AWN67" s="1"/>
      <c r="AWO67" s="1"/>
      <c r="AWP67" s="1"/>
      <c r="AWQ67" s="1"/>
      <c r="AWR67" s="1"/>
      <c r="AWS67" s="1"/>
      <c r="AWT67" s="1"/>
      <c r="AWU67" s="1"/>
      <c r="AWV67" s="1"/>
      <c r="AWW67" s="1"/>
      <c r="AWX67" s="1"/>
      <c r="AWY67" s="1"/>
      <c r="AWZ67" s="1"/>
      <c r="AXA67" s="1"/>
      <c r="AXB67" s="1"/>
      <c r="AXC67" s="1"/>
      <c r="AXD67" s="1"/>
      <c r="AXE67" s="1"/>
      <c r="AXF67" s="1"/>
      <c r="AXG67" s="1"/>
      <c r="AXH67" s="1"/>
      <c r="AXI67" s="1"/>
      <c r="AXJ67" s="1"/>
      <c r="AXK67" s="1"/>
      <c r="AXL67" s="1"/>
      <c r="AXM67" s="1"/>
      <c r="AXN67" s="1"/>
      <c r="AXO67" s="1"/>
      <c r="AXP67" s="1"/>
      <c r="AXQ67" s="1"/>
      <c r="AXR67" s="1"/>
      <c r="AXS67" s="1"/>
      <c r="AXT67" s="1"/>
      <c r="AXU67" s="1"/>
      <c r="AXV67" s="1"/>
      <c r="AXW67" s="1"/>
      <c r="AXX67" s="1"/>
      <c r="AXY67" s="1"/>
      <c r="AXZ67" s="1"/>
      <c r="AYA67" s="1"/>
      <c r="AYB67" s="1"/>
      <c r="AYC67" s="1"/>
      <c r="AYD67" s="1"/>
      <c r="AYE67" s="1"/>
      <c r="AYF67" s="1"/>
      <c r="AYG67" s="1"/>
      <c r="AYH67" s="1"/>
      <c r="AYI67" s="1"/>
      <c r="AYJ67" s="1"/>
      <c r="AYK67" s="1"/>
      <c r="AYL67" s="1"/>
      <c r="AYM67" s="1"/>
      <c r="AYN67" s="1"/>
      <c r="AYO67" s="1"/>
      <c r="AYP67" s="1"/>
      <c r="AYQ67" s="1"/>
      <c r="AYR67" s="1"/>
      <c r="AYS67" s="1"/>
      <c r="AYT67" s="1"/>
      <c r="AYU67" s="1"/>
      <c r="AYV67" s="1"/>
      <c r="AYW67" s="1"/>
      <c r="AYX67" s="1"/>
      <c r="AYY67" s="1"/>
      <c r="AYZ67" s="1"/>
      <c r="AZA67" s="1"/>
      <c r="AZB67" s="1"/>
      <c r="AZC67" s="1"/>
      <c r="AZD67" s="1"/>
      <c r="AZE67" s="1"/>
      <c r="AZF67" s="1"/>
      <c r="AZG67" s="1"/>
      <c r="AZH67" s="1"/>
      <c r="AZI67" s="1"/>
      <c r="AZJ67" s="1"/>
      <c r="AZK67" s="1"/>
      <c r="AZL67" s="1"/>
      <c r="AZM67" s="1"/>
      <c r="AZN67" s="1"/>
      <c r="AZO67" s="1"/>
      <c r="AZP67" s="1"/>
      <c r="AZQ67" s="1"/>
      <c r="AZR67" s="1"/>
      <c r="AZS67" s="1"/>
      <c r="AZT67" s="1"/>
      <c r="AZU67" s="1"/>
      <c r="AZV67" s="1"/>
      <c r="AZW67" s="1"/>
      <c r="AZX67" s="1"/>
      <c r="AZY67" s="1"/>
      <c r="AZZ67" s="1"/>
      <c r="BAA67" s="1"/>
      <c r="BAB67" s="1"/>
      <c r="BAC67" s="1"/>
      <c r="BAD67" s="1"/>
      <c r="BAE67" s="1"/>
      <c r="BAF67" s="1"/>
      <c r="BAG67" s="1"/>
      <c r="BAH67" s="1"/>
      <c r="BAI67" s="1"/>
      <c r="BAJ67" s="1"/>
      <c r="BAK67" s="1"/>
      <c r="BAL67" s="1"/>
      <c r="BAM67" s="1"/>
      <c r="BAN67" s="1"/>
      <c r="BAO67" s="1"/>
      <c r="BAP67" s="1"/>
      <c r="BAQ67" s="1"/>
      <c r="BAR67" s="1"/>
      <c r="BAS67" s="1"/>
      <c r="BAT67" s="1"/>
      <c r="BAU67" s="1"/>
      <c r="BAV67" s="1"/>
      <c r="BAW67" s="1"/>
      <c r="BAX67" s="1"/>
      <c r="BAY67" s="1"/>
      <c r="BAZ67" s="1"/>
      <c r="BBA67" s="1"/>
      <c r="BBB67" s="1"/>
      <c r="BBC67" s="1"/>
      <c r="BBD67" s="1"/>
      <c r="BBE67" s="1"/>
      <c r="BBF67" s="1"/>
      <c r="BBG67" s="1"/>
      <c r="BBH67" s="1"/>
      <c r="BBI67" s="1"/>
      <c r="BBJ67" s="1"/>
      <c r="BBK67" s="1"/>
      <c r="BBL67" s="1"/>
      <c r="BBM67" s="1"/>
      <c r="BBN67" s="1"/>
      <c r="BBO67" s="1"/>
      <c r="BBP67" s="1"/>
      <c r="BBQ67" s="1"/>
      <c r="BBR67" s="1"/>
      <c r="BBS67" s="1"/>
      <c r="BBT67" s="1"/>
      <c r="BBU67" s="1"/>
      <c r="BBV67" s="1"/>
      <c r="BBW67" s="1"/>
      <c r="BBX67" s="1"/>
      <c r="BBY67" s="1"/>
      <c r="BBZ67" s="1"/>
      <c r="BCA67" s="1"/>
      <c r="BCB67" s="1"/>
      <c r="BCC67" s="1"/>
      <c r="BCD67" s="1"/>
      <c r="BCE67" s="1"/>
      <c r="BCF67" s="1"/>
      <c r="BCG67" s="1"/>
      <c r="BCH67" s="1"/>
      <c r="BCI67" s="1"/>
      <c r="BCJ67" s="1"/>
      <c r="BCK67" s="1"/>
      <c r="BCL67" s="1"/>
      <c r="BCM67" s="1"/>
      <c r="BCN67" s="1"/>
      <c r="BCO67" s="1"/>
      <c r="BCP67" s="1"/>
      <c r="BCQ67" s="1"/>
      <c r="BCR67" s="1"/>
      <c r="BCS67" s="1"/>
      <c r="BCT67" s="1"/>
      <c r="BCU67" s="1"/>
      <c r="BCV67" s="1"/>
      <c r="BCW67" s="1"/>
      <c r="BCX67" s="1"/>
      <c r="BCY67" s="1"/>
      <c r="BCZ67" s="1"/>
      <c r="BDA67" s="1"/>
      <c r="BDB67" s="1"/>
      <c r="BDC67" s="1"/>
      <c r="BDD67" s="1"/>
      <c r="BDE67" s="1"/>
      <c r="BDF67" s="1"/>
      <c r="BDG67" s="1"/>
      <c r="BDH67" s="1"/>
      <c r="BDI67" s="1"/>
      <c r="BDJ67" s="1"/>
      <c r="BDK67" s="1"/>
      <c r="BDL67" s="1"/>
      <c r="BDM67" s="1"/>
      <c r="BDN67" s="1"/>
      <c r="BDO67" s="1"/>
      <c r="BDP67" s="1"/>
      <c r="BDQ67" s="1"/>
      <c r="BDR67" s="1"/>
      <c r="BDS67" s="1"/>
      <c r="BDT67" s="1"/>
      <c r="BDU67" s="1"/>
      <c r="BDV67" s="1"/>
      <c r="BDW67" s="1"/>
      <c r="BDX67" s="1"/>
      <c r="BDY67" s="1"/>
      <c r="BDZ67" s="1"/>
      <c r="BEA67" s="1"/>
      <c r="BEB67" s="1"/>
      <c r="BEC67" s="1"/>
      <c r="BED67" s="1"/>
      <c r="BEE67" s="1"/>
      <c r="BEF67" s="1"/>
      <c r="BEG67" s="1"/>
      <c r="BEH67" s="1"/>
      <c r="BEI67" s="1"/>
      <c r="BEJ67" s="1"/>
      <c r="BEK67" s="1"/>
      <c r="BEL67" s="1"/>
      <c r="BEM67" s="1"/>
      <c r="BEN67" s="1"/>
      <c r="BEO67" s="1"/>
      <c r="BEP67" s="1"/>
      <c r="BEQ67" s="1"/>
      <c r="BER67" s="1"/>
      <c r="BES67" s="1"/>
      <c r="BET67" s="1"/>
      <c r="BEU67" s="1"/>
      <c r="BEV67" s="1"/>
      <c r="BEW67" s="1"/>
      <c r="BEX67" s="1"/>
      <c r="BEY67" s="1"/>
      <c r="BEZ67" s="1"/>
      <c r="BFA67" s="1"/>
      <c r="BFB67" s="1"/>
      <c r="BFC67" s="1"/>
      <c r="BFD67" s="1"/>
      <c r="BFE67" s="1"/>
      <c r="BFF67" s="1"/>
      <c r="BFG67" s="1"/>
      <c r="BFH67" s="1"/>
      <c r="BFI67" s="1"/>
      <c r="BFJ67" s="1"/>
      <c r="BFK67" s="1"/>
      <c r="BFL67" s="1"/>
      <c r="BFM67" s="1"/>
      <c r="BFN67" s="1"/>
      <c r="BFO67" s="1"/>
      <c r="BFP67" s="1"/>
      <c r="BFQ67" s="1"/>
      <c r="BFR67" s="1"/>
      <c r="BFS67" s="1"/>
      <c r="BFT67" s="1"/>
      <c r="BFU67" s="1"/>
      <c r="BFV67" s="1"/>
      <c r="BFW67" s="1"/>
      <c r="BFX67" s="1"/>
      <c r="BFY67" s="1"/>
      <c r="BFZ67" s="1"/>
      <c r="BGA67" s="1"/>
      <c r="BGB67" s="1"/>
      <c r="BGC67" s="1"/>
      <c r="BGD67" s="1"/>
      <c r="BGE67" s="1"/>
      <c r="BGF67" s="1"/>
      <c r="BGG67" s="1"/>
      <c r="BGH67" s="1"/>
      <c r="BGI67" s="1"/>
      <c r="BGJ67" s="1"/>
      <c r="BGK67" s="1"/>
      <c r="BGL67" s="1"/>
      <c r="BGM67" s="1"/>
      <c r="BGN67" s="1"/>
      <c r="BGO67" s="1"/>
      <c r="BGP67" s="1"/>
      <c r="BGQ67" s="1"/>
      <c r="BGR67" s="1"/>
      <c r="BGS67" s="1"/>
      <c r="BGT67" s="1"/>
      <c r="BGU67" s="1"/>
      <c r="BGV67" s="1"/>
      <c r="BGW67" s="1"/>
      <c r="BGX67" s="1"/>
      <c r="BGY67" s="1"/>
      <c r="BGZ67" s="1"/>
      <c r="BHA67" s="1"/>
      <c r="BHB67" s="1"/>
      <c r="BHC67" s="1"/>
      <c r="BHD67" s="1"/>
      <c r="BHE67" s="1"/>
      <c r="BHF67" s="1"/>
      <c r="BHG67" s="1"/>
      <c r="BHH67" s="1"/>
      <c r="BHI67" s="1"/>
      <c r="BHJ67" s="1"/>
      <c r="BHK67" s="1"/>
      <c r="BHL67" s="1"/>
      <c r="BHM67" s="1"/>
      <c r="BHN67" s="1"/>
      <c r="BHO67" s="1"/>
      <c r="BHP67" s="1"/>
      <c r="BHQ67" s="1"/>
      <c r="BHR67" s="1"/>
      <c r="BHS67" s="1"/>
      <c r="BHT67" s="1"/>
      <c r="BHU67" s="1"/>
      <c r="BHV67" s="1"/>
      <c r="BHW67" s="1"/>
      <c r="BHX67" s="1"/>
      <c r="BHY67" s="1"/>
      <c r="BHZ67" s="1"/>
      <c r="BIA67" s="1"/>
      <c r="BIB67" s="1"/>
      <c r="BIC67" s="1"/>
      <c r="BID67" s="1"/>
      <c r="BIE67" s="1"/>
      <c r="BIF67" s="1"/>
      <c r="BIG67" s="1"/>
      <c r="BIH67" s="1"/>
      <c r="BII67" s="1"/>
      <c r="BIJ67" s="1"/>
      <c r="BIK67" s="1"/>
      <c r="BIL67" s="1"/>
      <c r="BIM67" s="1"/>
      <c r="BIN67" s="1"/>
      <c r="BIO67" s="1"/>
      <c r="BIP67" s="1"/>
      <c r="BIQ67" s="1"/>
      <c r="BIR67" s="1"/>
      <c r="BIS67" s="1"/>
      <c r="BIT67" s="1"/>
      <c r="BIU67" s="1"/>
      <c r="BIV67" s="1"/>
      <c r="BIW67" s="1"/>
      <c r="BIX67" s="1"/>
      <c r="BIY67" s="1"/>
      <c r="BIZ67" s="1"/>
      <c r="BJA67" s="1"/>
      <c r="BJB67" s="1"/>
      <c r="BJC67" s="1"/>
      <c r="BJD67" s="1"/>
      <c r="BJE67" s="1"/>
      <c r="BJF67" s="1"/>
      <c r="BJG67" s="1"/>
      <c r="BJH67" s="1"/>
      <c r="BJI67" s="1"/>
      <c r="BJJ67" s="1"/>
      <c r="BJK67" s="1"/>
      <c r="BJL67" s="1"/>
      <c r="BJM67" s="1"/>
      <c r="BJN67" s="1"/>
      <c r="BJO67" s="1"/>
      <c r="BJP67" s="1"/>
      <c r="BJQ67" s="1"/>
      <c r="BJR67" s="1"/>
      <c r="BJS67" s="1"/>
      <c r="BJT67" s="1"/>
      <c r="BJU67" s="1"/>
      <c r="BJV67" s="1"/>
      <c r="BJW67" s="1"/>
      <c r="BJX67" s="1"/>
      <c r="BJY67" s="1"/>
      <c r="BJZ67" s="1"/>
      <c r="BKA67" s="1"/>
      <c r="BKB67" s="1"/>
      <c r="BKC67" s="1"/>
      <c r="BKD67" s="1"/>
      <c r="BKE67" s="1"/>
      <c r="BKF67" s="1"/>
      <c r="BKG67" s="1"/>
      <c r="BKH67" s="1"/>
      <c r="BKI67" s="1"/>
      <c r="BKJ67" s="1"/>
      <c r="BKK67" s="1"/>
      <c r="BKL67" s="1"/>
      <c r="BKM67" s="1"/>
      <c r="BKN67" s="1"/>
      <c r="BKO67" s="1"/>
      <c r="BKP67" s="1"/>
      <c r="BKQ67" s="1"/>
      <c r="BKR67" s="1"/>
      <c r="BKS67" s="1"/>
      <c r="BKT67" s="1"/>
      <c r="BKU67" s="1"/>
      <c r="BKV67" s="1"/>
      <c r="BKW67" s="1"/>
      <c r="BKX67" s="1"/>
      <c r="BKY67" s="1"/>
      <c r="BKZ67" s="1"/>
      <c r="BLA67" s="1"/>
      <c r="BLB67" s="1"/>
      <c r="BLC67" s="1"/>
      <c r="BLD67" s="1"/>
      <c r="BLE67" s="1"/>
      <c r="BLF67" s="1"/>
      <c r="BLG67" s="1"/>
      <c r="BLH67" s="1"/>
      <c r="BLI67" s="1"/>
      <c r="BLJ67" s="1"/>
      <c r="BLK67" s="1"/>
      <c r="BLL67" s="1"/>
      <c r="BLM67" s="1"/>
      <c r="BLN67" s="1"/>
      <c r="BLO67" s="1"/>
      <c r="BLP67" s="1"/>
      <c r="BLQ67" s="1"/>
      <c r="BLR67" s="1"/>
      <c r="BLS67" s="1"/>
      <c r="BLT67" s="1"/>
      <c r="BLU67" s="1"/>
      <c r="BLV67" s="1"/>
      <c r="BLW67" s="1"/>
      <c r="BLX67" s="1"/>
      <c r="BLY67" s="1"/>
      <c r="BLZ67" s="1"/>
      <c r="BMA67" s="1"/>
      <c r="BMB67" s="1"/>
      <c r="BMC67" s="1"/>
      <c r="BMD67" s="1"/>
      <c r="BME67" s="1"/>
      <c r="BMF67" s="1"/>
      <c r="BMG67" s="1"/>
      <c r="BMH67" s="1"/>
      <c r="BMI67" s="1"/>
      <c r="BMJ67" s="1"/>
      <c r="BMK67" s="1"/>
      <c r="BML67" s="1"/>
      <c r="BMM67" s="1"/>
      <c r="BMN67" s="1"/>
      <c r="BMO67" s="1"/>
      <c r="BMP67" s="1"/>
      <c r="BMQ67" s="1"/>
      <c r="BMR67" s="1"/>
      <c r="BMS67" s="1"/>
      <c r="BMT67" s="1"/>
      <c r="BMU67" s="1"/>
      <c r="BMV67" s="1"/>
      <c r="BMW67" s="1"/>
      <c r="BMX67" s="1"/>
      <c r="BMY67" s="1"/>
      <c r="BMZ67" s="1"/>
      <c r="BNA67" s="1"/>
      <c r="BNB67" s="1"/>
      <c r="BNC67" s="1"/>
      <c r="BND67" s="1"/>
      <c r="BNE67" s="1"/>
      <c r="BNF67" s="1"/>
      <c r="BNG67" s="1"/>
      <c r="BNH67" s="1"/>
      <c r="BNI67" s="1"/>
      <c r="BNJ67" s="1"/>
      <c r="BNK67" s="1"/>
      <c r="BNL67" s="1"/>
      <c r="BNM67" s="1"/>
      <c r="BNN67" s="1"/>
      <c r="BNO67" s="1"/>
      <c r="BNP67" s="1"/>
      <c r="BNQ67" s="1"/>
      <c r="BNR67" s="1"/>
      <c r="BNS67" s="1"/>
      <c r="BNT67" s="1"/>
      <c r="BNU67" s="1"/>
      <c r="BNV67" s="1"/>
      <c r="BNW67" s="1"/>
      <c r="BNX67" s="1"/>
      <c r="BNY67" s="1"/>
      <c r="BNZ67" s="1"/>
      <c r="BOA67" s="1"/>
      <c r="BOB67" s="1"/>
      <c r="BOC67" s="1"/>
      <c r="BOD67" s="1"/>
      <c r="BOE67" s="1"/>
      <c r="BOF67" s="1"/>
      <c r="BOG67" s="1"/>
      <c r="BOH67" s="1"/>
      <c r="BOI67" s="1"/>
      <c r="BOJ67" s="1"/>
      <c r="BOK67" s="1"/>
      <c r="BOL67" s="1"/>
      <c r="BOM67" s="1"/>
      <c r="BON67" s="1"/>
      <c r="BOO67" s="1"/>
      <c r="BOP67" s="1"/>
      <c r="BOQ67" s="1"/>
      <c r="BOR67" s="1"/>
      <c r="BOS67" s="1"/>
      <c r="BOT67" s="1"/>
      <c r="BOU67" s="1"/>
      <c r="BOV67" s="1"/>
      <c r="BOW67" s="1"/>
      <c r="BOX67" s="1"/>
      <c r="BOY67" s="1"/>
      <c r="BOZ67" s="1"/>
      <c r="BPA67" s="1"/>
      <c r="BPB67" s="1"/>
      <c r="BPC67" s="1"/>
      <c r="BPD67" s="1"/>
      <c r="BPE67" s="1"/>
      <c r="BPF67" s="1"/>
      <c r="BPG67" s="1"/>
      <c r="BPH67" s="1"/>
      <c r="BPI67" s="1"/>
      <c r="BPJ67" s="1"/>
      <c r="BPK67" s="1"/>
      <c r="BPL67" s="1"/>
      <c r="BPM67" s="1"/>
      <c r="BPN67" s="1"/>
      <c r="BPO67" s="1"/>
      <c r="BPP67" s="1"/>
      <c r="BPQ67" s="1"/>
      <c r="BPR67" s="1"/>
      <c r="BPS67" s="1"/>
      <c r="BPT67" s="1"/>
      <c r="BPU67" s="1"/>
      <c r="BPV67" s="1"/>
      <c r="BPW67" s="1"/>
      <c r="BPX67" s="1"/>
      <c r="BPY67" s="1"/>
      <c r="BPZ67" s="1"/>
      <c r="BQA67" s="1"/>
      <c r="BQB67" s="1"/>
      <c r="BQC67" s="1"/>
      <c r="BQD67" s="1"/>
      <c r="BQE67" s="1"/>
      <c r="BQF67" s="1"/>
      <c r="BQG67" s="1"/>
      <c r="BQH67" s="1"/>
      <c r="BQI67" s="1"/>
      <c r="BQJ67" s="1"/>
      <c r="BQK67" s="1"/>
      <c r="BQL67" s="1"/>
      <c r="BQM67" s="1"/>
      <c r="BQN67" s="1"/>
      <c r="BQO67" s="1"/>
      <c r="BQP67" s="1"/>
      <c r="BQQ67" s="1"/>
      <c r="BQR67" s="1"/>
      <c r="BQS67" s="1"/>
      <c r="BQT67" s="1"/>
      <c r="BQU67" s="1"/>
      <c r="BQV67" s="1"/>
      <c r="BQW67" s="1"/>
      <c r="BQX67" s="1"/>
      <c r="BQY67" s="1"/>
      <c r="BQZ67" s="1"/>
      <c r="BRA67" s="1"/>
      <c r="BRB67" s="1"/>
      <c r="BRC67" s="1"/>
      <c r="BRD67" s="1"/>
      <c r="BRE67" s="1"/>
      <c r="BRF67" s="1"/>
      <c r="BRG67" s="1"/>
      <c r="BRH67" s="1"/>
      <c r="BRI67" s="1"/>
      <c r="BRJ67" s="1"/>
      <c r="BRK67" s="1"/>
      <c r="BRL67" s="1"/>
      <c r="BRM67" s="1"/>
      <c r="BRN67" s="1"/>
      <c r="BRO67" s="1"/>
      <c r="BRP67" s="1"/>
      <c r="BRQ67" s="1"/>
      <c r="BRR67" s="1"/>
      <c r="BRS67" s="1"/>
      <c r="BRT67" s="1"/>
      <c r="BRU67" s="1"/>
      <c r="BRV67" s="1"/>
      <c r="BRW67" s="1"/>
      <c r="BRX67" s="1"/>
      <c r="BRY67" s="1"/>
      <c r="BRZ67" s="1"/>
      <c r="BSA67" s="1"/>
      <c r="BSB67" s="1"/>
      <c r="BSC67" s="1"/>
      <c r="BSD67" s="1"/>
      <c r="BSE67" s="1"/>
      <c r="BSF67" s="1"/>
      <c r="BSG67" s="1"/>
      <c r="BSH67" s="1"/>
      <c r="BSI67" s="1"/>
      <c r="BSJ67" s="1"/>
      <c r="BSK67" s="1"/>
      <c r="BSL67" s="1"/>
      <c r="BSM67" s="1"/>
      <c r="BSN67" s="1"/>
      <c r="BSO67" s="1"/>
      <c r="BSP67" s="1"/>
      <c r="BSQ67" s="1"/>
      <c r="BSR67" s="1"/>
      <c r="BSS67" s="1"/>
      <c r="BST67" s="1"/>
      <c r="BSU67" s="1"/>
      <c r="BSV67" s="1"/>
      <c r="BSW67" s="1"/>
      <c r="BSX67" s="1"/>
      <c r="BSY67" s="1"/>
      <c r="BSZ67" s="1"/>
      <c r="BTA67" s="1"/>
      <c r="BTB67" s="1"/>
      <c r="BTC67" s="1"/>
      <c r="BTD67" s="1"/>
      <c r="BTE67" s="1"/>
      <c r="BTF67" s="1"/>
      <c r="BTG67" s="1"/>
      <c r="BTH67" s="1"/>
      <c r="BTI67" s="1"/>
      <c r="BTJ67" s="1"/>
      <c r="BTK67" s="1"/>
      <c r="BTL67" s="1"/>
      <c r="BTM67" s="1"/>
      <c r="BTN67" s="1"/>
      <c r="BTO67" s="1"/>
      <c r="BTP67" s="1"/>
      <c r="BTQ67" s="1"/>
      <c r="BTR67" s="1"/>
      <c r="BTS67" s="1"/>
      <c r="BTT67" s="1"/>
      <c r="BTU67" s="1"/>
      <c r="BTV67" s="1"/>
      <c r="BTW67" s="1"/>
      <c r="BTX67" s="1"/>
      <c r="BTY67" s="1"/>
      <c r="BTZ67" s="1"/>
      <c r="BUA67" s="1"/>
      <c r="BUB67" s="1"/>
      <c r="BUC67" s="1"/>
      <c r="BUD67" s="1"/>
      <c r="BUE67" s="1"/>
      <c r="BUF67" s="1"/>
      <c r="BUG67" s="1"/>
      <c r="BUH67" s="1"/>
      <c r="BUI67" s="1"/>
      <c r="BUJ67" s="1"/>
      <c r="BUK67" s="1"/>
      <c r="BUL67" s="1"/>
      <c r="BUM67" s="1"/>
      <c r="BUN67" s="1"/>
      <c r="BUO67" s="1"/>
      <c r="BUP67" s="1"/>
      <c r="BUQ67" s="1"/>
      <c r="BUR67" s="1"/>
      <c r="BUS67" s="1"/>
      <c r="BUT67" s="1"/>
      <c r="BUU67" s="1"/>
      <c r="BUV67" s="1"/>
      <c r="BUW67" s="1"/>
      <c r="BUX67" s="1"/>
      <c r="BUY67" s="1"/>
      <c r="BUZ67" s="1"/>
      <c r="BVA67" s="1"/>
      <c r="BVB67" s="1"/>
      <c r="BVC67" s="1"/>
      <c r="BVD67" s="1"/>
      <c r="BVE67" s="1"/>
      <c r="BVF67" s="1"/>
      <c r="BVG67" s="1"/>
      <c r="BVH67" s="1"/>
      <c r="BVI67" s="1"/>
      <c r="BVJ67" s="1"/>
      <c r="BVK67" s="1"/>
      <c r="BVL67" s="1"/>
      <c r="BVM67" s="1"/>
      <c r="BVN67" s="1"/>
      <c r="BVO67" s="1"/>
      <c r="BVP67" s="1"/>
      <c r="BVQ67" s="1"/>
      <c r="BVR67" s="1"/>
      <c r="BVS67" s="1"/>
      <c r="BVT67" s="1"/>
      <c r="BVU67" s="1"/>
      <c r="BVV67" s="1"/>
      <c r="BVW67" s="1"/>
      <c r="BVX67" s="1"/>
      <c r="BVY67" s="1"/>
      <c r="BVZ67" s="1"/>
      <c r="BWA67" s="1"/>
      <c r="BWB67" s="1"/>
      <c r="BWC67" s="1"/>
      <c r="BWD67" s="1"/>
      <c r="BWE67" s="1"/>
      <c r="BWF67" s="1"/>
      <c r="BWG67" s="1"/>
      <c r="BWH67" s="1"/>
      <c r="BWI67" s="1"/>
      <c r="BWJ67" s="1"/>
      <c r="BWK67" s="1"/>
      <c r="BWL67" s="1"/>
      <c r="BWM67" s="1"/>
      <c r="BWN67" s="1"/>
      <c r="BWO67" s="1"/>
      <c r="BWP67" s="1"/>
      <c r="BWQ67" s="1"/>
      <c r="BWR67" s="1"/>
      <c r="BWS67" s="1"/>
      <c r="BWT67" s="1"/>
      <c r="BWU67" s="1"/>
      <c r="BWV67" s="1"/>
      <c r="BWW67" s="1"/>
      <c r="BWX67" s="1"/>
      <c r="BWY67" s="1"/>
      <c r="BWZ67" s="1"/>
      <c r="BXA67" s="1"/>
      <c r="BXB67" s="1"/>
      <c r="BXC67" s="1"/>
      <c r="BXD67" s="1"/>
      <c r="BXE67" s="1"/>
      <c r="BXF67" s="1"/>
      <c r="BXG67" s="1"/>
      <c r="BXH67" s="1"/>
      <c r="BXI67" s="1"/>
      <c r="BXJ67" s="1"/>
      <c r="BXK67" s="1"/>
      <c r="BXL67" s="1"/>
      <c r="BXM67" s="1"/>
      <c r="BXN67" s="1"/>
      <c r="BXO67" s="1"/>
      <c r="BXP67" s="1"/>
      <c r="BXQ67" s="1"/>
      <c r="BXR67" s="1"/>
      <c r="BXS67" s="1"/>
      <c r="BXT67" s="1"/>
      <c r="BXU67" s="1"/>
      <c r="BXV67" s="1"/>
      <c r="BXW67" s="1"/>
      <c r="BXX67" s="1"/>
      <c r="BXY67" s="1"/>
      <c r="BXZ67" s="1"/>
      <c r="BYA67" s="1"/>
      <c r="BYB67" s="1"/>
      <c r="BYC67" s="1"/>
      <c r="BYD67" s="1"/>
      <c r="BYE67" s="1"/>
      <c r="BYF67" s="1"/>
      <c r="BYG67" s="1"/>
      <c r="BYH67" s="1"/>
      <c r="BYI67" s="1"/>
      <c r="BYJ67" s="1"/>
      <c r="BYK67" s="1"/>
      <c r="BYL67" s="1"/>
      <c r="BYM67" s="1"/>
      <c r="BYN67" s="1"/>
      <c r="BYO67" s="1"/>
      <c r="BYP67" s="1"/>
      <c r="BYQ67" s="1"/>
      <c r="BYR67" s="1"/>
      <c r="BYS67" s="1"/>
      <c r="BYT67" s="1"/>
      <c r="BYU67" s="1"/>
      <c r="BYV67" s="1"/>
      <c r="BYW67" s="1"/>
      <c r="BYX67" s="1"/>
      <c r="BYY67" s="1"/>
      <c r="BYZ67" s="1"/>
      <c r="BZA67" s="1"/>
      <c r="BZB67" s="1"/>
      <c r="BZC67" s="1"/>
      <c r="BZD67" s="1"/>
      <c r="BZE67" s="1"/>
      <c r="BZF67" s="1"/>
      <c r="BZG67" s="1"/>
      <c r="BZH67" s="1"/>
      <c r="BZI67" s="1"/>
      <c r="BZJ67" s="1"/>
      <c r="BZK67" s="1"/>
      <c r="BZL67" s="1"/>
      <c r="BZM67" s="1"/>
      <c r="BZN67" s="1"/>
      <c r="BZO67" s="1"/>
      <c r="BZP67" s="1"/>
      <c r="BZQ67" s="1"/>
      <c r="BZR67" s="1"/>
      <c r="BZS67" s="1"/>
      <c r="BZT67" s="1"/>
      <c r="BZU67" s="1"/>
      <c r="BZV67" s="1"/>
      <c r="BZW67" s="1"/>
      <c r="BZX67" s="1"/>
      <c r="BZY67" s="1"/>
      <c r="BZZ67" s="1"/>
      <c r="CAA67" s="1"/>
      <c r="CAB67" s="1"/>
      <c r="CAC67" s="1"/>
      <c r="CAD67" s="1"/>
      <c r="CAE67" s="1"/>
      <c r="CAF67" s="1"/>
      <c r="CAG67" s="1"/>
      <c r="CAH67" s="1"/>
      <c r="CAI67" s="1"/>
      <c r="CAJ67" s="1"/>
      <c r="CAK67" s="1"/>
      <c r="CAL67" s="1"/>
      <c r="CAM67" s="1"/>
      <c r="CAN67" s="1"/>
      <c r="CAO67" s="1"/>
      <c r="CAP67" s="1"/>
      <c r="CAQ67" s="1"/>
      <c r="CAR67" s="1"/>
      <c r="CAS67" s="1"/>
      <c r="CAT67" s="1"/>
      <c r="CAU67" s="1"/>
      <c r="CAV67" s="1"/>
      <c r="CAW67" s="1"/>
      <c r="CAX67" s="1"/>
      <c r="CAY67" s="1"/>
      <c r="CAZ67" s="1"/>
      <c r="CBA67" s="1"/>
      <c r="CBB67" s="1"/>
      <c r="CBC67" s="1"/>
      <c r="CBD67" s="1"/>
      <c r="CBE67" s="1"/>
      <c r="CBF67" s="1"/>
      <c r="CBG67" s="1"/>
      <c r="CBH67" s="1"/>
      <c r="CBI67" s="1"/>
      <c r="CBJ67" s="1"/>
      <c r="CBK67" s="1"/>
      <c r="CBL67" s="1"/>
      <c r="CBM67" s="1"/>
      <c r="CBN67" s="1"/>
      <c r="CBO67" s="1"/>
      <c r="CBP67" s="1"/>
      <c r="CBQ67" s="1"/>
      <c r="CBR67" s="1"/>
      <c r="CBS67" s="1"/>
      <c r="CBT67" s="1"/>
      <c r="CBU67" s="1"/>
      <c r="CBV67" s="1"/>
      <c r="CBW67" s="1"/>
      <c r="CBX67" s="1"/>
      <c r="CBY67" s="1"/>
      <c r="CBZ67" s="1"/>
      <c r="CCA67" s="1"/>
      <c r="CCB67" s="1"/>
      <c r="CCC67" s="1"/>
      <c r="CCD67" s="1"/>
      <c r="CCE67" s="1"/>
      <c r="CCF67" s="1"/>
      <c r="CCG67" s="1"/>
      <c r="CCH67" s="1"/>
      <c r="CCI67" s="1"/>
      <c r="CCJ67" s="1"/>
      <c r="CCK67" s="1"/>
      <c r="CCL67" s="1"/>
      <c r="CCM67" s="1"/>
      <c r="CCN67" s="1"/>
      <c r="CCO67" s="1"/>
      <c r="CCP67" s="1"/>
      <c r="CCQ67" s="1"/>
      <c r="CCR67" s="1"/>
      <c r="CCS67" s="1"/>
      <c r="CCT67" s="1"/>
      <c r="CCU67" s="1"/>
      <c r="CCV67" s="1"/>
      <c r="CCW67" s="1"/>
      <c r="CCX67" s="1"/>
      <c r="CCY67" s="1"/>
      <c r="CCZ67" s="1"/>
      <c r="CDA67" s="1"/>
      <c r="CDB67" s="1"/>
      <c r="CDC67" s="1"/>
      <c r="CDD67" s="1"/>
      <c r="CDE67" s="1"/>
      <c r="CDF67" s="1"/>
      <c r="CDG67" s="1"/>
      <c r="CDH67" s="1"/>
      <c r="CDI67" s="1"/>
      <c r="CDJ67" s="1"/>
      <c r="CDK67" s="1"/>
      <c r="CDL67" s="1"/>
      <c r="CDM67" s="1"/>
      <c r="CDN67" s="1"/>
      <c r="CDO67" s="1"/>
      <c r="CDP67" s="1"/>
      <c r="CDQ67" s="1"/>
      <c r="CDR67" s="1"/>
      <c r="CDS67" s="1"/>
      <c r="CDT67" s="1"/>
      <c r="CDU67" s="1"/>
      <c r="CDV67" s="1"/>
      <c r="CDW67" s="1"/>
      <c r="CDX67" s="1"/>
      <c r="CDY67" s="1"/>
      <c r="CDZ67" s="1"/>
      <c r="CEA67" s="1"/>
      <c r="CEB67" s="1"/>
      <c r="CEC67" s="1"/>
      <c r="CED67" s="1"/>
      <c r="CEE67" s="1"/>
      <c r="CEF67" s="1"/>
      <c r="CEG67" s="1"/>
      <c r="CEH67" s="1"/>
      <c r="CEI67" s="1"/>
      <c r="CEJ67" s="1"/>
      <c r="CEK67" s="1"/>
      <c r="CEL67" s="1"/>
      <c r="CEM67" s="1"/>
      <c r="CEN67" s="1"/>
      <c r="CEO67" s="1"/>
      <c r="CEP67" s="1"/>
      <c r="CEQ67" s="1"/>
      <c r="CER67" s="1"/>
      <c r="CES67" s="1"/>
      <c r="CET67" s="1"/>
      <c r="CEU67" s="1"/>
      <c r="CEV67" s="1"/>
      <c r="CEW67" s="1"/>
      <c r="CEX67" s="1"/>
      <c r="CEY67" s="1"/>
      <c r="CEZ67" s="1"/>
      <c r="CFA67" s="1"/>
      <c r="CFB67" s="1"/>
      <c r="CFC67" s="1"/>
      <c r="CFD67" s="1"/>
      <c r="CFE67" s="1"/>
      <c r="CFF67" s="1"/>
      <c r="CFG67" s="1"/>
      <c r="CFH67" s="1"/>
      <c r="CFI67" s="1"/>
      <c r="CFJ67" s="1"/>
      <c r="CFK67" s="1"/>
      <c r="CFL67" s="1"/>
      <c r="CFM67" s="1"/>
      <c r="CFN67" s="1"/>
      <c r="CFO67" s="1"/>
      <c r="CFP67" s="1"/>
      <c r="CFQ67" s="1"/>
      <c r="CFR67" s="1"/>
      <c r="CFS67" s="1"/>
      <c r="CFT67" s="1"/>
      <c r="CFU67" s="1"/>
      <c r="CFV67" s="1"/>
      <c r="CFW67" s="1"/>
      <c r="CFX67" s="1"/>
      <c r="CFY67" s="1"/>
      <c r="CFZ67" s="1"/>
      <c r="CGA67" s="1"/>
      <c r="CGB67" s="1"/>
      <c r="CGC67" s="1"/>
      <c r="CGD67" s="1"/>
      <c r="CGE67" s="1"/>
      <c r="CGF67" s="1"/>
      <c r="CGG67" s="1"/>
      <c r="CGH67" s="1"/>
      <c r="CGI67" s="1"/>
      <c r="CGJ67" s="1"/>
      <c r="CGK67" s="1"/>
      <c r="CGL67" s="1"/>
      <c r="CGM67" s="1"/>
      <c r="CGN67" s="1"/>
      <c r="CGO67" s="1"/>
      <c r="CGP67" s="1"/>
      <c r="CGQ67" s="1"/>
      <c r="CGR67" s="1"/>
      <c r="CGS67" s="1"/>
      <c r="CGT67" s="1"/>
      <c r="CGU67" s="1"/>
      <c r="CGV67" s="1"/>
      <c r="CGW67" s="1"/>
      <c r="CGX67" s="1"/>
      <c r="CGY67" s="1"/>
      <c r="CGZ67" s="1"/>
      <c r="CHA67" s="1"/>
      <c r="CHB67" s="1"/>
      <c r="CHC67" s="1"/>
      <c r="CHD67" s="1"/>
      <c r="CHE67" s="1"/>
      <c r="CHF67" s="1"/>
      <c r="CHG67" s="1"/>
      <c r="CHH67" s="1"/>
      <c r="CHI67" s="1"/>
      <c r="CHJ67" s="1"/>
      <c r="CHK67" s="1"/>
      <c r="CHL67" s="1"/>
      <c r="CHM67" s="1"/>
      <c r="CHN67" s="1"/>
      <c r="CHO67" s="1"/>
      <c r="CHP67" s="1"/>
      <c r="CHQ67" s="1"/>
      <c r="CHR67" s="1"/>
      <c r="CHS67" s="1"/>
      <c r="CHT67" s="1"/>
      <c r="CHU67" s="1"/>
      <c r="CHV67" s="1"/>
      <c r="CHW67" s="1"/>
      <c r="CHX67" s="1"/>
      <c r="CHY67" s="1"/>
      <c r="CHZ67" s="1"/>
      <c r="CIA67" s="1"/>
      <c r="CIB67" s="1"/>
      <c r="CIC67" s="1"/>
      <c r="CID67" s="1"/>
      <c r="CIE67" s="1"/>
      <c r="CIF67" s="1"/>
      <c r="CIG67" s="1"/>
      <c r="CIH67" s="1"/>
      <c r="CII67" s="1"/>
      <c r="CIJ67" s="1"/>
      <c r="CIK67" s="1"/>
      <c r="CIL67" s="1"/>
      <c r="CIM67" s="1"/>
      <c r="CIN67" s="1"/>
      <c r="CIO67" s="1"/>
      <c r="CIP67" s="1"/>
      <c r="CIQ67" s="1"/>
      <c r="CIR67" s="1"/>
      <c r="CIS67" s="1"/>
      <c r="CIT67" s="1"/>
      <c r="CIU67" s="1"/>
      <c r="CIV67" s="1"/>
      <c r="CIW67" s="1"/>
      <c r="CIX67" s="1"/>
      <c r="CIY67" s="1"/>
      <c r="CIZ67" s="1"/>
      <c r="CJA67" s="1"/>
      <c r="CJB67" s="1"/>
      <c r="CJC67" s="1"/>
      <c r="CJD67" s="1"/>
      <c r="CJE67" s="1"/>
      <c r="CJF67" s="1"/>
      <c r="CJG67" s="1"/>
      <c r="CJH67" s="1"/>
      <c r="CJI67" s="1"/>
      <c r="CJJ67" s="1"/>
      <c r="CJK67" s="1"/>
      <c r="CJL67" s="1"/>
      <c r="CJM67" s="1"/>
      <c r="CJN67" s="1"/>
      <c r="CJO67" s="1"/>
      <c r="CJP67" s="1"/>
      <c r="CJQ67" s="1"/>
      <c r="CJR67" s="1"/>
      <c r="CJS67" s="1"/>
      <c r="CJT67" s="1"/>
      <c r="CJU67" s="1"/>
      <c r="CJV67" s="1"/>
      <c r="CJW67" s="1"/>
      <c r="CJX67" s="1"/>
      <c r="CJY67" s="1"/>
      <c r="CJZ67" s="1"/>
      <c r="CKA67" s="1"/>
      <c r="CKB67" s="1"/>
      <c r="CKC67" s="1"/>
      <c r="CKD67" s="1"/>
      <c r="CKE67" s="1"/>
      <c r="CKF67" s="1"/>
      <c r="CKG67" s="1"/>
      <c r="CKH67" s="1"/>
      <c r="CKI67" s="1"/>
      <c r="CKJ67" s="1"/>
      <c r="CKK67" s="1"/>
      <c r="CKL67" s="1"/>
      <c r="CKM67" s="1"/>
      <c r="CKN67" s="1"/>
      <c r="CKO67" s="1"/>
      <c r="CKP67" s="1"/>
      <c r="CKQ67" s="1"/>
      <c r="CKR67" s="1"/>
      <c r="CKS67" s="1"/>
      <c r="CKT67" s="1"/>
      <c r="CKU67" s="1"/>
      <c r="CKV67" s="1"/>
      <c r="CKW67" s="1"/>
      <c r="CKX67" s="1"/>
      <c r="CKY67" s="1"/>
      <c r="CKZ67" s="1"/>
      <c r="CLA67" s="1"/>
      <c r="CLB67" s="1"/>
      <c r="CLC67" s="1"/>
      <c r="CLD67" s="1"/>
      <c r="CLE67" s="1"/>
      <c r="CLF67" s="1"/>
      <c r="CLG67" s="1"/>
      <c r="CLH67" s="1"/>
      <c r="CLI67" s="1"/>
      <c r="CLJ67" s="1"/>
      <c r="CLK67" s="1"/>
      <c r="CLL67" s="1"/>
      <c r="CLM67" s="1"/>
      <c r="CLN67" s="1"/>
      <c r="CLO67" s="1"/>
      <c r="CLP67" s="1"/>
      <c r="CLQ67" s="1"/>
      <c r="CLR67" s="1"/>
      <c r="CLS67" s="1"/>
      <c r="CLT67" s="1"/>
      <c r="CLU67" s="1"/>
      <c r="CLV67" s="1"/>
      <c r="CLW67" s="1"/>
      <c r="CLX67" s="1"/>
      <c r="CLY67" s="1"/>
      <c r="CLZ67" s="1"/>
      <c r="CMA67" s="1"/>
      <c r="CMB67" s="1"/>
      <c r="CMC67" s="1"/>
      <c r="CMD67" s="1"/>
      <c r="CME67" s="1"/>
      <c r="CMF67" s="1"/>
      <c r="CMG67" s="1"/>
      <c r="CMH67" s="1"/>
      <c r="CMI67" s="1"/>
      <c r="CMJ67" s="1"/>
      <c r="CMK67" s="1"/>
      <c r="CML67" s="1"/>
      <c r="CMM67" s="1"/>
      <c r="CMN67" s="1"/>
      <c r="CMO67" s="1"/>
      <c r="CMP67" s="1"/>
      <c r="CMQ67" s="1"/>
      <c r="CMR67" s="1"/>
      <c r="CMS67" s="1"/>
      <c r="CMT67" s="1"/>
      <c r="CMU67" s="1"/>
      <c r="CMV67" s="1"/>
      <c r="CMW67" s="1"/>
      <c r="CMX67" s="1"/>
      <c r="CMY67" s="1"/>
      <c r="CMZ67" s="1"/>
      <c r="CNA67" s="1"/>
      <c r="CNB67" s="1"/>
      <c r="CNC67" s="1"/>
      <c r="CND67" s="1"/>
      <c r="CNE67" s="1"/>
      <c r="CNF67" s="1"/>
      <c r="CNG67" s="1"/>
      <c r="CNH67" s="1"/>
      <c r="CNI67" s="1"/>
      <c r="CNJ67" s="1"/>
      <c r="CNK67" s="1"/>
      <c r="CNL67" s="1"/>
      <c r="CNM67" s="1"/>
      <c r="CNN67" s="1"/>
      <c r="CNO67" s="1"/>
      <c r="CNP67" s="1"/>
      <c r="CNQ67" s="1"/>
      <c r="CNR67" s="1"/>
      <c r="CNS67" s="1"/>
      <c r="CNT67" s="1"/>
      <c r="CNU67" s="1"/>
      <c r="CNV67" s="1"/>
      <c r="CNW67" s="1"/>
      <c r="CNX67" s="1"/>
      <c r="CNY67" s="1"/>
      <c r="CNZ67" s="1"/>
      <c r="COA67" s="1"/>
      <c r="COB67" s="1"/>
      <c r="COC67" s="1"/>
      <c r="COD67" s="1"/>
      <c r="COE67" s="1"/>
      <c r="COF67" s="1"/>
      <c r="COG67" s="1"/>
      <c r="COH67" s="1"/>
      <c r="COI67" s="1"/>
      <c r="COJ67" s="1"/>
      <c r="COK67" s="1"/>
      <c r="COL67" s="1"/>
      <c r="COM67" s="1"/>
      <c r="CON67" s="1"/>
      <c r="COO67" s="1"/>
      <c r="COP67" s="1"/>
      <c r="COQ67" s="1"/>
      <c r="COR67" s="1"/>
      <c r="COS67" s="1"/>
      <c r="COT67" s="1"/>
      <c r="COU67" s="1"/>
      <c r="COV67" s="1"/>
      <c r="COW67" s="1"/>
      <c r="COX67" s="1"/>
      <c r="COY67" s="1"/>
      <c r="COZ67" s="1"/>
      <c r="CPA67" s="1"/>
      <c r="CPB67" s="1"/>
      <c r="CPC67" s="1"/>
      <c r="CPD67" s="1"/>
      <c r="CPE67" s="1"/>
      <c r="CPF67" s="1"/>
      <c r="CPG67" s="1"/>
      <c r="CPH67" s="1"/>
      <c r="CPI67" s="1"/>
      <c r="CPJ67" s="1"/>
      <c r="CPK67" s="1"/>
      <c r="CPL67" s="1"/>
      <c r="CPM67" s="1"/>
      <c r="CPN67" s="1"/>
      <c r="CPO67" s="1"/>
      <c r="CPP67" s="1"/>
      <c r="CPQ67" s="1"/>
      <c r="CPR67" s="1"/>
      <c r="CPS67" s="1"/>
      <c r="CPT67" s="1"/>
      <c r="CPU67" s="1"/>
      <c r="CPV67" s="1"/>
      <c r="CPW67" s="1"/>
      <c r="CPX67" s="1"/>
      <c r="CPY67" s="1"/>
      <c r="CPZ67" s="1"/>
      <c r="CQA67" s="1"/>
      <c r="CQB67" s="1"/>
      <c r="CQC67" s="1"/>
      <c r="CQD67" s="1"/>
      <c r="CQE67" s="1"/>
      <c r="CQF67" s="1"/>
      <c r="CQG67" s="1"/>
      <c r="CQH67" s="1"/>
      <c r="CQI67" s="1"/>
      <c r="CQJ67" s="1"/>
      <c r="CQK67" s="1"/>
      <c r="CQL67" s="1"/>
      <c r="CQM67" s="1"/>
      <c r="CQN67" s="1"/>
      <c r="CQO67" s="1"/>
      <c r="CQP67" s="1"/>
      <c r="CQQ67" s="1"/>
      <c r="CQR67" s="1"/>
      <c r="CQS67" s="1"/>
      <c r="CQT67" s="1"/>
      <c r="CQU67" s="1"/>
      <c r="CQV67" s="1"/>
      <c r="CQW67" s="1"/>
      <c r="CQX67" s="1"/>
      <c r="CQY67" s="1"/>
      <c r="CQZ67" s="1"/>
      <c r="CRA67" s="1"/>
      <c r="CRB67" s="1"/>
      <c r="CRC67" s="1"/>
      <c r="CRD67" s="1"/>
      <c r="CRE67" s="1"/>
      <c r="CRF67" s="1"/>
      <c r="CRG67" s="1"/>
      <c r="CRH67" s="1"/>
      <c r="CRI67" s="1"/>
      <c r="CRJ67" s="1"/>
      <c r="CRK67" s="1"/>
      <c r="CRL67" s="1"/>
      <c r="CRM67" s="1"/>
      <c r="CRN67" s="1"/>
      <c r="CRO67" s="1"/>
      <c r="CRP67" s="1"/>
      <c r="CRQ67" s="1"/>
      <c r="CRR67" s="1"/>
      <c r="CRS67" s="1"/>
      <c r="CRT67" s="1"/>
      <c r="CRU67" s="1"/>
      <c r="CRV67" s="1"/>
      <c r="CRW67" s="1"/>
      <c r="CRX67" s="1"/>
      <c r="CRY67" s="1"/>
      <c r="CRZ67" s="1"/>
      <c r="CSA67" s="1"/>
      <c r="CSB67" s="1"/>
      <c r="CSC67" s="1"/>
      <c r="CSD67" s="1"/>
      <c r="CSE67" s="1"/>
      <c r="CSF67" s="1"/>
      <c r="CSG67" s="1"/>
      <c r="CSH67" s="1"/>
      <c r="CSI67" s="1"/>
      <c r="CSJ67" s="1"/>
      <c r="CSK67" s="1"/>
      <c r="CSL67" s="1"/>
      <c r="CSM67" s="1"/>
      <c r="CSN67" s="1"/>
      <c r="CSO67" s="1"/>
      <c r="CSP67" s="1"/>
      <c r="CSQ67" s="1"/>
      <c r="CSR67" s="1"/>
      <c r="CSS67" s="1"/>
      <c r="CST67" s="1"/>
      <c r="CSU67" s="1"/>
      <c r="CSV67" s="1"/>
      <c r="CSW67" s="1"/>
      <c r="CSX67" s="1"/>
      <c r="CSY67" s="1"/>
      <c r="CSZ67" s="1"/>
      <c r="CTA67" s="1"/>
      <c r="CTB67" s="1"/>
      <c r="CTC67" s="1"/>
      <c r="CTD67" s="1"/>
      <c r="CTE67" s="1"/>
      <c r="CTF67" s="1"/>
      <c r="CTG67" s="1"/>
      <c r="CTH67" s="1"/>
      <c r="CTI67" s="1"/>
      <c r="CTJ67" s="1"/>
      <c r="CTK67" s="1"/>
      <c r="CTL67" s="1"/>
      <c r="CTM67" s="1"/>
      <c r="CTN67" s="1"/>
      <c r="CTO67" s="1"/>
      <c r="CTP67" s="1"/>
      <c r="CTQ67" s="1"/>
      <c r="CTR67" s="1"/>
      <c r="CTS67" s="1"/>
      <c r="CTT67" s="1"/>
      <c r="CTU67" s="1"/>
      <c r="CTV67" s="1"/>
      <c r="CTW67" s="1"/>
      <c r="CTX67" s="1"/>
      <c r="CTY67" s="1"/>
      <c r="CTZ67" s="1"/>
      <c r="CUA67" s="1"/>
      <c r="CUB67" s="1"/>
      <c r="CUC67" s="1"/>
      <c r="CUD67" s="1"/>
      <c r="CUE67" s="1"/>
      <c r="CUF67" s="1"/>
      <c r="CUG67" s="1"/>
      <c r="CUH67" s="1"/>
      <c r="CUI67" s="1"/>
      <c r="CUJ67" s="1"/>
      <c r="CUK67" s="1"/>
      <c r="CUL67" s="1"/>
      <c r="CUM67" s="1"/>
      <c r="CUN67" s="1"/>
      <c r="CUO67" s="1"/>
      <c r="CUP67" s="1"/>
      <c r="CUQ67" s="1"/>
      <c r="CUR67" s="1"/>
      <c r="CUS67" s="1"/>
      <c r="CUT67" s="1"/>
      <c r="CUU67" s="1"/>
      <c r="CUV67" s="1"/>
      <c r="CUW67" s="1"/>
      <c r="CUX67" s="1"/>
      <c r="CUY67" s="1"/>
      <c r="CUZ67" s="1"/>
      <c r="CVA67" s="1"/>
      <c r="CVB67" s="1"/>
      <c r="CVC67" s="1"/>
      <c r="CVD67" s="1"/>
      <c r="CVE67" s="1"/>
      <c r="CVF67" s="1"/>
      <c r="CVG67" s="1"/>
      <c r="CVH67" s="1"/>
      <c r="CVI67" s="1"/>
      <c r="CVJ67" s="1"/>
      <c r="CVK67" s="1"/>
      <c r="CVL67" s="1"/>
      <c r="CVM67" s="1"/>
      <c r="CVN67" s="1"/>
      <c r="CVO67" s="1"/>
      <c r="CVP67" s="1"/>
      <c r="CVQ67" s="1"/>
      <c r="CVR67" s="1"/>
      <c r="CVS67" s="1"/>
      <c r="CVT67" s="1"/>
      <c r="CVU67" s="1"/>
      <c r="CVV67" s="1"/>
      <c r="CVW67" s="1"/>
      <c r="CVX67" s="1"/>
      <c r="CVY67" s="1"/>
      <c r="CVZ67" s="1"/>
      <c r="CWA67" s="1"/>
      <c r="CWB67" s="1"/>
      <c r="CWC67" s="1"/>
      <c r="CWD67" s="1"/>
      <c r="CWE67" s="1"/>
      <c r="CWF67" s="1"/>
      <c r="CWG67" s="1"/>
      <c r="CWH67" s="1"/>
      <c r="CWI67" s="1"/>
      <c r="CWJ67" s="1"/>
      <c r="CWK67" s="1"/>
      <c r="CWL67" s="1"/>
      <c r="CWM67" s="1"/>
      <c r="CWN67" s="1"/>
      <c r="CWO67" s="1"/>
      <c r="CWP67" s="1"/>
      <c r="CWQ67" s="1"/>
      <c r="CWR67" s="1"/>
      <c r="CWS67" s="1"/>
      <c r="CWT67" s="1"/>
      <c r="CWU67" s="1"/>
      <c r="CWV67" s="1"/>
      <c r="CWW67" s="1"/>
      <c r="CWX67" s="1"/>
      <c r="CWY67" s="1"/>
      <c r="CWZ67" s="1"/>
      <c r="CXA67" s="1"/>
      <c r="CXB67" s="1"/>
      <c r="CXC67" s="1"/>
      <c r="CXD67" s="1"/>
      <c r="CXE67" s="1"/>
      <c r="CXF67" s="1"/>
      <c r="CXG67" s="1"/>
      <c r="CXH67" s="1"/>
      <c r="CXI67" s="1"/>
      <c r="CXJ67" s="1"/>
      <c r="CXK67" s="1"/>
      <c r="CXL67" s="1"/>
      <c r="CXM67" s="1"/>
      <c r="CXN67" s="1"/>
      <c r="CXO67" s="1"/>
      <c r="CXP67" s="1"/>
      <c r="CXQ67" s="1"/>
      <c r="CXR67" s="1"/>
      <c r="CXS67" s="1"/>
      <c r="CXT67" s="1"/>
      <c r="CXU67" s="1"/>
      <c r="CXV67" s="1"/>
      <c r="CXW67" s="1"/>
      <c r="CXX67" s="1"/>
      <c r="CXY67" s="1"/>
      <c r="CXZ67" s="1"/>
      <c r="CYA67" s="1"/>
      <c r="CYB67" s="1"/>
      <c r="CYC67" s="1"/>
      <c r="CYD67" s="1"/>
      <c r="CYE67" s="1"/>
      <c r="CYF67" s="1"/>
      <c r="CYG67" s="1"/>
      <c r="CYH67" s="1"/>
      <c r="CYI67" s="1"/>
      <c r="CYJ67" s="1"/>
      <c r="CYK67" s="1"/>
      <c r="CYL67" s="1"/>
      <c r="CYM67" s="1"/>
      <c r="CYN67" s="1"/>
      <c r="CYO67" s="1"/>
      <c r="CYP67" s="1"/>
      <c r="CYQ67" s="1"/>
      <c r="CYR67" s="1"/>
      <c r="CYS67" s="1"/>
      <c r="CYT67" s="1"/>
      <c r="CYU67" s="1"/>
      <c r="CYV67" s="1"/>
      <c r="CYW67" s="1"/>
      <c r="CYX67" s="1"/>
      <c r="CYY67" s="1"/>
      <c r="CYZ67" s="1"/>
      <c r="CZA67" s="1"/>
      <c r="CZB67" s="1"/>
      <c r="CZC67" s="1"/>
      <c r="CZD67" s="1"/>
      <c r="CZE67" s="1"/>
      <c r="CZF67" s="1"/>
      <c r="CZG67" s="1"/>
      <c r="CZH67" s="1"/>
      <c r="CZI67" s="1"/>
      <c r="CZJ67" s="1"/>
      <c r="CZK67" s="1"/>
      <c r="CZL67" s="1"/>
      <c r="CZM67" s="1"/>
      <c r="CZN67" s="1"/>
      <c r="CZO67" s="1"/>
      <c r="CZP67" s="1"/>
      <c r="CZQ67" s="1"/>
      <c r="CZR67" s="1"/>
      <c r="CZS67" s="1"/>
      <c r="CZT67" s="1"/>
      <c r="CZU67" s="1"/>
      <c r="CZV67" s="1"/>
      <c r="CZW67" s="1"/>
      <c r="CZX67" s="1"/>
      <c r="CZY67" s="1"/>
      <c r="CZZ67" s="1"/>
      <c r="DAA67" s="1"/>
      <c r="DAB67" s="1"/>
      <c r="DAC67" s="1"/>
      <c r="DAD67" s="1"/>
      <c r="DAE67" s="1"/>
      <c r="DAF67" s="1"/>
      <c r="DAG67" s="1"/>
      <c r="DAH67" s="1"/>
      <c r="DAI67" s="1"/>
      <c r="DAJ67" s="1"/>
      <c r="DAK67" s="1"/>
      <c r="DAL67" s="1"/>
      <c r="DAM67" s="1"/>
      <c r="DAN67" s="1"/>
      <c r="DAO67" s="1"/>
      <c r="DAP67" s="1"/>
      <c r="DAQ67" s="1"/>
      <c r="DAR67" s="1"/>
      <c r="DAS67" s="1"/>
      <c r="DAT67" s="1"/>
      <c r="DAU67" s="1"/>
      <c r="DAV67" s="1"/>
      <c r="DAW67" s="1"/>
      <c r="DAX67" s="1"/>
      <c r="DAY67" s="1"/>
      <c r="DAZ67" s="1"/>
      <c r="DBA67" s="1"/>
      <c r="DBB67" s="1"/>
      <c r="DBC67" s="1"/>
      <c r="DBD67" s="1"/>
      <c r="DBE67" s="1"/>
      <c r="DBF67" s="1"/>
      <c r="DBG67" s="1"/>
      <c r="DBH67" s="1"/>
      <c r="DBI67" s="1"/>
      <c r="DBJ67" s="1"/>
      <c r="DBK67" s="1"/>
      <c r="DBL67" s="1"/>
      <c r="DBM67" s="1"/>
      <c r="DBN67" s="1"/>
      <c r="DBO67" s="1"/>
      <c r="DBP67" s="1"/>
      <c r="DBQ67" s="1"/>
      <c r="DBR67" s="1"/>
      <c r="DBS67" s="1"/>
      <c r="DBT67" s="1"/>
      <c r="DBU67" s="1"/>
      <c r="DBV67" s="1"/>
      <c r="DBW67" s="1"/>
      <c r="DBX67" s="1"/>
      <c r="DBY67" s="1"/>
      <c r="DBZ67" s="1"/>
      <c r="DCA67" s="1"/>
      <c r="DCB67" s="1"/>
      <c r="DCC67" s="1"/>
      <c r="DCD67" s="1"/>
      <c r="DCE67" s="1"/>
      <c r="DCF67" s="1"/>
      <c r="DCG67" s="1"/>
      <c r="DCH67" s="1"/>
      <c r="DCI67" s="1"/>
      <c r="DCJ67" s="1"/>
      <c r="DCK67" s="1"/>
      <c r="DCL67" s="1"/>
      <c r="DCM67" s="1"/>
      <c r="DCN67" s="1"/>
      <c r="DCO67" s="1"/>
      <c r="DCP67" s="1"/>
      <c r="DCQ67" s="1"/>
      <c r="DCR67" s="1"/>
      <c r="DCS67" s="1"/>
      <c r="DCT67" s="1"/>
      <c r="DCU67" s="1"/>
      <c r="DCV67" s="1"/>
      <c r="DCW67" s="1"/>
      <c r="DCX67" s="1"/>
      <c r="DCY67" s="1"/>
      <c r="DCZ67" s="1"/>
      <c r="DDA67" s="1"/>
      <c r="DDB67" s="1"/>
      <c r="DDC67" s="1"/>
      <c r="DDD67" s="1"/>
      <c r="DDE67" s="1"/>
      <c r="DDF67" s="1"/>
      <c r="DDG67" s="1"/>
      <c r="DDH67" s="1"/>
      <c r="DDI67" s="1"/>
      <c r="DDJ67" s="1"/>
      <c r="DDK67" s="1"/>
      <c r="DDL67" s="1"/>
      <c r="DDM67" s="1"/>
      <c r="DDN67" s="1"/>
      <c r="DDO67" s="1"/>
      <c r="DDP67" s="1"/>
      <c r="DDQ67" s="1"/>
      <c r="DDR67" s="1"/>
      <c r="DDS67" s="1"/>
      <c r="DDT67" s="1"/>
      <c r="DDU67" s="1"/>
      <c r="DDV67" s="1"/>
      <c r="DDW67" s="1"/>
      <c r="DDX67" s="1"/>
      <c r="DDY67" s="1"/>
      <c r="DDZ67" s="1"/>
      <c r="DEA67" s="1"/>
      <c r="DEB67" s="1"/>
      <c r="DEC67" s="1"/>
      <c r="DED67" s="1"/>
      <c r="DEE67" s="1"/>
      <c r="DEF67" s="1"/>
      <c r="DEG67" s="1"/>
      <c r="DEH67" s="1"/>
      <c r="DEI67" s="1"/>
      <c r="DEJ67" s="1"/>
      <c r="DEK67" s="1"/>
      <c r="DEL67" s="1"/>
      <c r="DEM67" s="1"/>
      <c r="DEN67" s="1"/>
      <c r="DEO67" s="1"/>
      <c r="DEP67" s="1"/>
      <c r="DEQ67" s="1"/>
      <c r="DER67" s="1"/>
      <c r="DES67" s="1"/>
      <c r="DET67" s="1"/>
      <c r="DEU67" s="1"/>
      <c r="DEV67" s="1"/>
      <c r="DEW67" s="1"/>
      <c r="DEX67" s="1"/>
      <c r="DEY67" s="1"/>
      <c r="DEZ67" s="1"/>
      <c r="DFA67" s="1"/>
      <c r="DFB67" s="1"/>
      <c r="DFC67" s="1"/>
      <c r="DFD67" s="1"/>
      <c r="DFE67" s="1"/>
      <c r="DFF67" s="1"/>
      <c r="DFG67" s="1"/>
      <c r="DFH67" s="1"/>
      <c r="DFI67" s="1"/>
      <c r="DFJ67" s="1"/>
      <c r="DFK67" s="1"/>
      <c r="DFL67" s="1"/>
      <c r="DFM67" s="1"/>
      <c r="DFN67" s="1"/>
      <c r="DFO67" s="1"/>
      <c r="DFP67" s="1"/>
      <c r="DFQ67" s="1"/>
      <c r="DFR67" s="1"/>
      <c r="DFS67" s="1"/>
      <c r="DFT67" s="1"/>
      <c r="DFU67" s="1"/>
      <c r="DFV67" s="1"/>
      <c r="DFW67" s="1"/>
      <c r="DFX67" s="1"/>
      <c r="DFY67" s="1"/>
      <c r="DFZ67" s="1"/>
      <c r="DGA67" s="1"/>
      <c r="DGB67" s="1"/>
      <c r="DGC67" s="1"/>
      <c r="DGD67" s="1"/>
      <c r="DGE67" s="1"/>
      <c r="DGF67" s="1"/>
      <c r="DGG67" s="1"/>
      <c r="DGH67" s="1"/>
      <c r="DGI67" s="1"/>
      <c r="DGJ67" s="1"/>
      <c r="DGK67" s="1"/>
      <c r="DGL67" s="1"/>
      <c r="DGM67" s="1"/>
      <c r="DGN67" s="1"/>
      <c r="DGO67" s="1"/>
      <c r="DGP67" s="1"/>
      <c r="DGQ67" s="1"/>
      <c r="DGR67" s="1"/>
      <c r="DGS67" s="1"/>
      <c r="DGT67" s="1"/>
      <c r="DGU67" s="1"/>
      <c r="DGV67" s="1"/>
      <c r="DGW67" s="1"/>
      <c r="DGX67" s="1"/>
      <c r="DGY67" s="1"/>
      <c r="DGZ67" s="1"/>
      <c r="DHA67" s="1"/>
      <c r="DHB67" s="1"/>
      <c r="DHC67" s="1"/>
      <c r="DHD67" s="1"/>
      <c r="DHE67" s="1"/>
      <c r="DHF67" s="1"/>
      <c r="DHG67" s="1"/>
      <c r="DHH67" s="1"/>
      <c r="DHI67" s="1"/>
      <c r="DHJ67" s="1"/>
      <c r="DHK67" s="1"/>
      <c r="DHL67" s="1"/>
      <c r="DHM67" s="1"/>
      <c r="DHN67" s="1"/>
      <c r="DHO67" s="1"/>
      <c r="DHP67" s="1"/>
      <c r="DHQ67" s="1"/>
      <c r="DHR67" s="1"/>
      <c r="DHS67" s="1"/>
      <c r="DHT67" s="1"/>
      <c r="DHU67" s="1"/>
      <c r="DHV67" s="1"/>
      <c r="DHW67" s="1"/>
      <c r="DHX67" s="1"/>
      <c r="DHY67" s="1"/>
      <c r="DHZ67" s="1"/>
      <c r="DIA67" s="1"/>
      <c r="DIB67" s="1"/>
      <c r="DIC67" s="1"/>
      <c r="DID67" s="1"/>
      <c r="DIE67" s="1"/>
      <c r="DIF67" s="1"/>
      <c r="DIG67" s="1"/>
      <c r="DIH67" s="1"/>
      <c r="DII67" s="1"/>
      <c r="DIJ67" s="1"/>
      <c r="DIK67" s="1"/>
      <c r="DIL67" s="1"/>
      <c r="DIM67" s="1"/>
      <c r="DIN67" s="1"/>
      <c r="DIO67" s="1"/>
      <c r="DIP67" s="1"/>
      <c r="DIQ67" s="1"/>
      <c r="DIR67" s="1"/>
      <c r="DIS67" s="1"/>
      <c r="DIT67" s="1"/>
      <c r="DIU67" s="1"/>
      <c r="DIV67" s="1"/>
      <c r="DIW67" s="1"/>
      <c r="DIX67" s="1"/>
      <c r="DIY67" s="1"/>
      <c r="DIZ67" s="1"/>
      <c r="DJA67" s="1"/>
      <c r="DJB67" s="1"/>
      <c r="DJC67" s="1"/>
      <c r="DJD67" s="1"/>
      <c r="DJE67" s="1"/>
      <c r="DJF67" s="1"/>
      <c r="DJG67" s="1"/>
      <c r="DJH67" s="1"/>
      <c r="DJI67" s="1"/>
      <c r="DJJ67" s="1"/>
      <c r="DJK67" s="1"/>
      <c r="DJL67" s="1"/>
      <c r="DJM67" s="1"/>
      <c r="DJN67" s="1"/>
      <c r="DJO67" s="1"/>
      <c r="DJP67" s="1"/>
      <c r="DJQ67" s="1"/>
      <c r="DJR67" s="1"/>
      <c r="DJS67" s="1"/>
      <c r="DJT67" s="1"/>
      <c r="DJU67" s="1"/>
      <c r="DJV67" s="1"/>
      <c r="DJW67" s="1"/>
      <c r="DJX67" s="1"/>
      <c r="DJY67" s="1"/>
      <c r="DJZ67" s="1"/>
      <c r="DKA67" s="1"/>
      <c r="DKB67" s="1"/>
      <c r="DKC67" s="1"/>
      <c r="DKD67" s="1"/>
      <c r="DKE67" s="1"/>
      <c r="DKF67" s="1"/>
      <c r="DKG67" s="1"/>
      <c r="DKH67" s="1"/>
      <c r="DKI67" s="1"/>
      <c r="DKJ67" s="1"/>
      <c r="DKK67" s="1"/>
      <c r="DKL67" s="1"/>
      <c r="DKM67" s="1"/>
      <c r="DKN67" s="1"/>
      <c r="DKO67" s="1"/>
      <c r="DKP67" s="1"/>
      <c r="DKQ67" s="1"/>
      <c r="DKR67" s="1"/>
      <c r="DKS67" s="1"/>
      <c r="DKT67" s="1"/>
      <c r="DKU67" s="1"/>
      <c r="DKV67" s="1"/>
      <c r="DKW67" s="1"/>
      <c r="DKX67" s="1"/>
      <c r="DKY67" s="1"/>
      <c r="DKZ67" s="1"/>
      <c r="DLA67" s="1"/>
      <c r="DLB67" s="1"/>
      <c r="DLC67" s="1"/>
      <c r="DLD67" s="1"/>
      <c r="DLE67" s="1"/>
      <c r="DLF67" s="1"/>
      <c r="DLG67" s="1"/>
      <c r="DLH67" s="1"/>
      <c r="DLI67" s="1"/>
      <c r="DLJ67" s="1"/>
      <c r="DLK67" s="1"/>
      <c r="DLL67" s="1"/>
      <c r="DLM67" s="1"/>
      <c r="DLN67" s="1"/>
      <c r="DLO67" s="1"/>
      <c r="DLP67" s="1"/>
      <c r="DLQ67" s="1"/>
      <c r="DLR67" s="1"/>
      <c r="DLS67" s="1"/>
      <c r="DLT67" s="1"/>
      <c r="DLU67" s="1"/>
      <c r="DLV67" s="1"/>
      <c r="DLW67" s="1"/>
      <c r="DLX67" s="1"/>
      <c r="DLY67" s="1"/>
      <c r="DLZ67" s="1"/>
      <c r="DMA67" s="1"/>
      <c r="DMB67" s="1"/>
      <c r="DMC67" s="1"/>
      <c r="DMD67" s="1"/>
      <c r="DME67" s="1"/>
      <c r="DMF67" s="1"/>
      <c r="DMG67" s="1"/>
      <c r="DMH67" s="1"/>
      <c r="DMI67" s="1"/>
      <c r="DMJ67" s="1"/>
      <c r="DMK67" s="1"/>
      <c r="DML67" s="1"/>
      <c r="DMM67" s="1"/>
      <c r="DMN67" s="1"/>
      <c r="DMO67" s="1"/>
      <c r="DMP67" s="1"/>
      <c r="DMQ67" s="1"/>
      <c r="DMR67" s="1"/>
      <c r="DMS67" s="1"/>
      <c r="DMT67" s="1"/>
      <c r="DMU67" s="1"/>
      <c r="DMV67" s="1"/>
      <c r="DMW67" s="1"/>
      <c r="DMX67" s="1"/>
      <c r="DMY67" s="1"/>
      <c r="DMZ67" s="1"/>
      <c r="DNA67" s="1"/>
      <c r="DNB67" s="1"/>
      <c r="DNC67" s="1"/>
      <c r="DND67" s="1"/>
      <c r="DNE67" s="1"/>
      <c r="DNF67" s="1"/>
      <c r="DNG67" s="1"/>
      <c r="DNH67" s="1"/>
      <c r="DNI67" s="1"/>
      <c r="DNJ67" s="1"/>
      <c r="DNK67" s="1"/>
      <c r="DNL67" s="1"/>
      <c r="DNM67" s="1"/>
      <c r="DNN67" s="1"/>
      <c r="DNO67" s="1"/>
      <c r="DNP67" s="1"/>
      <c r="DNQ67" s="1"/>
      <c r="DNR67" s="1"/>
      <c r="DNS67" s="1"/>
      <c r="DNT67" s="1"/>
      <c r="DNU67" s="1"/>
      <c r="DNV67" s="1"/>
      <c r="DNW67" s="1"/>
      <c r="DNX67" s="1"/>
      <c r="DNY67" s="1"/>
      <c r="DNZ67" s="1"/>
      <c r="DOA67" s="1"/>
      <c r="DOB67" s="1"/>
      <c r="DOC67" s="1"/>
      <c r="DOD67" s="1"/>
      <c r="DOE67" s="1"/>
      <c r="DOF67" s="1"/>
      <c r="DOG67" s="1"/>
      <c r="DOH67" s="1"/>
      <c r="DOI67" s="1"/>
      <c r="DOJ67" s="1"/>
      <c r="DOK67" s="1"/>
      <c r="DOL67" s="1"/>
      <c r="DOM67" s="1"/>
      <c r="DON67" s="1"/>
      <c r="DOO67" s="1"/>
      <c r="DOP67" s="1"/>
      <c r="DOQ67" s="1"/>
      <c r="DOR67" s="1"/>
      <c r="DOS67" s="1"/>
      <c r="DOT67" s="1"/>
      <c r="DOU67" s="1"/>
      <c r="DOV67" s="1"/>
      <c r="DOW67" s="1"/>
      <c r="DOX67" s="1"/>
      <c r="DOY67" s="1"/>
      <c r="DOZ67" s="1"/>
      <c r="DPA67" s="1"/>
      <c r="DPB67" s="1"/>
      <c r="DPC67" s="1"/>
      <c r="DPD67" s="1"/>
      <c r="DPE67" s="1"/>
      <c r="DPF67" s="1"/>
      <c r="DPG67" s="1"/>
      <c r="DPH67" s="1"/>
      <c r="DPI67" s="1"/>
      <c r="DPJ67" s="1"/>
      <c r="DPK67" s="1"/>
      <c r="DPL67" s="1"/>
      <c r="DPM67" s="1"/>
      <c r="DPN67" s="1"/>
      <c r="DPO67" s="1"/>
      <c r="DPP67" s="1"/>
      <c r="DPQ67" s="1"/>
      <c r="DPR67" s="1"/>
      <c r="DPS67" s="1"/>
      <c r="DPT67" s="1"/>
      <c r="DPU67" s="1"/>
      <c r="DPV67" s="1"/>
      <c r="DPW67" s="1"/>
      <c r="DPX67" s="1"/>
      <c r="DPY67" s="1"/>
      <c r="DPZ67" s="1"/>
      <c r="DQA67" s="1"/>
      <c r="DQB67" s="1"/>
      <c r="DQC67" s="1"/>
      <c r="DQD67" s="1"/>
      <c r="DQE67" s="1"/>
      <c r="DQF67" s="1"/>
      <c r="DQG67" s="1"/>
      <c r="DQH67" s="1"/>
      <c r="DQI67" s="1"/>
      <c r="DQJ67" s="1"/>
      <c r="DQK67" s="1"/>
      <c r="DQL67" s="1"/>
      <c r="DQM67" s="1"/>
      <c r="DQN67" s="1"/>
      <c r="DQO67" s="1"/>
      <c r="DQP67" s="1"/>
      <c r="DQQ67" s="1"/>
      <c r="DQR67" s="1"/>
      <c r="DQS67" s="1"/>
      <c r="DQT67" s="1"/>
      <c r="DQU67" s="1"/>
      <c r="DQV67" s="1"/>
      <c r="DQW67" s="1"/>
      <c r="DQX67" s="1"/>
      <c r="DQY67" s="1"/>
      <c r="DQZ67" s="1"/>
      <c r="DRA67" s="1"/>
      <c r="DRB67" s="1"/>
      <c r="DRC67" s="1"/>
      <c r="DRD67" s="1"/>
      <c r="DRE67" s="1"/>
      <c r="DRF67" s="1"/>
      <c r="DRG67" s="1"/>
      <c r="DRH67" s="1"/>
      <c r="DRI67" s="1"/>
      <c r="DRJ67" s="1"/>
      <c r="DRK67" s="1"/>
      <c r="DRL67" s="1"/>
      <c r="DRM67" s="1"/>
      <c r="DRN67" s="1"/>
      <c r="DRO67" s="1"/>
      <c r="DRP67" s="1"/>
      <c r="DRQ67" s="1"/>
      <c r="DRR67" s="1"/>
      <c r="DRS67" s="1"/>
      <c r="DRT67" s="1"/>
      <c r="DRU67" s="1"/>
      <c r="DRV67" s="1"/>
      <c r="DRW67" s="1"/>
      <c r="DRX67" s="1"/>
      <c r="DRY67" s="1"/>
      <c r="DRZ67" s="1"/>
      <c r="DSA67" s="1"/>
      <c r="DSB67" s="1"/>
      <c r="DSC67" s="1"/>
      <c r="DSD67" s="1"/>
      <c r="DSE67" s="1"/>
      <c r="DSF67" s="1"/>
      <c r="DSG67" s="1"/>
      <c r="DSH67" s="1"/>
      <c r="DSI67" s="1"/>
      <c r="DSJ67" s="1"/>
      <c r="DSK67" s="1"/>
      <c r="DSL67" s="1"/>
      <c r="DSM67" s="1"/>
      <c r="DSN67" s="1"/>
      <c r="DSO67" s="1"/>
      <c r="DSP67" s="1"/>
      <c r="DSQ67" s="1"/>
      <c r="DSR67" s="1"/>
      <c r="DSS67" s="1"/>
      <c r="DST67" s="1"/>
      <c r="DSU67" s="1"/>
      <c r="DSV67" s="1"/>
      <c r="DSW67" s="1"/>
      <c r="DSX67" s="1"/>
      <c r="DSY67" s="1"/>
      <c r="DSZ67" s="1"/>
      <c r="DTA67" s="1"/>
      <c r="DTB67" s="1"/>
      <c r="DTC67" s="1"/>
      <c r="DTD67" s="1"/>
      <c r="DTE67" s="1"/>
      <c r="DTF67" s="1"/>
      <c r="DTG67" s="1"/>
      <c r="DTH67" s="1"/>
      <c r="DTI67" s="1"/>
      <c r="DTJ67" s="1"/>
      <c r="DTK67" s="1"/>
      <c r="DTL67" s="1"/>
      <c r="DTM67" s="1"/>
      <c r="DTN67" s="1"/>
      <c r="DTO67" s="1"/>
      <c r="DTP67" s="1"/>
      <c r="DTQ67" s="1"/>
      <c r="DTR67" s="1"/>
      <c r="DTS67" s="1"/>
      <c r="DTT67" s="1"/>
      <c r="DTU67" s="1"/>
      <c r="DTV67" s="1"/>
      <c r="DTW67" s="1"/>
      <c r="DTX67" s="1"/>
      <c r="DTY67" s="1"/>
      <c r="DTZ67" s="1"/>
      <c r="DUA67" s="1"/>
      <c r="DUB67" s="1"/>
      <c r="DUC67" s="1"/>
      <c r="DUD67" s="1"/>
      <c r="DUE67" s="1"/>
      <c r="DUF67" s="1"/>
      <c r="DUG67" s="1"/>
      <c r="DUH67" s="1"/>
      <c r="DUI67" s="1"/>
      <c r="DUJ67" s="1"/>
      <c r="DUK67" s="1"/>
      <c r="DUL67" s="1"/>
      <c r="DUM67" s="1"/>
      <c r="DUN67" s="1"/>
      <c r="DUO67" s="1"/>
      <c r="DUP67" s="1"/>
      <c r="DUQ67" s="1"/>
      <c r="DUR67" s="1"/>
      <c r="DUS67" s="1"/>
      <c r="DUT67" s="1"/>
      <c r="DUU67" s="1"/>
      <c r="DUV67" s="1"/>
      <c r="DUW67" s="1"/>
      <c r="DUX67" s="1"/>
      <c r="DUY67" s="1"/>
      <c r="DUZ67" s="1"/>
      <c r="DVA67" s="1"/>
      <c r="DVB67" s="1"/>
      <c r="DVC67" s="1"/>
      <c r="DVD67" s="1"/>
      <c r="DVE67" s="1"/>
      <c r="DVF67" s="1"/>
      <c r="DVG67" s="1"/>
      <c r="DVH67" s="1"/>
      <c r="DVI67" s="1"/>
      <c r="DVJ67" s="1"/>
      <c r="DVK67" s="1"/>
      <c r="DVL67" s="1"/>
      <c r="DVM67" s="1"/>
      <c r="DVN67" s="1"/>
      <c r="DVO67" s="1"/>
      <c r="DVP67" s="1"/>
      <c r="DVQ67" s="1"/>
      <c r="DVR67" s="1"/>
      <c r="DVS67" s="1"/>
      <c r="DVT67" s="1"/>
      <c r="DVU67" s="1"/>
      <c r="DVV67" s="1"/>
      <c r="DVW67" s="1"/>
      <c r="DVX67" s="1"/>
      <c r="DVY67" s="1"/>
      <c r="DVZ67" s="1"/>
      <c r="DWA67" s="1"/>
      <c r="DWB67" s="1"/>
      <c r="DWC67" s="1"/>
      <c r="DWD67" s="1"/>
      <c r="DWE67" s="1"/>
      <c r="DWF67" s="1"/>
      <c r="DWG67" s="1"/>
      <c r="DWH67" s="1"/>
      <c r="DWI67" s="1"/>
      <c r="DWJ67" s="1"/>
      <c r="DWK67" s="1"/>
      <c r="DWL67" s="1"/>
      <c r="DWM67" s="1"/>
      <c r="DWN67" s="1"/>
      <c r="DWO67" s="1"/>
      <c r="DWP67" s="1"/>
      <c r="DWQ67" s="1"/>
      <c r="DWR67" s="1"/>
      <c r="DWS67" s="1"/>
      <c r="DWT67" s="1"/>
      <c r="DWU67" s="1"/>
      <c r="DWV67" s="1"/>
      <c r="DWW67" s="1"/>
      <c r="DWX67" s="1"/>
      <c r="DWY67" s="1"/>
      <c r="DWZ67" s="1"/>
      <c r="DXA67" s="1"/>
      <c r="DXB67" s="1"/>
      <c r="DXC67" s="1"/>
      <c r="DXD67" s="1"/>
      <c r="DXE67" s="1"/>
      <c r="DXF67" s="1"/>
      <c r="DXG67" s="1"/>
      <c r="DXH67" s="1"/>
      <c r="DXI67" s="1"/>
      <c r="DXJ67" s="1"/>
      <c r="DXK67" s="1"/>
      <c r="DXL67" s="1"/>
      <c r="DXM67" s="1"/>
      <c r="DXN67" s="1"/>
      <c r="DXO67" s="1"/>
      <c r="DXP67" s="1"/>
      <c r="DXQ67" s="1"/>
      <c r="DXR67" s="1"/>
      <c r="DXS67" s="1"/>
      <c r="DXT67" s="1"/>
      <c r="DXU67" s="1"/>
      <c r="DXV67" s="1"/>
      <c r="DXW67" s="1"/>
      <c r="DXX67" s="1"/>
      <c r="DXY67" s="1"/>
      <c r="DXZ67" s="1"/>
      <c r="DYA67" s="1"/>
      <c r="DYB67" s="1"/>
      <c r="DYC67" s="1"/>
      <c r="DYD67" s="1"/>
      <c r="DYE67" s="1"/>
      <c r="DYF67" s="1"/>
      <c r="DYG67" s="1"/>
      <c r="DYH67" s="1"/>
      <c r="DYI67" s="1"/>
      <c r="DYJ67" s="1"/>
      <c r="DYK67" s="1"/>
      <c r="DYL67" s="1"/>
      <c r="DYM67" s="1"/>
      <c r="DYN67" s="1"/>
      <c r="DYO67" s="1"/>
      <c r="DYP67" s="1"/>
      <c r="DYQ67" s="1"/>
      <c r="DYR67" s="1"/>
      <c r="DYS67" s="1"/>
      <c r="DYT67" s="1"/>
      <c r="DYU67" s="1"/>
      <c r="DYV67" s="1"/>
      <c r="DYW67" s="1"/>
      <c r="DYX67" s="1"/>
      <c r="DYY67" s="1"/>
      <c r="DYZ67" s="1"/>
      <c r="DZA67" s="1"/>
      <c r="DZB67" s="1"/>
      <c r="DZC67" s="1"/>
      <c r="DZD67" s="1"/>
      <c r="DZE67" s="1"/>
      <c r="DZF67" s="1"/>
      <c r="DZG67" s="1"/>
      <c r="DZH67" s="1"/>
      <c r="DZI67" s="1"/>
      <c r="DZJ67" s="1"/>
      <c r="DZK67" s="1"/>
      <c r="DZL67" s="1"/>
      <c r="DZM67" s="1"/>
      <c r="DZN67" s="1"/>
      <c r="DZO67" s="1"/>
      <c r="DZP67" s="1"/>
      <c r="DZQ67" s="1"/>
      <c r="DZR67" s="1"/>
      <c r="DZS67" s="1"/>
      <c r="DZT67" s="1"/>
      <c r="DZU67" s="1"/>
      <c r="DZV67" s="1"/>
      <c r="DZW67" s="1"/>
      <c r="DZX67" s="1"/>
      <c r="DZY67" s="1"/>
      <c r="DZZ67" s="1"/>
      <c r="EAA67" s="1"/>
      <c r="EAB67" s="1"/>
      <c r="EAC67" s="1"/>
      <c r="EAD67" s="1"/>
      <c r="EAE67" s="1"/>
      <c r="EAF67" s="1"/>
      <c r="EAG67" s="1"/>
      <c r="EAH67" s="1"/>
      <c r="EAI67" s="1"/>
      <c r="EAJ67" s="1"/>
      <c r="EAK67" s="1"/>
      <c r="EAL67" s="1"/>
      <c r="EAM67" s="1"/>
      <c r="EAN67" s="1"/>
      <c r="EAO67" s="1"/>
      <c r="EAP67" s="1"/>
      <c r="EAQ67" s="1"/>
      <c r="EAR67" s="1"/>
      <c r="EAS67" s="1"/>
      <c r="EAT67" s="1"/>
      <c r="EAU67" s="1"/>
      <c r="EAV67" s="1"/>
      <c r="EAW67" s="1"/>
      <c r="EAX67" s="1"/>
      <c r="EAY67" s="1"/>
      <c r="EAZ67" s="1"/>
      <c r="EBA67" s="1"/>
      <c r="EBB67" s="1"/>
      <c r="EBC67" s="1"/>
      <c r="EBD67" s="1"/>
      <c r="EBE67" s="1"/>
      <c r="EBF67" s="1"/>
      <c r="EBG67" s="1"/>
      <c r="EBH67" s="1"/>
      <c r="EBI67" s="1"/>
      <c r="EBJ67" s="1"/>
      <c r="EBK67" s="1"/>
      <c r="EBL67" s="1"/>
      <c r="EBM67" s="1"/>
      <c r="EBN67" s="1"/>
      <c r="EBO67" s="1"/>
      <c r="EBP67" s="1"/>
      <c r="EBQ67" s="1"/>
      <c r="EBR67" s="1"/>
      <c r="EBS67" s="1"/>
      <c r="EBT67" s="1"/>
      <c r="EBU67" s="1"/>
      <c r="EBV67" s="1"/>
      <c r="EBW67" s="1"/>
      <c r="EBX67" s="1"/>
      <c r="EBY67" s="1"/>
      <c r="EBZ67" s="1"/>
      <c r="ECA67" s="1"/>
      <c r="ECB67" s="1"/>
      <c r="ECC67" s="1"/>
      <c r="ECD67" s="1"/>
      <c r="ECE67" s="1"/>
      <c r="ECF67" s="1"/>
      <c r="ECG67" s="1"/>
      <c r="ECH67" s="1"/>
      <c r="ECI67" s="1"/>
      <c r="ECJ67" s="1"/>
      <c r="ECK67" s="1"/>
      <c r="ECL67" s="1"/>
      <c r="ECM67" s="1"/>
      <c r="ECN67" s="1"/>
      <c r="ECO67" s="1"/>
      <c r="ECP67" s="1"/>
      <c r="ECQ67" s="1"/>
      <c r="ECR67" s="1"/>
      <c r="ECS67" s="1"/>
      <c r="ECT67" s="1"/>
      <c r="ECU67" s="1"/>
      <c r="ECV67" s="1"/>
      <c r="ECW67" s="1"/>
      <c r="ECX67" s="1"/>
      <c r="ECY67" s="1"/>
      <c r="ECZ67" s="1"/>
      <c r="EDA67" s="1"/>
      <c r="EDB67" s="1"/>
      <c r="EDC67" s="1"/>
      <c r="EDD67" s="1"/>
      <c r="EDE67" s="1"/>
      <c r="EDF67" s="1"/>
      <c r="EDG67" s="1"/>
      <c r="EDH67" s="1"/>
      <c r="EDI67" s="1"/>
      <c r="EDJ67" s="1"/>
      <c r="EDK67" s="1"/>
      <c r="EDL67" s="1"/>
      <c r="EDM67" s="1"/>
      <c r="EDN67" s="1"/>
      <c r="EDO67" s="1"/>
      <c r="EDP67" s="1"/>
      <c r="EDQ67" s="1"/>
      <c r="EDR67" s="1"/>
      <c r="EDS67" s="1"/>
      <c r="EDT67" s="1"/>
      <c r="EDU67" s="1"/>
      <c r="EDV67" s="1"/>
      <c r="EDW67" s="1"/>
      <c r="EDX67" s="1"/>
      <c r="EDY67" s="1"/>
      <c r="EDZ67" s="1"/>
      <c r="EEA67" s="1"/>
      <c r="EEB67" s="1"/>
      <c r="EEC67" s="1"/>
      <c r="EED67" s="1"/>
      <c r="EEE67" s="1"/>
      <c r="EEF67" s="1"/>
      <c r="EEG67" s="1"/>
      <c r="EEH67" s="1"/>
      <c r="EEI67" s="1"/>
      <c r="EEJ67" s="1"/>
      <c r="EEK67" s="1"/>
      <c r="EEL67" s="1"/>
      <c r="EEM67" s="1"/>
      <c r="EEN67" s="1"/>
      <c r="EEO67" s="1"/>
      <c r="EEP67" s="1"/>
      <c r="EEQ67" s="1"/>
      <c r="EER67" s="1"/>
      <c r="EES67" s="1"/>
      <c r="EET67" s="1"/>
      <c r="EEU67" s="1"/>
      <c r="EEV67" s="1"/>
      <c r="EEW67" s="1"/>
      <c r="EEX67" s="1"/>
      <c r="EEY67" s="1"/>
      <c r="EEZ67" s="1"/>
      <c r="EFA67" s="1"/>
      <c r="EFB67" s="1"/>
      <c r="EFC67" s="1"/>
      <c r="EFD67" s="1"/>
      <c r="EFE67" s="1"/>
      <c r="EFF67" s="1"/>
      <c r="EFG67" s="1"/>
      <c r="EFH67" s="1"/>
      <c r="EFI67" s="1"/>
      <c r="EFJ67" s="1"/>
      <c r="EFK67" s="1"/>
      <c r="EFL67" s="1"/>
      <c r="EFM67" s="1"/>
      <c r="EFN67" s="1"/>
      <c r="EFO67" s="1"/>
      <c r="EFP67" s="1"/>
      <c r="EFQ67" s="1"/>
      <c r="EFR67" s="1"/>
      <c r="EFS67" s="1"/>
      <c r="EFT67" s="1"/>
      <c r="EFU67" s="1"/>
      <c r="EFV67" s="1"/>
      <c r="EFW67" s="1"/>
      <c r="EFX67" s="1"/>
      <c r="EFY67" s="1"/>
      <c r="EFZ67" s="1"/>
      <c r="EGA67" s="1"/>
      <c r="EGB67" s="1"/>
      <c r="EGC67" s="1"/>
      <c r="EGD67" s="1"/>
      <c r="EGE67" s="1"/>
      <c r="EGF67" s="1"/>
      <c r="EGG67" s="1"/>
      <c r="EGH67" s="1"/>
      <c r="EGI67" s="1"/>
      <c r="EGJ67" s="1"/>
      <c r="EGK67" s="1"/>
      <c r="EGL67" s="1"/>
      <c r="EGM67" s="1"/>
      <c r="EGN67" s="1"/>
      <c r="EGO67" s="1"/>
      <c r="EGP67" s="1"/>
      <c r="EGQ67" s="1"/>
      <c r="EGR67" s="1"/>
      <c r="EGS67" s="1"/>
      <c r="EGT67" s="1"/>
      <c r="EGU67" s="1"/>
      <c r="EGV67" s="1"/>
      <c r="EGW67" s="1"/>
      <c r="EGX67" s="1"/>
      <c r="EGY67" s="1"/>
      <c r="EGZ67" s="1"/>
      <c r="EHA67" s="1"/>
      <c r="EHB67" s="1"/>
      <c r="EHC67" s="1"/>
      <c r="EHD67" s="1"/>
      <c r="EHE67" s="1"/>
      <c r="EHF67" s="1"/>
      <c r="EHG67" s="1"/>
      <c r="EHH67" s="1"/>
      <c r="EHI67" s="1"/>
      <c r="EHJ67" s="1"/>
      <c r="EHK67" s="1"/>
      <c r="EHL67" s="1"/>
      <c r="EHM67" s="1"/>
      <c r="EHN67" s="1"/>
      <c r="EHO67" s="1"/>
      <c r="EHP67" s="1"/>
      <c r="EHQ67" s="1"/>
      <c r="EHR67" s="1"/>
      <c r="EHS67" s="1"/>
      <c r="EHT67" s="1"/>
      <c r="EHU67" s="1"/>
      <c r="EHV67" s="1"/>
      <c r="EHW67" s="1"/>
      <c r="EHX67" s="1"/>
      <c r="EHY67" s="1"/>
      <c r="EHZ67" s="1"/>
      <c r="EIA67" s="1"/>
      <c r="EIB67" s="1"/>
      <c r="EIC67" s="1"/>
      <c r="EID67" s="1"/>
      <c r="EIE67" s="1"/>
      <c r="EIF67" s="1"/>
      <c r="EIG67" s="1"/>
      <c r="EIH67" s="1"/>
      <c r="EII67" s="1"/>
      <c r="EIJ67" s="1"/>
      <c r="EIK67" s="1"/>
      <c r="EIL67" s="1"/>
      <c r="EIM67" s="1"/>
      <c r="EIN67" s="1"/>
      <c r="EIO67" s="1"/>
      <c r="EIP67" s="1"/>
      <c r="EIQ67" s="1"/>
      <c r="EIR67" s="1"/>
      <c r="EIS67" s="1"/>
      <c r="EIT67" s="1"/>
      <c r="EIU67" s="1"/>
      <c r="EIV67" s="1"/>
      <c r="EIW67" s="1"/>
      <c r="EIX67" s="1"/>
      <c r="EIY67" s="1"/>
      <c r="EIZ67" s="1"/>
      <c r="EJA67" s="1"/>
      <c r="EJB67" s="1"/>
      <c r="EJC67" s="1"/>
      <c r="EJD67" s="1"/>
      <c r="EJE67" s="1"/>
      <c r="EJF67" s="1"/>
      <c r="EJG67" s="1"/>
      <c r="EJH67" s="1"/>
      <c r="EJI67" s="1"/>
      <c r="EJJ67" s="1"/>
      <c r="EJK67" s="1"/>
      <c r="EJL67" s="1"/>
      <c r="EJM67" s="1"/>
      <c r="EJN67" s="1"/>
      <c r="EJO67" s="1"/>
      <c r="EJP67" s="1"/>
      <c r="EJQ67" s="1"/>
      <c r="EJR67" s="1"/>
      <c r="EJS67" s="1"/>
      <c r="EJT67" s="1"/>
      <c r="EJU67" s="1"/>
      <c r="EJV67" s="1"/>
      <c r="EJW67" s="1"/>
      <c r="EJX67" s="1"/>
      <c r="EJY67" s="1"/>
      <c r="EJZ67" s="1"/>
      <c r="EKA67" s="1"/>
      <c r="EKB67" s="1"/>
      <c r="EKC67" s="1"/>
      <c r="EKD67" s="1"/>
      <c r="EKE67" s="1"/>
      <c r="EKF67" s="1"/>
      <c r="EKG67" s="1"/>
      <c r="EKH67" s="1"/>
      <c r="EKI67" s="1"/>
      <c r="EKJ67" s="1"/>
      <c r="EKK67" s="1"/>
      <c r="EKL67" s="1"/>
      <c r="EKM67" s="1"/>
      <c r="EKN67" s="1"/>
      <c r="EKO67" s="1"/>
      <c r="EKP67" s="1"/>
      <c r="EKQ67" s="1"/>
      <c r="EKR67" s="1"/>
      <c r="EKS67" s="1"/>
      <c r="EKT67" s="1"/>
      <c r="EKU67" s="1"/>
      <c r="EKV67" s="1"/>
      <c r="EKW67" s="1"/>
      <c r="EKX67" s="1"/>
      <c r="EKY67" s="1"/>
      <c r="EKZ67" s="1"/>
      <c r="ELA67" s="1"/>
      <c r="ELB67" s="1"/>
      <c r="ELC67" s="1"/>
      <c r="ELD67" s="1"/>
      <c r="ELE67" s="1"/>
      <c r="ELF67" s="1"/>
      <c r="ELG67" s="1"/>
      <c r="ELH67" s="1"/>
      <c r="ELI67" s="1"/>
      <c r="ELJ67" s="1"/>
      <c r="ELK67" s="1"/>
      <c r="ELL67" s="1"/>
      <c r="ELM67" s="1"/>
      <c r="ELN67" s="1"/>
      <c r="ELO67" s="1"/>
      <c r="ELP67" s="1"/>
      <c r="ELQ67" s="1"/>
      <c r="ELR67" s="1"/>
      <c r="ELS67" s="1"/>
      <c r="ELT67" s="1"/>
      <c r="ELU67" s="1"/>
      <c r="ELV67" s="1"/>
      <c r="ELW67" s="1"/>
      <c r="ELX67" s="1"/>
      <c r="ELY67" s="1"/>
      <c r="ELZ67" s="1"/>
      <c r="EMA67" s="1"/>
      <c r="EMB67" s="1"/>
      <c r="EMC67" s="1"/>
      <c r="EMD67" s="1"/>
      <c r="EME67" s="1"/>
      <c r="EMF67" s="1"/>
      <c r="EMG67" s="1"/>
      <c r="EMH67" s="1"/>
      <c r="EMI67" s="1"/>
      <c r="EMJ67" s="1"/>
      <c r="EMK67" s="1"/>
      <c r="EML67" s="1"/>
      <c r="EMM67" s="1"/>
      <c r="EMN67" s="1"/>
      <c r="EMO67" s="1"/>
      <c r="EMP67" s="1"/>
      <c r="EMQ67" s="1"/>
      <c r="EMR67" s="1"/>
      <c r="EMS67" s="1"/>
      <c r="EMT67" s="1"/>
      <c r="EMU67" s="1"/>
      <c r="EMV67" s="1"/>
      <c r="EMW67" s="1"/>
      <c r="EMX67" s="1"/>
      <c r="EMY67" s="1"/>
      <c r="EMZ67" s="1"/>
      <c r="ENA67" s="1"/>
      <c r="ENB67" s="1"/>
      <c r="ENC67" s="1"/>
      <c r="END67" s="1"/>
      <c r="ENE67" s="1"/>
      <c r="ENF67" s="1"/>
      <c r="ENG67" s="1"/>
      <c r="ENH67" s="1"/>
      <c r="ENI67" s="1"/>
      <c r="ENJ67" s="1"/>
      <c r="ENK67" s="1"/>
      <c r="ENL67" s="1"/>
      <c r="ENM67" s="1"/>
      <c r="ENN67" s="1"/>
      <c r="ENO67" s="1"/>
      <c r="ENP67" s="1"/>
      <c r="ENQ67" s="1"/>
      <c r="ENR67" s="1"/>
      <c r="ENS67" s="1"/>
      <c r="ENT67" s="1"/>
      <c r="ENU67" s="1"/>
      <c r="ENV67" s="1"/>
      <c r="ENW67" s="1"/>
      <c r="ENX67" s="1"/>
      <c r="ENY67" s="1"/>
      <c r="ENZ67" s="1"/>
      <c r="EOA67" s="1"/>
      <c r="EOB67" s="1"/>
      <c r="EOC67" s="1"/>
      <c r="EOD67" s="1"/>
      <c r="EOE67" s="1"/>
      <c r="EOF67" s="1"/>
      <c r="EOG67" s="1"/>
      <c r="EOH67" s="1"/>
      <c r="EOI67" s="1"/>
      <c r="EOJ67" s="1"/>
      <c r="EOK67" s="1"/>
      <c r="EOL67" s="1"/>
      <c r="EOM67" s="1"/>
      <c r="EON67" s="1"/>
      <c r="EOO67" s="1"/>
      <c r="EOP67" s="1"/>
      <c r="EOQ67" s="1"/>
      <c r="EOR67" s="1"/>
      <c r="EOS67" s="1"/>
      <c r="EOT67" s="1"/>
      <c r="EOU67" s="1"/>
      <c r="EOV67" s="1"/>
      <c r="EOW67" s="1"/>
      <c r="EOX67" s="1"/>
      <c r="EOY67" s="1"/>
      <c r="EOZ67" s="1"/>
      <c r="EPA67" s="1"/>
      <c r="EPB67" s="1"/>
      <c r="EPC67" s="1"/>
      <c r="EPD67" s="1"/>
      <c r="EPE67" s="1"/>
      <c r="EPF67" s="1"/>
      <c r="EPG67" s="1"/>
      <c r="EPH67" s="1"/>
      <c r="EPI67" s="1"/>
      <c r="EPJ67" s="1"/>
      <c r="EPK67" s="1"/>
      <c r="EPL67" s="1"/>
      <c r="EPM67" s="1"/>
      <c r="EPN67" s="1"/>
      <c r="EPO67" s="1"/>
      <c r="EPP67" s="1"/>
      <c r="EPQ67" s="1"/>
      <c r="EPR67" s="1"/>
      <c r="EPS67" s="1"/>
      <c r="EPT67" s="1"/>
      <c r="EPU67" s="1"/>
      <c r="EPV67" s="1"/>
      <c r="EPW67" s="1"/>
      <c r="EPX67" s="1"/>
      <c r="EPY67" s="1"/>
      <c r="EPZ67" s="1"/>
      <c r="EQA67" s="1"/>
      <c r="EQB67" s="1"/>
      <c r="EQC67" s="1"/>
      <c r="EQD67" s="1"/>
      <c r="EQE67" s="1"/>
      <c r="EQF67" s="1"/>
      <c r="EQG67" s="1"/>
      <c r="EQH67" s="1"/>
      <c r="EQI67" s="1"/>
      <c r="EQJ67" s="1"/>
      <c r="EQK67" s="1"/>
      <c r="EQL67" s="1"/>
      <c r="EQM67" s="1"/>
      <c r="EQN67" s="1"/>
      <c r="EQO67" s="1"/>
      <c r="EQP67" s="1"/>
      <c r="EQQ67" s="1"/>
      <c r="EQR67" s="1"/>
      <c r="EQS67" s="1"/>
      <c r="EQT67" s="1"/>
      <c r="EQU67" s="1"/>
      <c r="EQV67" s="1"/>
      <c r="EQW67" s="1"/>
      <c r="EQX67" s="1"/>
      <c r="EQY67" s="1"/>
      <c r="EQZ67" s="1"/>
      <c r="ERA67" s="1"/>
      <c r="ERB67" s="1"/>
      <c r="ERC67" s="1"/>
      <c r="ERD67" s="1"/>
      <c r="ERE67" s="1"/>
      <c r="ERF67" s="1"/>
      <c r="ERG67" s="1"/>
      <c r="ERH67" s="1"/>
      <c r="ERI67" s="1"/>
      <c r="ERJ67" s="1"/>
      <c r="ERK67" s="1"/>
      <c r="ERL67" s="1"/>
      <c r="ERM67" s="1"/>
      <c r="ERN67" s="1"/>
      <c r="ERO67" s="1"/>
      <c r="ERP67" s="1"/>
      <c r="ERQ67" s="1"/>
      <c r="ERR67" s="1"/>
      <c r="ERS67" s="1"/>
      <c r="ERT67" s="1"/>
      <c r="ERU67" s="1"/>
      <c r="ERV67" s="1"/>
      <c r="ERW67" s="1"/>
      <c r="ERX67" s="1"/>
      <c r="ERY67" s="1"/>
      <c r="ERZ67" s="1"/>
      <c r="ESA67" s="1"/>
      <c r="ESB67" s="1"/>
      <c r="ESC67" s="1"/>
      <c r="ESD67" s="1"/>
      <c r="ESE67" s="1"/>
      <c r="ESF67" s="1"/>
      <c r="ESG67" s="1"/>
      <c r="ESH67" s="1"/>
      <c r="ESI67" s="1"/>
      <c r="ESJ67" s="1"/>
      <c r="ESK67" s="1"/>
      <c r="ESL67" s="1"/>
      <c r="ESM67" s="1"/>
      <c r="ESN67" s="1"/>
      <c r="ESO67" s="1"/>
      <c r="ESP67" s="1"/>
      <c r="ESQ67" s="1"/>
      <c r="ESR67" s="1"/>
      <c r="ESS67" s="1"/>
      <c r="EST67" s="1"/>
      <c r="ESU67" s="1"/>
      <c r="ESV67" s="1"/>
      <c r="ESW67" s="1"/>
      <c r="ESX67" s="1"/>
      <c r="ESY67" s="1"/>
      <c r="ESZ67" s="1"/>
      <c r="ETA67" s="1"/>
      <c r="ETB67" s="1"/>
      <c r="ETC67" s="1"/>
      <c r="ETD67" s="1"/>
      <c r="ETE67" s="1"/>
      <c r="ETF67" s="1"/>
      <c r="ETG67" s="1"/>
      <c r="ETH67" s="1"/>
      <c r="ETI67" s="1"/>
      <c r="ETJ67" s="1"/>
      <c r="ETK67" s="1"/>
      <c r="ETL67" s="1"/>
      <c r="ETM67" s="1"/>
      <c r="ETN67" s="1"/>
      <c r="ETO67" s="1"/>
      <c r="ETP67" s="1"/>
      <c r="ETQ67" s="1"/>
      <c r="ETR67" s="1"/>
      <c r="ETS67" s="1"/>
      <c r="ETT67" s="1"/>
      <c r="ETU67" s="1"/>
      <c r="ETV67" s="1"/>
      <c r="ETW67" s="1"/>
      <c r="ETX67" s="1"/>
      <c r="ETY67" s="1"/>
      <c r="ETZ67" s="1"/>
      <c r="EUA67" s="1"/>
      <c r="EUB67" s="1"/>
      <c r="EUC67" s="1"/>
      <c r="EUD67" s="1"/>
      <c r="EUE67" s="1"/>
      <c r="EUF67" s="1"/>
      <c r="EUG67" s="1"/>
      <c r="EUH67" s="1"/>
      <c r="EUI67" s="1"/>
      <c r="EUJ67" s="1"/>
      <c r="EUK67" s="1"/>
      <c r="EUL67" s="1"/>
      <c r="EUM67" s="1"/>
      <c r="EUN67" s="1"/>
      <c r="EUO67" s="1"/>
      <c r="EUP67" s="1"/>
      <c r="EUQ67" s="1"/>
      <c r="EUR67" s="1"/>
      <c r="EUS67" s="1"/>
      <c r="EUT67" s="1"/>
      <c r="EUU67" s="1"/>
      <c r="EUV67" s="1"/>
      <c r="EUW67" s="1"/>
      <c r="EUX67" s="1"/>
      <c r="EUY67" s="1"/>
      <c r="EUZ67" s="1"/>
      <c r="EVA67" s="1"/>
      <c r="EVB67" s="1"/>
      <c r="EVC67" s="1"/>
      <c r="EVD67" s="1"/>
      <c r="EVE67" s="1"/>
      <c r="EVF67" s="1"/>
      <c r="EVG67" s="1"/>
      <c r="EVH67" s="1"/>
      <c r="EVI67" s="1"/>
      <c r="EVJ67" s="1"/>
      <c r="EVK67" s="1"/>
      <c r="EVL67" s="1"/>
      <c r="EVM67" s="1"/>
      <c r="EVN67" s="1"/>
      <c r="EVO67" s="1"/>
      <c r="EVP67" s="1"/>
      <c r="EVQ67" s="1"/>
      <c r="EVR67" s="1"/>
      <c r="EVS67" s="1"/>
      <c r="EVT67" s="1"/>
      <c r="EVU67" s="1"/>
      <c r="EVV67" s="1"/>
      <c r="EVW67" s="1"/>
      <c r="EVX67" s="1"/>
      <c r="EVY67" s="1"/>
      <c r="EVZ67" s="1"/>
      <c r="EWA67" s="1"/>
      <c r="EWB67" s="1"/>
      <c r="EWC67" s="1"/>
      <c r="EWD67" s="1"/>
      <c r="EWE67" s="1"/>
      <c r="EWF67" s="1"/>
      <c r="EWG67" s="1"/>
      <c r="EWH67" s="1"/>
      <c r="EWI67" s="1"/>
      <c r="EWJ67" s="1"/>
      <c r="EWK67" s="1"/>
      <c r="EWL67" s="1"/>
      <c r="EWM67" s="1"/>
      <c r="EWN67" s="1"/>
      <c r="EWO67" s="1"/>
      <c r="EWP67" s="1"/>
      <c r="EWQ67" s="1"/>
      <c r="EWR67" s="1"/>
      <c r="EWS67" s="1"/>
      <c r="EWT67" s="1"/>
      <c r="EWU67" s="1"/>
      <c r="EWV67" s="1"/>
      <c r="EWW67" s="1"/>
      <c r="EWX67" s="1"/>
      <c r="EWY67" s="1"/>
      <c r="EWZ67" s="1"/>
      <c r="EXA67" s="1"/>
      <c r="EXB67" s="1"/>
      <c r="EXC67" s="1"/>
      <c r="EXD67" s="1"/>
      <c r="EXE67" s="1"/>
      <c r="EXF67" s="1"/>
      <c r="EXG67" s="1"/>
      <c r="EXH67" s="1"/>
      <c r="EXI67" s="1"/>
      <c r="EXJ67" s="1"/>
      <c r="EXK67" s="1"/>
      <c r="EXL67" s="1"/>
      <c r="EXM67" s="1"/>
      <c r="EXN67" s="1"/>
      <c r="EXO67" s="1"/>
      <c r="EXP67" s="1"/>
      <c r="EXQ67" s="1"/>
      <c r="EXR67" s="1"/>
      <c r="EXS67" s="1"/>
      <c r="EXT67" s="1"/>
      <c r="EXU67" s="1"/>
      <c r="EXV67" s="1"/>
      <c r="EXW67" s="1"/>
      <c r="EXX67" s="1"/>
      <c r="EXY67" s="1"/>
      <c r="EXZ67" s="1"/>
      <c r="EYA67" s="1"/>
      <c r="EYB67" s="1"/>
      <c r="EYC67" s="1"/>
      <c r="EYD67" s="1"/>
      <c r="EYE67" s="1"/>
      <c r="EYF67" s="1"/>
      <c r="EYG67" s="1"/>
      <c r="EYH67" s="1"/>
      <c r="EYI67" s="1"/>
      <c r="EYJ67" s="1"/>
      <c r="EYK67" s="1"/>
      <c r="EYL67" s="1"/>
      <c r="EYM67" s="1"/>
      <c r="EYN67" s="1"/>
      <c r="EYO67" s="1"/>
      <c r="EYP67" s="1"/>
      <c r="EYQ67" s="1"/>
      <c r="EYR67" s="1"/>
      <c r="EYS67" s="1"/>
      <c r="EYT67" s="1"/>
      <c r="EYU67" s="1"/>
      <c r="EYV67" s="1"/>
      <c r="EYW67" s="1"/>
      <c r="EYX67" s="1"/>
      <c r="EYY67" s="1"/>
      <c r="EYZ67" s="1"/>
      <c r="EZA67" s="1"/>
      <c r="EZB67" s="1"/>
      <c r="EZC67" s="1"/>
      <c r="EZD67" s="1"/>
      <c r="EZE67" s="1"/>
      <c r="EZF67" s="1"/>
      <c r="EZG67" s="1"/>
      <c r="EZH67" s="1"/>
      <c r="EZI67" s="1"/>
      <c r="EZJ67" s="1"/>
      <c r="EZK67" s="1"/>
      <c r="EZL67" s="1"/>
      <c r="EZM67" s="1"/>
      <c r="EZN67" s="1"/>
      <c r="EZO67" s="1"/>
      <c r="EZP67" s="1"/>
      <c r="EZQ67" s="1"/>
      <c r="EZR67" s="1"/>
      <c r="EZS67" s="1"/>
      <c r="EZT67" s="1"/>
      <c r="EZU67" s="1"/>
      <c r="EZV67" s="1"/>
      <c r="EZW67" s="1"/>
      <c r="EZX67" s="1"/>
      <c r="EZY67" s="1"/>
      <c r="EZZ67" s="1"/>
      <c r="FAA67" s="1"/>
      <c r="FAB67" s="1"/>
      <c r="FAC67" s="1"/>
      <c r="FAD67" s="1"/>
      <c r="FAE67" s="1"/>
      <c r="FAF67" s="1"/>
      <c r="FAG67" s="1"/>
      <c r="FAH67" s="1"/>
      <c r="FAI67" s="1"/>
      <c r="FAJ67" s="1"/>
      <c r="FAK67" s="1"/>
      <c r="FAL67" s="1"/>
      <c r="FAM67" s="1"/>
      <c r="FAN67" s="1"/>
      <c r="FAO67" s="1"/>
      <c r="FAP67" s="1"/>
      <c r="FAQ67" s="1"/>
      <c r="FAR67" s="1"/>
      <c r="FAS67" s="1"/>
      <c r="FAT67" s="1"/>
      <c r="FAU67" s="1"/>
      <c r="FAV67" s="1"/>
      <c r="FAW67" s="1"/>
      <c r="FAX67" s="1"/>
      <c r="FAY67" s="1"/>
      <c r="FAZ67" s="1"/>
      <c r="FBA67" s="1"/>
      <c r="FBB67" s="1"/>
      <c r="FBC67" s="1"/>
      <c r="FBD67" s="1"/>
      <c r="FBE67" s="1"/>
      <c r="FBF67" s="1"/>
      <c r="FBG67" s="1"/>
      <c r="FBH67" s="1"/>
      <c r="FBI67" s="1"/>
      <c r="FBJ67" s="1"/>
      <c r="FBK67" s="1"/>
      <c r="FBL67" s="1"/>
      <c r="FBM67" s="1"/>
      <c r="FBN67" s="1"/>
      <c r="FBO67" s="1"/>
      <c r="FBP67" s="1"/>
      <c r="FBQ67" s="1"/>
      <c r="FBR67" s="1"/>
      <c r="FBS67" s="1"/>
      <c r="FBT67" s="1"/>
      <c r="FBU67" s="1"/>
      <c r="FBV67" s="1"/>
      <c r="FBW67" s="1"/>
      <c r="FBX67" s="1"/>
      <c r="FBY67" s="1"/>
      <c r="FBZ67" s="1"/>
      <c r="FCA67" s="1"/>
      <c r="FCB67" s="1"/>
      <c r="FCC67" s="1"/>
      <c r="FCD67" s="1"/>
      <c r="FCE67" s="1"/>
      <c r="FCF67" s="1"/>
      <c r="FCG67" s="1"/>
      <c r="FCH67" s="1"/>
      <c r="FCI67" s="1"/>
      <c r="FCJ67" s="1"/>
      <c r="FCK67" s="1"/>
      <c r="FCL67" s="1"/>
      <c r="FCM67" s="1"/>
      <c r="FCN67" s="1"/>
      <c r="FCO67" s="1"/>
      <c r="FCP67" s="1"/>
      <c r="FCQ67" s="1"/>
      <c r="FCR67" s="1"/>
      <c r="FCS67" s="1"/>
      <c r="FCT67" s="1"/>
      <c r="FCU67" s="1"/>
      <c r="FCV67" s="1"/>
      <c r="FCW67" s="1"/>
      <c r="FCX67" s="1"/>
      <c r="FCY67" s="1"/>
      <c r="FCZ67" s="1"/>
      <c r="FDA67" s="1"/>
      <c r="FDB67" s="1"/>
      <c r="FDC67" s="1"/>
      <c r="FDD67" s="1"/>
      <c r="FDE67" s="1"/>
      <c r="FDF67" s="1"/>
      <c r="FDG67" s="1"/>
      <c r="FDH67" s="1"/>
      <c r="FDI67" s="1"/>
      <c r="FDJ67" s="1"/>
      <c r="FDK67" s="1"/>
      <c r="FDL67" s="1"/>
      <c r="FDM67" s="1"/>
      <c r="FDN67" s="1"/>
      <c r="FDO67" s="1"/>
      <c r="FDP67" s="1"/>
      <c r="FDQ67" s="1"/>
      <c r="FDR67" s="1"/>
      <c r="FDS67" s="1"/>
      <c r="FDT67" s="1"/>
      <c r="FDU67" s="1"/>
      <c r="FDV67" s="1"/>
      <c r="FDW67" s="1"/>
      <c r="FDX67" s="1"/>
      <c r="FDY67" s="1"/>
      <c r="FDZ67" s="1"/>
      <c r="FEA67" s="1"/>
      <c r="FEB67" s="1"/>
      <c r="FEC67" s="1"/>
      <c r="FED67" s="1"/>
      <c r="FEE67" s="1"/>
      <c r="FEF67" s="1"/>
      <c r="FEG67" s="1"/>
      <c r="FEH67" s="1"/>
      <c r="FEI67" s="1"/>
      <c r="FEJ67" s="1"/>
      <c r="FEK67" s="1"/>
      <c r="FEL67" s="1"/>
      <c r="FEM67" s="1"/>
      <c r="FEN67" s="1"/>
      <c r="FEO67" s="1"/>
      <c r="FEP67" s="1"/>
      <c r="FEQ67" s="1"/>
      <c r="FER67" s="1"/>
      <c r="FES67" s="1"/>
      <c r="FET67" s="1"/>
      <c r="FEU67" s="1"/>
      <c r="FEV67" s="1"/>
      <c r="FEW67" s="1"/>
      <c r="FEX67" s="1"/>
      <c r="FEY67" s="1"/>
      <c r="FEZ67" s="1"/>
      <c r="FFA67" s="1"/>
      <c r="FFB67" s="1"/>
      <c r="FFC67" s="1"/>
      <c r="FFD67" s="1"/>
      <c r="FFE67" s="1"/>
      <c r="FFF67" s="1"/>
      <c r="FFG67" s="1"/>
      <c r="FFH67" s="1"/>
      <c r="FFI67" s="1"/>
      <c r="FFJ67" s="1"/>
      <c r="FFK67" s="1"/>
      <c r="FFL67" s="1"/>
      <c r="FFM67" s="1"/>
      <c r="FFN67" s="1"/>
      <c r="FFO67" s="1"/>
      <c r="FFP67" s="1"/>
      <c r="FFQ67" s="1"/>
      <c r="FFR67" s="1"/>
      <c r="FFS67" s="1"/>
      <c r="FFT67" s="1"/>
      <c r="FFU67" s="1"/>
      <c r="FFV67" s="1"/>
      <c r="FFW67" s="1"/>
      <c r="FFX67" s="1"/>
      <c r="FFY67" s="1"/>
      <c r="FFZ67" s="1"/>
      <c r="FGA67" s="1"/>
      <c r="FGB67" s="1"/>
      <c r="FGC67" s="1"/>
      <c r="FGD67" s="1"/>
      <c r="FGE67" s="1"/>
      <c r="FGF67" s="1"/>
      <c r="FGG67" s="1"/>
      <c r="FGH67" s="1"/>
      <c r="FGI67" s="1"/>
      <c r="FGJ67" s="1"/>
      <c r="FGK67" s="1"/>
      <c r="FGL67" s="1"/>
      <c r="FGM67" s="1"/>
      <c r="FGN67" s="1"/>
      <c r="FGO67" s="1"/>
      <c r="FGP67" s="1"/>
      <c r="FGQ67" s="1"/>
      <c r="FGR67" s="1"/>
      <c r="FGS67" s="1"/>
      <c r="FGT67" s="1"/>
      <c r="FGU67" s="1"/>
      <c r="FGV67" s="1"/>
      <c r="FGW67" s="1"/>
      <c r="FGX67" s="1"/>
      <c r="FGY67" s="1"/>
      <c r="FGZ67" s="1"/>
      <c r="FHA67" s="1"/>
      <c r="FHB67" s="1"/>
      <c r="FHC67" s="1"/>
      <c r="FHD67" s="1"/>
      <c r="FHE67" s="1"/>
      <c r="FHF67" s="1"/>
      <c r="FHG67" s="1"/>
      <c r="FHH67" s="1"/>
      <c r="FHI67" s="1"/>
      <c r="FHJ67" s="1"/>
      <c r="FHK67" s="1"/>
      <c r="FHL67" s="1"/>
      <c r="FHM67" s="1"/>
      <c r="FHN67" s="1"/>
      <c r="FHO67" s="1"/>
      <c r="FHP67" s="1"/>
      <c r="FHQ67" s="1"/>
      <c r="FHR67" s="1"/>
      <c r="FHS67" s="1"/>
      <c r="FHT67" s="1"/>
      <c r="FHU67" s="1"/>
      <c r="FHV67" s="1"/>
      <c r="FHW67" s="1"/>
      <c r="FHX67" s="1"/>
      <c r="FHY67" s="1"/>
      <c r="FHZ67" s="1"/>
      <c r="FIA67" s="1"/>
      <c r="FIB67" s="1"/>
      <c r="FIC67" s="1"/>
      <c r="FID67" s="1"/>
      <c r="FIE67" s="1"/>
      <c r="FIF67" s="1"/>
      <c r="FIG67" s="1"/>
      <c r="FIH67" s="1"/>
      <c r="FII67" s="1"/>
      <c r="FIJ67" s="1"/>
      <c r="FIK67" s="1"/>
      <c r="FIL67" s="1"/>
      <c r="FIM67" s="1"/>
      <c r="FIN67" s="1"/>
      <c r="FIO67" s="1"/>
      <c r="FIP67" s="1"/>
      <c r="FIQ67" s="1"/>
      <c r="FIR67" s="1"/>
      <c r="FIS67" s="1"/>
      <c r="FIT67" s="1"/>
      <c r="FIU67" s="1"/>
      <c r="FIV67" s="1"/>
      <c r="FIW67" s="1"/>
      <c r="FIX67" s="1"/>
      <c r="FIY67" s="1"/>
      <c r="FIZ67" s="1"/>
      <c r="FJA67" s="1"/>
      <c r="FJB67" s="1"/>
      <c r="FJC67" s="1"/>
      <c r="FJD67" s="1"/>
      <c r="FJE67" s="1"/>
      <c r="FJF67" s="1"/>
      <c r="FJG67" s="1"/>
      <c r="FJH67" s="1"/>
      <c r="FJI67" s="1"/>
      <c r="FJJ67" s="1"/>
      <c r="FJK67" s="1"/>
      <c r="FJL67" s="1"/>
      <c r="FJM67" s="1"/>
      <c r="FJN67" s="1"/>
      <c r="FJO67" s="1"/>
      <c r="FJP67" s="1"/>
      <c r="FJQ67" s="1"/>
      <c r="FJR67" s="1"/>
      <c r="FJS67" s="1"/>
      <c r="FJT67" s="1"/>
      <c r="FJU67" s="1"/>
      <c r="FJV67" s="1"/>
      <c r="FJW67" s="1"/>
      <c r="FJX67" s="1"/>
      <c r="FJY67" s="1"/>
      <c r="FJZ67" s="1"/>
      <c r="FKA67" s="1"/>
      <c r="FKB67" s="1"/>
      <c r="FKC67" s="1"/>
      <c r="FKD67" s="1"/>
      <c r="FKE67" s="1"/>
      <c r="FKF67" s="1"/>
      <c r="FKG67" s="1"/>
      <c r="FKH67" s="1"/>
      <c r="FKI67" s="1"/>
      <c r="FKJ67" s="1"/>
      <c r="FKK67" s="1"/>
      <c r="FKL67" s="1"/>
      <c r="FKM67" s="1"/>
      <c r="FKN67" s="1"/>
      <c r="FKO67" s="1"/>
      <c r="FKP67" s="1"/>
      <c r="FKQ67" s="1"/>
      <c r="FKR67" s="1"/>
      <c r="FKS67" s="1"/>
      <c r="FKT67" s="1"/>
      <c r="FKU67" s="1"/>
      <c r="FKV67" s="1"/>
      <c r="FKW67" s="1"/>
      <c r="FKX67" s="1"/>
      <c r="FKY67" s="1"/>
      <c r="FKZ67" s="1"/>
      <c r="FLA67" s="1"/>
      <c r="FLB67" s="1"/>
      <c r="FLC67" s="1"/>
      <c r="FLD67" s="1"/>
      <c r="FLE67" s="1"/>
      <c r="FLF67" s="1"/>
      <c r="FLG67" s="1"/>
      <c r="FLH67" s="1"/>
      <c r="FLI67" s="1"/>
      <c r="FLJ67" s="1"/>
      <c r="FLK67" s="1"/>
      <c r="FLL67" s="1"/>
      <c r="FLM67" s="1"/>
      <c r="FLN67" s="1"/>
      <c r="FLO67" s="1"/>
      <c r="FLP67" s="1"/>
      <c r="FLQ67" s="1"/>
      <c r="FLR67" s="1"/>
      <c r="FLS67" s="1"/>
      <c r="FLT67" s="1"/>
      <c r="FLU67" s="1"/>
      <c r="FLV67" s="1"/>
      <c r="FLW67" s="1"/>
      <c r="FLX67" s="1"/>
      <c r="FLY67" s="1"/>
      <c r="FLZ67" s="1"/>
      <c r="FMA67" s="1"/>
      <c r="FMB67" s="1"/>
      <c r="FMC67" s="1"/>
      <c r="FMD67" s="1"/>
      <c r="FME67" s="1"/>
      <c r="FMF67" s="1"/>
      <c r="FMG67" s="1"/>
      <c r="FMH67" s="1"/>
      <c r="FMI67" s="1"/>
      <c r="FMJ67" s="1"/>
      <c r="FMK67" s="1"/>
      <c r="FML67" s="1"/>
      <c r="FMM67" s="1"/>
      <c r="FMN67" s="1"/>
      <c r="FMO67" s="1"/>
      <c r="FMP67" s="1"/>
      <c r="FMQ67" s="1"/>
      <c r="FMR67" s="1"/>
      <c r="FMS67" s="1"/>
      <c r="FMT67" s="1"/>
      <c r="FMU67" s="1"/>
      <c r="FMV67" s="1"/>
      <c r="FMW67" s="1"/>
      <c r="FMX67" s="1"/>
      <c r="FMY67" s="1"/>
      <c r="FMZ67" s="1"/>
      <c r="FNA67" s="1"/>
      <c r="FNB67" s="1"/>
      <c r="FNC67" s="1"/>
      <c r="FND67" s="1"/>
      <c r="FNE67" s="1"/>
      <c r="FNF67" s="1"/>
      <c r="FNG67" s="1"/>
      <c r="FNH67" s="1"/>
      <c r="FNI67" s="1"/>
      <c r="FNJ67" s="1"/>
      <c r="FNK67" s="1"/>
      <c r="FNL67" s="1"/>
      <c r="FNM67" s="1"/>
      <c r="FNN67" s="1"/>
      <c r="FNO67" s="1"/>
      <c r="FNP67" s="1"/>
      <c r="FNQ67" s="1"/>
      <c r="FNR67" s="1"/>
      <c r="FNS67" s="1"/>
      <c r="FNT67" s="1"/>
      <c r="FNU67" s="1"/>
      <c r="FNV67" s="1"/>
      <c r="FNW67" s="1"/>
      <c r="FNX67" s="1"/>
      <c r="FNY67" s="1"/>
      <c r="FNZ67" s="1"/>
      <c r="FOA67" s="1"/>
      <c r="FOB67" s="1"/>
      <c r="FOC67" s="1"/>
      <c r="FOD67" s="1"/>
      <c r="FOE67" s="1"/>
      <c r="FOF67" s="1"/>
      <c r="FOG67" s="1"/>
      <c r="FOH67" s="1"/>
      <c r="FOI67" s="1"/>
      <c r="FOJ67" s="1"/>
      <c r="FOK67" s="1"/>
      <c r="FOL67" s="1"/>
      <c r="FOM67" s="1"/>
      <c r="FON67" s="1"/>
      <c r="FOO67" s="1"/>
      <c r="FOP67" s="1"/>
      <c r="FOQ67" s="1"/>
      <c r="FOR67" s="1"/>
      <c r="FOS67" s="1"/>
      <c r="FOT67" s="1"/>
      <c r="FOU67" s="1"/>
      <c r="FOV67" s="1"/>
      <c r="FOW67" s="1"/>
      <c r="FOX67" s="1"/>
      <c r="FOY67" s="1"/>
      <c r="FOZ67" s="1"/>
      <c r="FPA67" s="1"/>
      <c r="FPB67" s="1"/>
      <c r="FPC67" s="1"/>
      <c r="FPD67" s="1"/>
      <c r="FPE67" s="1"/>
      <c r="FPF67" s="1"/>
      <c r="FPG67" s="1"/>
      <c r="FPH67" s="1"/>
      <c r="FPI67" s="1"/>
      <c r="FPJ67" s="1"/>
      <c r="FPK67" s="1"/>
      <c r="FPL67" s="1"/>
      <c r="FPM67" s="1"/>
      <c r="FPN67" s="1"/>
      <c r="FPO67" s="1"/>
      <c r="FPP67" s="1"/>
      <c r="FPQ67" s="1"/>
      <c r="FPR67" s="1"/>
      <c r="FPS67" s="1"/>
      <c r="FPT67" s="1"/>
      <c r="FPU67" s="1"/>
      <c r="FPV67" s="1"/>
      <c r="FPW67" s="1"/>
      <c r="FPX67" s="1"/>
      <c r="FPY67" s="1"/>
      <c r="FPZ67" s="1"/>
      <c r="FQA67" s="1"/>
      <c r="FQB67" s="1"/>
      <c r="FQC67" s="1"/>
      <c r="FQD67" s="1"/>
      <c r="FQE67" s="1"/>
      <c r="FQF67" s="1"/>
      <c r="FQG67" s="1"/>
      <c r="FQH67" s="1"/>
      <c r="FQI67" s="1"/>
      <c r="FQJ67" s="1"/>
      <c r="FQK67" s="1"/>
      <c r="FQL67" s="1"/>
      <c r="FQM67" s="1"/>
      <c r="FQN67" s="1"/>
      <c r="FQO67" s="1"/>
      <c r="FQP67" s="1"/>
      <c r="FQQ67" s="1"/>
      <c r="FQR67" s="1"/>
      <c r="FQS67" s="1"/>
      <c r="FQT67" s="1"/>
      <c r="FQU67" s="1"/>
      <c r="FQV67" s="1"/>
      <c r="FQW67" s="1"/>
      <c r="FQX67" s="1"/>
      <c r="FQY67" s="1"/>
      <c r="FQZ67" s="1"/>
      <c r="FRA67" s="1"/>
      <c r="FRB67" s="1"/>
      <c r="FRC67" s="1"/>
      <c r="FRD67" s="1"/>
      <c r="FRE67" s="1"/>
      <c r="FRF67" s="1"/>
      <c r="FRG67" s="1"/>
      <c r="FRH67" s="1"/>
      <c r="FRI67" s="1"/>
      <c r="FRJ67" s="1"/>
      <c r="FRK67" s="1"/>
      <c r="FRL67" s="1"/>
      <c r="FRM67" s="1"/>
      <c r="FRN67" s="1"/>
      <c r="FRO67" s="1"/>
      <c r="FRP67" s="1"/>
      <c r="FRQ67" s="1"/>
      <c r="FRR67" s="1"/>
      <c r="FRS67" s="1"/>
      <c r="FRT67" s="1"/>
      <c r="FRU67" s="1"/>
      <c r="FRV67" s="1"/>
      <c r="FRW67" s="1"/>
      <c r="FRX67" s="1"/>
      <c r="FRY67" s="1"/>
      <c r="FRZ67" s="1"/>
      <c r="FSA67" s="1"/>
      <c r="FSB67" s="1"/>
      <c r="FSC67" s="1"/>
      <c r="FSD67" s="1"/>
      <c r="FSE67" s="1"/>
      <c r="FSF67" s="1"/>
      <c r="FSG67" s="1"/>
      <c r="FSH67" s="1"/>
      <c r="FSI67" s="1"/>
      <c r="FSJ67" s="1"/>
      <c r="FSK67" s="1"/>
      <c r="FSL67" s="1"/>
      <c r="FSM67" s="1"/>
      <c r="FSN67" s="1"/>
      <c r="FSO67" s="1"/>
      <c r="FSP67" s="1"/>
      <c r="FSQ67" s="1"/>
      <c r="FSR67" s="1"/>
      <c r="FSS67" s="1"/>
      <c r="FST67" s="1"/>
      <c r="FSU67" s="1"/>
      <c r="FSV67" s="1"/>
      <c r="FSW67" s="1"/>
      <c r="FSX67" s="1"/>
      <c r="FSY67" s="1"/>
      <c r="FSZ67" s="1"/>
      <c r="FTA67" s="1"/>
      <c r="FTB67" s="1"/>
      <c r="FTC67" s="1"/>
      <c r="FTD67" s="1"/>
      <c r="FTE67" s="1"/>
      <c r="FTF67" s="1"/>
      <c r="FTG67" s="1"/>
      <c r="FTH67" s="1"/>
      <c r="FTI67" s="1"/>
      <c r="FTJ67" s="1"/>
      <c r="FTK67" s="1"/>
      <c r="FTL67" s="1"/>
      <c r="FTM67" s="1"/>
      <c r="FTN67" s="1"/>
      <c r="FTO67" s="1"/>
      <c r="FTP67" s="1"/>
      <c r="FTQ67" s="1"/>
      <c r="FTR67" s="1"/>
      <c r="FTS67" s="1"/>
      <c r="FTT67" s="1"/>
      <c r="FTU67" s="1"/>
      <c r="FTV67" s="1"/>
      <c r="FTW67" s="1"/>
      <c r="FTX67" s="1"/>
      <c r="FTY67" s="1"/>
      <c r="FTZ67" s="1"/>
      <c r="FUA67" s="1"/>
      <c r="FUB67" s="1"/>
      <c r="FUC67" s="1"/>
      <c r="FUD67" s="1"/>
      <c r="FUE67" s="1"/>
      <c r="FUF67" s="1"/>
      <c r="FUG67" s="1"/>
      <c r="FUH67" s="1"/>
      <c r="FUI67" s="1"/>
      <c r="FUJ67" s="1"/>
      <c r="FUK67" s="1"/>
      <c r="FUL67" s="1"/>
      <c r="FUM67" s="1"/>
      <c r="FUN67" s="1"/>
      <c r="FUO67" s="1"/>
      <c r="FUP67" s="1"/>
      <c r="FUQ67" s="1"/>
      <c r="FUR67" s="1"/>
      <c r="FUS67" s="1"/>
      <c r="FUT67" s="1"/>
      <c r="FUU67" s="1"/>
      <c r="FUV67" s="1"/>
      <c r="FUW67" s="1"/>
      <c r="FUX67" s="1"/>
      <c r="FUY67" s="1"/>
      <c r="FUZ67" s="1"/>
      <c r="FVA67" s="1"/>
      <c r="FVB67" s="1"/>
      <c r="FVC67" s="1"/>
      <c r="FVD67" s="1"/>
      <c r="FVE67" s="1"/>
      <c r="FVF67" s="1"/>
      <c r="FVG67" s="1"/>
      <c r="FVH67" s="1"/>
      <c r="FVI67" s="1"/>
      <c r="FVJ67" s="1"/>
      <c r="FVK67" s="1"/>
      <c r="FVL67" s="1"/>
      <c r="FVM67" s="1"/>
      <c r="FVN67" s="1"/>
      <c r="FVO67" s="1"/>
      <c r="FVP67" s="1"/>
      <c r="FVQ67" s="1"/>
      <c r="FVR67" s="1"/>
      <c r="FVS67" s="1"/>
      <c r="FVT67" s="1"/>
      <c r="FVU67" s="1"/>
      <c r="FVV67" s="1"/>
      <c r="FVW67" s="1"/>
      <c r="FVX67" s="1"/>
      <c r="FVY67" s="1"/>
      <c r="FVZ67" s="1"/>
      <c r="FWA67" s="1"/>
      <c r="FWB67" s="1"/>
      <c r="FWC67" s="1"/>
      <c r="FWD67" s="1"/>
      <c r="FWE67" s="1"/>
      <c r="FWF67" s="1"/>
      <c r="FWG67" s="1"/>
      <c r="FWH67" s="1"/>
      <c r="FWI67" s="1"/>
      <c r="FWJ67" s="1"/>
      <c r="FWK67" s="1"/>
      <c r="FWL67" s="1"/>
      <c r="FWM67" s="1"/>
      <c r="FWN67" s="1"/>
      <c r="FWO67" s="1"/>
      <c r="FWP67" s="1"/>
      <c r="FWQ67" s="1"/>
      <c r="FWR67" s="1"/>
      <c r="FWS67" s="1"/>
      <c r="FWT67" s="1"/>
      <c r="FWU67" s="1"/>
      <c r="FWV67" s="1"/>
      <c r="FWW67" s="1"/>
      <c r="FWX67" s="1"/>
      <c r="FWY67" s="1"/>
      <c r="FWZ67" s="1"/>
      <c r="FXA67" s="1"/>
      <c r="FXB67" s="1"/>
      <c r="FXC67" s="1"/>
      <c r="FXD67" s="1"/>
      <c r="FXE67" s="1"/>
      <c r="FXF67" s="1"/>
      <c r="FXG67" s="1"/>
      <c r="FXH67" s="1"/>
      <c r="FXI67" s="1"/>
      <c r="FXJ67" s="1"/>
      <c r="FXK67" s="1"/>
      <c r="FXL67" s="1"/>
      <c r="FXM67" s="1"/>
      <c r="FXN67" s="1"/>
      <c r="FXO67" s="1"/>
      <c r="FXP67" s="1"/>
      <c r="FXQ67" s="1"/>
      <c r="FXR67" s="1"/>
      <c r="FXS67" s="1"/>
      <c r="FXT67" s="1"/>
      <c r="FXU67" s="1"/>
      <c r="FXV67" s="1"/>
      <c r="FXW67" s="1"/>
      <c r="FXX67" s="1"/>
      <c r="FXY67" s="1"/>
      <c r="FXZ67" s="1"/>
      <c r="FYA67" s="1"/>
      <c r="FYB67" s="1"/>
      <c r="FYC67" s="1"/>
      <c r="FYD67" s="1"/>
      <c r="FYE67" s="1"/>
      <c r="FYF67" s="1"/>
      <c r="FYG67" s="1"/>
      <c r="FYH67" s="1"/>
      <c r="FYI67" s="1"/>
      <c r="FYJ67" s="1"/>
      <c r="FYK67" s="1"/>
      <c r="FYL67" s="1"/>
      <c r="FYM67" s="1"/>
      <c r="FYN67" s="1"/>
      <c r="FYO67" s="1"/>
      <c r="FYP67" s="1"/>
      <c r="FYQ67" s="1"/>
      <c r="FYR67" s="1"/>
      <c r="FYS67" s="1"/>
      <c r="FYT67" s="1"/>
      <c r="FYU67" s="1"/>
      <c r="FYV67" s="1"/>
      <c r="FYW67" s="1"/>
      <c r="FYX67" s="1"/>
      <c r="FYY67" s="1"/>
      <c r="FYZ67" s="1"/>
      <c r="FZA67" s="1"/>
      <c r="FZB67" s="1"/>
      <c r="FZC67" s="1"/>
      <c r="FZD67" s="1"/>
      <c r="FZE67" s="1"/>
      <c r="FZF67" s="1"/>
      <c r="FZG67" s="1"/>
      <c r="FZH67" s="1"/>
      <c r="FZI67" s="1"/>
      <c r="FZJ67" s="1"/>
      <c r="FZK67" s="1"/>
      <c r="FZL67" s="1"/>
      <c r="FZM67" s="1"/>
      <c r="FZN67" s="1"/>
      <c r="FZO67" s="1"/>
      <c r="FZP67" s="1"/>
      <c r="FZQ67" s="1"/>
      <c r="FZR67" s="1"/>
      <c r="FZS67" s="1"/>
      <c r="FZT67" s="1"/>
      <c r="FZU67" s="1"/>
      <c r="FZV67" s="1"/>
      <c r="FZW67" s="1"/>
      <c r="FZX67" s="1"/>
      <c r="FZY67" s="1"/>
      <c r="FZZ67" s="1"/>
      <c r="GAA67" s="1"/>
      <c r="GAB67" s="1"/>
      <c r="GAC67" s="1"/>
      <c r="GAD67" s="1"/>
      <c r="GAE67" s="1"/>
      <c r="GAF67" s="1"/>
      <c r="GAG67" s="1"/>
      <c r="GAH67" s="1"/>
      <c r="GAI67" s="1"/>
      <c r="GAJ67" s="1"/>
      <c r="GAK67" s="1"/>
      <c r="GAL67" s="1"/>
      <c r="GAM67" s="1"/>
      <c r="GAN67" s="1"/>
      <c r="GAO67" s="1"/>
      <c r="GAP67" s="1"/>
      <c r="GAQ67" s="1"/>
      <c r="GAR67" s="1"/>
      <c r="GAS67" s="1"/>
      <c r="GAT67" s="1"/>
      <c r="GAU67" s="1"/>
      <c r="GAV67" s="1"/>
      <c r="GAW67" s="1"/>
      <c r="GAX67" s="1"/>
      <c r="GAY67" s="1"/>
      <c r="GAZ67" s="1"/>
      <c r="GBA67" s="1"/>
      <c r="GBB67" s="1"/>
      <c r="GBC67" s="1"/>
      <c r="GBD67" s="1"/>
      <c r="GBE67" s="1"/>
      <c r="GBF67" s="1"/>
      <c r="GBG67" s="1"/>
      <c r="GBH67" s="1"/>
      <c r="GBI67" s="1"/>
      <c r="GBJ67" s="1"/>
      <c r="GBK67" s="1"/>
      <c r="GBL67" s="1"/>
      <c r="GBM67" s="1"/>
      <c r="GBN67" s="1"/>
      <c r="GBO67" s="1"/>
      <c r="GBP67" s="1"/>
      <c r="GBQ67" s="1"/>
      <c r="GBR67" s="1"/>
      <c r="GBS67" s="1"/>
      <c r="GBT67" s="1"/>
      <c r="GBU67" s="1"/>
      <c r="GBV67" s="1"/>
      <c r="GBW67" s="1"/>
      <c r="GBX67" s="1"/>
      <c r="GBY67" s="1"/>
      <c r="GBZ67" s="1"/>
      <c r="GCA67" s="1"/>
      <c r="GCB67" s="1"/>
      <c r="GCC67" s="1"/>
      <c r="GCD67" s="1"/>
      <c r="GCE67" s="1"/>
      <c r="GCF67" s="1"/>
      <c r="GCG67" s="1"/>
      <c r="GCH67" s="1"/>
      <c r="GCI67" s="1"/>
      <c r="GCJ67" s="1"/>
      <c r="GCK67" s="1"/>
      <c r="GCL67" s="1"/>
      <c r="GCM67" s="1"/>
      <c r="GCN67" s="1"/>
      <c r="GCO67" s="1"/>
      <c r="GCP67" s="1"/>
      <c r="GCQ67" s="1"/>
      <c r="GCR67" s="1"/>
      <c r="GCS67" s="1"/>
      <c r="GCT67" s="1"/>
      <c r="GCU67" s="1"/>
      <c r="GCV67" s="1"/>
      <c r="GCW67" s="1"/>
      <c r="GCX67" s="1"/>
      <c r="GCY67" s="1"/>
      <c r="GCZ67" s="1"/>
      <c r="GDA67" s="1"/>
      <c r="GDB67" s="1"/>
      <c r="GDC67" s="1"/>
      <c r="GDD67" s="1"/>
      <c r="GDE67" s="1"/>
      <c r="GDF67" s="1"/>
      <c r="GDG67" s="1"/>
      <c r="GDH67" s="1"/>
      <c r="GDI67" s="1"/>
      <c r="GDJ67" s="1"/>
      <c r="GDK67" s="1"/>
      <c r="GDL67" s="1"/>
      <c r="GDM67" s="1"/>
      <c r="GDN67" s="1"/>
      <c r="GDO67" s="1"/>
      <c r="GDP67" s="1"/>
      <c r="GDQ67" s="1"/>
      <c r="GDR67" s="1"/>
      <c r="GDS67" s="1"/>
      <c r="GDT67" s="1"/>
      <c r="GDU67" s="1"/>
      <c r="GDV67" s="1"/>
      <c r="GDW67" s="1"/>
      <c r="GDX67" s="1"/>
      <c r="GDY67" s="1"/>
      <c r="GDZ67" s="1"/>
      <c r="GEA67" s="1"/>
      <c r="GEB67" s="1"/>
      <c r="GEC67" s="1"/>
      <c r="GED67" s="1"/>
      <c r="GEE67" s="1"/>
      <c r="GEF67" s="1"/>
      <c r="GEG67" s="1"/>
      <c r="GEH67" s="1"/>
      <c r="GEI67" s="1"/>
      <c r="GEJ67" s="1"/>
      <c r="GEK67" s="1"/>
      <c r="GEL67" s="1"/>
      <c r="GEM67" s="1"/>
      <c r="GEN67" s="1"/>
      <c r="GEO67" s="1"/>
      <c r="GEP67" s="1"/>
      <c r="GEQ67" s="1"/>
      <c r="GER67" s="1"/>
      <c r="GES67" s="1"/>
      <c r="GET67" s="1"/>
      <c r="GEU67" s="1"/>
      <c r="GEV67" s="1"/>
      <c r="GEW67" s="1"/>
      <c r="GEX67" s="1"/>
      <c r="GEY67" s="1"/>
      <c r="GEZ67" s="1"/>
      <c r="GFA67" s="1"/>
      <c r="GFB67" s="1"/>
      <c r="GFC67" s="1"/>
      <c r="GFD67" s="1"/>
      <c r="GFE67" s="1"/>
      <c r="GFF67" s="1"/>
      <c r="GFG67" s="1"/>
      <c r="GFH67" s="1"/>
      <c r="GFI67" s="1"/>
      <c r="GFJ67" s="1"/>
      <c r="GFK67" s="1"/>
      <c r="GFL67" s="1"/>
      <c r="GFM67" s="1"/>
      <c r="GFN67" s="1"/>
      <c r="GFO67" s="1"/>
      <c r="GFP67" s="1"/>
      <c r="GFQ67" s="1"/>
      <c r="GFR67" s="1"/>
      <c r="GFS67" s="1"/>
      <c r="GFT67" s="1"/>
      <c r="GFU67" s="1"/>
      <c r="GFV67" s="1"/>
      <c r="GFW67" s="1"/>
      <c r="GFX67" s="1"/>
      <c r="GFY67" s="1"/>
      <c r="GFZ67" s="1"/>
      <c r="GGA67" s="1"/>
      <c r="GGB67" s="1"/>
      <c r="GGC67" s="1"/>
      <c r="GGD67" s="1"/>
      <c r="GGE67" s="1"/>
      <c r="GGF67" s="1"/>
      <c r="GGG67" s="1"/>
      <c r="GGH67" s="1"/>
      <c r="GGI67" s="1"/>
      <c r="GGJ67" s="1"/>
      <c r="GGK67" s="1"/>
      <c r="GGL67" s="1"/>
      <c r="GGM67" s="1"/>
      <c r="GGN67" s="1"/>
      <c r="GGO67" s="1"/>
      <c r="GGP67" s="1"/>
      <c r="GGQ67" s="1"/>
      <c r="GGR67" s="1"/>
      <c r="GGS67" s="1"/>
      <c r="GGT67" s="1"/>
      <c r="GGU67" s="1"/>
      <c r="GGV67" s="1"/>
      <c r="GGW67" s="1"/>
      <c r="GGX67" s="1"/>
      <c r="GGY67" s="1"/>
      <c r="GGZ67" s="1"/>
      <c r="GHA67" s="1"/>
      <c r="GHB67" s="1"/>
      <c r="GHC67" s="1"/>
      <c r="GHD67" s="1"/>
      <c r="GHE67" s="1"/>
      <c r="GHF67" s="1"/>
      <c r="GHG67" s="1"/>
      <c r="GHH67" s="1"/>
      <c r="GHI67" s="1"/>
      <c r="GHJ67" s="1"/>
      <c r="GHK67" s="1"/>
      <c r="GHL67" s="1"/>
      <c r="GHM67" s="1"/>
      <c r="GHN67" s="1"/>
      <c r="GHO67" s="1"/>
      <c r="GHP67" s="1"/>
      <c r="GHQ67" s="1"/>
      <c r="GHR67" s="1"/>
      <c r="GHS67" s="1"/>
      <c r="GHT67" s="1"/>
      <c r="GHU67" s="1"/>
      <c r="GHV67" s="1"/>
      <c r="GHW67" s="1"/>
      <c r="GHX67" s="1"/>
      <c r="GHY67" s="1"/>
      <c r="GHZ67" s="1"/>
      <c r="GIA67" s="1"/>
      <c r="GIB67" s="1"/>
      <c r="GIC67" s="1"/>
      <c r="GID67" s="1"/>
      <c r="GIE67" s="1"/>
      <c r="GIF67" s="1"/>
      <c r="GIG67" s="1"/>
      <c r="GIH67" s="1"/>
      <c r="GII67" s="1"/>
      <c r="GIJ67" s="1"/>
      <c r="GIK67" s="1"/>
      <c r="GIL67" s="1"/>
      <c r="GIM67" s="1"/>
      <c r="GIN67" s="1"/>
      <c r="GIO67" s="1"/>
      <c r="GIP67" s="1"/>
      <c r="GIQ67" s="1"/>
      <c r="GIR67" s="1"/>
      <c r="GIS67" s="1"/>
      <c r="GIT67" s="1"/>
      <c r="GIU67" s="1"/>
      <c r="GIV67" s="1"/>
      <c r="GIW67" s="1"/>
      <c r="GIX67" s="1"/>
      <c r="GIY67" s="1"/>
      <c r="GIZ67" s="1"/>
      <c r="GJA67" s="1"/>
      <c r="GJB67" s="1"/>
      <c r="GJC67" s="1"/>
      <c r="GJD67" s="1"/>
      <c r="GJE67" s="1"/>
      <c r="GJF67" s="1"/>
      <c r="GJG67" s="1"/>
      <c r="GJH67" s="1"/>
      <c r="GJI67" s="1"/>
      <c r="GJJ67" s="1"/>
      <c r="GJK67" s="1"/>
      <c r="GJL67" s="1"/>
      <c r="GJM67" s="1"/>
      <c r="GJN67" s="1"/>
      <c r="GJO67" s="1"/>
      <c r="GJP67" s="1"/>
      <c r="GJQ67" s="1"/>
      <c r="GJR67" s="1"/>
      <c r="GJS67" s="1"/>
      <c r="GJT67" s="1"/>
      <c r="GJU67" s="1"/>
      <c r="GJV67" s="1"/>
      <c r="GJW67" s="1"/>
      <c r="GJX67" s="1"/>
      <c r="GJY67" s="1"/>
      <c r="GJZ67" s="1"/>
      <c r="GKA67" s="1"/>
      <c r="GKB67" s="1"/>
      <c r="GKC67" s="1"/>
      <c r="GKD67" s="1"/>
      <c r="GKE67" s="1"/>
      <c r="GKF67" s="1"/>
      <c r="GKG67" s="1"/>
      <c r="GKH67" s="1"/>
      <c r="GKI67" s="1"/>
      <c r="GKJ67" s="1"/>
      <c r="GKK67" s="1"/>
      <c r="GKL67" s="1"/>
      <c r="GKM67" s="1"/>
      <c r="GKN67" s="1"/>
      <c r="GKO67" s="1"/>
      <c r="GKP67" s="1"/>
      <c r="GKQ67" s="1"/>
      <c r="GKR67" s="1"/>
      <c r="GKS67" s="1"/>
      <c r="GKT67" s="1"/>
      <c r="GKU67" s="1"/>
      <c r="GKV67" s="1"/>
      <c r="GKW67" s="1"/>
      <c r="GKX67" s="1"/>
      <c r="GKY67" s="1"/>
      <c r="GKZ67" s="1"/>
      <c r="GLA67" s="1"/>
      <c r="GLB67" s="1"/>
      <c r="GLC67" s="1"/>
      <c r="GLD67" s="1"/>
      <c r="GLE67" s="1"/>
      <c r="GLF67" s="1"/>
      <c r="GLG67" s="1"/>
      <c r="GLH67" s="1"/>
      <c r="GLI67" s="1"/>
      <c r="GLJ67" s="1"/>
      <c r="GLK67" s="1"/>
      <c r="GLL67" s="1"/>
      <c r="GLM67" s="1"/>
      <c r="GLN67" s="1"/>
      <c r="GLO67" s="1"/>
      <c r="GLP67" s="1"/>
      <c r="GLQ67" s="1"/>
      <c r="GLR67" s="1"/>
      <c r="GLS67" s="1"/>
      <c r="GLT67" s="1"/>
      <c r="GLU67" s="1"/>
      <c r="GLV67" s="1"/>
      <c r="GLW67" s="1"/>
      <c r="GLX67" s="1"/>
      <c r="GLY67" s="1"/>
      <c r="GLZ67" s="1"/>
      <c r="GMA67" s="1"/>
      <c r="GMB67" s="1"/>
      <c r="GMC67" s="1"/>
      <c r="GMD67" s="1"/>
      <c r="GME67" s="1"/>
      <c r="GMF67" s="1"/>
      <c r="GMG67" s="1"/>
      <c r="GMH67" s="1"/>
      <c r="GMI67" s="1"/>
      <c r="GMJ67" s="1"/>
      <c r="GMK67" s="1"/>
      <c r="GML67" s="1"/>
      <c r="GMM67" s="1"/>
      <c r="GMN67" s="1"/>
      <c r="GMO67" s="1"/>
      <c r="GMP67" s="1"/>
      <c r="GMQ67" s="1"/>
      <c r="GMR67" s="1"/>
      <c r="GMS67" s="1"/>
      <c r="GMT67" s="1"/>
      <c r="GMU67" s="1"/>
      <c r="GMV67" s="1"/>
      <c r="GMW67" s="1"/>
      <c r="GMX67" s="1"/>
      <c r="GMY67" s="1"/>
      <c r="GMZ67" s="1"/>
      <c r="GNA67" s="1"/>
      <c r="GNB67" s="1"/>
      <c r="GNC67" s="1"/>
      <c r="GND67" s="1"/>
      <c r="GNE67" s="1"/>
      <c r="GNF67" s="1"/>
      <c r="GNG67" s="1"/>
      <c r="GNH67" s="1"/>
      <c r="GNI67" s="1"/>
      <c r="GNJ67" s="1"/>
      <c r="GNK67" s="1"/>
      <c r="GNL67" s="1"/>
      <c r="GNM67" s="1"/>
      <c r="GNN67" s="1"/>
      <c r="GNO67" s="1"/>
      <c r="GNP67" s="1"/>
      <c r="GNQ67" s="1"/>
      <c r="GNR67" s="1"/>
      <c r="GNS67" s="1"/>
      <c r="GNT67" s="1"/>
      <c r="GNU67" s="1"/>
      <c r="GNV67" s="1"/>
      <c r="GNW67" s="1"/>
      <c r="GNX67" s="1"/>
      <c r="GNY67" s="1"/>
      <c r="GNZ67" s="1"/>
      <c r="GOA67" s="1"/>
      <c r="GOB67" s="1"/>
      <c r="GOC67" s="1"/>
      <c r="GOD67" s="1"/>
      <c r="GOE67" s="1"/>
      <c r="GOF67" s="1"/>
      <c r="GOG67" s="1"/>
      <c r="GOH67" s="1"/>
      <c r="GOI67" s="1"/>
      <c r="GOJ67" s="1"/>
      <c r="GOK67" s="1"/>
      <c r="GOL67" s="1"/>
      <c r="GOM67" s="1"/>
      <c r="GON67" s="1"/>
      <c r="GOO67" s="1"/>
      <c r="GOP67" s="1"/>
      <c r="GOQ67" s="1"/>
      <c r="GOR67" s="1"/>
      <c r="GOS67" s="1"/>
      <c r="GOT67" s="1"/>
      <c r="GOU67" s="1"/>
      <c r="GOV67" s="1"/>
      <c r="GOW67" s="1"/>
      <c r="GOX67" s="1"/>
      <c r="GOY67" s="1"/>
      <c r="GOZ67" s="1"/>
      <c r="GPA67" s="1"/>
      <c r="GPB67" s="1"/>
      <c r="GPC67" s="1"/>
      <c r="GPD67" s="1"/>
      <c r="GPE67" s="1"/>
      <c r="GPF67" s="1"/>
      <c r="GPG67" s="1"/>
      <c r="GPH67" s="1"/>
      <c r="GPI67" s="1"/>
      <c r="GPJ67" s="1"/>
      <c r="GPK67" s="1"/>
      <c r="GPL67" s="1"/>
      <c r="GPM67" s="1"/>
      <c r="GPN67" s="1"/>
      <c r="GPO67" s="1"/>
      <c r="GPP67" s="1"/>
      <c r="GPQ67" s="1"/>
      <c r="GPR67" s="1"/>
      <c r="GPS67" s="1"/>
      <c r="GPT67" s="1"/>
      <c r="GPU67" s="1"/>
      <c r="GPV67" s="1"/>
      <c r="GPW67" s="1"/>
      <c r="GPX67" s="1"/>
      <c r="GPY67" s="1"/>
      <c r="GPZ67" s="1"/>
      <c r="GQA67" s="1"/>
      <c r="GQB67" s="1"/>
      <c r="GQC67" s="1"/>
      <c r="GQD67" s="1"/>
      <c r="GQE67" s="1"/>
      <c r="GQF67" s="1"/>
      <c r="GQG67" s="1"/>
      <c r="GQH67" s="1"/>
      <c r="GQI67" s="1"/>
      <c r="GQJ67" s="1"/>
      <c r="GQK67" s="1"/>
      <c r="GQL67" s="1"/>
      <c r="GQM67" s="1"/>
      <c r="GQN67" s="1"/>
      <c r="GQO67" s="1"/>
      <c r="GQP67" s="1"/>
      <c r="GQQ67" s="1"/>
      <c r="GQR67" s="1"/>
      <c r="GQS67" s="1"/>
      <c r="GQT67" s="1"/>
      <c r="GQU67" s="1"/>
      <c r="GQV67" s="1"/>
      <c r="GQW67" s="1"/>
      <c r="GQX67" s="1"/>
      <c r="GQY67" s="1"/>
      <c r="GQZ67" s="1"/>
      <c r="GRA67" s="1"/>
      <c r="GRB67" s="1"/>
      <c r="GRC67" s="1"/>
      <c r="GRD67" s="1"/>
      <c r="GRE67" s="1"/>
      <c r="GRF67" s="1"/>
      <c r="GRG67" s="1"/>
      <c r="GRH67" s="1"/>
      <c r="GRI67" s="1"/>
      <c r="GRJ67" s="1"/>
      <c r="GRK67" s="1"/>
      <c r="GRL67" s="1"/>
      <c r="GRM67" s="1"/>
      <c r="GRN67" s="1"/>
      <c r="GRO67" s="1"/>
      <c r="GRP67" s="1"/>
      <c r="GRQ67" s="1"/>
      <c r="GRR67" s="1"/>
      <c r="GRS67" s="1"/>
      <c r="GRT67" s="1"/>
      <c r="GRU67" s="1"/>
      <c r="GRV67" s="1"/>
      <c r="GRW67" s="1"/>
      <c r="GRX67" s="1"/>
      <c r="GRY67" s="1"/>
      <c r="GRZ67" s="1"/>
      <c r="GSA67" s="1"/>
      <c r="GSB67" s="1"/>
      <c r="GSC67" s="1"/>
      <c r="GSD67" s="1"/>
      <c r="GSE67" s="1"/>
      <c r="GSF67" s="1"/>
      <c r="GSG67" s="1"/>
      <c r="GSH67" s="1"/>
      <c r="GSI67" s="1"/>
      <c r="GSJ67" s="1"/>
      <c r="GSK67" s="1"/>
      <c r="GSL67" s="1"/>
      <c r="GSM67" s="1"/>
      <c r="GSN67" s="1"/>
      <c r="GSO67" s="1"/>
      <c r="GSP67" s="1"/>
      <c r="GSQ67" s="1"/>
      <c r="GSR67" s="1"/>
      <c r="GSS67" s="1"/>
      <c r="GST67" s="1"/>
      <c r="GSU67" s="1"/>
      <c r="GSV67" s="1"/>
      <c r="GSW67" s="1"/>
      <c r="GSX67" s="1"/>
      <c r="GSY67" s="1"/>
      <c r="GSZ67" s="1"/>
      <c r="GTA67" s="1"/>
      <c r="GTB67" s="1"/>
      <c r="GTC67" s="1"/>
      <c r="GTD67" s="1"/>
      <c r="GTE67" s="1"/>
      <c r="GTF67" s="1"/>
      <c r="GTG67" s="1"/>
      <c r="GTH67" s="1"/>
      <c r="GTI67" s="1"/>
      <c r="GTJ67" s="1"/>
      <c r="GTK67" s="1"/>
      <c r="GTL67" s="1"/>
      <c r="GTM67" s="1"/>
      <c r="GTN67" s="1"/>
      <c r="GTO67" s="1"/>
      <c r="GTP67" s="1"/>
      <c r="GTQ67" s="1"/>
      <c r="GTR67" s="1"/>
      <c r="GTS67" s="1"/>
      <c r="GTT67" s="1"/>
      <c r="GTU67" s="1"/>
      <c r="GTV67" s="1"/>
      <c r="GTW67" s="1"/>
      <c r="GTX67" s="1"/>
      <c r="GTY67" s="1"/>
      <c r="GTZ67" s="1"/>
      <c r="GUA67" s="1"/>
      <c r="GUB67" s="1"/>
      <c r="GUC67" s="1"/>
      <c r="GUD67" s="1"/>
      <c r="GUE67" s="1"/>
      <c r="GUF67" s="1"/>
      <c r="GUG67" s="1"/>
      <c r="GUH67" s="1"/>
      <c r="GUI67" s="1"/>
      <c r="GUJ67" s="1"/>
      <c r="GUK67" s="1"/>
      <c r="GUL67" s="1"/>
      <c r="GUM67" s="1"/>
      <c r="GUN67" s="1"/>
      <c r="GUO67" s="1"/>
      <c r="GUP67" s="1"/>
      <c r="GUQ67" s="1"/>
      <c r="GUR67" s="1"/>
      <c r="GUS67" s="1"/>
      <c r="GUT67" s="1"/>
      <c r="GUU67" s="1"/>
      <c r="GUV67" s="1"/>
      <c r="GUW67" s="1"/>
      <c r="GUX67" s="1"/>
      <c r="GUY67" s="1"/>
      <c r="GUZ67" s="1"/>
      <c r="GVA67" s="1"/>
      <c r="GVB67" s="1"/>
      <c r="GVC67" s="1"/>
      <c r="GVD67" s="1"/>
      <c r="GVE67" s="1"/>
      <c r="GVF67" s="1"/>
      <c r="GVG67" s="1"/>
      <c r="GVH67" s="1"/>
      <c r="GVI67" s="1"/>
      <c r="GVJ67" s="1"/>
      <c r="GVK67" s="1"/>
      <c r="GVL67" s="1"/>
      <c r="GVM67" s="1"/>
      <c r="GVN67" s="1"/>
      <c r="GVO67" s="1"/>
      <c r="GVP67" s="1"/>
      <c r="GVQ67" s="1"/>
      <c r="GVR67" s="1"/>
      <c r="GVS67" s="1"/>
      <c r="GVT67" s="1"/>
      <c r="GVU67" s="1"/>
      <c r="GVV67" s="1"/>
      <c r="GVW67" s="1"/>
      <c r="GVX67" s="1"/>
      <c r="GVY67" s="1"/>
      <c r="GVZ67" s="1"/>
      <c r="GWA67" s="1"/>
      <c r="GWB67" s="1"/>
      <c r="GWC67" s="1"/>
      <c r="GWD67" s="1"/>
      <c r="GWE67" s="1"/>
      <c r="GWF67" s="1"/>
      <c r="GWG67" s="1"/>
      <c r="GWH67" s="1"/>
      <c r="GWI67" s="1"/>
      <c r="GWJ67" s="1"/>
      <c r="GWK67" s="1"/>
      <c r="GWL67" s="1"/>
      <c r="GWM67" s="1"/>
      <c r="GWN67" s="1"/>
      <c r="GWO67" s="1"/>
      <c r="GWP67" s="1"/>
      <c r="GWQ67" s="1"/>
      <c r="GWR67" s="1"/>
      <c r="GWS67" s="1"/>
      <c r="GWT67" s="1"/>
      <c r="GWU67" s="1"/>
      <c r="GWV67" s="1"/>
      <c r="GWW67" s="1"/>
      <c r="GWX67" s="1"/>
      <c r="GWY67" s="1"/>
      <c r="GWZ67" s="1"/>
      <c r="GXA67" s="1"/>
      <c r="GXB67" s="1"/>
      <c r="GXC67" s="1"/>
      <c r="GXD67" s="1"/>
      <c r="GXE67" s="1"/>
      <c r="GXF67" s="1"/>
      <c r="GXG67" s="1"/>
      <c r="GXH67" s="1"/>
      <c r="GXI67" s="1"/>
      <c r="GXJ67" s="1"/>
      <c r="GXK67" s="1"/>
      <c r="GXL67" s="1"/>
      <c r="GXM67" s="1"/>
      <c r="GXN67" s="1"/>
      <c r="GXO67" s="1"/>
      <c r="GXP67" s="1"/>
      <c r="GXQ67" s="1"/>
      <c r="GXR67" s="1"/>
      <c r="GXS67" s="1"/>
      <c r="GXT67" s="1"/>
      <c r="GXU67" s="1"/>
      <c r="GXV67" s="1"/>
      <c r="GXW67" s="1"/>
      <c r="GXX67" s="1"/>
      <c r="GXY67" s="1"/>
      <c r="GXZ67" s="1"/>
      <c r="GYA67" s="1"/>
      <c r="GYB67" s="1"/>
      <c r="GYC67" s="1"/>
      <c r="GYD67" s="1"/>
      <c r="GYE67" s="1"/>
      <c r="GYF67" s="1"/>
      <c r="GYG67" s="1"/>
      <c r="GYH67" s="1"/>
      <c r="GYI67" s="1"/>
      <c r="GYJ67" s="1"/>
      <c r="GYK67" s="1"/>
      <c r="GYL67" s="1"/>
      <c r="GYM67" s="1"/>
      <c r="GYN67" s="1"/>
      <c r="GYO67" s="1"/>
      <c r="GYP67" s="1"/>
      <c r="GYQ67" s="1"/>
      <c r="GYR67" s="1"/>
      <c r="GYS67" s="1"/>
      <c r="GYT67" s="1"/>
      <c r="GYU67" s="1"/>
      <c r="GYV67" s="1"/>
      <c r="GYW67" s="1"/>
      <c r="GYX67" s="1"/>
      <c r="GYY67" s="1"/>
      <c r="GYZ67" s="1"/>
      <c r="GZA67" s="1"/>
      <c r="GZB67" s="1"/>
      <c r="GZC67" s="1"/>
      <c r="GZD67" s="1"/>
      <c r="GZE67" s="1"/>
      <c r="GZF67" s="1"/>
      <c r="GZG67" s="1"/>
      <c r="GZH67" s="1"/>
      <c r="GZI67" s="1"/>
      <c r="GZJ67" s="1"/>
      <c r="GZK67" s="1"/>
      <c r="GZL67" s="1"/>
      <c r="GZM67" s="1"/>
      <c r="GZN67" s="1"/>
      <c r="GZO67" s="1"/>
      <c r="GZP67" s="1"/>
      <c r="GZQ67" s="1"/>
      <c r="GZR67" s="1"/>
      <c r="GZS67" s="1"/>
      <c r="GZT67" s="1"/>
      <c r="GZU67" s="1"/>
      <c r="GZV67" s="1"/>
      <c r="GZW67" s="1"/>
      <c r="GZX67" s="1"/>
      <c r="GZY67" s="1"/>
      <c r="GZZ67" s="1"/>
      <c r="HAA67" s="1"/>
      <c r="HAB67" s="1"/>
      <c r="HAC67" s="1"/>
      <c r="HAD67" s="1"/>
      <c r="HAE67" s="1"/>
      <c r="HAF67" s="1"/>
      <c r="HAG67" s="1"/>
      <c r="HAH67" s="1"/>
      <c r="HAI67" s="1"/>
      <c r="HAJ67" s="1"/>
      <c r="HAK67" s="1"/>
      <c r="HAL67" s="1"/>
      <c r="HAM67" s="1"/>
      <c r="HAN67" s="1"/>
      <c r="HAO67" s="1"/>
      <c r="HAP67" s="1"/>
      <c r="HAQ67" s="1"/>
      <c r="HAR67" s="1"/>
      <c r="HAS67" s="1"/>
      <c r="HAT67" s="1"/>
      <c r="HAU67" s="1"/>
      <c r="HAV67" s="1"/>
      <c r="HAW67" s="1"/>
      <c r="HAX67" s="1"/>
      <c r="HAY67" s="1"/>
      <c r="HAZ67" s="1"/>
      <c r="HBA67" s="1"/>
      <c r="HBB67" s="1"/>
      <c r="HBC67" s="1"/>
      <c r="HBD67" s="1"/>
      <c r="HBE67" s="1"/>
      <c r="HBF67" s="1"/>
      <c r="HBG67" s="1"/>
      <c r="HBH67" s="1"/>
      <c r="HBI67" s="1"/>
      <c r="HBJ67" s="1"/>
      <c r="HBK67" s="1"/>
      <c r="HBL67" s="1"/>
      <c r="HBM67" s="1"/>
      <c r="HBN67" s="1"/>
      <c r="HBO67" s="1"/>
      <c r="HBP67" s="1"/>
      <c r="HBQ67" s="1"/>
      <c r="HBR67" s="1"/>
      <c r="HBS67" s="1"/>
      <c r="HBT67" s="1"/>
      <c r="HBU67" s="1"/>
      <c r="HBV67" s="1"/>
      <c r="HBW67" s="1"/>
      <c r="HBX67" s="1"/>
      <c r="HBY67" s="1"/>
      <c r="HBZ67" s="1"/>
      <c r="HCA67" s="1"/>
      <c r="HCB67" s="1"/>
      <c r="HCC67" s="1"/>
      <c r="HCD67" s="1"/>
      <c r="HCE67" s="1"/>
      <c r="HCF67" s="1"/>
      <c r="HCG67" s="1"/>
      <c r="HCH67" s="1"/>
      <c r="HCI67" s="1"/>
      <c r="HCJ67" s="1"/>
      <c r="HCK67" s="1"/>
      <c r="HCL67" s="1"/>
      <c r="HCM67" s="1"/>
      <c r="HCN67" s="1"/>
      <c r="HCO67" s="1"/>
      <c r="HCP67" s="1"/>
      <c r="HCQ67" s="1"/>
      <c r="HCR67" s="1"/>
      <c r="HCS67" s="1"/>
      <c r="HCT67" s="1"/>
      <c r="HCU67" s="1"/>
      <c r="HCV67" s="1"/>
      <c r="HCW67" s="1"/>
      <c r="HCX67" s="1"/>
      <c r="HCY67" s="1"/>
      <c r="HCZ67" s="1"/>
      <c r="HDA67" s="1"/>
      <c r="HDB67" s="1"/>
      <c r="HDC67" s="1"/>
      <c r="HDD67" s="1"/>
      <c r="HDE67" s="1"/>
      <c r="HDF67" s="1"/>
      <c r="HDG67" s="1"/>
      <c r="HDH67" s="1"/>
      <c r="HDI67" s="1"/>
      <c r="HDJ67" s="1"/>
      <c r="HDK67" s="1"/>
      <c r="HDL67" s="1"/>
      <c r="HDM67" s="1"/>
      <c r="HDN67" s="1"/>
      <c r="HDO67" s="1"/>
      <c r="HDP67" s="1"/>
      <c r="HDQ67" s="1"/>
      <c r="HDR67" s="1"/>
      <c r="HDS67" s="1"/>
      <c r="HDT67" s="1"/>
      <c r="HDU67" s="1"/>
      <c r="HDV67" s="1"/>
      <c r="HDW67" s="1"/>
      <c r="HDX67" s="1"/>
      <c r="HDY67" s="1"/>
      <c r="HDZ67" s="1"/>
      <c r="HEA67" s="1"/>
      <c r="HEB67" s="1"/>
      <c r="HEC67" s="1"/>
      <c r="HED67" s="1"/>
      <c r="HEE67" s="1"/>
      <c r="HEF67" s="1"/>
      <c r="HEG67" s="1"/>
      <c r="HEH67" s="1"/>
      <c r="HEI67" s="1"/>
      <c r="HEJ67" s="1"/>
      <c r="HEK67" s="1"/>
      <c r="HEL67" s="1"/>
      <c r="HEM67" s="1"/>
      <c r="HEN67" s="1"/>
      <c r="HEO67" s="1"/>
      <c r="HEP67" s="1"/>
      <c r="HEQ67" s="1"/>
      <c r="HER67" s="1"/>
      <c r="HES67" s="1"/>
      <c r="HET67" s="1"/>
      <c r="HEU67" s="1"/>
      <c r="HEV67" s="1"/>
      <c r="HEW67" s="1"/>
      <c r="HEX67" s="1"/>
      <c r="HEY67" s="1"/>
      <c r="HEZ67" s="1"/>
      <c r="HFA67" s="1"/>
      <c r="HFB67" s="1"/>
      <c r="HFC67" s="1"/>
      <c r="HFD67" s="1"/>
      <c r="HFE67" s="1"/>
      <c r="HFF67" s="1"/>
      <c r="HFG67" s="1"/>
      <c r="HFH67" s="1"/>
      <c r="HFI67" s="1"/>
      <c r="HFJ67" s="1"/>
      <c r="HFK67" s="1"/>
      <c r="HFL67" s="1"/>
      <c r="HFM67" s="1"/>
      <c r="HFN67" s="1"/>
      <c r="HFO67" s="1"/>
      <c r="HFP67" s="1"/>
      <c r="HFQ67" s="1"/>
      <c r="HFR67" s="1"/>
      <c r="HFS67" s="1"/>
      <c r="HFT67" s="1"/>
      <c r="HFU67" s="1"/>
      <c r="HFV67" s="1"/>
      <c r="HFW67" s="1"/>
      <c r="HFX67" s="1"/>
      <c r="HFY67" s="1"/>
      <c r="HFZ67" s="1"/>
      <c r="HGA67" s="1"/>
      <c r="HGB67" s="1"/>
      <c r="HGC67" s="1"/>
      <c r="HGD67" s="1"/>
      <c r="HGE67" s="1"/>
      <c r="HGF67" s="1"/>
      <c r="HGG67" s="1"/>
      <c r="HGH67" s="1"/>
      <c r="HGI67" s="1"/>
      <c r="HGJ67" s="1"/>
      <c r="HGK67" s="1"/>
      <c r="HGL67" s="1"/>
      <c r="HGM67" s="1"/>
      <c r="HGN67" s="1"/>
      <c r="HGO67" s="1"/>
      <c r="HGP67" s="1"/>
      <c r="HGQ67" s="1"/>
      <c r="HGR67" s="1"/>
      <c r="HGS67" s="1"/>
      <c r="HGT67" s="1"/>
      <c r="HGU67" s="1"/>
      <c r="HGV67" s="1"/>
      <c r="HGW67" s="1"/>
      <c r="HGX67" s="1"/>
      <c r="HGY67" s="1"/>
      <c r="HGZ67" s="1"/>
      <c r="HHA67" s="1"/>
      <c r="HHB67" s="1"/>
      <c r="HHC67" s="1"/>
      <c r="HHD67" s="1"/>
      <c r="HHE67" s="1"/>
      <c r="HHF67" s="1"/>
      <c r="HHG67" s="1"/>
      <c r="HHH67" s="1"/>
      <c r="HHI67" s="1"/>
      <c r="HHJ67" s="1"/>
      <c r="HHK67" s="1"/>
      <c r="HHL67" s="1"/>
      <c r="HHM67" s="1"/>
      <c r="HHN67" s="1"/>
      <c r="HHO67" s="1"/>
      <c r="HHP67" s="1"/>
      <c r="HHQ67" s="1"/>
      <c r="HHR67" s="1"/>
      <c r="HHS67" s="1"/>
      <c r="HHT67" s="1"/>
      <c r="HHU67" s="1"/>
      <c r="HHV67" s="1"/>
      <c r="HHW67" s="1"/>
      <c r="HHX67" s="1"/>
      <c r="HHY67" s="1"/>
      <c r="HHZ67" s="1"/>
      <c r="HIA67" s="1"/>
      <c r="HIB67" s="1"/>
      <c r="HIC67" s="1"/>
      <c r="HID67" s="1"/>
      <c r="HIE67" s="1"/>
      <c r="HIF67" s="1"/>
      <c r="HIG67" s="1"/>
      <c r="HIH67" s="1"/>
      <c r="HII67" s="1"/>
      <c r="HIJ67" s="1"/>
      <c r="HIK67" s="1"/>
      <c r="HIL67" s="1"/>
      <c r="HIM67" s="1"/>
      <c r="HIN67" s="1"/>
      <c r="HIO67" s="1"/>
      <c r="HIP67" s="1"/>
      <c r="HIQ67" s="1"/>
      <c r="HIR67" s="1"/>
      <c r="HIS67" s="1"/>
      <c r="HIT67" s="1"/>
      <c r="HIU67" s="1"/>
      <c r="HIV67" s="1"/>
      <c r="HIW67" s="1"/>
      <c r="HIX67" s="1"/>
      <c r="HIY67" s="1"/>
      <c r="HIZ67" s="1"/>
      <c r="HJA67" s="1"/>
      <c r="HJB67" s="1"/>
      <c r="HJC67" s="1"/>
      <c r="HJD67" s="1"/>
      <c r="HJE67" s="1"/>
      <c r="HJF67" s="1"/>
      <c r="HJG67" s="1"/>
      <c r="HJH67" s="1"/>
      <c r="HJI67" s="1"/>
      <c r="HJJ67" s="1"/>
      <c r="HJK67" s="1"/>
      <c r="HJL67" s="1"/>
      <c r="HJM67" s="1"/>
      <c r="HJN67" s="1"/>
      <c r="HJO67" s="1"/>
      <c r="HJP67" s="1"/>
      <c r="HJQ67" s="1"/>
      <c r="HJR67" s="1"/>
      <c r="HJS67" s="1"/>
      <c r="HJT67" s="1"/>
      <c r="HJU67" s="1"/>
      <c r="HJV67" s="1"/>
      <c r="HJW67" s="1"/>
      <c r="HJX67" s="1"/>
      <c r="HJY67" s="1"/>
      <c r="HJZ67" s="1"/>
      <c r="HKA67" s="1"/>
      <c r="HKB67" s="1"/>
      <c r="HKC67" s="1"/>
      <c r="HKD67" s="1"/>
      <c r="HKE67" s="1"/>
      <c r="HKF67" s="1"/>
      <c r="HKG67" s="1"/>
      <c r="HKH67" s="1"/>
      <c r="HKI67" s="1"/>
      <c r="HKJ67" s="1"/>
      <c r="HKK67" s="1"/>
      <c r="HKL67" s="1"/>
      <c r="HKM67" s="1"/>
      <c r="HKN67" s="1"/>
      <c r="HKO67" s="1"/>
      <c r="HKP67" s="1"/>
      <c r="HKQ67" s="1"/>
      <c r="HKR67" s="1"/>
      <c r="HKS67" s="1"/>
      <c r="HKT67" s="1"/>
      <c r="HKU67" s="1"/>
      <c r="HKV67" s="1"/>
      <c r="HKW67" s="1"/>
      <c r="HKX67" s="1"/>
      <c r="HKY67" s="1"/>
      <c r="HKZ67" s="1"/>
      <c r="HLA67" s="1"/>
      <c r="HLB67" s="1"/>
      <c r="HLC67" s="1"/>
      <c r="HLD67" s="1"/>
      <c r="HLE67" s="1"/>
      <c r="HLF67" s="1"/>
      <c r="HLG67" s="1"/>
      <c r="HLH67" s="1"/>
      <c r="HLI67" s="1"/>
      <c r="HLJ67" s="1"/>
      <c r="HLK67" s="1"/>
      <c r="HLL67" s="1"/>
      <c r="HLM67" s="1"/>
      <c r="HLN67" s="1"/>
      <c r="HLO67" s="1"/>
      <c r="HLP67" s="1"/>
      <c r="HLQ67" s="1"/>
      <c r="HLR67" s="1"/>
      <c r="HLS67" s="1"/>
      <c r="HLT67" s="1"/>
      <c r="HLU67" s="1"/>
      <c r="HLV67" s="1"/>
      <c r="HLW67" s="1"/>
      <c r="HLX67" s="1"/>
      <c r="HLY67" s="1"/>
      <c r="HLZ67" s="1"/>
      <c r="HMA67" s="1"/>
      <c r="HMB67" s="1"/>
      <c r="HMC67" s="1"/>
      <c r="HMD67" s="1"/>
      <c r="HME67" s="1"/>
      <c r="HMF67" s="1"/>
      <c r="HMG67" s="1"/>
      <c r="HMH67" s="1"/>
      <c r="HMI67" s="1"/>
      <c r="HMJ67" s="1"/>
      <c r="HMK67" s="1"/>
      <c r="HML67" s="1"/>
      <c r="HMM67" s="1"/>
      <c r="HMN67" s="1"/>
      <c r="HMO67" s="1"/>
      <c r="HMP67" s="1"/>
      <c r="HMQ67" s="1"/>
      <c r="HMR67" s="1"/>
      <c r="HMS67" s="1"/>
      <c r="HMT67" s="1"/>
      <c r="HMU67" s="1"/>
      <c r="HMV67" s="1"/>
      <c r="HMW67" s="1"/>
      <c r="HMX67" s="1"/>
      <c r="HMY67" s="1"/>
      <c r="HMZ67" s="1"/>
      <c r="HNA67" s="1"/>
      <c r="HNB67" s="1"/>
      <c r="HNC67" s="1"/>
      <c r="HND67" s="1"/>
      <c r="HNE67" s="1"/>
      <c r="HNF67" s="1"/>
      <c r="HNG67" s="1"/>
      <c r="HNH67" s="1"/>
      <c r="HNI67" s="1"/>
      <c r="HNJ67" s="1"/>
      <c r="HNK67" s="1"/>
      <c r="HNL67" s="1"/>
      <c r="HNM67" s="1"/>
      <c r="HNN67" s="1"/>
      <c r="HNO67" s="1"/>
      <c r="HNP67" s="1"/>
      <c r="HNQ67" s="1"/>
      <c r="HNR67" s="1"/>
      <c r="HNS67" s="1"/>
      <c r="HNT67" s="1"/>
      <c r="HNU67" s="1"/>
      <c r="HNV67" s="1"/>
      <c r="HNW67" s="1"/>
      <c r="HNX67" s="1"/>
      <c r="HNY67" s="1"/>
      <c r="HNZ67" s="1"/>
      <c r="HOA67" s="1"/>
      <c r="HOB67" s="1"/>
      <c r="HOC67" s="1"/>
      <c r="HOD67" s="1"/>
      <c r="HOE67" s="1"/>
      <c r="HOF67" s="1"/>
      <c r="HOG67" s="1"/>
      <c r="HOH67" s="1"/>
      <c r="HOI67" s="1"/>
      <c r="HOJ67" s="1"/>
      <c r="HOK67" s="1"/>
      <c r="HOL67" s="1"/>
      <c r="HOM67" s="1"/>
      <c r="HON67" s="1"/>
      <c r="HOO67" s="1"/>
      <c r="HOP67" s="1"/>
      <c r="HOQ67" s="1"/>
      <c r="HOR67" s="1"/>
      <c r="HOS67" s="1"/>
      <c r="HOT67" s="1"/>
      <c r="HOU67" s="1"/>
      <c r="HOV67" s="1"/>
      <c r="HOW67" s="1"/>
      <c r="HOX67" s="1"/>
      <c r="HOY67" s="1"/>
      <c r="HOZ67" s="1"/>
      <c r="HPA67" s="1"/>
      <c r="HPB67" s="1"/>
      <c r="HPC67" s="1"/>
      <c r="HPD67" s="1"/>
      <c r="HPE67" s="1"/>
      <c r="HPF67" s="1"/>
      <c r="HPG67" s="1"/>
      <c r="HPH67" s="1"/>
      <c r="HPI67" s="1"/>
      <c r="HPJ67" s="1"/>
      <c r="HPK67" s="1"/>
      <c r="HPL67" s="1"/>
      <c r="HPM67" s="1"/>
      <c r="HPN67" s="1"/>
      <c r="HPO67" s="1"/>
      <c r="HPP67" s="1"/>
      <c r="HPQ67" s="1"/>
      <c r="HPR67" s="1"/>
      <c r="HPS67" s="1"/>
      <c r="HPT67" s="1"/>
      <c r="HPU67" s="1"/>
      <c r="HPV67" s="1"/>
      <c r="HPW67" s="1"/>
      <c r="HPX67" s="1"/>
      <c r="HPY67" s="1"/>
      <c r="HPZ67" s="1"/>
      <c r="HQA67" s="1"/>
      <c r="HQB67" s="1"/>
      <c r="HQC67" s="1"/>
      <c r="HQD67" s="1"/>
      <c r="HQE67" s="1"/>
      <c r="HQF67" s="1"/>
      <c r="HQG67" s="1"/>
      <c r="HQH67" s="1"/>
      <c r="HQI67" s="1"/>
      <c r="HQJ67" s="1"/>
      <c r="HQK67" s="1"/>
      <c r="HQL67" s="1"/>
      <c r="HQM67" s="1"/>
      <c r="HQN67" s="1"/>
      <c r="HQO67" s="1"/>
      <c r="HQP67" s="1"/>
      <c r="HQQ67" s="1"/>
      <c r="HQR67" s="1"/>
      <c r="HQS67" s="1"/>
      <c r="HQT67" s="1"/>
      <c r="HQU67" s="1"/>
      <c r="HQV67" s="1"/>
      <c r="HQW67" s="1"/>
      <c r="HQX67" s="1"/>
      <c r="HQY67" s="1"/>
      <c r="HQZ67" s="1"/>
      <c r="HRA67" s="1"/>
      <c r="HRB67" s="1"/>
      <c r="HRC67" s="1"/>
      <c r="HRD67" s="1"/>
      <c r="HRE67" s="1"/>
      <c r="HRF67" s="1"/>
      <c r="HRG67" s="1"/>
      <c r="HRH67" s="1"/>
      <c r="HRI67" s="1"/>
      <c r="HRJ67" s="1"/>
      <c r="HRK67" s="1"/>
      <c r="HRL67" s="1"/>
      <c r="HRM67" s="1"/>
      <c r="HRN67" s="1"/>
      <c r="HRO67" s="1"/>
      <c r="HRP67" s="1"/>
      <c r="HRQ67" s="1"/>
      <c r="HRR67" s="1"/>
      <c r="HRS67" s="1"/>
      <c r="HRT67" s="1"/>
      <c r="HRU67" s="1"/>
      <c r="HRV67" s="1"/>
      <c r="HRW67" s="1"/>
      <c r="HRX67" s="1"/>
      <c r="HRY67" s="1"/>
      <c r="HRZ67" s="1"/>
      <c r="HSA67" s="1"/>
      <c r="HSB67" s="1"/>
      <c r="HSC67" s="1"/>
      <c r="HSD67" s="1"/>
      <c r="HSE67" s="1"/>
      <c r="HSF67" s="1"/>
      <c r="HSG67" s="1"/>
      <c r="HSH67" s="1"/>
      <c r="HSI67" s="1"/>
      <c r="HSJ67" s="1"/>
      <c r="HSK67" s="1"/>
      <c r="HSL67" s="1"/>
      <c r="HSM67" s="1"/>
      <c r="HSN67" s="1"/>
      <c r="HSO67" s="1"/>
      <c r="HSP67" s="1"/>
      <c r="HSQ67" s="1"/>
      <c r="HSR67" s="1"/>
      <c r="HSS67" s="1"/>
      <c r="HST67" s="1"/>
      <c r="HSU67" s="1"/>
      <c r="HSV67" s="1"/>
      <c r="HSW67" s="1"/>
      <c r="HSX67" s="1"/>
      <c r="HSY67" s="1"/>
      <c r="HSZ67" s="1"/>
      <c r="HTA67" s="1"/>
      <c r="HTB67" s="1"/>
      <c r="HTC67" s="1"/>
      <c r="HTD67" s="1"/>
      <c r="HTE67" s="1"/>
      <c r="HTF67" s="1"/>
      <c r="HTG67" s="1"/>
      <c r="HTH67" s="1"/>
      <c r="HTI67" s="1"/>
      <c r="HTJ67" s="1"/>
      <c r="HTK67" s="1"/>
      <c r="HTL67" s="1"/>
      <c r="HTM67" s="1"/>
      <c r="HTN67" s="1"/>
      <c r="HTO67" s="1"/>
      <c r="HTP67" s="1"/>
      <c r="HTQ67" s="1"/>
      <c r="HTR67" s="1"/>
      <c r="HTS67" s="1"/>
      <c r="HTT67" s="1"/>
      <c r="HTU67" s="1"/>
      <c r="HTV67" s="1"/>
      <c r="HTW67" s="1"/>
      <c r="HTX67" s="1"/>
      <c r="HTY67" s="1"/>
      <c r="HTZ67" s="1"/>
      <c r="HUA67" s="1"/>
      <c r="HUB67" s="1"/>
      <c r="HUC67" s="1"/>
      <c r="HUD67" s="1"/>
      <c r="HUE67" s="1"/>
      <c r="HUF67" s="1"/>
      <c r="HUG67" s="1"/>
      <c r="HUH67" s="1"/>
      <c r="HUI67" s="1"/>
      <c r="HUJ67" s="1"/>
      <c r="HUK67" s="1"/>
      <c r="HUL67" s="1"/>
      <c r="HUM67" s="1"/>
      <c r="HUN67" s="1"/>
      <c r="HUO67" s="1"/>
      <c r="HUP67" s="1"/>
      <c r="HUQ67" s="1"/>
      <c r="HUR67" s="1"/>
      <c r="HUS67" s="1"/>
      <c r="HUT67" s="1"/>
      <c r="HUU67" s="1"/>
      <c r="HUV67" s="1"/>
      <c r="HUW67" s="1"/>
      <c r="HUX67" s="1"/>
      <c r="HUY67" s="1"/>
      <c r="HUZ67" s="1"/>
      <c r="HVA67" s="1"/>
      <c r="HVB67" s="1"/>
      <c r="HVC67" s="1"/>
      <c r="HVD67" s="1"/>
      <c r="HVE67" s="1"/>
      <c r="HVF67" s="1"/>
      <c r="HVG67" s="1"/>
      <c r="HVH67" s="1"/>
      <c r="HVI67" s="1"/>
      <c r="HVJ67" s="1"/>
      <c r="HVK67" s="1"/>
      <c r="HVL67" s="1"/>
      <c r="HVM67" s="1"/>
      <c r="HVN67" s="1"/>
      <c r="HVO67" s="1"/>
      <c r="HVP67" s="1"/>
      <c r="HVQ67" s="1"/>
      <c r="HVR67" s="1"/>
      <c r="HVS67" s="1"/>
      <c r="HVT67" s="1"/>
      <c r="HVU67" s="1"/>
      <c r="HVV67" s="1"/>
      <c r="HVW67" s="1"/>
      <c r="HVX67" s="1"/>
      <c r="HVY67" s="1"/>
      <c r="HVZ67" s="1"/>
      <c r="HWA67" s="1"/>
      <c r="HWB67" s="1"/>
      <c r="HWC67" s="1"/>
      <c r="HWD67" s="1"/>
      <c r="HWE67" s="1"/>
      <c r="HWF67" s="1"/>
      <c r="HWG67" s="1"/>
      <c r="HWH67" s="1"/>
      <c r="HWI67" s="1"/>
      <c r="HWJ67" s="1"/>
      <c r="HWK67" s="1"/>
      <c r="HWL67" s="1"/>
      <c r="HWM67" s="1"/>
      <c r="HWN67" s="1"/>
      <c r="HWO67" s="1"/>
      <c r="HWP67" s="1"/>
      <c r="HWQ67" s="1"/>
      <c r="HWR67" s="1"/>
      <c r="HWS67" s="1"/>
      <c r="HWT67" s="1"/>
      <c r="HWU67" s="1"/>
      <c r="HWV67" s="1"/>
      <c r="HWW67" s="1"/>
      <c r="HWX67" s="1"/>
      <c r="HWY67" s="1"/>
      <c r="HWZ67" s="1"/>
      <c r="HXA67" s="1"/>
      <c r="HXB67" s="1"/>
      <c r="HXC67" s="1"/>
      <c r="HXD67" s="1"/>
      <c r="HXE67" s="1"/>
      <c r="HXF67" s="1"/>
      <c r="HXG67" s="1"/>
      <c r="HXH67" s="1"/>
      <c r="HXI67" s="1"/>
      <c r="HXJ67" s="1"/>
      <c r="HXK67" s="1"/>
      <c r="HXL67" s="1"/>
      <c r="HXM67" s="1"/>
      <c r="HXN67" s="1"/>
      <c r="HXO67" s="1"/>
      <c r="HXP67" s="1"/>
      <c r="HXQ67" s="1"/>
      <c r="HXR67" s="1"/>
      <c r="HXS67" s="1"/>
      <c r="HXT67" s="1"/>
      <c r="HXU67" s="1"/>
      <c r="HXV67" s="1"/>
      <c r="HXW67" s="1"/>
      <c r="HXX67" s="1"/>
      <c r="HXY67" s="1"/>
      <c r="HXZ67" s="1"/>
      <c r="HYA67" s="1"/>
      <c r="HYB67" s="1"/>
      <c r="HYC67" s="1"/>
      <c r="HYD67" s="1"/>
      <c r="HYE67" s="1"/>
      <c r="HYF67" s="1"/>
      <c r="HYG67" s="1"/>
      <c r="HYH67" s="1"/>
      <c r="HYI67" s="1"/>
      <c r="HYJ67" s="1"/>
      <c r="HYK67" s="1"/>
      <c r="HYL67" s="1"/>
      <c r="HYM67" s="1"/>
      <c r="HYN67" s="1"/>
      <c r="HYO67" s="1"/>
      <c r="HYP67" s="1"/>
      <c r="HYQ67" s="1"/>
      <c r="HYR67" s="1"/>
      <c r="HYS67" s="1"/>
      <c r="HYT67" s="1"/>
      <c r="HYU67" s="1"/>
      <c r="HYV67" s="1"/>
      <c r="HYW67" s="1"/>
      <c r="HYX67" s="1"/>
      <c r="HYY67" s="1"/>
      <c r="HYZ67" s="1"/>
      <c r="HZA67" s="1"/>
      <c r="HZB67" s="1"/>
      <c r="HZC67" s="1"/>
      <c r="HZD67" s="1"/>
      <c r="HZE67" s="1"/>
      <c r="HZF67" s="1"/>
      <c r="HZG67" s="1"/>
      <c r="HZH67" s="1"/>
      <c r="HZI67" s="1"/>
      <c r="HZJ67" s="1"/>
      <c r="HZK67" s="1"/>
      <c r="HZL67" s="1"/>
      <c r="HZM67" s="1"/>
      <c r="HZN67" s="1"/>
      <c r="HZO67" s="1"/>
      <c r="HZP67" s="1"/>
      <c r="HZQ67" s="1"/>
      <c r="HZR67" s="1"/>
      <c r="HZS67" s="1"/>
      <c r="HZT67" s="1"/>
      <c r="HZU67" s="1"/>
      <c r="HZV67" s="1"/>
      <c r="HZW67" s="1"/>
      <c r="HZX67" s="1"/>
      <c r="HZY67" s="1"/>
      <c r="HZZ67" s="1"/>
      <c r="IAA67" s="1"/>
      <c r="IAB67" s="1"/>
      <c r="IAC67" s="1"/>
      <c r="IAD67" s="1"/>
      <c r="IAE67" s="1"/>
      <c r="IAF67" s="1"/>
      <c r="IAG67" s="1"/>
      <c r="IAH67" s="1"/>
      <c r="IAI67" s="1"/>
      <c r="IAJ67" s="1"/>
      <c r="IAK67" s="1"/>
      <c r="IAL67" s="1"/>
      <c r="IAM67" s="1"/>
      <c r="IAN67" s="1"/>
      <c r="IAO67" s="1"/>
      <c r="IAP67" s="1"/>
      <c r="IAQ67" s="1"/>
      <c r="IAR67" s="1"/>
      <c r="IAS67" s="1"/>
      <c r="IAT67" s="1"/>
      <c r="IAU67" s="1"/>
      <c r="IAV67" s="1"/>
      <c r="IAW67" s="1"/>
      <c r="IAX67" s="1"/>
      <c r="IAY67" s="1"/>
      <c r="IAZ67" s="1"/>
      <c r="IBA67" s="1"/>
      <c r="IBB67" s="1"/>
      <c r="IBC67" s="1"/>
      <c r="IBD67" s="1"/>
      <c r="IBE67" s="1"/>
      <c r="IBF67" s="1"/>
      <c r="IBG67" s="1"/>
      <c r="IBH67" s="1"/>
      <c r="IBI67" s="1"/>
      <c r="IBJ67" s="1"/>
      <c r="IBK67" s="1"/>
      <c r="IBL67" s="1"/>
      <c r="IBM67" s="1"/>
      <c r="IBN67" s="1"/>
      <c r="IBO67" s="1"/>
      <c r="IBP67" s="1"/>
      <c r="IBQ67" s="1"/>
      <c r="IBR67" s="1"/>
      <c r="IBS67" s="1"/>
      <c r="IBT67" s="1"/>
      <c r="IBU67" s="1"/>
      <c r="IBV67" s="1"/>
      <c r="IBW67" s="1"/>
      <c r="IBX67" s="1"/>
      <c r="IBY67" s="1"/>
      <c r="IBZ67" s="1"/>
      <c r="ICA67" s="1"/>
      <c r="ICB67" s="1"/>
      <c r="ICC67" s="1"/>
      <c r="ICD67" s="1"/>
      <c r="ICE67" s="1"/>
      <c r="ICF67" s="1"/>
      <c r="ICG67" s="1"/>
      <c r="ICH67" s="1"/>
      <c r="ICI67" s="1"/>
      <c r="ICJ67" s="1"/>
      <c r="ICK67" s="1"/>
      <c r="ICL67" s="1"/>
      <c r="ICM67" s="1"/>
      <c r="ICN67" s="1"/>
      <c r="ICO67" s="1"/>
      <c r="ICP67" s="1"/>
      <c r="ICQ67" s="1"/>
      <c r="ICR67" s="1"/>
      <c r="ICS67" s="1"/>
      <c r="ICT67" s="1"/>
      <c r="ICU67" s="1"/>
      <c r="ICV67" s="1"/>
      <c r="ICW67" s="1"/>
      <c r="ICX67" s="1"/>
      <c r="ICY67" s="1"/>
      <c r="ICZ67" s="1"/>
      <c r="IDA67" s="1"/>
      <c r="IDB67" s="1"/>
      <c r="IDC67" s="1"/>
      <c r="IDD67" s="1"/>
      <c r="IDE67" s="1"/>
      <c r="IDF67" s="1"/>
      <c r="IDG67" s="1"/>
      <c r="IDH67" s="1"/>
      <c r="IDI67" s="1"/>
      <c r="IDJ67" s="1"/>
      <c r="IDK67" s="1"/>
      <c r="IDL67" s="1"/>
      <c r="IDM67" s="1"/>
      <c r="IDN67" s="1"/>
      <c r="IDO67" s="1"/>
      <c r="IDP67" s="1"/>
      <c r="IDQ67" s="1"/>
      <c r="IDR67" s="1"/>
      <c r="IDS67" s="1"/>
      <c r="IDT67" s="1"/>
      <c r="IDU67" s="1"/>
      <c r="IDV67" s="1"/>
      <c r="IDW67" s="1"/>
      <c r="IDX67" s="1"/>
      <c r="IDY67" s="1"/>
      <c r="IDZ67" s="1"/>
      <c r="IEA67" s="1"/>
      <c r="IEB67" s="1"/>
      <c r="IEC67" s="1"/>
      <c r="IED67" s="1"/>
      <c r="IEE67" s="1"/>
      <c r="IEF67" s="1"/>
      <c r="IEG67" s="1"/>
      <c r="IEH67" s="1"/>
      <c r="IEI67" s="1"/>
      <c r="IEJ67" s="1"/>
      <c r="IEK67" s="1"/>
      <c r="IEL67" s="1"/>
      <c r="IEM67" s="1"/>
      <c r="IEN67" s="1"/>
      <c r="IEO67" s="1"/>
      <c r="IEP67" s="1"/>
      <c r="IEQ67" s="1"/>
      <c r="IER67" s="1"/>
      <c r="IES67" s="1"/>
      <c r="IET67" s="1"/>
      <c r="IEU67" s="1"/>
      <c r="IEV67" s="1"/>
      <c r="IEW67" s="1"/>
      <c r="IEX67" s="1"/>
      <c r="IEY67" s="1"/>
      <c r="IEZ67" s="1"/>
      <c r="IFA67" s="1"/>
      <c r="IFB67" s="1"/>
      <c r="IFC67" s="1"/>
      <c r="IFD67" s="1"/>
      <c r="IFE67" s="1"/>
      <c r="IFF67" s="1"/>
      <c r="IFG67" s="1"/>
      <c r="IFH67" s="1"/>
      <c r="IFI67" s="1"/>
      <c r="IFJ67" s="1"/>
      <c r="IFK67" s="1"/>
      <c r="IFL67" s="1"/>
      <c r="IFM67" s="1"/>
      <c r="IFN67" s="1"/>
      <c r="IFO67" s="1"/>
      <c r="IFP67" s="1"/>
      <c r="IFQ67" s="1"/>
      <c r="IFR67" s="1"/>
      <c r="IFS67" s="1"/>
      <c r="IFT67" s="1"/>
      <c r="IFU67" s="1"/>
      <c r="IFV67" s="1"/>
      <c r="IFW67" s="1"/>
      <c r="IFX67" s="1"/>
      <c r="IFY67" s="1"/>
      <c r="IFZ67" s="1"/>
      <c r="IGA67" s="1"/>
      <c r="IGB67" s="1"/>
      <c r="IGC67" s="1"/>
      <c r="IGD67" s="1"/>
      <c r="IGE67" s="1"/>
      <c r="IGF67" s="1"/>
      <c r="IGG67" s="1"/>
      <c r="IGH67" s="1"/>
      <c r="IGI67" s="1"/>
      <c r="IGJ67" s="1"/>
      <c r="IGK67" s="1"/>
      <c r="IGL67" s="1"/>
      <c r="IGM67" s="1"/>
      <c r="IGN67" s="1"/>
      <c r="IGO67" s="1"/>
      <c r="IGP67" s="1"/>
      <c r="IGQ67" s="1"/>
      <c r="IGR67" s="1"/>
      <c r="IGS67" s="1"/>
      <c r="IGT67" s="1"/>
      <c r="IGU67" s="1"/>
      <c r="IGV67" s="1"/>
      <c r="IGW67" s="1"/>
      <c r="IGX67" s="1"/>
      <c r="IGY67" s="1"/>
      <c r="IGZ67" s="1"/>
      <c r="IHA67" s="1"/>
      <c r="IHB67" s="1"/>
      <c r="IHC67" s="1"/>
      <c r="IHD67" s="1"/>
      <c r="IHE67" s="1"/>
      <c r="IHF67" s="1"/>
      <c r="IHG67" s="1"/>
      <c r="IHH67" s="1"/>
      <c r="IHI67" s="1"/>
      <c r="IHJ67" s="1"/>
      <c r="IHK67" s="1"/>
      <c r="IHL67" s="1"/>
      <c r="IHM67" s="1"/>
      <c r="IHN67" s="1"/>
      <c r="IHO67" s="1"/>
      <c r="IHP67" s="1"/>
      <c r="IHQ67" s="1"/>
      <c r="IHR67" s="1"/>
      <c r="IHS67" s="1"/>
      <c r="IHT67" s="1"/>
      <c r="IHU67" s="1"/>
      <c r="IHV67" s="1"/>
      <c r="IHW67" s="1"/>
      <c r="IHX67" s="1"/>
      <c r="IHY67" s="1"/>
      <c r="IHZ67" s="1"/>
      <c r="IIA67" s="1"/>
      <c r="IIB67" s="1"/>
      <c r="IIC67" s="1"/>
      <c r="IID67" s="1"/>
      <c r="IIE67" s="1"/>
      <c r="IIF67" s="1"/>
      <c r="IIG67" s="1"/>
      <c r="IIH67" s="1"/>
      <c r="III67" s="1"/>
      <c r="IIJ67" s="1"/>
      <c r="IIK67" s="1"/>
      <c r="IIL67" s="1"/>
      <c r="IIM67" s="1"/>
      <c r="IIN67" s="1"/>
      <c r="IIO67" s="1"/>
      <c r="IIP67" s="1"/>
      <c r="IIQ67" s="1"/>
      <c r="IIR67" s="1"/>
      <c r="IIS67" s="1"/>
      <c r="IIT67" s="1"/>
      <c r="IIU67" s="1"/>
      <c r="IIV67" s="1"/>
      <c r="IIW67" s="1"/>
      <c r="IIX67" s="1"/>
      <c r="IIY67" s="1"/>
      <c r="IIZ67" s="1"/>
      <c r="IJA67" s="1"/>
      <c r="IJB67" s="1"/>
      <c r="IJC67" s="1"/>
      <c r="IJD67" s="1"/>
      <c r="IJE67" s="1"/>
      <c r="IJF67" s="1"/>
      <c r="IJG67" s="1"/>
      <c r="IJH67" s="1"/>
      <c r="IJI67" s="1"/>
      <c r="IJJ67" s="1"/>
      <c r="IJK67" s="1"/>
      <c r="IJL67" s="1"/>
      <c r="IJM67" s="1"/>
      <c r="IJN67" s="1"/>
      <c r="IJO67" s="1"/>
      <c r="IJP67" s="1"/>
      <c r="IJQ67" s="1"/>
      <c r="IJR67" s="1"/>
      <c r="IJS67" s="1"/>
      <c r="IJT67" s="1"/>
      <c r="IJU67" s="1"/>
      <c r="IJV67" s="1"/>
      <c r="IJW67" s="1"/>
      <c r="IJX67" s="1"/>
      <c r="IJY67" s="1"/>
      <c r="IJZ67" s="1"/>
      <c r="IKA67" s="1"/>
      <c r="IKB67" s="1"/>
      <c r="IKC67" s="1"/>
      <c r="IKD67" s="1"/>
      <c r="IKE67" s="1"/>
      <c r="IKF67" s="1"/>
      <c r="IKG67" s="1"/>
      <c r="IKH67" s="1"/>
      <c r="IKI67" s="1"/>
      <c r="IKJ67" s="1"/>
      <c r="IKK67" s="1"/>
      <c r="IKL67" s="1"/>
      <c r="IKM67" s="1"/>
      <c r="IKN67" s="1"/>
      <c r="IKO67" s="1"/>
      <c r="IKP67" s="1"/>
      <c r="IKQ67" s="1"/>
      <c r="IKR67" s="1"/>
      <c r="IKS67" s="1"/>
      <c r="IKT67" s="1"/>
      <c r="IKU67" s="1"/>
      <c r="IKV67" s="1"/>
      <c r="IKW67" s="1"/>
      <c r="IKX67" s="1"/>
      <c r="IKY67" s="1"/>
      <c r="IKZ67" s="1"/>
      <c r="ILA67" s="1"/>
      <c r="ILB67" s="1"/>
      <c r="ILC67" s="1"/>
      <c r="ILD67" s="1"/>
      <c r="ILE67" s="1"/>
      <c r="ILF67" s="1"/>
      <c r="ILG67" s="1"/>
      <c r="ILH67" s="1"/>
      <c r="ILI67" s="1"/>
      <c r="ILJ67" s="1"/>
      <c r="ILK67" s="1"/>
      <c r="ILL67" s="1"/>
      <c r="ILM67" s="1"/>
      <c r="ILN67" s="1"/>
      <c r="ILO67" s="1"/>
      <c r="ILP67" s="1"/>
      <c r="ILQ67" s="1"/>
      <c r="ILR67" s="1"/>
      <c r="ILS67" s="1"/>
      <c r="ILT67" s="1"/>
      <c r="ILU67" s="1"/>
      <c r="ILV67" s="1"/>
      <c r="ILW67" s="1"/>
      <c r="ILX67" s="1"/>
      <c r="ILY67" s="1"/>
      <c r="ILZ67" s="1"/>
      <c r="IMA67" s="1"/>
      <c r="IMB67" s="1"/>
      <c r="IMC67" s="1"/>
      <c r="IMD67" s="1"/>
      <c r="IME67" s="1"/>
      <c r="IMF67" s="1"/>
      <c r="IMG67" s="1"/>
      <c r="IMH67" s="1"/>
      <c r="IMI67" s="1"/>
      <c r="IMJ67" s="1"/>
      <c r="IMK67" s="1"/>
      <c r="IML67" s="1"/>
      <c r="IMM67" s="1"/>
      <c r="IMN67" s="1"/>
      <c r="IMO67" s="1"/>
      <c r="IMP67" s="1"/>
      <c r="IMQ67" s="1"/>
      <c r="IMR67" s="1"/>
      <c r="IMS67" s="1"/>
      <c r="IMT67" s="1"/>
      <c r="IMU67" s="1"/>
      <c r="IMV67" s="1"/>
      <c r="IMW67" s="1"/>
      <c r="IMX67" s="1"/>
      <c r="IMY67" s="1"/>
      <c r="IMZ67" s="1"/>
      <c r="INA67" s="1"/>
      <c r="INB67" s="1"/>
      <c r="INC67" s="1"/>
      <c r="IND67" s="1"/>
      <c r="INE67" s="1"/>
      <c r="INF67" s="1"/>
      <c r="ING67" s="1"/>
      <c r="INH67" s="1"/>
      <c r="INI67" s="1"/>
      <c r="INJ67" s="1"/>
      <c r="INK67" s="1"/>
      <c r="INL67" s="1"/>
      <c r="INM67" s="1"/>
      <c r="INN67" s="1"/>
      <c r="INO67" s="1"/>
      <c r="INP67" s="1"/>
      <c r="INQ67" s="1"/>
      <c r="INR67" s="1"/>
      <c r="INS67" s="1"/>
      <c r="INT67" s="1"/>
      <c r="INU67" s="1"/>
      <c r="INV67" s="1"/>
      <c r="INW67" s="1"/>
      <c r="INX67" s="1"/>
      <c r="INY67" s="1"/>
      <c r="INZ67" s="1"/>
      <c r="IOA67" s="1"/>
      <c r="IOB67" s="1"/>
      <c r="IOC67" s="1"/>
      <c r="IOD67" s="1"/>
      <c r="IOE67" s="1"/>
      <c r="IOF67" s="1"/>
      <c r="IOG67" s="1"/>
      <c r="IOH67" s="1"/>
      <c r="IOI67" s="1"/>
      <c r="IOJ67" s="1"/>
      <c r="IOK67" s="1"/>
      <c r="IOL67" s="1"/>
      <c r="IOM67" s="1"/>
      <c r="ION67" s="1"/>
      <c r="IOO67" s="1"/>
      <c r="IOP67" s="1"/>
      <c r="IOQ67" s="1"/>
      <c r="IOR67" s="1"/>
      <c r="IOS67" s="1"/>
      <c r="IOT67" s="1"/>
      <c r="IOU67" s="1"/>
      <c r="IOV67" s="1"/>
      <c r="IOW67" s="1"/>
      <c r="IOX67" s="1"/>
      <c r="IOY67" s="1"/>
      <c r="IOZ67" s="1"/>
      <c r="IPA67" s="1"/>
      <c r="IPB67" s="1"/>
      <c r="IPC67" s="1"/>
      <c r="IPD67" s="1"/>
      <c r="IPE67" s="1"/>
      <c r="IPF67" s="1"/>
      <c r="IPG67" s="1"/>
      <c r="IPH67" s="1"/>
      <c r="IPI67" s="1"/>
      <c r="IPJ67" s="1"/>
      <c r="IPK67" s="1"/>
      <c r="IPL67" s="1"/>
      <c r="IPM67" s="1"/>
      <c r="IPN67" s="1"/>
      <c r="IPO67" s="1"/>
      <c r="IPP67" s="1"/>
      <c r="IPQ67" s="1"/>
      <c r="IPR67" s="1"/>
      <c r="IPS67" s="1"/>
      <c r="IPT67" s="1"/>
      <c r="IPU67" s="1"/>
      <c r="IPV67" s="1"/>
      <c r="IPW67" s="1"/>
      <c r="IPX67" s="1"/>
      <c r="IPY67" s="1"/>
      <c r="IPZ67" s="1"/>
      <c r="IQA67" s="1"/>
      <c r="IQB67" s="1"/>
      <c r="IQC67" s="1"/>
      <c r="IQD67" s="1"/>
      <c r="IQE67" s="1"/>
      <c r="IQF67" s="1"/>
      <c r="IQG67" s="1"/>
      <c r="IQH67" s="1"/>
      <c r="IQI67" s="1"/>
      <c r="IQJ67" s="1"/>
      <c r="IQK67" s="1"/>
      <c r="IQL67" s="1"/>
      <c r="IQM67" s="1"/>
      <c r="IQN67" s="1"/>
      <c r="IQO67" s="1"/>
      <c r="IQP67" s="1"/>
      <c r="IQQ67" s="1"/>
      <c r="IQR67" s="1"/>
      <c r="IQS67" s="1"/>
      <c r="IQT67" s="1"/>
      <c r="IQU67" s="1"/>
      <c r="IQV67" s="1"/>
      <c r="IQW67" s="1"/>
      <c r="IQX67" s="1"/>
      <c r="IQY67" s="1"/>
      <c r="IQZ67" s="1"/>
      <c r="IRA67" s="1"/>
      <c r="IRB67" s="1"/>
      <c r="IRC67" s="1"/>
      <c r="IRD67" s="1"/>
      <c r="IRE67" s="1"/>
      <c r="IRF67" s="1"/>
      <c r="IRG67" s="1"/>
      <c r="IRH67" s="1"/>
      <c r="IRI67" s="1"/>
      <c r="IRJ67" s="1"/>
      <c r="IRK67" s="1"/>
      <c r="IRL67" s="1"/>
      <c r="IRM67" s="1"/>
      <c r="IRN67" s="1"/>
      <c r="IRO67" s="1"/>
      <c r="IRP67" s="1"/>
      <c r="IRQ67" s="1"/>
      <c r="IRR67" s="1"/>
      <c r="IRS67" s="1"/>
      <c r="IRT67" s="1"/>
      <c r="IRU67" s="1"/>
      <c r="IRV67" s="1"/>
      <c r="IRW67" s="1"/>
      <c r="IRX67" s="1"/>
      <c r="IRY67" s="1"/>
      <c r="IRZ67" s="1"/>
      <c r="ISA67" s="1"/>
      <c r="ISB67" s="1"/>
      <c r="ISC67" s="1"/>
      <c r="ISD67" s="1"/>
      <c r="ISE67" s="1"/>
      <c r="ISF67" s="1"/>
      <c r="ISG67" s="1"/>
      <c r="ISH67" s="1"/>
      <c r="ISI67" s="1"/>
      <c r="ISJ67" s="1"/>
      <c r="ISK67" s="1"/>
      <c r="ISL67" s="1"/>
      <c r="ISM67" s="1"/>
      <c r="ISN67" s="1"/>
      <c r="ISO67" s="1"/>
      <c r="ISP67" s="1"/>
      <c r="ISQ67" s="1"/>
      <c r="ISR67" s="1"/>
      <c r="ISS67" s="1"/>
      <c r="IST67" s="1"/>
      <c r="ISU67" s="1"/>
      <c r="ISV67" s="1"/>
      <c r="ISW67" s="1"/>
      <c r="ISX67" s="1"/>
      <c r="ISY67" s="1"/>
      <c r="ISZ67" s="1"/>
      <c r="ITA67" s="1"/>
      <c r="ITB67" s="1"/>
      <c r="ITC67" s="1"/>
      <c r="ITD67" s="1"/>
      <c r="ITE67" s="1"/>
      <c r="ITF67" s="1"/>
      <c r="ITG67" s="1"/>
      <c r="ITH67" s="1"/>
      <c r="ITI67" s="1"/>
      <c r="ITJ67" s="1"/>
      <c r="ITK67" s="1"/>
      <c r="ITL67" s="1"/>
      <c r="ITM67" s="1"/>
      <c r="ITN67" s="1"/>
      <c r="ITO67" s="1"/>
      <c r="ITP67" s="1"/>
      <c r="ITQ67" s="1"/>
      <c r="ITR67" s="1"/>
      <c r="ITS67" s="1"/>
      <c r="ITT67" s="1"/>
      <c r="ITU67" s="1"/>
      <c r="ITV67" s="1"/>
      <c r="ITW67" s="1"/>
      <c r="ITX67" s="1"/>
      <c r="ITY67" s="1"/>
      <c r="ITZ67" s="1"/>
      <c r="IUA67" s="1"/>
      <c r="IUB67" s="1"/>
      <c r="IUC67" s="1"/>
      <c r="IUD67" s="1"/>
      <c r="IUE67" s="1"/>
      <c r="IUF67" s="1"/>
      <c r="IUG67" s="1"/>
      <c r="IUH67" s="1"/>
      <c r="IUI67" s="1"/>
      <c r="IUJ67" s="1"/>
      <c r="IUK67" s="1"/>
      <c r="IUL67" s="1"/>
      <c r="IUM67" s="1"/>
      <c r="IUN67" s="1"/>
      <c r="IUO67" s="1"/>
      <c r="IUP67" s="1"/>
      <c r="IUQ67" s="1"/>
      <c r="IUR67" s="1"/>
      <c r="IUS67" s="1"/>
      <c r="IUT67" s="1"/>
      <c r="IUU67" s="1"/>
      <c r="IUV67" s="1"/>
      <c r="IUW67" s="1"/>
      <c r="IUX67" s="1"/>
      <c r="IUY67" s="1"/>
      <c r="IUZ67" s="1"/>
      <c r="IVA67" s="1"/>
      <c r="IVB67" s="1"/>
      <c r="IVC67" s="1"/>
      <c r="IVD67" s="1"/>
      <c r="IVE67" s="1"/>
      <c r="IVF67" s="1"/>
      <c r="IVG67" s="1"/>
      <c r="IVH67" s="1"/>
      <c r="IVI67" s="1"/>
      <c r="IVJ67" s="1"/>
      <c r="IVK67" s="1"/>
      <c r="IVL67" s="1"/>
      <c r="IVM67" s="1"/>
      <c r="IVN67" s="1"/>
      <c r="IVO67" s="1"/>
      <c r="IVP67" s="1"/>
      <c r="IVQ67" s="1"/>
      <c r="IVR67" s="1"/>
      <c r="IVS67" s="1"/>
      <c r="IVT67" s="1"/>
      <c r="IVU67" s="1"/>
      <c r="IVV67" s="1"/>
      <c r="IVW67" s="1"/>
      <c r="IVX67" s="1"/>
      <c r="IVY67" s="1"/>
      <c r="IVZ67" s="1"/>
      <c r="IWA67" s="1"/>
      <c r="IWB67" s="1"/>
      <c r="IWC67" s="1"/>
      <c r="IWD67" s="1"/>
      <c r="IWE67" s="1"/>
      <c r="IWF67" s="1"/>
      <c r="IWG67" s="1"/>
      <c r="IWH67" s="1"/>
      <c r="IWI67" s="1"/>
      <c r="IWJ67" s="1"/>
      <c r="IWK67" s="1"/>
      <c r="IWL67" s="1"/>
      <c r="IWM67" s="1"/>
      <c r="IWN67" s="1"/>
      <c r="IWO67" s="1"/>
      <c r="IWP67" s="1"/>
      <c r="IWQ67" s="1"/>
      <c r="IWR67" s="1"/>
      <c r="IWS67" s="1"/>
      <c r="IWT67" s="1"/>
      <c r="IWU67" s="1"/>
      <c r="IWV67" s="1"/>
      <c r="IWW67" s="1"/>
      <c r="IWX67" s="1"/>
      <c r="IWY67" s="1"/>
      <c r="IWZ67" s="1"/>
      <c r="IXA67" s="1"/>
      <c r="IXB67" s="1"/>
      <c r="IXC67" s="1"/>
      <c r="IXD67" s="1"/>
      <c r="IXE67" s="1"/>
      <c r="IXF67" s="1"/>
      <c r="IXG67" s="1"/>
      <c r="IXH67" s="1"/>
      <c r="IXI67" s="1"/>
      <c r="IXJ67" s="1"/>
      <c r="IXK67" s="1"/>
      <c r="IXL67" s="1"/>
      <c r="IXM67" s="1"/>
      <c r="IXN67" s="1"/>
      <c r="IXO67" s="1"/>
      <c r="IXP67" s="1"/>
      <c r="IXQ67" s="1"/>
      <c r="IXR67" s="1"/>
      <c r="IXS67" s="1"/>
      <c r="IXT67" s="1"/>
      <c r="IXU67" s="1"/>
      <c r="IXV67" s="1"/>
      <c r="IXW67" s="1"/>
      <c r="IXX67" s="1"/>
      <c r="IXY67" s="1"/>
      <c r="IXZ67" s="1"/>
      <c r="IYA67" s="1"/>
      <c r="IYB67" s="1"/>
      <c r="IYC67" s="1"/>
      <c r="IYD67" s="1"/>
      <c r="IYE67" s="1"/>
      <c r="IYF67" s="1"/>
      <c r="IYG67" s="1"/>
      <c r="IYH67" s="1"/>
      <c r="IYI67" s="1"/>
      <c r="IYJ67" s="1"/>
      <c r="IYK67" s="1"/>
      <c r="IYL67" s="1"/>
      <c r="IYM67" s="1"/>
      <c r="IYN67" s="1"/>
      <c r="IYO67" s="1"/>
      <c r="IYP67" s="1"/>
      <c r="IYQ67" s="1"/>
      <c r="IYR67" s="1"/>
      <c r="IYS67" s="1"/>
      <c r="IYT67" s="1"/>
      <c r="IYU67" s="1"/>
      <c r="IYV67" s="1"/>
      <c r="IYW67" s="1"/>
      <c r="IYX67" s="1"/>
      <c r="IYY67" s="1"/>
      <c r="IYZ67" s="1"/>
      <c r="IZA67" s="1"/>
      <c r="IZB67" s="1"/>
      <c r="IZC67" s="1"/>
      <c r="IZD67" s="1"/>
      <c r="IZE67" s="1"/>
      <c r="IZF67" s="1"/>
      <c r="IZG67" s="1"/>
      <c r="IZH67" s="1"/>
      <c r="IZI67" s="1"/>
      <c r="IZJ67" s="1"/>
      <c r="IZK67" s="1"/>
      <c r="IZL67" s="1"/>
      <c r="IZM67" s="1"/>
      <c r="IZN67" s="1"/>
      <c r="IZO67" s="1"/>
      <c r="IZP67" s="1"/>
      <c r="IZQ67" s="1"/>
      <c r="IZR67" s="1"/>
      <c r="IZS67" s="1"/>
      <c r="IZT67" s="1"/>
      <c r="IZU67" s="1"/>
      <c r="IZV67" s="1"/>
      <c r="IZW67" s="1"/>
      <c r="IZX67" s="1"/>
      <c r="IZY67" s="1"/>
      <c r="IZZ67" s="1"/>
      <c r="JAA67" s="1"/>
      <c r="JAB67" s="1"/>
      <c r="JAC67" s="1"/>
      <c r="JAD67" s="1"/>
      <c r="JAE67" s="1"/>
      <c r="JAF67" s="1"/>
      <c r="JAG67" s="1"/>
      <c r="JAH67" s="1"/>
      <c r="JAI67" s="1"/>
      <c r="JAJ67" s="1"/>
      <c r="JAK67" s="1"/>
      <c r="JAL67" s="1"/>
      <c r="JAM67" s="1"/>
      <c r="JAN67" s="1"/>
      <c r="JAO67" s="1"/>
      <c r="JAP67" s="1"/>
      <c r="JAQ67" s="1"/>
      <c r="JAR67" s="1"/>
      <c r="JAS67" s="1"/>
      <c r="JAT67" s="1"/>
      <c r="JAU67" s="1"/>
      <c r="JAV67" s="1"/>
      <c r="JAW67" s="1"/>
      <c r="JAX67" s="1"/>
      <c r="JAY67" s="1"/>
      <c r="JAZ67" s="1"/>
      <c r="JBA67" s="1"/>
      <c r="JBB67" s="1"/>
      <c r="JBC67" s="1"/>
      <c r="JBD67" s="1"/>
      <c r="JBE67" s="1"/>
      <c r="JBF67" s="1"/>
      <c r="JBG67" s="1"/>
      <c r="JBH67" s="1"/>
      <c r="JBI67" s="1"/>
      <c r="JBJ67" s="1"/>
      <c r="JBK67" s="1"/>
      <c r="JBL67" s="1"/>
      <c r="JBM67" s="1"/>
      <c r="JBN67" s="1"/>
      <c r="JBO67" s="1"/>
      <c r="JBP67" s="1"/>
      <c r="JBQ67" s="1"/>
      <c r="JBR67" s="1"/>
      <c r="JBS67" s="1"/>
      <c r="JBT67" s="1"/>
      <c r="JBU67" s="1"/>
      <c r="JBV67" s="1"/>
      <c r="JBW67" s="1"/>
      <c r="JBX67" s="1"/>
      <c r="JBY67" s="1"/>
      <c r="JBZ67" s="1"/>
      <c r="JCA67" s="1"/>
      <c r="JCB67" s="1"/>
      <c r="JCC67" s="1"/>
      <c r="JCD67" s="1"/>
      <c r="JCE67" s="1"/>
      <c r="JCF67" s="1"/>
      <c r="JCG67" s="1"/>
      <c r="JCH67" s="1"/>
      <c r="JCI67" s="1"/>
      <c r="JCJ67" s="1"/>
      <c r="JCK67" s="1"/>
      <c r="JCL67" s="1"/>
      <c r="JCM67" s="1"/>
      <c r="JCN67" s="1"/>
      <c r="JCO67" s="1"/>
      <c r="JCP67" s="1"/>
      <c r="JCQ67" s="1"/>
      <c r="JCR67" s="1"/>
      <c r="JCS67" s="1"/>
      <c r="JCT67" s="1"/>
      <c r="JCU67" s="1"/>
      <c r="JCV67" s="1"/>
      <c r="JCW67" s="1"/>
      <c r="JCX67" s="1"/>
      <c r="JCY67" s="1"/>
      <c r="JCZ67" s="1"/>
      <c r="JDA67" s="1"/>
      <c r="JDB67" s="1"/>
      <c r="JDC67" s="1"/>
      <c r="JDD67" s="1"/>
      <c r="JDE67" s="1"/>
      <c r="JDF67" s="1"/>
      <c r="JDG67" s="1"/>
      <c r="JDH67" s="1"/>
      <c r="JDI67" s="1"/>
      <c r="JDJ67" s="1"/>
      <c r="JDK67" s="1"/>
      <c r="JDL67" s="1"/>
      <c r="JDM67" s="1"/>
      <c r="JDN67" s="1"/>
      <c r="JDO67" s="1"/>
      <c r="JDP67" s="1"/>
      <c r="JDQ67" s="1"/>
      <c r="JDR67" s="1"/>
      <c r="JDS67" s="1"/>
      <c r="JDT67" s="1"/>
      <c r="JDU67" s="1"/>
      <c r="JDV67" s="1"/>
      <c r="JDW67" s="1"/>
      <c r="JDX67" s="1"/>
      <c r="JDY67" s="1"/>
      <c r="JDZ67" s="1"/>
      <c r="JEA67" s="1"/>
      <c r="JEB67" s="1"/>
      <c r="JEC67" s="1"/>
      <c r="JED67" s="1"/>
      <c r="JEE67" s="1"/>
      <c r="JEF67" s="1"/>
      <c r="JEG67" s="1"/>
      <c r="JEH67" s="1"/>
      <c r="JEI67" s="1"/>
      <c r="JEJ67" s="1"/>
      <c r="JEK67" s="1"/>
      <c r="JEL67" s="1"/>
      <c r="JEM67" s="1"/>
      <c r="JEN67" s="1"/>
      <c r="JEO67" s="1"/>
      <c r="JEP67" s="1"/>
      <c r="JEQ67" s="1"/>
      <c r="JER67" s="1"/>
      <c r="JES67" s="1"/>
      <c r="JET67" s="1"/>
      <c r="JEU67" s="1"/>
      <c r="JEV67" s="1"/>
      <c r="JEW67" s="1"/>
      <c r="JEX67" s="1"/>
      <c r="JEY67" s="1"/>
      <c r="JEZ67" s="1"/>
      <c r="JFA67" s="1"/>
      <c r="JFB67" s="1"/>
      <c r="JFC67" s="1"/>
      <c r="JFD67" s="1"/>
      <c r="JFE67" s="1"/>
      <c r="JFF67" s="1"/>
      <c r="JFG67" s="1"/>
      <c r="JFH67" s="1"/>
      <c r="JFI67" s="1"/>
      <c r="JFJ67" s="1"/>
      <c r="JFK67" s="1"/>
      <c r="JFL67" s="1"/>
      <c r="JFM67" s="1"/>
      <c r="JFN67" s="1"/>
      <c r="JFO67" s="1"/>
      <c r="JFP67" s="1"/>
      <c r="JFQ67" s="1"/>
      <c r="JFR67" s="1"/>
      <c r="JFS67" s="1"/>
      <c r="JFT67" s="1"/>
      <c r="JFU67" s="1"/>
      <c r="JFV67" s="1"/>
      <c r="JFW67" s="1"/>
      <c r="JFX67" s="1"/>
      <c r="JFY67" s="1"/>
      <c r="JFZ67" s="1"/>
      <c r="JGA67" s="1"/>
      <c r="JGB67" s="1"/>
      <c r="JGC67" s="1"/>
      <c r="JGD67" s="1"/>
      <c r="JGE67" s="1"/>
      <c r="JGF67" s="1"/>
      <c r="JGG67" s="1"/>
      <c r="JGH67" s="1"/>
      <c r="JGI67" s="1"/>
      <c r="JGJ67" s="1"/>
      <c r="JGK67" s="1"/>
      <c r="JGL67" s="1"/>
      <c r="JGM67" s="1"/>
      <c r="JGN67" s="1"/>
      <c r="JGO67" s="1"/>
      <c r="JGP67" s="1"/>
      <c r="JGQ67" s="1"/>
      <c r="JGR67" s="1"/>
      <c r="JGS67" s="1"/>
      <c r="JGT67" s="1"/>
      <c r="JGU67" s="1"/>
      <c r="JGV67" s="1"/>
      <c r="JGW67" s="1"/>
      <c r="JGX67" s="1"/>
      <c r="JGY67" s="1"/>
      <c r="JGZ67" s="1"/>
      <c r="JHA67" s="1"/>
      <c r="JHB67" s="1"/>
      <c r="JHC67" s="1"/>
      <c r="JHD67" s="1"/>
      <c r="JHE67" s="1"/>
      <c r="JHF67" s="1"/>
      <c r="JHG67" s="1"/>
      <c r="JHH67" s="1"/>
      <c r="JHI67" s="1"/>
      <c r="JHJ67" s="1"/>
      <c r="JHK67" s="1"/>
      <c r="JHL67" s="1"/>
      <c r="JHM67" s="1"/>
      <c r="JHN67" s="1"/>
      <c r="JHO67" s="1"/>
      <c r="JHP67" s="1"/>
      <c r="JHQ67" s="1"/>
      <c r="JHR67" s="1"/>
      <c r="JHS67" s="1"/>
      <c r="JHT67" s="1"/>
      <c r="JHU67" s="1"/>
      <c r="JHV67" s="1"/>
      <c r="JHW67" s="1"/>
      <c r="JHX67" s="1"/>
      <c r="JHY67" s="1"/>
      <c r="JHZ67" s="1"/>
      <c r="JIA67" s="1"/>
      <c r="JIB67" s="1"/>
      <c r="JIC67" s="1"/>
      <c r="JID67" s="1"/>
      <c r="JIE67" s="1"/>
      <c r="JIF67" s="1"/>
      <c r="JIG67" s="1"/>
      <c r="JIH67" s="1"/>
      <c r="JII67" s="1"/>
      <c r="JIJ67" s="1"/>
      <c r="JIK67" s="1"/>
      <c r="JIL67" s="1"/>
      <c r="JIM67" s="1"/>
      <c r="JIN67" s="1"/>
      <c r="JIO67" s="1"/>
      <c r="JIP67" s="1"/>
      <c r="JIQ67" s="1"/>
      <c r="JIR67" s="1"/>
      <c r="JIS67" s="1"/>
      <c r="JIT67" s="1"/>
      <c r="JIU67" s="1"/>
      <c r="JIV67" s="1"/>
      <c r="JIW67" s="1"/>
      <c r="JIX67" s="1"/>
      <c r="JIY67" s="1"/>
      <c r="JIZ67" s="1"/>
      <c r="JJA67" s="1"/>
      <c r="JJB67" s="1"/>
      <c r="JJC67" s="1"/>
      <c r="JJD67" s="1"/>
      <c r="JJE67" s="1"/>
      <c r="JJF67" s="1"/>
      <c r="JJG67" s="1"/>
      <c r="JJH67" s="1"/>
      <c r="JJI67" s="1"/>
      <c r="JJJ67" s="1"/>
      <c r="JJK67" s="1"/>
      <c r="JJL67" s="1"/>
      <c r="JJM67" s="1"/>
      <c r="JJN67" s="1"/>
      <c r="JJO67" s="1"/>
      <c r="JJP67" s="1"/>
      <c r="JJQ67" s="1"/>
      <c r="JJR67" s="1"/>
      <c r="JJS67" s="1"/>
      <c r="JJT67" s="1"/>
      <c r="JJU67" s="1"/>
      <c r="JJV67" s="1"/>
      <c r="JJW67" s="1"/>
      <c r="JJX67" s="1"/>
      <c r="JJY67" s="1"/>
      <c r="JJZ67" s="1"/>
      <c r="JKA67" s="1"/>
      <c r="JKB67" s="1"/>
      <c r="JKC67" s="1"/>
      <c r="JKD67" s="1"/>
      <c r="JKE67" s="1"/>
      <c r="JKF67" s="1"/>
      <c r="JKG67" s="1"/>
      <c r="JKH67" s="1"/>
      <c r="JKI67" s="1"/>
      <c r="JKJ67" s="1"/>
      <c r="JKK67" s="1"/>
      <c r="JKL67" s="1"/>
      <c r="JKM67" s="1"/>
      <c r="JKN67" s="1"/>
      <c r="JKO67" s="1"/>
      <c r="JKP67" s="1"/>
      <c r="JKQ67" s="1"/>
      <c r="JKR67" s="1"/>
      <c r="JKS67" s="1"/>
      <c r="JKT67" s="1"/>
      <c r="JKU67" s="1"/>
      <c r="JKV67" s="1"/>
      <c r="JKW67" s="1"/>
      <c r="JKX67" s="1"/>
      <c r="JKY67" s="1"/>
      <c r="JKZ67" s="1"/>
      <c r="JLA67" s="1"/>
      <c r="JLB67" s="1"/>
      <c r="JLC67" s="1"/>
      <c r="JLD67" s="1"/>
      <c r="JLE67" s="1"/>
      <c r="JLF67" s="1"/>
      <c r="JLG67" s="1"/>
      <c r="JLH67" s="1"/>
      <c r="JLI67" s="1"/>
      <c r="JLJ67" s="1"/>
      <c r="JLK67" s="1"/>
      <c r="JLL67" s="1"/>
      <c r="JLM67" s="1"/>
      <c r="JLN67" s="1"/>
      <c r="JLO67" s="1"/>
      <c r="JLP67" s="1"/>
      <c r="JLQ67" s="1"/>
      <c r="JLR67" s="1"/>
      <c r="JLS67" s="1"/>
      <c r="JLT67" s="1"/>
      <c r="JLU67" s="1"/>
      <c r="JLV67" s="1"/>
      <c r="JLW67" s="1"/>
      <c r="JLX67" s="1"/>
      <c r="JLY67" s="1"/>
      <c r="JLZ67" s="1"/>
      <c r="JMA67" s="1"/>
      <c r="JMB67" s="1"/>
      <c r="JMC67" s="1"/>
      <c r="JMD67" s="1"/>
      <c r="JME67" s="1"/>
      <c r="JMF67" s="1"/>
      <c r="JMG67" s="1"/>
      <c r="JMH67" s="1"/>
      <c r="JMI67" s="1"/>
      <c r="JMJ67" s="1"/>
      <c r="JMK67" s="1"/>
      <c r="JML67" s="1"/>
      <c r="JMM67" s="1"/>
      <c r="JMN67" s="1"/>
      <c r="JMO67" s="1"/>
      <c r="JMP67" s="1"/>
      <c r="JMQ67" s="1"/>
      <c r="JMR67" s="1"/>
      <c r="JMS67" s="1"/>
      <c r="JMT67" s="1"/>
      <c r="JMU67" s="1"/>
      <c r="JMV67" s="1"/>
      <c r="JMW67" s="1"/>
      <c r="JMX67" s="1"/>
      <c r="JMY67" s="1"/>
      <c r="JMZ67" s="1"/>
      <c r="JNA67" s="1"/>
      <c r="JNB67" s="1"/>
      <c r="JNC67" s="1"/>
      <c r="JND67" s="1"/>
      <c r="JNE67" s="1"/>
      <c r="JNF67" s="1"/>
      <c r="JNG67" s="1"/>
      <c r="JNH67" s="1"/>
      <c r="JNI67" s="1"/>
      <c r="JNJ67" s="1"/>
      <c r="JNK67" s="1"/>
      <c r="JNL67" s="1"/>
      <c r="JNM67" s="1"/>
      <c r="JNN67" s="1"/>
      <c r="JNO67" s="1"/>
      <c r="JNP67" s="1"/>
      <c r="JNQ67" s="1"/>
      <c r="JNR67" s="1"/>
      <c r="JNS67" s="1"/>
      <c r="JNT67" s="1"/>
      <c r="JNU67" s="1"/>
      <c r="JNV67" s="1"/>
      <c r="JNW67" s="1"/>
      <c r="JNX67" s="1"/>
      <c r="JNY67" s="1"/>
      <c r="JNZ67" s="1"/>
      <c r="JOA67" s="1"/>
      <c r="JOB67" s="1"/>
      <c r="JOC67" s="1"/>
      <c r="JOD67" s="1"/>
      <c r="JOE67" s="1"/>
      <c r="JOF67" s="1"/>
      <c r="JOG67" s="1"/>
      <c r="JOH67" s="1"/>
      <c r="JOI67" s="1"/>
      <c r="JOJ67" s="1"/>
      <c r="JOK67" s="1"/>
      <c r="JOL67" s="1"/>
      <c r="JOM67" s="1"/>
      <c r="JON67" s="1"/>
      <c r="JOO67" s="1"/>
      <c r="JOP67" s="1"/>
      <c r="JOQ67" s="1"/>
      <c r="JOR67" s="1"/>
      <c r="JOS67" s="1"/>
      <c r="JOT67" s="1"/>
      <c r="JOU67" s="1"/>
      <c r="JOV67" s="1"/>
      <c r="JOW67" s="1"/>
      <c r="JOX67" s="1"/>
      <c r="JOY67" s="1"/>
      <c r="JOZ67" s="1"/>
      <c r="JPA67" s="1"/>
      <c r="JPB67" s="1"/>
      <c r="JPC67" s="1"/>
      <c r="JPD67" s="1"/>
      <c r="JPE67" s="1"/>
      <c r="JPF67" s="1"/>
      <c r="JPG67" s="1"/>
      <c r="JPH67" s="1"/>
      <c r="JPI67" s="1"/>
      <c r="JPJ67" s="1"/>
      <c r="JPK67" s="1"/>
      <c r="JPL67" s="1"/>
      <c r="JPM67" s="1"/>
      <c r="JPN67" s="1"/>
      <c r="JPO67" s="1"/>
      <c r="JPP67" s="1"/>
      <c r="JPQ67" s="1"/>
      <c r="JPR67" s="1"/>
      <c r="JPS67" s="1"/>
      <c r="JPT67" s="1"/>
      <c r="JPU67" s="1"/>
      <c r="JPV67" s="1"/>
      <c r="JPW67" s="1"/>
      <c r="JPX67" s="1"/>
      <c r="JPY67" s="1"/>
      <c r="JPZ67" s="1"/>
      <c r="JQA67" s="1"/>
      <c r="JQB67" s="1"/>
      <c r="JQC67" s="1"/>
      <c r="JQD67" s="1"/>
      <c r="JQE67" s="1"/>
      <c r="JQF67" s="1"/>
      <c r="JQG67" s="1"/>
      <c r="JQH67" s="1"/>
      <c r="JQI67" s="1"/>
      <c r="JQJ67" s="1"/>
      <c r="JQK67" s="1"/>
      <c r="JQL67" s="1"/>
      <c r="JQM67" s="1"/>
      <c r="JQN67" s="1"/>
      <c r="JQO67" s="1"/>
      <c r="JQP67" s="1"/>
      <c r="JQQ67" s="1"/>
      <c r="JQR67" s="1"/>
      <c r="JQS67" s="1"/>
      <c r="JQT67" s="1"/>
      <c r="JQU67" s="1"/>
      <c r="JQV67" s="1"/>
      <c r="JQW67" s="1"/>
      <c r="JQX67" s="1"/>
      <c r="JQY67" s="1"/>
      <c r="JQZ67" s="1"/>
      <c r="JRA67" s="1"/>
      <c r="JRB67" s="1"/>
      <c r="JRC67" s="1"/>
      <c r="JRD67" s="1"/>
      <c r="JRE67" s="1"/>
      <c r="JRF67" s="1"/>
      <c r="JRG67" s="1"/>
      <c r="JRH67" s="1"/>
      <c r="JRI67" s="1"/>
      <c r="JRJ67" s="1"/>
      <c r="JRK67" s="1"/>
      <c r="JRL67" s="1"/>
      <c r="JRM67" s="1"/>
      <c r="JRN67" s="1"/>
      <c r="JRO67" s="1"/>
      <c r="JRP67" s="1"/>
      <c r="JRQ67" s="1"/>
      <c r="JRR67" s="1"/>
      <c r="JRS67" s="1"/>
      <c r="JRT67" s="1"/>
      <c r="JRU67" s="1"/>
      <c r="JRV67" s="1"/>
      <c r="JRW67" s="1"/>
      <c r="JRX67" s="1"/>
      <c r="JRY67" s="1"/>
      <c r="JRZ67" s="1"/>
      <c r="JSA67" s="1"/>
      <c r="JSB67" s="1"/>
      <c r="JSC67" s="1"/>
      <c r="JSD67" s="1"/>
      <c r="JSE67" s="1"/>
      <c r="JSF67" s="1"/>
      <c r="JSG67" s="1"/>
      <c r="JSH67" s="1"/>
      <c r="JSI67" s="1"/>
      <c r="JSJ67" s="1"/>
      <c r="JSK67" s="1"/>
      <c r="JSL67" s="1"/>
      <c r="JSM67" s="1"/>
      <c r="JSN67" s="1"/>
      <c r="JSO67" s="1"/>
      <c r="JSP67" s="1"/>
      <c r="JSQ67" s="1"/>
      <c r="JSR67" s="1"/>
      <c r="JSS67" s="1"/>
      <c r="JST67" s="1"/>
      <c r="JSU67" s="1"/>
      <c r="JSV67" s="1"/>
      <c r="JSW67" s="1"/>
      <c r="JSX67" s="1"/>
      <c r="JSY67" s="1"/>
      <c r="JSZ67" s="1"/>
      <c r="JTA67" s="1"/>
      <c r="JTB67" s="1"/>
      <c r="JTC67" s="1"/>
      <c r="JTD67" s="1"/>
      <c r="JTE67" s="1"/>
      <c r="JTF67" s="1"/>
      <c r="JTG67" s="1"/>
      <c r="JTH67" s="1"/>
      <c r="JTI67" s="1"/>
      <c r="JTJ67" s="1"/>
      <c r="JTK67" s="1"/>
      <c r="JTL67" s="1"/>
      <c r="JTM67" s="1"/>
      <c r="JTN67" s="1"/>
      <c r="JTO67" s="1"/>
      <c r="JTP67" s="1"/>
      <c r="JTQ67" s="1"/>
      <c r="JTR67" s="1"/>
      <c r="JTS67" s="1"/>
      <c r="JTT67" s="1"/>
      <c r="JTU67" s="1"/>
      <c r="JTV67" s="1"/>
      <c r="JTW67" s="1"/>
      <c r="JTX67" s="1"/>
      <c r="JTY67" s="1"/>
      <c r="JTZ67" s="1"/>
      <c r="JUA67" s="1"/>
      <c r="JUB67" s="1"/>
      <c r="JUC67" s="1"/>
      <c r="JUD67" s="1"/>
      <c r="JUE67" s="1"/>
      <c r="JUF67" s="1"/>
      <c r="JUG67" s="1"/>
      <c r="JUH67" s="1"/>
      <c r="JUI67" s="1"/>
      <c r="JUJ67" s="1"/>
      <c r="JUK67" s="1"/>
      <c r="JUL67" s="1"/>
      <c r="JUM67" s="1"/>
      <c r="JUN67" s="1"/>
      <c r="JUO67" s="1"/>
      <c r="JUP67" s="1"/>
      <c r="JUQ67" s="1"/>
      <c r="JUR67" s="1"/>
      <c r="JUS67" s="1"/>
      <c r="JUT67" s="1"/>
      <c r="JUU67" s="1"/>
      <c r="JUV67" s="1"/>
      <c r="JUW67" s="1"/>
      <c r="JUX67" s="1"/>
      <c r="JUY67" s="1"/>
      <c r="JUZ67" s="1"/>
      <c r="JVA67" s="1"/>
      <c r="JVB67" s="1"/>
      <c r="JVC67" s="1"/>
      <c r="JVD67" s="1"/>
      <c r="JVE67" s="1"/>
      <c r="JVF67" s="1"/>
      <c r="JVG67" s="1"/>
      <c r="JVH67" s="1"/>
      <c r="JVI67" s="1"/>
      <c r="JVJ67" s="1"/>
      <c r="JVK67" s="1"/>
      <c r="JVL67" s="1"/>
      <c r="JVM67" s="1"/>
      <c r="JVN67" s="1"/>
      <c r="JVO67" s="1"/>
      <c r="JVP67" s="1"/>
      <c r="JVQ67" s="1"/>
      <c r="JVR67" s="1"/>
      <c r="JVS67" s="1"/>
      <c r="JVT67" s="1"/>
      <c r="JVU67" s="1"/>
      <c r="JVV67" s="1"/>
      <c r="JVW67" s="1"/>
      <c r="JVX67" s="1"/>
      <c r="JVY67" s="1"/>
      <c r="JVZ67" s="1"/>
      <c r="JWA67" s="1"/>
      <c r="JWB67" s="1"/>
      <c r="JWC67" s="1"/>
      <c r="JWD67" s="1"/>
      <c r="JWE67" s="1"/>
      <c r="JWF67" s="1"/>
      <c r="JWG67" s="1"/>
      <c r="JWH67" s="1"/>
      <c r="JWI67" s="1"/>
      <c r="JWJ67" s="1"/>
      <c r="JWK67" s="1"/>
      <c r="JWL67" s="1"/>
      <c r="JWM67" s="1"/>
      <c r="JWN67" s="1"/>
      <c r="JWO67" s="1"/>
      <c r="JWP67" s="1"/>
      <c r="JWQ67" s="1"/>
      <c r="JWR67" s="1"/>
      <c r="JWS67" s="1"/>
      <c r="JWT67" s="1"/>
      <c r="JWU67" s="1"/>
      <c r="JWV67" s="1"/>
      <c r="JWW67" s="1"/>
      <c r="JWX67" s="1"/>
      <c r="JWY67" s="1"/>
      <c r="JWZ67" s="1"/>
      <c r="JXA67" s="1"/>
      <c r="JXB67" s="1"/>
      <c r="JXC67" s="1"/>
      <c r="JXD67" s="1"/>
      <c r="JXE67" s="1"/>
      <c r="JXF67" s="1"/>
      <c r="JXG67" s="1"/>
      <c r="JXH67" s="1"/>
      <c r="JXI67" s="1"/>
      <c r="JXJ67" s="1"/>
      <c r="JXK67" s="1"/>
      <c r="JXL67" s="1"/>
      <c r="JXM67" s="1"/>
      <c r="JXN67" s="1"/>
      <c r="JXO67" s="1"/>
      <c r="JXP67" s="1"/>
      <c r="JXQ67" s="1"/>
      <c r="JXR67" s="1"/>
      <c r="JXS67" s="1"/>
      <c r="JXT67" s="1"/>
      <c r="JXU67" s="1"/>
      <c r="JXV67" s="1"/>
      <c r="JXW67" s="1"/>
      <c r="JXX67" s="1"/>
      <c r="JXY67" s="1"/>
      <c r="JXZ67" s="1"/>
      <c r="JYA67" s="1"/>
      <c r="JYB67" s="1"/>
      <c r="JYC67" s="1"/>
      <c r="JYD67" s="1"/>
      <c r="JYE67" s="1"/>
      <c r="JYF67" s="1"/>
      <c r="JYG67" s="1"/>
      <c r="JYH67" s="1"/>
      <c r="JYI67" s="1"/>
      <c r="JYJ67" s="1"/>
      <c r="JYK67" s="1"/>
      <c r="JYL67" s="1"/>
      <c r="JYM67" s="1"/>
      <c r="JYN67" s="1"/>
      <c r="JYO67" s="1"/>
      <c r="JYP67" s="1"/>
      <c r="JYQ67" s="1"/>
      <c r="JYR67" s="1"/>
      <c r="JYS67" s="1"/>
      <c r="JYT67" s="1"/>
      <c r="JYU67" s="1"/>
      <c r="JYV67" s="1"/>
      <c r="JYW67" s="1"/>
      <c r="JYX67" s="1"/>
      <c r="JYY67" s="1"/>
      <c r="JYZ67" s="1"/>
      <c r="JZA67" s="1"/>
      <c r="JZB67" s="1"/>
      <c r="JZC67" s="1"/>
      <c r="JZD67" s="1"/>
      <c r="JZE67" s="1"/>
      <c r="JZF67" s="1"/>
      <c r="JZG67" s="1"/>
      <c r="JZH67" s="1"/>
      <c r="JZI67" s="1"/>
      <c r="JZJ67" s="1"/>
      <c r="JZK67" s="1"/>
      <c r="JZL67" s="1"/>
      <c r="JZM67" s="1"/>
      <c r="JZN67" s="1"/>
      <c r="JZO67" s="1"/>
      <c r="JZP67" s="1"/>
      <c r="JZQ67" s="1"/>
      <c r="JZR67" s="1"/>
      <c r="JZS67" s="1"/>
      <c r="JZT67" s="1"/>
      <c r="JZU67" s="1"/>
      <c r="JZV67" s="1"/>
      <c r="JZW67" s="1"/>
      <c r="JZX67" s="1"/>
      <c r="JZY67" s="1"/>
      <c r="JZZ67" s="1"/>
      <c r="KAA67" s="1"/>
      <c r="KAB67" s="1"/>
      <c r="KAC67" s="1"/>
      <c r="KAD67" s="1"/>
      <c r="KAE67" s="1"/>
      <c r="KAF67" s="1"/>
      <c r="KAG67" s="1"/>
      <c r="KAH67" s="1"/>
      <c r="KAI67" s="1"/>
      <c r="KAJ67" s="1"/>
      <c r="KAK67" s="1"/>
      <c r="KAL67" s="1"/>
      <c r="KAM67" s="1"/>
      <c r="KAN67" s="1"/>
      <c r="KAO67" s="1"/>
      <c r="KAP67" s="1"/>
      <c r="KAQ67" s="1"/>
      <c r="KAR67" s="1"/>
      <c r="KAS67" s="1"/>
      <c r="KAT67" s="1"/>
      <c r="KAU67" s="1"/>
      <c r="KAV67" s="1"/>
      <c r="KAW67" s="1"/>
      <c r="KAX67" s="1"/>
      <c r="KAY67" s="1"/>
      <c r="KAZ67" s="1"/>
      <c r="KBA67" s="1"/>
      <c r="KBB67" s="1"/>
      <c r="KBC67" s="1"/>
      <c r="KBD67" s="1"/>
      <c r="KBE67" s="1"/>
      <c r="KBF67" s="1"/>
      <c r="KBG67" s="1"/>
      <c r="KBH67" s="1"/>
      <c r="KBI67" s="1"/>
      <c r="KBJ67" s="1"/>
      <c r="KBK67" s="1"/>
      <c r="KBL67" s="1"/>
      <c r="KBM67" s="1"/>
      <c r="KBN67" s="1"/>
      <c r="KBO67" s="1"/>
      <c r="KBP67" s="1"/>
      <c r="KBQ67" s="1"/>
      <c r="KBR67" s="1"/>
      <c r="KBS67" s="1"/>
      <c r="KBT67" s="1"/>
      <c r="KBU67" s="1"/>
      <c r="KBV67" s="1"/>
      <c r="KBW67" s="1"/>
      <c r="KBX67" s="1"/>
      <c r="KBY67" s="1"/>
      <c r="KBZ67" s="1"/>
      <c r="KCA67" s="1"/>
      <c r="KCB67" s="1"/>
      <c r="KCC67" s="1"/>
      <c r="KCD67" s="1"/>
      <c r="KCE67" s="1"/>
      <c r="KCF67" s="1"/>
      <c r="KCG67" s="1"/>
      <c r="KCH67" s="1"/>
      <c r="KCI67" s="1"/>
      <c r="KCJ67" s="1"/>
      <c r="KCK67" s="1"/>
      <c r="KCL67" s="1"/>
      <c r="KCM67" s="1"/>
      <c r="KCN67" s="1"/>
      <c r="KCO67" s="1"/>
      <c r="KCP67" s="1"/>
      <c r="KCQ67" s="1"/>
      <c r="KCR67" s="1"/>
      <c r="KCS67" s="1"/>
      <c r="KCT67" s="1"/>
      <c r="KCU67" s="1"/>
      <c r="KCV67" s="1"/>
      <c r="KCW67" s="1"/>
      <c r="KCX67" s="1"/>
      <c r="KCY67" s="1"/>
      <c r="KCZ67" s="1"/>
      <c r="KDA67" s="1"/>
      <c r="KDB67" s="1"/>
      <c r="KDC67" s="1"/>
      <c r="KDD67" s="1"/>
      <c r="KDE67" s="1"/>
      <c r="KDF67" s="1"/>
      <c r="KDG67" s="1"/>
      <c r="KDH67" s="1"/>
      <c r="KDI67" s="1"/>
      <c r="KDJ67" s="1"/>
      <c r="KDK67" s="1"/>
      <c r="KDL67" s="1"/>
      <c r="KDM67" s="1"/>
      <c r="KDN67" s="1"/>
      <c r="KDO67" s="1"/>
      <c r="KDP67" s="1"/>
      <c r="KDQ67" s="1"/>
      <c r="KDR67" s="1"/>
      <c r="KDS67" s="1"/>
      <c r="KDT67" s="1"/>
      <c r="KDU67" s="1"/>
      <c r="KDV67" s="1"/>
      <c r="KDW67" s="1"/>
      <c r="KDX67" s="1"/>
      <c r="KDY67" s="1"/>
      <c r="KDZ67" s="1"/>
      <c r="KEA67" s="1"/>
      <c r="KEB67" s="1"/>
      <c r="KEC67" s="1"/>
      <c r="KED67" s="1"/>
      <c r="KEE67" s="1"/>
      <c r="KEF67" s="1"/>
      <c r="KEG67" s="1"/>
      <c r="KEH67" s="1"/>
      <c r="KEI67" s="1"/>
      <c r="KEJ67" s="1"/>
      <c r="KEK67" s="1"/>
      <c r="KEL67" s="1"/>
      <c r="KEM67" s="1"/>
      <c r="KEN67" s="1"/>
      <c r="KEO67" s="1"/>
      <c r="KEP67" s="1"/>
      <c r="KEQ67" s="1"/>
      <c r="KER67" s="1"/>
      <c r="KES67" s="1"/>
      <c r="KET67" s="1"/>
      <c r="KEU67" s="1"/>
      <c r="KEV67" s="1"/>
      <c r="KEW67" s="1"/>
      <c r="KEX67" s="1"/>
      <c r="KEY67" s="1"/>
      <c r="KEZ67" s="1"/>
      <c r="KFA67" s="1"/>
      <c r="KFB67" s="1"/>
      <c r="KFC67" s="1"/>
      <c r="KFD67" s="1"/>
      <c r="KFE67" s="1"/>
      <c r="KFF67" s="1"/>
      <c r="KFG67" s="1"/>
      <c r="KFH67" s="1"/>
      <c r="KFI67" s="1"/>
      <c r="KFJ67" s="1"/>
      <c r="KFK67" s="1"/>
      <c r="KFL67" s="1"/>
      <c r="KFM67" s="1"/>
      <c r="KFN67" s="1"/>
      <c r="KFO67" s="1"/>
      <c r="KFP67" s="1"/>
      <c r="KFQ67" s="1"/>
      <c r="KFR67" s="1"/>
      <c r="KFS67" s="1"/>
      <c r="KFT67" s="1"/>
      <c r="KFU67" s="1"/>
      <c r="KFV67" s="1"/>
      <c r="KFW67" s="1"/>
      <c r="KFX67" s="1"/>
      <c r="KFY67" s="1"/>
      <c r="KFZ67" s="1"/>
      <c r="KGA67" s="1"/>
      <c r="KGB67" s="1"/>
      <c r="KGC67" s="1"/>
      <c r="KGD67" s="1"/>
      <c r="KGE67" s="1"/>
      <c r="KGF67" s="1"/>
      <c r="KGG67" s="1"/>
      <c r="KGH67" s="1"/>
      <c r="KGI67" s="1"/>
      <c r="KGJ67" s="1"/>
      <c r="KGK67" s="1"/>
      <c r="KGL67" s="1"/>
      <c r="KGM67" s="1"/>
      <c r="KGN67" s="1"/>
      <c r="KGO67" s="1"/>
      <c r="KGP67" s="1"/>
      <c r="KGQ67" s="1"/>
      <c r="KGR67" s="1"/>
      <c r="KGS67" s="1"/>
      <c r="KGT67" s="1"/>
      <c r="KGU67" s="1"/>
      <c r="KGV67" s="1"/>
      <c r="KGW67" s="1"/>
      <c r="KGX67" s="1"/>
      <c r="KGY67" s="1"/>
      <c r="KGZ67" s="1"/>
      <c r="KHA67" s="1"/>
      <c r="KHB67" s="1"/>
      <c r="KHC67" s="1"/>
      <c r="KHD67" s="1"/>
      <c r="KHE67" s="1"/>
      <c r="KHF67" s="1"/>
      <c r="KHG67" s="1"/>
      <c r="KHH67" s="1"/>
      <c r="KHI67" s="1"/>
      <c r="KHJ67" s="1"/>
      <c r="KHK67" s="1"/>
      <c r="KHL67" s="1"/>
      <c r="KHM67" s="1"/>
      <c r="KHN67" s="1"/>
      <c r="KHO67" s="1"/>
      <c r="KHP67" s="1"/>
      <c r="KHQ67" s="1"/>
      <c r="KHR67" s="1"/>
      <c r="KHS67" s="1"/>
      <c r="KHT67" s="1"/>
      <c r="KHU67" s="1"/>
      <c r="KHV67" s="1"/>
      <c r="KHW67" s="1"/>
      <c r="KHX67" s="1"/>
      <c r="KHY67" s="1"/>
      <c r="KHZ67" s="1"/>
      <c r="KIA67" s="1"/>
      <c r="KIB67" s="1"/>
      <c r="KIC67" s="1"/>
      <c r="KID67" s="1"/>
      <c r="KIE67" s="1"/>
      <c r="KIF67" s="1"/>
      <c r="KIG67" s="1"/>
      <c r="KIH67" s="1"/>
      <c r="KII67" s="1"/>
      <c r="KIJ67" s="1"/>
      <c r="KIK67" s="1"/>
      <c r="KIL67" s="1"/>
      <c r="KIM67" s="1"/>
      <c r="KIN67" s="1"/>
      <c r="KIO67" s="1"/>
      <c r="KIP67" s="1"/>
      <c r="KIQ67" s="1"/>
      <c r="KIR67" s="1"/>
      <c r="KIS67" s="1"/>
      <c r="KIT67" s="1"/>
      <c r="KIU67" s="1"/>
      <c r="KIV67" s="1"/>
      <c r="KIW67" s="1"/>
      <c r="KIX67" s="1"/>
      <c r="KIY67" s="1"/>
      <c r="KIZ67" s="1"/>
      <c r="KJA67" s="1"/>
      <c r="KJB67" s="1"/>
      <c r="KJC67" s="1"/>
      <c r="KJD67" s="1"/>
      <c r="KJE67" s="1"/>
      <c r="KJF67" s="1"/>
      <c r="KJG67" s="1"/>
      <c r="KJH67" s="1"/>
      <c r="KJI67" s="1"/>
      <c r="KJJ67" s="1"/>
      <c r="KJK67" s="1"/>
      <c r="KJL67" s="1"/>
      <c r="KJM67" s="1"/>
      <c r="KJN67" s="1"/>
      <c r="KJO67" s="1"/>
      <c r="KJP67" s="1"/>
      <c r="KJQ67" s="1"/>
      <c r="KJR67" s="1"/>
      <c r="KJS67" s="1"/>
      <c r="KJT67" s="1"/>
      <c r="KJU67" s="1"/>
      <c r="KJV67" s="1"/>
      <c r="KJW67" s="1"/>
      <c r="KJX67" s="1"/>
      <c r="KJY67" s="1"/>
      <c r="KJZ67" s="1"/>
      <c r="KKA67" s="1"/>
      <c r="KKB67" s="1"/>
      <c r="KKC67" s="1"/>
      <c r="KKD67" s="1"/>
      <c r="KKE67" s="1"/>
      <c r="KKF67" s="1"/>
      <c r="KKG67" s="1"/>
      <c r="KKH67" s="1"/>
      <c r="KKI67" s="1"/>
      <c r="KKJ67" s="1"/>
      <c r="KKK67" s="1"/>
      <c r="KKL67" s="1"/>
      <c r="KKM67" s="1"/>
      <c r="KKN67" s="1"/>
      <c r="KKO67" s="1"/>
      <c r="KKP67" s="1"/>
      <c r="KKQ67" s="1"/>
      <c r="KKR67" s="1"/>
      <c r="KKS67" s="1"/>
      <c r="KKT67" s="1"/>
      <c r="KKU67" s="1"/>
      <c r="KKV67" s="1"/>
      <c r="KKW67" s="1"/>
      <c r="KKX67" s="1"/>
      <c r="KKY67" s="1"/>
      <c r="KKZ67" s="1"/>
      <c r="KLA67" s="1"/>
      <c r="KLB67" s="1"/>
      <c r="KLC67" s="1"/>
      <c r="KLD67" s="1"/>
      <c r="KLE67" s="1"/>
      <c r="KLF67" s="1"/>
      <c r="KLG67" s="1"/>
      <c r="KLH67" s="1"/>
      <c r="KLI67" s="1"/>
      <c r="KLJ67" s="1"/>
      <c r="KLK67" s="1"/>
      <c r="KLL67" s="1"/>
      <c r="KLM67" s="1"/>
      <c r="KLN67" s="1"/>
      <c r="KLO67" s="1"/>
      <c r="KLP67" s="1"/>
      <c r="KLQ67" s="1"/>
      <c r="KLR67" s="1"/>
      <c r="KLS67" s="1"/>
      <c r="KLT67" s="1"/>
      <c r="KLU67" s="1"/>
      <c r="KLV67" s="1"/>
      <c r="KLW67" s="1"/>
      <c r="KLX67" s="1"/>
      <c r="KLY67" s="1"/>
      <c r="KLZ67" s="1"/>
      <c r="KMA67" s="1"/>
      <c r="KMB67" s="1"/>
      <c r="KMC67" s="1"/>
      <c r="KMD67" s="1"/>
      <c r="KME67" s="1"/>
      <c r="KMF67" s="1"/>
      <c r="KMG67" s="1"/>
      <c r="KMH67" s="1"/>
      <c r="KMI67" s="1"/>
      <c r="KMJ67" s="1"/>
      <c r="KMK67" s="1"/>
      <c r="KML67" s="1"/>
      <c r="KMM67" s="1"/>
      <c r="KMN67" s="1"/>
      <c r="KMO67" s="1"/>
      <c r="KMP67" s="1"/>
      <c r="KMQ67" s="1"/>
      <c r="KMR67" s="1"/>
      <c r="KMS67" s="1"/>
      <c r="KMT67" s="1"/>
      <c r="KMU67" s="1"/>
      <c r="KMV67" s="1"/>
      <c r="KMW67" s="1"/>
      <c r="KMX67" s="1"/>
      <c r="KMY67" s="1"/>
      <c r="KMZ67" s="1"/>
      <c r="KNA67" s="1"/>
      <c r="KNB67" s="1"/>
      <c r="KNC67" s="1"/>
      <c r="KND67" s="1"/>
      <c r="KNE67" s="1"/>
      <c r="KNF67" s="1"/>
      <c r="KNG67" s="1"/>
      <c r="KNH67" s="1"/>
      <c r="KNI67" s="1"/>
      <c r="KNJ67" s="1"/>
      <c r="KNK67" s="1"/>
      <c r="KNL67" s="1"/>
      <c r="KNM67" s="1"/>
      <c r="KNN67" s="1"/>
      <c r="KNO67" s="1"/>
      <c r="KNP67" s="1"/>
      <c r="KNQ67" s="1"/>
      <c r="KNR67" s="1"/>
      <c r="KNS67" s="1"/>
      <c r="KNT67" s="1"/>
      <c r="KNU67" s="1"/>
      <c r="KNV67" s="1"/>
      <c r="KNW67" s="1"/>
      <c r="KNX67" s="1"/>
      <c r="KNY67" s="1"/>
      <c r="KNZ67" s="1"/>
      <c r="KOA67" s="1"/>
      <c r="KOB67" s="1"/>
      <c r="KOC67" s="1"/>
      <c r="KOD67" s="1"/>
      <c r="KOE67" s="1"/>
      <c r="KOF67" s="1"/>
      <c r="KOG67" s="1"/>
      <c r="KOH67" s="1"/>
      <c r="KOI67" s="1"/>
      <c r="KOJ67" s="1"/>
      <c r="KOK67" s="1"/>
      <c r="KOL67" s="1"/>
      <c r="KOM67" s="1"/>
      <c r="KON67" s="1"/>
      <c r="KOO67" s="1"/>
      <c r="KOP67" s="1"/>
      <c r="KOQ67" s="1"/>
      <c r="KOR67" s="1"/>
      <c r="KOS67" s="1"/>
      <c r="KOT67" s="1"/>
      <c r="KOU67" s="1"/>
      <c r="KOV67" s="1"/>
      <c r="KOW67" s="1"/>
      <c r="KOX67" s="1"/>
      <c r="KOY67" s="1"/>
      <c r="KOZ67" s="1"/>
      <c r="KPA67" s="1"/>
      <c r="KPB67" s="1"/>
      <c r="KPC67" s="1"/>
      <c r="KPD67" s="1"/>
      <c r="KPE67" s="1"/>
      <c r="KPF67" s="1"/>
      <c r="KPG67" s="1"/>
      <c r="KPH67" s="1"/>
      <c r="KPI67" s="1"/>
      <c r="KPJ67" s="1"/>
      <c r="KPK67" s="1"/>
      <c r="KPL67" s="1"/>
      <c r="KPM67" s="1"/>
      <c r="KPN67" s="1"/>
      <c r="KPO67" s="1"/>
      <c r="KPP67" s="1"/>
      <c r="KPQ67" s="1"/>
      <c r="KPR67" s="1"/>
      <c r="KPS67" s="1"/>
      <c r="KPT67" s="1"/>
      <c r="KPU67" s="1"/>
      <c r="KPV67" s="1"/>
      <c r="KPW67" s="1"/>
      <c r="KPX67" s="1"/>
      <c r="KPY67" s="1"/>
      <c r="KPZ67" s="1"/>
      <c r="KQA67" s="1"/>
      <c r="KQB67" s="1"/>
      <c r="KQC67" s="1"/>
      <c r="KQD67" s="1"/>
      <c r="KQE67" s="1"/>
      <c r="KQF67" s="1"/>
      <c r="KQG67" s="1"/>
      <c r="KQH67" s="1"/>
      <c r="KQI67" s="1"/>
      <c r="KQJ67" s="1"/>
      <c r="KQK67" s="1"/>
      <c r="KQL67" s="1"/>
      <c r="KQM67" s="1"/>
      <c r="KQN67" s="1"/>
      <c r="KQO67" s="1"/>
      <c r="KQP67" s="1"/>
      <c r="KQQ67" s="1"/>
      <c r="KQR67" s="1"/>
      <c r="KQS67" s="1"/>
      <c r="KQT67" s="1"/>
      <c r="KQU67" s="1"/>
      <c r="KQV67" s="1"/>
      <c r="KQW67" s="1"/>
      <c r="KQX67" s="1"/>
      <c r="KQY67" s="1"/>
      <c r="KQZ67" s="1"/>
      <c r="KRA67" s="1"/>
      <c r="KRB67" s="1"/>
      <c r="KRC67" s="1"/>
      <c r="KRD67" s="1"/>
      <c r="KRE67" s="1"/>
      <c r="KRF67" s="1"/>
      <c r="KRG67" s="1"/>
      <c r="KRH67" s="1"/>
      <c r="KRI67" s="1"/>
      <c r="KRJ67" s="1"/>
      <c r="KRK67" s="1"/>
      <c r="KRL67" s="1"/>
      <c r="KRM67" s="1"/>
      <c r="KRN67" s="1"/>
      <c r="KRO67" s="1"/>
      <c r="KRP67" s="1"/>
      <c r="KRQ67" s="1"/>
      <c r="KRR67" s="1"/>
      <c r="KRS67" s="1"/>
      <c r="KRT67" s="1"/>
      <c r="KRU67" s="1"/>
      <c r="KRV67" s="1"/>
      <c r="KRW67" s="1"/>
      <c r="KRX67" s="1"/>
      <c r="KRY67" s="1"/>
      <c r="KRZ67" s="1"/>
      <c r="KSA67" s="1"/>
      <c r="KSB67" s="1"/>
      <c r="KSC67" s="1"/>
      <c r="KSD67" s="1"/>
      <c r="KSE67" s="1"/>
      <c r="KSF67" s="1"/>
      <c r="KSG67" s="1"/>
      <c r="KSH67" s="1"/>
      <c r="KSI67" s="1"/>
      <c r="KSJ67" s="1"/>
      <c r="KSK67" s="1"/>
      <c r="KSL67" s="1"/>
      <c r="KSM67" s="1"/>
      <c r="KSN67" s="1"/>
      <c r="KSO67" s="1"/>
      <c r="KSP67" s="1"/>
      <c r="KSQ67" s="1"/>
      <c r="KSR67" s="1"/>
      <c r="KSS67" s="1"/>
      <c r="KST67" s="1"/>
      <c r="KSU67" s="1"/>
      <c r="KSV67" s="1"/>
      <c r="KSW67" s="1"/>
      <c r="KSX67" s="1"/>
      <c r="KSY67" s="1"/>
      <c r="KSZ67" s="1"/>
      <c r="KTA67" s="1"/>
      <c r="KTB67" s="1"/>
      <c r="KTC67" s="1"/>
      <c r="KTD67" s="1"/>
      <c r="KTE67" s="1"/>
      <c r="KTF67" s="1"/>
      <c r="KTG67" s="1"/>
      <c r="KTH67" s="1"/>
      <c r="KTI67" s="1"/>
      <c r="KTJ67" s="1"/>
      <c r="KTK67" s="1"/>
      <c r="KTL67" s="1"/>
      <c r="KTM67" s="1"/>
      <c r="KTN67" s="1"/>
      <c r="KTO67" s="1"/>
      <c r="KTP67" s="1"/>
      <c r="KTQ67" s="1"/>
      <c r="KTR67" s="1"/>
      <c r="KTS67" s="1"/>
      <c r="KTT67" s="1"/>
      <c r="KTU67" s="1"/>
      <c r="KTV67" s="1"/>
      <c r="KTW67" s="1"/>
      <c r="KTX67" s="1"/>
      <c r="KTY67" s="1"/>
      <c r="KTZ67" s="1"/>
      <c r="KUA67" s="1"/>
      <c r="KUB67" s="1"/>
      <c r="KUC67" s="1"/>
      <c r="KUD67" s="1"/>
      <c r="KUE67" s="1"/>
      <c r="KUF67" s="1"/>
      <c r="KUG67" s="1"/>
      <c r="KUH67" s="1"/>
      <c r="KUI67" s="1"/>
      <c r="KUJ67" s="1"/>
      <c r="KUK67" s="1"/>
      <c r="KUL67" s="1"/>
      <c r="KUM67" s="1"/>
      <c r="KUN67" s="1"/>
      <c r="KUO67" s="1"/>
      <c r="KUP67" s="1"/>
      <c r="KUQ67" s="1"/>
      <c r="KUR67" s="1"/>
      <c r="KUS67" s="1"/>
      <c r="KUT67" s="1"/>
      <c r="KUU67" s="1"/>
      <c r="KUV67" s="1"/>
      <c r="KUW67" s="1"/>
      <c r="KUX67" s="1"/>
      <c r="KUY67" s="1"/>
      <c r="KUZ67" s="1"/>
      <c r="KVA67" s="1"/>
      <c r="KVB67" s="1"/>
      <c r="KVC67" s="1"/>
      <c r="KVD67" s="1"/>
      <c r="KVE67" s="1"/>
      <c r="KVF67" s="1"/>
      <c r="KVG67" s="1"/>
      <c r="KVH67" s="1"/>
      <c r="KVI67" s="1"/>
      <c r="KVJ67" s="1"/>
      <c r="KVK67" s="1"/>
      <c r="KVL67" s="1"/>
      <c r="KVM67" s="1"/>
      <c r="KVN67" s="1"/>
      <c r="KVO67" s="1"/>
      <c r="KVP67" s="1"/>
      <c r="KVQ67" s="1"/>
      <c r="KVR67" s="1"/>
      <c r="KVS67" s="1"/>
      <c r="KVT67" s="1"/>
      <c r="KVU67" s="1"/>
      <c r="KVV67" s="1"/>
      <c r="KVW67" s="1"/>
      <c r="KVX67" s="1"/>
      <c r="KVY67" s="1"/>
      <c r="KVZ67" s="1"/>
      <c r="KWA67" s="1"/>
      <c r="KWB67" s="1"/>
      <c r="KWC67" s="1"/>
      <c r="KWD67" s="1"/>
      <c r="KWE67" s="1"/>
      <c r="KWF67" s="1"/>
      <c r="KWG67" s="1"/>
      <c r="KWH67" s="1"/>
      <c r="KWI67" s="1"/>
      <c r="KWJ67" s="1"/>
      <c r="KWK67" s="1"/>
      <c r="KWL67" s="1"/>
      <c r="KWM67" s="1"/>
      <c r="KWN67" s="1"/>
      <c r="KWO67" s="1"/>
      <c r="KWP67" s="1"/>
      <c r="KWQ67" s="1"/>
      <c r="KWR67" s="1"/>
      <c r="KWS67" s="1"/>
      <c r="KWT67" s="1"/>
      <c r="KWU67" s="1"/>
      <c r="KWV67" s="1"/>
      <c r="KWW67" s="1"/>
      <c r="KWX67" s="1"/>
      <c r="KWY67" s="1"/>
      <c r="KWZ67" s="1"/>
      <c r="KXA67" s="1"/>
      <c r="KXB67" s="1"/>
      <c r="KXC67" s="1"/>
      <c r="KXD67" s="1"/>
      <c r="KXE67" s="1"/>
      <c r="KXF67" s="1"/>
      <c r="KXG67" s="1"/>
      <c r="KXH67" s="1"/>
      <c r="KXI67" s="1"/>
      <c r="KXJ67" s="1"/>
      <c r="KXK67" s="1"/>
      <c r="KXL67" s="1"/>
      <c r="KXM67" s="1"/>
      <c r="KXN67" s="1"/>
      <c r="KXO67" s="1"/>
      <c r="KXP67" s="1"/>
      <c r="KXQ67" s="1"/>
      <c r="KXR67" s="1"/>
      <c r="KXS67" s="1"/>
      <c r="KXT67" s="1"/>
      <c r="KXU67" s="1"/>
      <c r="KXV67" s="1"/>
      <c r="KXW67" s="1"/>
      <c r="KXX67" s="1"/>
      <c r="KXY67" s="1"/>
      <c r="KXZ67" s="1"/>
      <c r="KYA67" s="1"/>
      <c r="KYB67" s="1"/>
      <c r="KYC67" s="1"/>
      <c r="KYD67" s="1"/>
      <c r="KYE67" s="1"/>
      <c r="KYF67" s="1"/>
      <c r="KYG67" s="1"/>
      <c r="KYH67" s="1"/>
      <c r="KYI67" s="1"/>
      <c r="KYJ67" s="1"/>
      <c r="KYK67" s="1"/>
      <c r="KYL67" s="1"/>
      <c r="KYM67" s="1"/>
      <c r="KYN67" s="1"/>
      <c r="KYO67" s="1"/>
      <c r="KYP67" s="1"/>
      <c r="KYQ67" s="1"/>
      <c r="KYR67" s="1"/>
      <c r="KYS67" s="1"/>
      <c r="KYT67" s="1"/>
      <c r="KYU67" s="1"/>
      <c r="KYV67" s="1"/>
      <c r="KYW67" s="1"/>
      <c r="KYX67" s="1"/>
      <c r="KYY67" s="1"/>
      <c r="KYZ67" s="1"/>
      <c r="KZA67" s="1"/>
      <c r="KZB67" s="1"/>
      <c r="KZC67" s="1"/>
      <c r="KZD67" s="1"/>
      <c r="KZE67" s="1"/>
      <c r="KZF67" s="1"/>
      <c r="KZG67" s="1"/>
      <c r="KZH67" s="1"/>
      <c r="KZI67" s="1"/>
      <c r="KZJ67" s="1"/>
      <c r="KZK67" s="1"/>
      <c r="KZL67" s="1"/>
      <c r="KZM67" s="1"/>
      <c r="KZN67" s="1"/>
      <c r="KZO67" s="1"/>
      <c r="KZP67" s="1"/>
      <c r="KZQ67" s="1"/>
      <c r="KZR67" s="1"/>
      <c r="KZS67" s="1"/>
      <c r="KZT67" s="1"/>
      <c r="KZU67" s="1"/>
      <c r="KZV67" s="1"/>
      <c r="KZW67" s="1"/>
      <c r="KZX67" s="1"/>
      <c r="KZY67" s="1"/>
      <c r="KZZ67" s="1"/>
      <c r="LAA67" s="1"/>
      <c r="LAB67" s="1"/>
      <c r="LAC67" s="1"/>
      <c r="LAD67" s="1"/>
      <c r="LAE67" s="1"/>
      <c r="LAF67" s="1"/>
      <c r="LAG67" s="1"/>
      <c r="LAH67" s="1"/>
      <c r="LAI67" s="1"/>
      <c r="LAJ67" s="1"/>
      <c r="LAK67" s="1"/>
      <c r="LAL67" s="1"/>
      <c r="LAM67" s="1"/>
      <c r="LAN67" s="1"/>
      <c r="LAO67" s="1"/>
      <c r="LAP67" s="1"/>
      <c r="LAQ67" s="1"/>
      <c r="LAR67" s="1"/>
      <c r="LAS67" s="1"/>
      <c r="LAT67" s="1"/>
      <c r="LAU67" s="1"/>
      <c r="LAV67" s="1"/>
      <c r="LAW67" s="1"/>
      <c r="LAX67" s="1"/>
      <c r="LAY67" s="1"/>
      <c r="LAZ67" s="1"/>
      <c r="LBA67" s="1"/>
      <c r="LBB67" s="1"/>
      <c r="LBC67" s="1"/>
      <c r="LBD67" s="1"/>
      <c r="LBE67" s="1"/>
      <c r="LBF67" s="1"/>
      <c r="LBG67" s="1"/>
      <c r="LBH67" s="1"/>
      <c r="LBI67" s="1"/>
      <c r="LBJ67" s="1"/>
      <c r="LBK67" s="1"/>
      <c r="LBL67" s="1"/>
      <c r="LBM67" s="1"/>
      <c r="LBN67" s="1"/>
      <c r="LBO67" s="1"/>
      <c r="LBP67" s="1"/>
      <c r="LBQ67" s="1"/>
      <c r="LBR67" s="1"/>
      <c r="LBS67" s="1"/>
      <c r="LBT67" s="1"/>
      <c r="LBU67" s="1"/>
      <c r="LBV67" s="1"/>
      <c r="LBW67" s="1"/>
      <c r="LBX67" s="1"/>
      <c r="LBY67" s="1"/>
      <c r="LBZ67" s="1"/>
      <c r="LCA67" s="1"/>
      <c r="LCB67" s="1"/>
      <c r="LCC67" s="1"/>
      <c r="LCD67" s="1"/>
      <c r="LCE67" s="1"/>
      <c r="LCF67" s="1"/>
      <c r="LCG67" s="1"/>
      <c r="LCH67" s="1"/>
      <c r="LCI67" s="1"/>
      <c r="LCJ67" s="1"/>
      <c r="LCK67" s="1"/>
      <c r="LCL67" s="1"/>
      <c r="LCM67" s="1"/>
      <c r="LCN67" s="1"/>
      <c r="LCO67" s="1"/>
      <c r="LCP67" s="1"/>
      <c r="LCQ67" s="1"/>
      <c r="LCR67" s="1"/>
      <c r="LCS67" s="1"/>
      <c r="LCT67" s="1"/>
      <c r="LCU67" s="1"/>
      <c r="LCV67" s="1"/>
      <c r="LCW67" s="1"/>
      <c r="LCX67" s="1"/>
      <c r="LCY67" s="1"/>
      <c r="LCZ67" s="1"/>
      <c r="LDA67" s="1"/>
      <c r="LDB67" s="1"/>
      <c r="LDC67" s="1"/>
      <c r="LDD67" s="1"/>
      <c r="LDE67" s="1"/>
      <c r="LDF67" s="1"/>
      <c r="LDG67" s="1"/>
      <c r="LDH67" s="1"/>
      <c r="LDI67" s="1"/>
      <c r="LDJ67" s="1"/>
      <c r="LDK67" s="1"/>
      <c r="LDL67" s="1"/>
      <c r="LDM67" s="1"/>
      <c r="LDN67" s="1"/>
      <c r="LDO67" s="1"/>
      <c r="LDP67" s="1"/>
      <c r="LDQ67" s="1"/>
      <c r="LDR67" s="1"/>
      <c r="LDS67" s="1"/>
      <c r="LDT67" s="1"/>
      <c r="LDU67" s="1"/>
      <c r="LDV67" s="1"/>
      <c r="LDW67" s="1"/>
      <c r="LDX67" s="1"/>
      <c r="LDY67" s="1"/>
      <c r="LDZ67" s="1"/>
      <c r="LEA67" s="1"/>
      <c r="LEB67" s="1"/>
      <c r="LEC67" s="1"/>
      <c r="LED67" s="1"/>
      <c r="LEE67" s="1"/>
      <c r="LEF67" s="1"/>
      <c r="LEG67" s="1"/>
      <c r="LEH67" s="1"/>
      <c r="LEI67" s="1"/>
      <c r="LEJ67" s="1"/>
      <c r="LEK67" s="1"/>
      <c r="LEL67" s="1"/>
      <c r="LEM67" s="1"/>
      <c r="LEN67" s="1"/>
      <c r="LEO67" s="1"/>
      <c r="LEP67" s="1"/>
      <c r="LEQ67" s="1"/>
      <c r="LER67" s="1"/>
      <c r="LES67" s="1"/>
      <c r="LET67" s="1"/>
      <c r="LEU67" s="1"/>
      <c r="LEV67" s="1"/>
      <c r="LEW67" s="1"/>
      <c r="LEX67" s="1"/>
      <c r="LEY67" s="1"/>
      <c r="LEZ67" s="1"/>
      <c r="LFA67" s="1"/>
      <c r="LFB67" s="1"/>
      <c r="LFC67" s="1"/>
      <c r="LFD67" s="1"/>
      <c r="LFE67" s="1"/>
      <c r="LFF67" s="1"/>
      <c r="LFG67" s="1"/>
      <c r="LFH67" s="1"/>
      <c r="LFI67" s="1"/>
      <c r="LFJ67" s="1"/>
      <c r="LFK67" s="1"/>
      <c r="LFL67" s="1"/>
      <c r="LFM67" s="1"/>
      <c r="LFN67" s="1"/>
      <c r="LFO67" s="1"/>
      <c r="LFP67" s="1"/>
      <c r="LFQ67" s="1"/>
      <c r="LFR67" s="1"/>
      <c r="LFS67" s="1"/>
      <c r="LFT67" s="1"/>
      <c r="LFU67" s="1"/>
      <c r="LFV67" s="1"/>
      <c r="LFW67" s="1"/>
      <c r="LFX67" s="1"/>
      <c r="LFY67" s="1"/>
      <c r="LFZ67" s="1"/>
      <c r="LGA67" s="1"/>
      <c r="LGB67" s="1"/>
      <c r="LGC67" s="1"/>
      <c r="LGD67" s="1"/>
      <c r="LGE67" s="1"/>
      <c r="LGF67" s="1"/>
      <c r="LGG67" s="1"/>
      <c r="LGH67" s="1"/>
      <c r="LGI67" s="1"/>
      <c r="LGJ67" s="1"/>
      <c r="LGK67" s="1"/>
      <c r="LGL67" s="1"/>
      <c r="LGM67" s="1"/>
      <c r="LGN67" s="1"/>
      <c r="LGO67" s="1"/>
      <c r="LGP67" s="1"/>
      <c r="LGQ67" s="1"/>
      <c r="LGR67" s="1"/>
      <c r="LGS67" s="1"/>
      <c r="LGT67" s="1"/>
      <c r="LGU67" s="1"/>
      <c r="LGV67" s="1"/>
      <c r="LGW67" s="1"/>
      <c r="LGX67" s="1"/>
      <c r="LGY67" s="1"/>
      <c r="LGZ67" s="1"/>
      <c r="LHA67" s="1"/>
      <c r="LHB67" s="1"/>
      <c r="LHC67" s="1"/>
      <c r="LHD67" s="1"/>
      <c r="LHE67" s="1"/>
      <c r="LHF67" s="1"/>
      <c r="LHG67" s="1"/>
      <c r="LHH67" s="1"/>
      <c r="LHI67" s="1"/>
      <c r="LHJ67" s="1"/>
      <c r="LHK67" s="1"/>
      <c r="LHL67" s="1"/>
      <c r="LHM67" s="1"/>
      <c r="LHN67" s="1"/>
      <c r="LHO67" s="1"/>
      <c r="LHP67" s="1"/>
      <c r="LHQ67" s="1"/>
      <c r="LHR67" s="1"/>
      <c r="LHS67" s="1"/>
      <c r="LHT67" s="1"/>
      <c r="LHU67" s="1"/>
      <c r="LHV67" s="1"/>
      <c r="LHW67" s="1"/>
      <c r="LHX67" s="1"/>
      <c r="LHY67" s="1"/>
      <c r="LHZ67" s="1"/>
      <c r="LIA67" s="1"/>
      <c r="LIB67" s="1"/>
      <c r="LIC67" s="1"/>
      <c r="LID67" s="1"/>
      <c r="LIE67" s="1"/>
      <c r="LIF67" s="1"/>
      <c r="LIG67" s="1"/>
      <c r="LIH67" s="1"/>
      <c r="LII67" s="1"/>
      <c r="LIJ67" s="1"/>
      <c r="LIK67" s="1"/>
      <c r="LIL67" s="1"/>
      <c r="LIM67" s="1"/>
      <c r="LIN67" s="1"/>
      <c r="LIO67" s="1"/>
      <c r="LIP67" s="1"/>
      <c r="LIQ67" s="1"/>
      <c r="LIR67" s="1"/>
      <c r="LIS67" s="1"/>
      <c r="LIT67" s="1"/>
      <c r="LIU67" s="1"/>
      <c r="LIV67" s="1"/>
      <c r="LIW67" s="1"/>
      <c r="LIX67" s="1"/>
      <c r="LIY67" s="1"/>
      <c r="LIZ67" s="1"/>
      <c r="LJA67" s="1"/>
      <c r="LJB67" s="1"/>
      <c r="LJC67" s="1"/>
      <c r="LJD67" s="1"/>
      <c r="LJE67" s="1"/>
      <c r="LJF67" s="1"/>
      <c r="LJG67" s="1"/>
      <c r="LJH67" s="1"/>
      <c r="LJI67" s="1"/>
      <c r="LJJ67" s="1"/>
      <c r="LJK67" s="1"/>
      <c r="LJL67" s="1"/>
      <c r="LJM67" s="1"/>
      <c r="LJN67" s="1"/>
      <c r="LJO67" s="1"/>
      <c r="LJP67" s="1"/>
      <c r="LJQ67" s="1"/>
      <c r="LJR67" s="1"/>
      <c r="LJS67" s="1"/>
      <c r="LJT67" s="1"/>
      <c r="LJU67" s="1"/>
      <c r="LJV67" s="1"/>
      <c r="LJW67" s="1"/>
      <c r="LJX67" s="1"/>
      <c r="LJY67" s="1"/>
      <c r="LJZ67" s="1"/>
      <c r="LKA67" s="1"/>
      <c r="LKB67" s="1"/>
      <c r="LKC67" s="1"/>
      <c r="LKD67" s="1"/>
      <c r="LKE67" s="1"/>
      <c r="LKF67" s="1"/>
      <c r="LKG67" s="1"/>
      <c r="LKH67" s="1"/>
      <c r="LKI67" s="1"/>
      <c r="LKJ67" s="1"/>
      <c r="LKK67" s="1"/>
      <c r="LKL67" s="1"/>
      <c r="LKM67" s="1"/>
      <c r="LKN67" s="1"/>
      <c r="LKO67" s="1"/>
      <c r="LKP67" s="1"/>
      <c r="LKQ67" s="1"/>
      <c r="LKR67" s="1"/>
      <c r="LKS67" s="1"/>
      <c r="LKT67" s="1"/>
      <c r="LKU67" s="1"/>
      <c r="LKV67" s="1"/>
      <c r="LKW67" s="1"/>
      <c r="LKX67" s="1"/>
      <c r="LKY67" s="1"/>
      <c r="LKZ67" s="1"/>
      <c r="LLA67" s="1"/>
      <c r="LLB67" s="1"/>
      <c r="LLC67" s="1"/>
      <c r="LLD67" s="1"/>
      <c r="LLE67" s="1"/>
      <c r="LLF67" s="1"/>
      <c r="LLG67" s="1"/>
      <c r="LLH67" s="1"/>
      <c r="LLI67" s="1"/>
      <c r="LLJ67" s="1"/>
      <c r="LLK67" s="1"/>
      <c r="LLL67" s="1"/>
      <c r="LLM67" s="1"/>
      <c r="LLN67" s="1"/>
      <c r="LLO67" s="1"/>
      <c r="LLP67" s="1"/>
      <c r="LLQ67" s="1"/>
      <c r="LLR67" s="1"/>
      <c r="LLS67" s="1"/>
      <c r="LLT67" s="1"/>
      <c r="LLU67" s="1"/>
      <c r="LLV67" s="1"/>
      <c r="LLW67" s="1"/>
      <c r="LLX67" s="1"/>
      <c r="LLY67" s="1"/>
      <c r="LLZ67" s="1"/>
      <c r="LMA67" s="1"/>
      <c r="LMB67" s="1"/>
      <c r="LMC67" s="1"/>
      <c r="LMD67" s="1"/>
      <c r="LME67" s="1"/>
      <c r="LMF67" s="1"/>
      <c r="LMG67" s="1"/>
      <c r="LMH67" s="1"/>
      <c r="LMI67" s="1"/>
      <c r="LMJ67" s="1"/>
      <c r="LMK67" s="1"/>
      <c r="LML67" s="1"/>
      <c r="LMM67" s="1"/>
      <c r="LMN67" s="1"/>
      <c r="LMO67" s="1"/>
      <c r="LMP67" s="1"/>
      <c r="LMQ67" s="1"/>
      <c r="LMR67" s="1"/>
      <c r="LMS67" s="1"/>
      <c r="LMT67" s="1"/>
      <c r="LMU67" s="1"/>
      <c r="LMV67" s="1"/>
      <c r="LMW67" s="1"/>
      <c r="LMX67" s="1"/>
      <c r="LMY67" s="1"/>
      <c r="LMZ67" s="1"/>
      <c r="LNA67" s="1"/>
      <c r="LNB67" s="1"/>
      <c r="LNC67" s="1"/>
      <c r="LND67" s="1"/>
      <c r="LNE67" s="1"/>
      <c r="LNF67" s="1"/>
      <c r="LNG67" s="1"/>
      <c r="LNH67" s="1"/>
      <c r="LNI67" s="1"/>
      <c r="LNJ67" s="1"/>
      <c r="LNK67" s="1"/>
      <c r="LNL67" s="1"/>
      <c r="LNM67" s="1"/>
      <c r="LNN67" s="1"/>
      <c r="LNO67" s="1"/>
      <c r="LNP67" s="1"/>
      <c r="LNQ67" s="1"/>
      <c r="LNR67" s="1"/>
      <c r="LNS67" s="1"/>
      <c r="LNT67" s="1"/>
      <c r="LNU67" s="1"/>
      <c r="LNV67" s="1"/>
      <c r="LNW67" s="1"/>
      <c r="LNX67" s="1"/>
      <c r="LNY67" s="1"/>
      <c r="LNZ67" s="1"/>
      <c r="LOA67" s="1"/>
      <c r="LOB67" s="1"/>
      <c r="LOC67" s="1"/>
      <c r="LOD67" s="1"/>
      <c r="LOE67" s="1"/>
      <c r="LOF67" s="1"/>
      <c r="LOG67" s="1"/>
      <c r="LOH67" s="1"/>
      <c r="LOI67" s="1"/>
      <c r="LOJ67" s="1"/>
      <c r="LOK67" s="1"/>
      <c r="LOL67" s="1"/>
      <c r="LOM67" s="1"/>
      <c r="LON67" s="1"/>
      <c r="LOO67" s="1"/>
      <c r="LOP67" s="1"/>
      <c r="LOQ67" s="1"/>
      <c r="LOR67" s="1"/>
      <c r="LOS67" s="1"/>
      <c r="LOT67" s="1"/>
      <c r="LOU67" s="1"/>
      <c r="LOV67" s="1"/>
      <c r="LOW67" s="1"/>
      <c r="LOX67" s="1"/>
      <c r="LOY67" s="1"/>
      <c r="LOZ67" s="1"/>
      <c r="LPA67" s="1"/>
      <c r="LPB67" s="1"/>
      <c r="LPC67" s="1"/>
      <c r="LPD67" s="1"/>
      <c r="LPE67" s="1"/>
      <c r="LPF67" s="1"/>
      <c r="LPG67" s="1"/>
      <c r="LPH67" s="1"/>
      <c r="LPI67" s="1"/>
      <c r="LPJ67" s="1"/>
      <c r="LPK67" s="1"/>
      <c r="LPL67" s="1"/>
      <c r="LPM67" s="1"/>
      <c r="LPN67" s="1"/>
      <c r="LPO67" s="1"/>
      <c r="LPP67" s="1"/>
      <c r="LPQ67" s="1"/>
      <c r="LPR67" s="1"/>
      <c r="LPS67" s="1"/>
      <c r="LPT67" s="1"/>
      <c r="LPU67" s="1"/>
      <c r="LPV67" s="1"/>
      <c r="LPW67" s="1"/>
      <c r="LPX67" s="1"/>
      <c r="LPY67" s="1"/>
      <c r="LPZ67" s="1"/>
      <c r="LQA67" s="1"/>
      <c r="LQB67" s="1"/>
      <c r="LQC67" s="1"/>
      <c r="LQD67" s="1"/>
      <c r="LQE67" s="1"/>
      <c r="LQF67" s="1"/>
      <c r="LQG67" s="1"/>
      <c r="LQH67" s="1"/>
      <c r="LQI67" s="1"/>
      <c r="LQJ67" s="1"/>
      <c r="LQK67" s="1"/>
      <c r="LQL67" s="1"/>
      <c r="LQM67" s="1"/>
      <c r="LQN67" s="1"/>
      <c r="LQO67" s="1"/>
      <c r="LQP67" s="1"/>
      <c r="LQQ67" s="1"/>
      <c r="LQR67" s="1"/>
      <c r="LQS67" s="1"/>
      <c r="LQT67" s="1"/>
      <c r="LQU67" s="1"/>
      <c r="LQV67" s="1"/>
      <c r="LQW67" s="1"/>
      <c r="LQX67" s="1"/>
      <c r="LQY67" s="1"/>
      <c r="LQZ67" s="1"/>
      <c r="LRA67" s="1"/>
      <c r="LRB67" s="1"/>
      <c r="LRC67" s="1"/>
      <c r="LRD67" s="1"/>
      <c r="LRE67" s="1"/>
      <c r="LRF67" s="1"/>
      <c r="LRG67" s="1"/>
      <c r="LRH67" s="1"/>
      <c r="LRI67" s="1"/>
      <c r="LRJ67" s="1"/>
      <c r="LRK67" s="1"/>
      <c r="LRL67" s="1"/>
      <c r="LRM67" s="1"/>
      <c r="LRN67" s="1"/>
      <c r="LRO67" s="1"/>
      <c r="LRP67" s="1"/>
      <c r="LRQ67" s="1"/>
      <c r="LRR67" s="1"/>
      <c r="LRS67" s="1"/>
      <c r="LRT67" s="1"/>
      <c r="LRU67" s="1"/>
      <c r="LRV67" s="1"/>
      <c r="LRW67" s="1"/>
      <c r="LRX67" s="1"/>
      <c r="LRY67" s="1"/>
      <c r="LRZ67" s="1"/>
      <c r="LSA67" s="1"/>
      <c r="LSB67" s="1"/>
      <c r="LSC67" s="1"/>
      <c r="LSD67" s="1"/>
      <c r="LSE67" s="1"/>
      <c r="LSF67" s="1"/>
      <c r="LSG67" s="1"/>
      <c r="LSH67" s="1"/>
      <c r="LSI67" s="1"/>
      <c r="LSJ67" s="1"/>
      <c r="LSK67" s="1"/>
      <c r="LSL67" s="1"/>
      <c r="LSM67" s="1"/>
      <c r="LSN67" s="1"/>
      <c r="LSO67" s="1"/>
      <c r="LSP67" s="1"/>
      <c r="LSQ67" s="1"/>
      <c r="LSR67" s="1"/>
      <c r="LSS67" s="1"/>
      <c r="LST67" s="1"/>
      <c r="LSU67" s="1"/>
      <c r="LSV67" s="1"/>
      <c r="LSW67" s="1"/>
      <c r="LSX67" s="1"/>
      <c r="LSY67" s="1"/>
      <c r="LSZ67" s="1"/>
      <c r="LTA67" s="1"/>
      <c r="LTB67" s="1"/>
      <c r="LTC67" s="1"/>
      <c r="LTD67" s="1"/>
      <c r="LTE67" s="1"/>
      <c r="LTF67" s="1"/>
      <c r="LTG67" s="1"/>
      <c r="LTH67" s="1"/>
      <c r="LTI67" s="1"/>
      <c r="LTJ67" s="1"/>
      <c r="LTK67" s="1"/>
      <c r="LTL67" s="1"/>
      <c r="LTM67" s="1"/>
      <c r="LTN67" s="1"/>
      <c r="LTO67" s="1"/>
      <c r="LTP67" s="1"/>
      <c r="LTQ67" s="1"/>
      <c r="LTR67" s="1"/>
      <c r="LTS67" s="1"/>
      <c r="LTT67" s="1"/>
      <c r="LTU67" s="1"/>
      <c r="LTV67" s="1"/>
      <c r="LTW67" s="1"/>
      <c r="LTX67" s="1"/>
      <c r="LTY67" s="1"/>
      <c r="LTZ67" s="1"/>
      <c r="LUA67" s="1"/>
      <c r="LUB67" s="1"/>
      <c r="LUC67" s="1"/>
      <c r="LUD67" s="1"/>
      <c r="LUE67" s="1"/>
      <c r="LUF67" s="1"/>
      <c r="LUG67" s="1"/>
      <c r="LUH67" s="1"/>
      <c r="LUI67" s="1"/>
      <c r="LUJ67" s="1"/>
      <c r="LUK67" s="1"/>
      <c r="LUL67" s="1"/>
      <c r="LUM67" s="1"/>
      <c r="LUN67" s="1"/>
      <c r="LUO67" s="1"/>
      <c r="LUP67" s="1"/>
      <c r="LUQ67" s="1"/>
      <c r="LUR67" s="1"/>
      <c r="LUS67" s="1"/>
      <c r="LUT67" s="1"/>
      <c r="LUU67" s="1"/>
      <c r="LUV67" s="1"/>
      <c r="LUW67" s="1"/>
      <c r="LUX67" s="1"/>
      <c r="LUY67" s="1"/>
      <c r="LUZ67" s="1"/>
      <c r="LVA67" s="1"/>
      <c r="LVB67" s="1"/>
      <c r="LVC67" s="1"/>
      <c r="LVD67" s="1"/>
      <c r="LVE67" s="1"/>
      <c r="LVF67" s="1"/>
      <c r="LVG67" s="1"/>
      <c r="LVH67" s="1"/>
      <c r="LVI67" s="1"/>
      <c r="LVJ67" s="1"/>
      <c r="LVK67" s="1"/>
      <c r="LVL67" s="1"/>
      <c r="LVM67" s="1"/>
      <c r="LVN67" s="1"/>
      <c r="LVO67" s="1"/>
      <c r="LVP67" s="1"/>
      <c r="LVQ67" s="1"/>
      <c r="LVR67" s="1"/>
      <c r="LVS67" s="1"/>
      <c r="LVT67" s="1"/>
      <c r="LVU67" s="1"/>
      <c r="LVV67" s="1"/>
      <c r="LVW67" s="1"/>
      <c r="LVX67" s="1"/>
      <c r="LVY67" s="1"/>
      <c r="LVZ67" s="1"/>
      <c r="LWA67" s="1"/>
      <c r="LWB67" s="1"/>
      <c r="LWC67" s="1"/>
      <c r="LWD67" s="1"/>
      <c r="LWE67" s="1"/>
      <c r="LWF67" s="1"/>
      <c r="LWG67" s="1"/>
      <c r="LWH67" s="1"/>
      <c r="LWI67" s="1"/>
      <c r="LWJ67" s="1"/>
      <c r="LWK67" s="1"/>
      <c r="LWL67" s="1"/>
      <c r="LWM67" s="1"/>
      <c r="LWN67" s="1"/>
      <c r="LWO67" s="1"/>
      <c r="LWP67" s="1"/>
      <c r="LWQ67" s="1"/>
      <c r="LWR67" s="1"/>
      <c r="LWS67" s="1"/>
      <c r="LWT67" s="1"/>
      <c r="LWU67" s="1"/>
      <c r="LWV67" s="1"/>
      <c r="LWW67" s="1"/>
      <c r="LWX67" s="1"/>
      <c r="LWY67" s="1"/>
      <c r="LWZ67" s="1"/>
      <c r="LXA67" s="1"/>
      <c r="LXB67" s="1"/>
      <c r="LXC67" s="1"/>
      <c r="LXD67" s="1"/>
      <c r="LXE67" s="1"/>
      <c r="LXF67" s="1"/>
      <c r="LXG67" s="1"/>
      <c r="LXH67" s="1"/>
      <c r="LXI67" s="1"/>
      <c r="LXJ67" s="1"/>
      <c r="LXK67" s="1"/>
      <c r="LXL67" s="1"/>
      <c r="LXM67" s="1"/>
      <c r="LXN67" s="1"/>
      <c r="LXO67" s="1"/>
      <c r="LXP67" s="1"/>
      <c r="LXQ67" s="1"/>
      <c r="LXR67" s="1"/>
      <c r="LXS67" s="1"/>
      <c r="LXT67" s="1"/>
      <c r="LXU67" s="1"/>
      <c r="LXV67" s="1"/>
      <c r="LXW67" s="1"/>
      <c r="LXX67" s="1"/>
      <c r="LXY67" s="1"/>
      <c r="LXZ67" s="1"/>
      <c r="LYA67" s="1"/>
      <c r="LYB67" s="1"/>
      <c r="LYC67" s="1"/>
      <c r="LYD67" s="1"/>
      <c r="LYE67" s="1"/>
      <c r="LYF67" s="1"/>
      <c r="LYG67" s="1"/>
      <c r="LYH67" s="1"/>
      <c r="LYI67" s="1"/>
      <c r="LYJ67" s="1"/>
      <c r="LYK67" s="1"/>
      <c r="LYL67" s="1"/>
      <c r="LYM67" s="1"/>
      <c r="LYN67" s="1"/>
      <c r="LYO67" s="1"/>
      <c r="LYP67" s="1"/>
      <c r="LYQ67" s="1"/>
      <c r="LYR67" s="1"/>
      <c r="LYS67" s="1"/>
      <c r="LYT67" s="1"/>
      <c r="LYU67" s="1"/>
      <c r="LYV67" s="1"/>
      <c r="LYW67" s="1"/>
      <c r="LYX67" s="1"/>
      <c r="LYY67" s="1"/>
      <c r="LYZ67" s="1"/>
      <c r="LZA67" s="1"/>
      <c r="LZB67" s="1"/>
      <c r="LZC67" s="1"/>
      <c r="LZD67" s="1"/>
      <c r="LZE67" s="1"/>
      <c r="LZF67" s="1"/>
      <c r="LZG67" s="1"/>
      <c r="LZH67" s="1"/>
      <c r="LZI67" s="1"/>
      <c r="LZJ67" s="1"/>
      <c r="LZK67" s="1"/>
      <c r="LZL67" s="1"/>
      <c r="LZM67" s="1"/>
      <c r="LZN67" s="1"/>
      <c r="LZO67" s="1"/>
      <c r="LZP67" s="1"/>
      <c r="LZQ67" s="1"/>
      <c r="LZR67" s="1"/>
      <c r="LZS67" s="1"/>
      <c r="LZT67" s="1"/>
      <c r="LZU67" s="1"/>
      <c r="LZV67" s="1"/>
      <c r="LZW67" s="1"/>
      <c r="LZX67" s="1"/>
      <c r="LZY67" s="1"/>
      <c r="LZZ67" s="1"/>
      <c r="MAA67" s="1"/>
      <c r="MAB67" s="1"/>
      <c r="MAC67" s="1"/>
      <c r="MAD67" s="1"/>
      <c r="MAE67" s="1"/>
      <c r="MAF67" s="1"/>
      <c r="MAG67" s="1"/>
      <c r="MAH67" s="1"/>
      <c r="MAI67" s="1"/>
      <c r="MAJ67" s="1"/>
      <c r="MAK67" s="1"/>
      <c r="MAL67" s="1"/>
      <c r="MAM67" s="1"/>
      <c r="MAN67" s="1"/>
      <c r="MAO67" s="1"/>
      <c r="MAP67" s="1"/>
      <c r="MAQ67" s="1"/>
      <c r="MAR67" s="1"/>
      <c r="MAS67" s="1"/>
      <c r="MAT67" s="1"/>
      <c r="MAU67" s="1"/>
      <c r="MAV67" s="1"/>
      <c r="MAW67" s="1"/>
      <c r="MAX67" s="1"/>
      <c r="MAY67" s="1"/>
      <c r="MAZ67" s="1"/>
      <c r="MBA67" s="1"/>
      <c r="MBB67" s="1"/>
      <c r="MBC67" s="1"/>
      <c r="MBD67" s="1"/>
      <c r="MBE67" s="1"/>
      <c r="MBF67" s="1"/>
      <c r="MBG67" s="1"/>
      <c r="MBH67" s="1"/>
      <c r="MBI67" s="1"/>
      <c r="MBJ67" s="1"/>
      <c r="MBK67" s="1"/>
      <c r="MBL67" s="1"/>
      <c r="MBM67" s="1"/>
      <c r="MBN67" s="1"/>
      <c r="MBO67" s="1"/>
      <c r="MBP67" s="1"/>
      <c r="MBQ67" s="1"/>
      <c r="MBR67" s="1"/>
      <c r="MBS67" s="1"/>
      <c r="MBT67" s="1"/>
      <c r="MBU67" s="1"/>
      <c r="MBV67" s="1"/>
      <c r="MBW67" s="1"/>
      <c r="MBX67" s="1"/>
      <c r="MBY67" s="1"/>
      <c r="MBZ67" s="1"/>
      <c r="MCA67" s="1"/>
      <c r="MCB67" s="1"/>
      <c r="MCC67" s="1"/>
      <c r="MCD67" s="1"/>
      <c r="MCE67" s="1"/>
      <c r="MCF67" s="1"/>
      <c r="MCG67" s="1"/>
      <c r="MCH67" s="1"/>
      <c r="MCI67" s="1"/>
      <c r="MCJ67" s="1"/>
      <c r="MCK67" s="1"/>
      <c r="MCL67" s="1"/>
      <c r="MCM67" s="1"/>
      <c r="MCN67" s="1"/>
      <c r="MCO67" s="1"/>
      <c r="MCP67" s="1"/>
      <c r="MCQ67" s="1"/>
      <c r="MCR67" s="1"/>
      <c r="MCS67" s="1"/>
      <c r="MCT67" s="1"/>
      <c r="MCU67" s="1"/>
      <c r="MCV67" s="1"/>
      <c r="MCW67" s="1"/>
      <c r="MCX67" s="1"/>
      <c r="MCY67" s="1"/>
      <c r="MCZ67" s="1"/>
      <c r="MDA67" s="1"/>
      <c r="MDB67" s="1"/>
      <c r="MDC67" s="1"/>
      <c r="MDD67" s="1"/>
      <c r="MDE67" s="1"/>
      <c r="MDF67" s="1"/>
      <c r="MDG67" s="1"/>
      <c r="MDH67" s="1"/>
      <c r="MDI67" s="1"/>
      <c r="MDJ67" s="1"/>
      <c r="MDK67" s="1"/>
      <c r="MDL67" s="1"/>
      <c r="MDM67" s="1"/>
      <c r="MDN67" s="1"/>
      <c r="MDO67" s="1"/>
      <c r="MDP67" s="1"/>
      <c r="MDQ67" s="1"/>
      <c r="MDR67" s="1"/>
      <c r="MDS67" s="1"/>
      <c r="MDT67" s="1"/>
      <c r="MDU67" s="1"/>
      <c r="MDV67" s="1"/>
      <c r="MDW67" s="1"/>
      <c r="MDX67" s="1"/>
      <c r="MDY67" s="1"/>
      <c r="MDZ67" s="1"/>
      <c r="MEA67" s="1"/>
      <c r="MEB67" s="1"/>
      <c r="MEC67" s="1"/>
      <c r="MED67" s="1"/>
      <c r="MEE67" s="1"/>
      <c r="MEF67" s="1"/>
      <c r="MEG67" s="1"/>
      <c r="MEH67" s="1"/>
      <c r="MEI67" s="1"/>
      <c r="MEJ67" s="1"/>
      <c r="MEK67" s="1"/>
      <c r="MEL67" s="1"/>
      <c r="MEM67" s="1"/>
      <c r="MEN67" s="1"/>
      <c r="MEO67" s="1"/>
      <c r="MEP67" s="1"/>
      <c r="MEQ67" s="1"/>
      <c r="MER67" s="1"/>
      <c r="MES67" s="1"/>
      <c r="MET67" s="1"/>
      <c r="MEU67" s="1"/>
      <c r="MEV67" s="1"/>
      <c r="MEW67" s="1"/>
      <c r="MEX67" s="1"/>
      <c r="MEY67" s="1"/>
      <c r="MEZ67" s="1"/>
      <c r="MFA67" s="1"/>
      <c r="MFB67" s="1"/>
      <c r="MFC67" s="1"/>
      <c r="MFD67" s="1"/>
      <c r="MFE67" s="1"/>
      <c r="MFF67" s="1"/>
      <c r="MFG67" s="1"/>
      <c r="MFH67" s="1"/>
      <c r="MFI67" s="1"/>
      <c r="MFJ67" s="1"/>
      <c r="MFK67" s="1"/>
      <c r="MFL67" s="1"/>
      <c r="MFM67" s="1"/>
      <c r="MFN67" s="1"/>
      <c r="MFO67" s="1"/>
      <c r="MFP67" s="1"/>
      <c r="MFQ67" s="1"/>
      <c r="MFR67" s="1"/>
      <c r="MFS67" s="1"/>
      <c r="MFT67" s="1"/>
      <c r="MFU67" s="1"/>
      <c r="MFV67" s="1"/>
      <c r="MFW67" s="1"/>
      <c r="MFX67" s="1"/>
      <c r="MFY67" s="1"/>
      <c r="MFZ67" s="1"/>
      <c r="MGA67" s="1"/>
      <c r="MGB67" s="1"/>
      <c r="MGC67" s="1"/>
      <c r="MGD67" s="1"/>
      <c r="MGE67" s="1"/>
      <c r="MGF67" s="1"/>
      <c r="MGG67" s="1"/>
      <c r="MGH67" s="1"/>
      <c r="MGI67" s="1"/>
      <c r="MGJ67" s="1"/>
      <c r="MGK67" s="1"/>
      <c r="MGL67" s="1"/>
      <c r="MGM67" s="1"/>
      <c r="MGN67" s="1"/>
      <c r="MGO67" s="1"/>
      <c r="MGP67" s="1"/>
      <c r="MGQ67" s="1"/>
      <c r="MGR67" s="1"/>
      <c r="MGS67" s="1"/>
      <c r="MGT67" s="1"/>
      <c r="MGU67" s="1"/>
      <c r="MGV67" s="1"/>
      <c r="MGW67" s="1"/>
      <c r="MGX67" s="1"/>
      <c r="MGY67" s="1"/>
      <c r="MGZ67" s="1"/>
      <c r="MHA67" s="1"/>
      <c r="MHB67" s="1"/>
      <c r="MHC67" s="1"/>
      <c r="MHD67" s="1"/>
      <c r="MHE67" s="1"/>
      <c r="MHF67" s="1"/>
      <c r="MHG67" s="1"/>
      <c r="MHH67" s="1"/>
      <c r="MHI67" s="1"/>
      <c r="MHJ67" s="1"/>
      <c r="MHK67" s="1"/>
      <c r="MHL67" s="1"/>
      <c r="MHM67" s="1"/>
      <c r="MHN67" s="1"/>
      <c r="MHO67" s="1"/>
      <c r="MHP67" s="1"/>
      <c r="MHQ67" s="1"/>
      <c r="MHR67" s="1"/>
      <c r="MHS67" s="1"/>
      <c r="MHT67" s="1"/>
      <c r="MHU67" s="1"/>
      <c r="MHV67" s="1"/>
      <c r="MHW67" s="1"/>
      <c r="MHX67" s="1"/>
      <c r="MHY67" s="1"/>
      <c r="MHZ67" s="1"/>
      <c r="MIA67" s="1"/>
      <c r="MIB67" s="1"/>
      <c r="MIC67" s="1"/>
      <c r="MID67" s="1"/>
      <c r="MIE67" s="1"/>
      <c r="MIF67" s="1"/>
      <c r="MIG67" s="1"/>
      <c r="MIH67" s="1"/>
      <c r="MII67" s="1"/>
      <c r="MIJ67" s="1"/>
      <c r="MIK67" s="1"/>
      <c r="MIL67" s="1"/>
      <c r="MIM67" s="1"/>
      <c r="MIN67" s="1"/>
      <c r="MIO67" s="1"/>
      <c r="MIP67" s="1"/>
      <c r="MIQ67" s="1"/>
      <c r="MIR67" s="1"/>
      <c r="MIS67" s="1"/>
      <c r="MIT67" s="1"/>
      <c r="MIU67" s="1"/>
      <c r="MIV67" s="1"/>
      <c r="MIW67" s="1"/>
      <c r="MIX67" s="1"/>
      <c r="MIY67" s="1"/>
      <c r="MIZ67" s="1"/>
      <c r="MJA67" s="1"/>
      <c r="MJB67" s="1"/>
      <c r="MJC67" s="1"/>
      <c r="MJD67" s="1"/>
      <c r="MJE67" s="1"/>
      <c r="MJF67" s="1"/>
      <c r="MJG67" s="1"/>
      <c r="MJH67" s="1"/>
      <c r="MJI67" s="1"/>
      <c r="MJJ67" s="1"/>
      <c r="MJK67" s="1"/>
      <c r="MJL67" s="1"/>
      <c r="MJM67" s="1"/>
      <c r="MJN67" s="1"/>
      <c r="MJO67" s="1"/>
      <c r="MJP67" s="1"/>
      <c r="MJQ67" s="1"/>
      <c r="MJR67" s="1"/>
      <c r="MJS67" s="1"/>
      <c r="MJT67" s="1"/>
      <c r="MJU67" s="1"/>
      <c r="MJV67" s="1"/>
      <c r="MJW67" s="1"/>
      <c r="MJX67" s="1"/>
      <c r="MJY67" s="1"/>
      <c r="MJZ67" s="1"/>
      <c r="MKA67" s="1"/>
      <c r="MKB67" s="1"/>
      <c r="MKC67" s="1"/>
      <c r="MKD67" s="1"/>
      <c r="MKE67" s="1"/>
      <c r="MKF67" s="1"/>
      <c r="MKG67" s="1"/>
      <c r="MKH67" s="1"/>
      <c r="MKI67" s="1"/>
      <c r="MKJ67" s="1"/>
      <c r="MKK67" s="1"/>
      <c r="MKL67" s="1"/>
      <c r="MKM67" s="1"/>
      <c r="MKN67" s="1"/>
      <c r="MKO67" s="1"/>
      <c r="MKP67" s="1"/>
      <c r="MKQ67" s="1"/>
      <c r="MKR67" s="1"/>
      <c r="MKS67" s="1"/>
      <c r="MKT67" s="1"/>
      <c r="MKU67" s="1"/>
      <c r="MKV67" s="1"/>
      <c r="MKW67" s="1"/>
      <c r="MKX67" s="1"/>
      <c r="MKY67" s="1"/>
      <c r="MKZ67" s="1"/>
      <c r="MLA67" s="1"/>
      <c r="MLB67" s="1"/>
      <c r="MLC67" s="1"/>
      <c r="MLD67" s="1"/>
      <c r="MLE67" s="1"/>
      <c r="MLF67" s="1"/>
      <c r="MLG67" s="1"/>
      <c r="MLH67" s="1"/>
      <c r="MLI67" s="1"/>
      <c r="MLJ67" s="1"/>
      <c r="MLK67" s="1"/>
      <c r="MLL67" s="1"/>
      <c r="MLM67" s="1"/>
      <c r="MLN67" s="1"/>
      <c r="MLO67" s="1"/>
      <c r="MLP67" s="1"/>
      <c r="MLQ67" s="1"/>
      <c r="MLR67" s="1"/>
      <c r="MLS67" s="1"/>
      <c r="MLT67" s="1"/>
      <c r="MLU67" s="1"/>
      <c r="MLV67" s="1"/>
      <c r="MLW67" s="1"/>
      <c r="MLX67" s="1"/>
      <c r="MLY67" s="1"/>
      <c r="MLZ67" s="1"/>
      <c r="MMA67" s="1"/>
      <c r="MMB67" s="1"/>
      <c r="MMC67" s="1"/>
      <c r="MMD67" s="1"/>
      <c r="MME67" s="1"/>
      <c r="MMF67" s="1"/>
      <c r="MMG67" s="1"/>
      <c r="MMH67" s="1"/>
      <c r="MMI67" s="1"/>
      <c r="MMJ67" s="1"/>
      <c r="MMK67" s="1"/>
      <c r="MML67" s="1"/>
      <c r="MMM67" s="1"/>
      <c r="MMN67" s="1"/>
      <c r="MMO67" s="1"/>
      <c r="MMP67" s="1"/>
      <c r="MMQ67" s="1"/>
      <c r="MMR67" s="1"/>
      <c r="MMS67" s="1"/>
      <c r="MMT67" s="1"/>
      <c r="MMU67" s="1"/>
      <c r="MMV67" s="1"/>
      <c r="MMW67" s="1"/>
      <c r="MMX67" s="1"/>
      <c r="MMY67" s="1"/>
      <c r="MMZ67" s="1"/>
      <c r="MNA67" s="1"/>
      <c r="MNB67" s="1"/>
      <c r="MNC67" s="1"/>
      <c r="MND67" s="1"/>
      <c r="MNE67" s="1"/>
      <c r="MNF67" s="1"/>
      <c r="MNG67" s="1"/>
      <c r="MNH67" s="1"/>
      <c r="MNI67" s="1"/>
      <c r="MNJ67" s="1"/>
      <c r="MNK67" s="1"/>
      <c r="MNL67" s="1"/>
      <c r="MNM67" s="1"/>
      <c r="MNN67" s="1"/>
      <c r="MNO67" s="1"/>
      <c r="MNP67" s="1"/>
      <c r="MNQ67" s="1"/>
      <c r="MNR67" s="1"/>
      <c r="MNS67" s="1"/>
      <c r="MNT67" s="1"/>
      <c r="MNU67" s="1"/>
      <c r="MNV67" s="1"/>
      <c r="MNW67" s="1"/>
      <c r="MNX67" s="1"/>
      <c r="MNY67" s="1"/>
      <c r="MNZ67" s="1"/>
      <c r="MOA67" s="1"/>
      <c r="MOB67" s="1"/>
      <c r="MOC67" s="1"/>
      <c r="MOD67" s="1"/>
      <c r="MOE67" s="1"/>
      <c r="MOF67" s="1"/>
      <c r="MOG67" s="1"/>
      <c r="MOH67" s="1"/>
      <c r="MOI67" s="1"/>
      <c r="MOJ67" s="1"/>
      <c r="MOK67" s="1"/>
      <c r="MOL67" s="1"/>
      <c r="MOM67" s="1"/>
      <c r="MON67" s="1"/>
      <c r="MOO67" s="1"/>
      <c r="MOP67" s="1"/>
      <c r="MOQ67" s="1"/>
      <c r="MOR67" s="1"/>
      <c r="MOS67" s="1"/>
      <c r="MOT67" s="1"/>
      <c r="MOU67" s="1"/>
      <c r="MOV67" s="1"/>
      <c r="MOW67" s="1"/>
      <c r="MOX67" s="1"/>
      <c r="MOY67" s="1"/>
      <c r="MOZ67" s="1"/>
      <c r="MPA67" s="1"/>
      <c r="MPB67" s="1"/>
      <c r="MPC67" s="1"/>
      <c r="MPD67" s="1"/>
      <c r="MPE67" s="1"/>
      <c r="MPF67" s="1"/>
      <c r="MPG67" s="1"/>
      <c r="MPH67" s="1"/>
      <c r="MPI67" s="1"/>
      <c r="MPJ67" s="1"/>
      <c r="MPK67" s="1"/>
      <c r="MPL67" s="1"/>
      <c r="MPM67" s="1"/>
      <c r="MPN67" s="1"/>
      <c r="MPO67" s="1"/>
      <c r="MPP67" s="1"/>
      <c r="MPQ67" s="1"/>
      <c r="MPR67" s="1"/>
      <c r="MPS67" s="1"/>
      <c r="MPT67" s="1"/>
      <c r="MPU67" s="1"/>
      <c r="MPV67" s="1"/>
      <c r="MPW67" s="1"/>
      <c r="MPX67" s="1"/>
      <c r="MPY67" s="1"/>
      <c r="MPZ67" s="1"/>
      <c r="MQA67" s="1"/>
      <c r="MQB67" s="1"/>
      <c r="MQC67" s="1"/>
      <c r="MQD67" s="1"/>
      <c r="MQE67" s="1"/>
      <c r="MQF67" s="1"/>
      <c r="MQG67" s="1"/>
      <c r="MQH67" s="1"/>
      <c r="MQI67" s="1"/>
      <c r="MQJ67" s="1"/>
      <c r="MQK67" s="1"/>
      <c r="MQL67" s="1"/>
      <c r="MQM67" s="1"/>
      <c r="MQN67" s="1"/>
      <c r="MQO67" s="1"/>
      <c r="MQP67" s="1"/>
      <c r="MQQ67" s="1"/>
      <c r="MQR67" s="1"/>
      <c r="MQS67" s="1"/>
      <c r="MQT67" s="1"/>
      <c r="MQU67" s="1"/>
      <c r="MQV67" s="1"/>
      <c r="MQW67" s="1"/>
      <c r="MQX67" s="1"/>
      <c r="MQY67" s="1"/>
      <c r="MQZ67" s="1"/>
      <c r="MRA67" s="1"/>
      <c r="MRB67" s="1"/>
      <c r="MRC67" s="1"/>
      <c r="MRD67" s="1"/>
      <c r="MRE67" s="1"/>
      <c r="MRF67" s="1"/>
      <c r="MRG67" s="1"/>
      <c r="MRH67" s="1"/>
      <c r="MRI67" s="1"/>
      <c r="MRJ67" s="1"/>
      <c r="MRK67" s="1"/>
      <c r="MRL67" s="1"/>
      <c r="MRM67" s="1"/>
      <c r="MRN67" s="1"/>
      <c r="MRO67" s="1"/>
      <c r="MRP67" s="1"/>
      <c r="MRQ67" s="1"/>
      <c r="MRR67" s="1"/>
      <c r="MRS67" s="1"/>
      <c r="MRT67" s="1"/>
      <c r="MRU67" s="1"/>
      <c r="MRV67" s="1"/>
      <c r="MRW67" s="1"/>
      <c r="MRX67" s="1"/>
      <c r="MRY67" s="1"/>
      <c r="MRZ67" s="1"/>
      <c r="MSA67" s="1"/>
      <c r="MSB67" s="1"/>
      <c r="MSC67" s="1"/>
      <c r="MSD67" s="1"/>
      <c r="MSE67" s="1"/>
      <c r="MSF67" s="1"/>
      <c r="MSG67" s="1"/>
      <c r="MSH67" s="1"/>
      <c r="MSI67" s="1"/>
      <c r="MSJ67" s="1"/>
      <c r="MSK67" s="1"/>
      <c r="MSL67" s="1"/>
      <c r="MSM67" s="1"/>
      <c r="MSN67" s="1"/>
      <c r="MSO67" s="1"/>
      <c r="MSP67" s="1"/>
      <c r="MSQ67" s="1"/>
      <c r="MSR67" s="1"/>
      <c r="MSS67" s="1"/>
      <c r="MST67" s="1"/>
      <c r="MSU67" s="1"/>
      <c r="MSV67" s="1"/>
      <c r="MSW67" s="1"/>
      <c r="MSX67" s="1"/>
      <c r="MSY67" s="1"/>
      <c r="MSZ67" s="1"/>
      <c r="MTA67" s="1"/>
      <c r="MTB67" s="1"/>
      <c r="MTC67" s="1"/>
      <c r="MTD67" s="1"/>
      <c r="MTE67" s="1"/>
      <c r="MTF67" s="1"/>
      <c r="MTG67" s="1"/>
      <c r="MTH67" s="1"/>
      <c r="MTI67" s="1"/>
      <c r="MTJ67" s="1"/>
      <c r="MTK67" s="1"/>
      <c r="MTL67" s="1"/>
      <c r="MTM67" s="1"/>
      <c r="MTN67" s="1"/>
      <c r="MTO67" s="1"/>
      <c r="MTP67" s="1"/>
      <c r="MTQ67" s="1"/>
      <c r="MTR67" s="1"/>
      <c r="MTS67" s="1"/>
      <c r="MTT67" s="1"/>
      <c r="MTU67" s="1"/>
      <c r="MTV67" s="1"/>
      <c r="MTW67" s="1"/>
      <c r="MTX67" s="1"/>
      <c r="MTY67" s="1"/>
      <c r="MTZ67" s="1"/>
      <c r="MUA67" s="1"/>
      <c r="MUB67" s="1"/>
      <c r="MUC67" s="1"/>
      <c r="MUD67" s="1"/>
      <c r="MUE67" s="1"/>
      <c r="MUF67" s="1"/>
      <c r="MUG67" s="1"/>
      <c r="MUH67" s="1"/>
      <c r="MUI67" s="1"/>
      <c r="MUJ67" s="1"/>
      <c r="MUK67" s="1"/>
      <c r="MUL67" s="1"/>
      <c r="MUM67" s="1"/>
      <c r="MUN67" s="1"/>
      <c r="MUO67" s="1"/>
      <c r="MUP67" s="1"/>
      <c r="MUQ67" s="1"/>
      <c r="MUR67" s="1"/>
      <c r="MUS67" s="1"/>
      <c r="MUT67" s="1"/>
      <c r="MUU67" s="1"/>
      <c r="MUV67" s="1"/>
      <c r="MUW67" s="1"/>
      <c r="MUX67" s="1"/>
      <c r="MUY67" s="1"/>
      <c r="MUZ67" s="1"/>
      <c r="MVA67" s="1"/>
      <c r="MVB67" s="1"/>
      <c r="MVC67" s="1"/>
      <c r="MVD67" s="1"/>
      <c r="MVE67" s="1"/>
      <c r="MVF67" s="1"/>
      <c r="MVG67" s="1"/>
      <c r="MVH67" s="1"/>
      <c r="MVI67" s="1"/>
      <c r="MVJ67" s="1"/>
      <c r="MVK67" s="1"/>
      <c r="MVL67" s="1"/>
      <c r="MVM67" s="1"/>
      <c r="MVN67" s="1"/>
      <c r="MVO67" s="1"/>
      <c r="MVP67" s="1"/>
      <c r="MVQ67" s="1"/>
      <c r="MVR67" s="1"/>
      <c r="MVS67" s="1"/>
      <c r="MVT67" s="1"/>
      <c r="MVU67" s="1"/>
      <c r="MVV67" s="1"/>
      <c r="MVW67" s="1"/>
      <c r="MVX67" s="1"/>
      <c r="MVY67" s="1"/>
      <c r="MVZ67" s="1"/>
      <c r="MWA67" s="1"/>
      <c r="MWB67" s="1"/>
      <c r="MWC67" s="1"/>
      <c r="MWD67" s="1"/>
      <c r="MWE67" s="1"/>
      <c r="MWF67" s="1"/>
      <c r="MWG67" s="1"/>
      <c r="MWH67" s="1"/>
      <c r="MWI67" s="1"/>
      <c r="MWJ67" s="1"/>
      <c r="MWK67" s="1"/>
      <c r="MWL67" s="1"/>
      <c r="MWM67" s="1"/>
      <c r="MWN67" s="1"/>
      <c r="MWO67" s="1"/>
      <c r="MWP67" s="1"/>
      <c r="MWQ67" s="1"/>
      <c r="MWR67" s="1"/>
      <c r="MWS67" s="1"/>
      <c r="MWT67" s="1"/>
      <c r="MWU67" s="1"/>
      <c r="MWV67" s="1"/>
      <c r="MWW67" s="1"/>
      <c r="MWX67" s="1"/>
      <c r="MWY67" s="1"/>
      <c r="MWZ67" s="1"/>
      <c r="MXA67" s="1"/>
      <c r="MXB67" s="1"/>
      <c r="MXC67" s="1"/>
      <c r="MXD67" s="1"/>
      <c r="MXE67" s="1"/>
      <c r="MXF67" s="1"/>
      <c r="MXG67" s="1"/>
      <c r="MXH67" s="1"/>
      <c r="MXI67" s="1"/>
      <c r="MXJ67" s="1"/>
      <c r="MXK67" s="1"/>
      <c r="MXL67" s="1"/>
      <c r="MXM67" s="1"/>
      <c r="MXN67" s="1"/>
      <c r="MXO67" s="1"/>
      <c r="MXP67" s="1"/>
      <c r="MXQ67" s="1"/>
      <c r="MXR67" s="1"/>
      <c r="MXS67" s="1"/>
      <c r="MXT67" s="1"/>
      <c r="MXU67" s="1"/>
      <c r="MXV67" s="1"/>
      <c r="MXW67" s="1"/>
      <c r="MXX67" s="1"/>
      <c r="MXY67" s="1"/>
      <c r="MXZ67" s="1"/>
      <c r="MYA67" s="1"/>
      <c r="MYB67" s="1"/>
      <c r="MYC67" s="1"/>
      <c r="MYD67" s="1"/>
      <c r="MYE67" s="1"/>
      <c r="MYF67" s="1"/>
      <c r="MYG67" s="1"/>
      <c r="MYH67" s="1"/>
      <c r="MYI67" s="1"/>
      <c r="MYJ67" s="1"/>
      <c r="MYK67" s="1"/>
      <c r="MYL67" s="1"/>
      <c r="MYM67" s="1"/>
      <c r="MYN67" s="1"/>
      <c r="MYO67" s="1"/>
      <c r="MYP67" s="1"/>
      <c r="MYQ67" s="1"/>
      <c r="MYR67" s="1"/>
      <c r="MYS67" s="1"/>
      <c r="MYT67" s="1"/>
      <c r="MYU67" s="1"/>
      <c r="MYV67" s="1"/>
      <c r="MYW67" s="1"/>
      <c r="MYX67" s="1"/>
      <c r="MYY67" s="1"/>
      <c r="MYZ67" s="1"/>
      <c r="MZA67" s="1"/>
      <c r="MZB67" s="1"/>
      <c r="MZC67" s="1"/>
      <c r="MZD67" s="1"/>
      <c r="MZE67" s="1"/>
      <c r="MZF67" s="1"/>
      <c r="MZG67" s="1"/>
      <c r="MZH67" s="1"/>
      <c r="MZI67" s="1"/>
      <c r="MZJ67" s="1"/>
      <c r="MZK67" s="1"/>
      <c r="MZL67" s="1"/>
      <c r="MZM67" s="1"/>
      <c r="MZN67" s="1"/>
      <c r="MZO67" s="1"/>
      <c r="MZP67" s="1"/>
      <c r="MZQ67" s="1"/>
      <c r="MZR67" s="1"/>
      <c r="MZS67" s="1"/>
      <c r="MZT67" s="1"/>
      <c r="MZU67" s="1"/>
      <c r="MZV67" s="1"/>
      <c r="MZW67" s="1"/>
      <c r="MZX67" s="1"/>
      <c r="MZY67" s="1"/>
      <c r="MZZ67" s="1"/>
      <c r="NAA67" s="1"/>
      <c r="NAB67" s="1"/>
      <c r="NAC67" s="1"/>
      <c r="NAD67" s="1"/>
      <c r="NAE67" s="1"/>
      <c r="NAF67" s="1"/>
      <c r="NAG67" s="1"/>
      <c r="NAH67" s="1"/>
      <c r="NAI67" s="1"/>
      <c r="NAJ67" s="1"/>
      <c r="NAK67" s="1"/>
      <c r="NAL67" s="1"/>
      <c r="NAM67" s="1"/>
      <c r="NAN67" s="1"/>
      <c r="NAO67" s="1"/>
      <c r="NAP67" s="1"/>
      <c r="NAQ67" s="1"/>
      <c r="NAR67" s="1"/>
      <c r="NAS67" s="1"/>
      <c r="NAT67" s="1"/>
      <c r="NAU67" s="1"/>
      <c r="NAV67" s="1"/>
      <c r="NAW67" s="1"/>
      <c r="NAX67" s="1"/>
      <c r="NAY67" s="1"/>
      <c r="NAZ67" s="1"/>
      <c r="NBA67" s="1"/>
      <c r="NBB67" s="1"/>
      <c r="NBC67" s="1"/>
      <c r="NBD67" s="1"/>
      <c r="NBE67" s="1"/>
      <c r="NBF67" s="1"/>
      <c r="NBG67" s="1"/>
      <c r="NBH67" s="1"/>
      <c r="NBI67" s="1"/>
      <c r="NBJ67" s="1"/>
      <c r="NBK67" s="1"/>
      <c r="NBL67" s="1"/>
      <c r="NBM67" s="1"/>
      <c r="NBN67" s="1"/>
      <c r="NBO67" s="1"/>
      <c r="NBP67" s="1"/>
      <c r="NBQ67" s="1"/>
      <c r="NBR67" s="1"/>
      <c r="NBS67" s="1"/>
      <c r="NBT67" s="1"/>
      <c r="NBU67" s="1"/>
      <c r="NBV67" s="1"/>
      <c r="NBW67" s="1"/>
      <c r="NBX67" s="1"/>
      <c r="NBY67" s="1"/>
      <c r="NBZ67" s="1"/>
      <c r="NCA67" s="1"/>
      <c r="NCB67" s="1"/>
      <c r="NCC67" s="1"/>
      <c r="NCD67" s="1"/>
      <c r="NCE67" s="1"/>
      <c r="NCF67" s="1"/>
      <c r="NCG67" s="1"/>
      <c r="NCH67" s="1"/>
      <c r="NCI67" s="1"/>
      <c r="NCJ67" s="1"/>
      <c r="NCK67" s="1"/>
      <c r="NCL67" s="1"/>
      <c r="NCM67" s="1"/>
      <c r="NCN67" s="1"/>
      <c r="NCO67" s="1"/>
      <c r="NCP67" s="1"/>
      <c r="NCQ67" s="1"/>
      <c r="NCR67" s="1"/>
      <c r="NCS67" s="1"/>
      <c r="NCT67" s="1"/>
      <c r="NCU67" s="1"/>
      <c r="NCV67" s="1"/>
      <c r="NCW67" s="1"/>
      <c r="NCX67" s="1"/>
      <c r="NCY67" s="1"/>
      <c r="NCZ67" s="1"/>
      <c r="NDA67" s="1"/>
      <c r="NDB67" s="1"/>
      <c r="NDC67" s="1"/>
      <c r="NDD67" s="1"/>
      <c r="NDE67" s="1"/>
      <c r="NDF67" s="1"/>
      <c r="NDG67" s="1"/>
      <c r="NDH67" s="1"/>
      <c r="NDI67" s="1"/>
      <c r="NDJ67" s="1"/>
      <c r="NDK67" s="1"/>
      <c r="NDL67" s="1"/>
      <c r="NDM67" s="1"/>
      <c r="NDN67" s="1"/>
      <c r="NDO67" s="1"/>
      <c r="NDP67" s="1"/>
      <c r="NDQ67" s="1"/>
      <c r="NDR67" s="1"/>
      <c r="NDS67" s="1"/>
      <c r="NDT67" s="1"/>
      <c r="NDU67" s="1"/>
      <c r="NDV67" s="1"/>
      <c r="NDW67" s="1"/>
      <c r="NDX67" s="1"/>
      <c r="NDY67" s="1"/>
      <c r="NDZ67" s="1"/>
      <c r="NEA67" s="1"/>
      <c r="NEB67" s="1"/>
      <c r="NEC67" s="1"/>
      <c r="NED67" s="1"/>
      <c r="NEE67" s="1"/>
      <c r="NEF67" s="1"/>
      <c r="NEG67" s="1"/>
      <c r="NEH67" s="1"/>
      <c r="NEI67" s="1"/>
      <c r="NEJ67" s="1"/>
      <c r="NEK67" s="1"/>
      <c r="NEL67" s="1"/>
      <c r="NEM67" s="1"/>
      <c r="NEN67" s="1"/>
      <c r="NEO67" s="1"/>
      <c r="NEP67" s="1"/>
      <c r="NEQ67" s="1"/>
      <c r="NER67" s="1"/>
      <c r="NES67" s="1"/>
      <c r="NET67" s="1"/>
      <c r="NEU67" s="1"/>
      <c r="NEV67" s="1"/>
      <c r="NEW67" s="1"/>
      <c r="NEX67" s="1"/>
      <c r="NEY67" s="1"/>
      <c r="NEZ67" s="1"/>
      <c r="NFA67" s="1"/>
      <c r="NFB67" s="1"/>
      <c r="NFC67" s="1"/>
      <c r="NFD67" s="1"/>
      <c r="NFE67" s="1"/>
      <c r="NFF67" s="1"/>
      <c r="NFG67" s="1"/>
      <c r="NFH67" s="1"/>
      <c r="NFI67" s="1"/>
      <c r="NFJ67" s="1"/>
      <c r="NFK67" s="1"/>
      <c r="NFL67" s="1"/>
      <c r="NFM67" s="1"/>
      <c r="NFN67" s="1"/>
      <c r="NFO67" s="1"/>
      <c r="NFP67" s="1"/>
      <c r="NFQ67" s="1"/>
      <c r="NFR67" s="1"/>
      <c r="NFS67" s="1"/>
      <c r="NFT67" s="1"/>
      <c r="NFU67" s="1"/>
      <c r="NFV67" s="1"/>
      <c r="NFW67" s="1"/>
      <c r="NFX67" s="1"/>
      <c r="NFY67" s="1"/>
      <c r="NFZ67" s="1"/>
      <c r="NGA67" s="1"/>
      <c r="NGB67" s="1"/>
      <c r="NGC67" s="1"/>
      <c r="NGD67" s="1"/>
      <c r="NGE67" s="1"/>
      <c r="NGF67" s="1"/>
      <c r="NGG67" s="1"/>
      <c r="NGH67" s="1"/>
      <c r="NGI67" s="1"/>
      <c r="NGJ67" s="1"/>
      <c r="NGK67" s="1"/>
      <c r="NGL67" s="1"/>
      <c r="NGM67" s="1"/>
      <c r="NGN67" s="1"/>
      <c r="NGO67" s="1"/>
      <c r="NGP67" s="1"/>
      <c r="NGQ67" s="1"/>
      <c r="NGR67" s="1"/>
      <c r="NGS67" s="1"/>
      <c r="NGT67" s="1"/>
      <c r="NGU67" s="1"/>
      <c r="NGV67" s="1"/>
      <c r="NGW67" s="1"/>
      <c r="NGX67" s="1"/>
      <c r="NGY67" s="1"/>
      <c r="NGZ67" s="1"/>
      <c r="NHA67" s="1"/>
      <c r="NHB67" s="1"/>
      <c r="NHC67" s="1"/>
      <c r="NHD67" s="1"/>
      <c r="NHE67" s="1"/>
      <c r="NHF67" s="1"/>
      <c r="NHG67" s="1"/>
      <c r="NHH67" s="1"/>
      <c r="NHI67" s="1"/>
      <c r="NHJ67" s="1"/>
      <c r="NHK67" s="1"/>
      <c r="NHL67" s="1"/>
      <c r="NHM67" s="1"/>
      <c r="NHN67" s="1"/>
      <c r="NHO67" s="1"/>
      <c r="NHP67" s="1"/>
      <c r="NHQ67" s="1"/>
      <c r="NHR67" s="1"/>
      <c r="NHS67" s="1"/>
      <c r="NHT67" s="1"/>
      <c r="NHU67" s="1"/>
      <c r="NHV67" s="1"/>
      <c r="NHW67" s="1"/>
      <c r="NHX67" s="1"/>
      <c r="NHY67" s="1"/>
      <c r="NHZ67" s="1"/>
      <c r="NIA67" s="1"/>
      <c r="NIB67" s="1"/>
      <c r="NIC67" s="1"/>
      <c r="NID67" s="1"/>
      <c r="NIE67" s="1"/>
      <c r="NIF67" s="1"/>
      <c r="NIG67" s="1"/>
      <c r="NIH67" s="1"/>
      <c r="NII67" s="1"/>
      <c r="NIJ67" s="1"/>
      <c r="NIK67" s="1"/>
      <c r="NIL67" s="1"/>
      <c r="NIM67" s="1"/>
      <c r="NIN67" s="1"/>
      <c r="NIO67" s="1"/>
      <c r="NIP67" s="1"/>
      <c r="NIQ67" s="1"/>
      <c r="NIR67" s="1"/>
      <c r="NIS67" s="1"/>
      <c r="NIT67" s="1"/>
      <c r="NIU67" s="1"/>
      <c r="NIV67" s="1"/>
      <c r="NIW67" s="1"/>
      <c r="NIX67" s="1"/>
      <c r="NIY67" s="1"/>
      <c r="NIZ67" s="1"/>
      <c r="NJA67" s="1"/>
      <c r="NJB67" s="1"/>
      <c r="NJC67" s="1"/>
      <c r="NJD67" s="1"/>
      <c r="NJE67" s="1"/>
      <c r="NJF67" s="1"/>
      <c r="NJG67" s="1"/>
      <c r="NJH67" s="1"/>
      <c r="NJI67" s="1"/>
      <c r="NJJ67" s="1"/>
      <c r="NJK67" s="1"/>
      <c r="NJL67" s="1"/>
      <c r="NJM67" s="1"/>
      <c r="NJN67" s="1"/>
      <c r="NJO67" s="1"/>
      <c r="NJP67" s="1"/>
      <c r="NJQ67" s="1"/>
      <c r="NJR67" s="1"/>
      <c r="NJS67" s="1"/>
      <c r="NJT67" s="1"/>
      <c r="NJU67" s="1"/>
      <c r="NJV67" s="1"/>
      <c r="NJW67" s="1"/>
      <c r="NJX67" s="1"/>
      <c r="NJY67" s="1"/>
      <c r="NJZ67" s="1"/>
      <c r="NKA67" s="1"/>
      <c r="NKB67" s="1"/>
      <c r="NKC67" s="1"/>
      <c r="NKD67" s="1"/>
      <c r="NKE67" s="1"/>
      <c r="NKF67" s="1"/>
      <c r="NKG67" s="1"/>
      <c r="NKH67" s="1"/>
      <c r="NKI67" s="1"/>
      <c r="NKJ67" s="1"/>
      <c r="NKK67" s="1"/>
      <c r="NKL67" s="1"/>
      <c r="NKM67" s="1"/>
      <c r="NKN67" s="1"/>
      <c r="NKO67" s="1"/>
      <c r="NKP67" s="1"/>
      <c r="NKQ67" s="1"/>
      <c r="NKR67" s="1"/>
      <c r="NKS67" s="1"/>
      <c r="NKT67" s="1"/>
      <c r="NKU67" s="1"/>
      <c r="NKV67" s="1"/>
      <c r="NKW67" s="1"/>
      <c r="NKX67" s="1"/>
      <c r="NKY67" s="1"/>
      <c r="NKZ67" s="1"/>
      <c r="NLA67" s="1"/>
      <c r="NLB67" s="1"/>
      <c r="NLC67" s="1"/>
      <c r="NLD67" s="1"/>
      <c r="NLE67" s="1"/>
      <c r="NLF67" s="1"/>
      <c r="NLG67" s="1"/>
      <c r="NLH67" s="1"/>
      <c r="NLI67" s="1"/>
      <c r="NLJ67" s="1"/>
      <c r="NLK67" s="1"/>
      <c r="NLL67" s="1"/>
      <c r="NLM67" s="1"/>
      <c r="NLN67" s="1"/>
      <c r="NLO67" s="1"/>
      <c r="NLP67" s="1"/>
      <c r="NLQ67" s="1"/>
      <c r="NLR67" s="1"/>
      <c r="NLS67" s="1"/>
      <c r="NLT67" s="1"/>
      <c r="NLU67" s="1"/>
      <c r="NLV67" s="1"/>
      <c r="NLW67" s="1"/>
      <c r="NLX67" s="1"/>
      <c r="NLY67" s="1"/>
      <c r="NLZ67" s="1"/>
      <c r="NMA67" s="1"/>
      <c r="NMB67" s="1"/>
      <c r="NMC67" s="1"/>
      <c r="NMD67" s="1"/>
      <c r="NME67" s="1"/>
      <c r="NMF67" s="1"/>
      <c r="NMG67" s="1"/>
      <c r="NMH67" s="1"/>
      <c r="NMI67" s="1"/>
      <c r="NMJ67" s="1"/>
      <c r="NMK67" s="1"/>
      <c r="NML67" s="1"/>
      <c r="NMM67" s="1"/>
      <c r="NMN67" s="1"/>
      <c r="NMO67" s="1"/>
      <c r="NMP67" s="1"/>
      <c r="NMQ67" s="1"/>
      <c r="NMR67" s="1"/>
      <c r="NMS67" s="1"/>
      <c r="NMT67" s="1"/>
      <c r="NMU67" s="1"/>
      <c r="NMV67" s="1"/>
      <c r="NMW67" s="1"/>
      <c r="NMX67" s="1"/>
      <c r="NMY67" s="1"/>
      <c r="NMZ67" s="1"/>
      <c r="NNA67" s="1"/>
      <c r="NNB67" s="1"/>
      <c r="NNC67" s="1"/>
      <c r="NND67" s="1"/>
      <c r="NNE67" s="1"/>
      <c r="NNF67" s="1"/>
      <c r="NNG67" s="1"/>
      <c r="NNH67" s="1"/>
      <c r="NNI67" s="1"/>
      <c r="NNJ67" s="1"/>
      <c r="NNK67" s="1"/>
      <c r="NNL67" s="1"/>
      <c r="NNM67" s="1"/>
      <c r="NNN67" s="1"/>
      <c r="NNO67" s="1"/>
      <c r="NNP67" s="1"/>
      <c r="NNQ67" s="1"/>
      <c r="NNR67" s="1"/>
      <c r="NNS67" s="1"/>
      <c r="NNT67" s="1"/>
      <c r="NNU67" s="1"/>
      <c r="NNV67" s="1"/>
      <c r="NNW67" s="1"/>
      <c r="NNX67" s="1"/>
      <c r="NNY67" s="1"/>
      <c r="NNZ67" s="1"/>
      <c r="NOA67" s="1"/>
      <c r="NOB67" s="1"/>
      <c r="NOC67" s="1"/>
      <c r="NOD67" s="1"/>
      <c r="NOE67" s="1"/>
      <c r="NOF67" s="1"/>
      <c r="NOG67" s="1"/>
      <c r="NOH67" s="1"/>
      <c r="NOI67" s="1"/>
      <c r="NOJ67" s="1"/>
      <c r="NOK67" s="1"/>
      <c r="NOL67" s="1"/>
      <c r="NOM67" s="1"/>
      <c r="NON67" s="1"/>
      <c r="NOO67" s="1"/>
      <c r="NOP67" s="1"/>
      <c r="NOQ67" s="1"/>
      <c r="NOR67" s="1"/>
      <c r="NOS67" s="1"/>
      <c r="NOT67" s="1"/>
      <c r="NOU67" s="1"/>
      <c r="NOV67" s="1"/>
      <c r="NOW67" s="1"/>
      <c r="NOX67" s="1"/>
      <c r="NOY67" s="1"/>
      <c r="NOZ67" s="1"/>
      <c r="NPA67" s="1"/>
      <c r="NPB67" s="1"/>
      <c r="NPC67" s="1"/>
      <c r="NPD67" s="1"/>
      <c r="NPE67" s="1"/>
      <c r="NPF67" s="1"/>
      <c r="NPG67" s="1"/>
      <c r="NPH67" s="1"/>
      <c r="NPI67" s="1"/>
      <c r="NPJ67" s="1"/>
      <c r="NPK67" s="1"/>
      <c r="NPL67" s="1"/>
      <c r="NPM67" s="1"/>
      <c r="NPN67" s="1"/>
      <c r="NPO67" s="1"/>
      <c r="NPP67" s="1"/>
      <c r="NPQ67" s="1"/>
      <c r="NPR67" s="1"/>
      <c r="NPS67" s="1"/>
      <c r="NPT67" s="1"/>
      <c r="NPU67" s="1"/>
      <c r="NPV67" s="1"/>
      <c r="NPW67" s="1"/>
      <c r="NPX67" s="1"/>
      <c r="NPY67" s="1"/>
      <c r="NPZ67" s="1"/>
      <c r="NQA67" s="1"/>
      <c r="NQB67" s="1"/>
      <c r="NQC67" s="1"/>
      <c r="NQD67" s="1"/>
      <c r="NQE67" s="1"/>
      <c r="NQF67" s="1"/>
      <c r="NQG67" s="1"/>
      <c r="NQH67" s="1"/>
      <c r="NQI67" s="1"/>
      <c r="NQJ67" s="1"/>
      <c r="NQK67" s="1"/>
      <c r="NQL67" s="1"/>
      <c r="NQM67" s="1"/>
      <c r="NQN67" s="1"/>
      <c r="NQO67" s="1"/>
      <c r="NQP67" s="1"/>
      <c r="NQQ67" s="1"/>
      <c r="NQR67" s="1"/>
      <c r="NQS67" s="1"/>
      <c r="NQT67" s="1"/>
      <c r="NQU67" s="1"/>
      <c r="NQV67" s="1"/>
      <c r="NQW67" s="1"/>
      <c r="NQX67" s="1"/>
      <c r="NQY67" s="1"/>
      <c r="NQZ67" s="1"/>
      <c r="NRA67" s="1"/>
      <c r="NRB67" s="1"/>
      <c r="NRC67" s="1"/>
      <c r="NRD67" s="1"/>
      <c r="NRE67" s="1"/>
      <c r="NRF67" s="1"/>
      <c r="NRG67" s="1"/>
      <c r="NRH67" s="1"/>
      <c r="NRI67" s="1"/>
      <c r="NRJ67" s="1"/>
      <c r="NRK67" s="1"/>
      <c r="NRL67" s="1"/>
      <c r="NRM67" s="1"/>
      <c r="NRN67" s="1"/>
      <c r="NRO67" s="1"/>
      <c r="NRP67" s="1"/>
      <c r="NRQ67" s="1"/>
      <c r="NRR67" s="1"/>
      <c r="NRS67" s="1"/>
      <c r="NRT67" s="1"/>
      <c r="NRU67" s="1"/>
      <c r="NRV67" s="1"/>
      <c r="NRW67" s="1"/>
      <c r="NRX67" s="1"/>
      <c r="NRY67" s="1"/>
      <c r="NRZ67" s="1"/>
      <c r="NSA67" s="1"/>
      <c r="NSB67" s="1"/>
      <c r="NSC67" s="1"/>
      <c r="NSD67" s="1"/>
      <c r="NSE67" s="1"/>
      <c r="NSF67" s="1"/>
      <c r="NSG67" s="1"/>
      <c r="NSH67" s="1"/>
      <c r="NSI67" s="1"/>
      <c r="NSJ67" s="1"/>
      <c r="NSK67" s="1"/>
      <c r="NSL67" s="1"/>
      <c r="NSM67" s="1"/>
      <c r="NSN67" s="1"/>
      <c r="NSO67" s="1"/>
      <c r="NSP67" s="1"/>
      <c r="NSQ67" s="1"/>
      <c r="NSR67" s="1"/>
      <c r="NSS67" s="1"/>
      <c r="NST67" s="1"/>
      <c r="NSU67" s="1"/>
      <c r="NSV67" s="1"/>
      <c r="NSW67" s="1"/>
      <c r="NSX67" s="1"/>
      <c r="NSY67" s="1"/>
      <c r="NSZ67" s="1"/>
      <c r="NTA67" s="1"/>
      <c r="NTB67" s="1"/>
      <c r="NTC67" s="1"/>
      <c r="NTD67" s="1"/>
      <c r="NTE67" s="1"/>
      <c r="NTF67" s="1"/>
      <c r="NTG67" s="1"/>
      <c r="NTH67" s="1"/>
      <c r="NTI67" s="1"/>
      <c r="NTJ67" s="1"/>
      <c r="NTK67" s="1"/>
      <c r="NTL67" s="1"/>
      <c r="NTM67" s="1"/>
      <c r="NTN67" s="1"/>
      <c r="NTO67" s="1"/>
      <c r="NTP67" s="1"/>
      <c r="NTQ67" s="1"/>
      <c r="NTR67" s="1"/>
      <c r="NTS67" s="1"/>
      <c r="NTT67" s="1"/>
      <c r="NTU67" s="1"/>
      <c r="NTV67" s="1"/>
      <c r="NTW67" s="1"/>
      <c r="NTX67" s="1"/>
      <c r="NTY67" s="1"/>
      <c r="NTZ67" s="1"/>
      <c r="NUA67" s="1"/>
      <c r="NUB67" s="1"/>
      <c r="NUC67" s="1"/>
      <c r="NUD67" s="1"/>
      <c r="NUE67" s="1"/>
      <c r="NUF67" s="1"/>
      <c r="NUG67" s="1"/>
      <c r="NUH67" s="1"/>
      <c r="NUI67" s="1"/>
      <c r="NUJ67" s="1"/>
      <c r="NUK67" s="1"/>
      <c r="NUL67" s="1"/>
      <c r="NUM67" s="1"/>
      <c r="NUN67" s="1"/>
      <c r="NUO67" s="1"/>
      <c r="NUP67" s="1"/>
      <c r="NUQ67" s="1"/>
      <c r="NUR67" s="1"/>
      <c r="NUS67" s="1"/>
      <c r="NUT67" s="1"/>
      <c r="NUU67" s="1"/>
      <c r="NUV67" s="1"/>
      <c r="NUW67" s="1"/>
      <c r="NUX67" s="1"/>
      <c r="NUY67" s="1"/>
      <c r="NUZ67" s="1"/>
      <c r="NVA67" s="1"/>
      <c r="NVB67" s="1"/>
      <c r="NVC67" s="1"/>
      <c r="NVD67" s="1"/>
      <c r="NVE67" s="1"/>
      <c r="NVF67" s="1"/>
      <c r="NVG67" s="1"/>
      <c r="NVH67" s="1"/>
      <c r="NVI67" s="1"/>
      <c r="NVJ67" s="1"/>
      <c r="NVK67" s="1"/>
      <c r="NVL67" s="1"/>
      <c r="NVM67" s="1"/>
      <c r="NVN67" s="1"/>
      <c r="NVO67" s="1"/>
      <c r="NVP67" s="1"/>
      <c r="NVQ67" s="1"/>
      <c r="NVR67" s="1"/>
      <c r="NVS67" s="1"/>
      <c r="NVT67" s="1"/>
      <c r="NVU67" s="1"/>
      <c r="NVV67" s="1"/>
      <c r="NVW67" s="1"/>
      <c r="NVX67" s="1"/>
      <c r="NVY67" s="1"/>
      <c r="NVZ67" s="1"/>
      <c r="NWA67" s="1"/>
      <c r="NWB67" s="1"/>
      <c r="NWC67" s="1"/>
      <c r="NWD67" s="1"/>
      <c r="NWE67" s="1"/>
      <c r="NWF67" s="1"/>
      <c r="NWG67" s="1"/>
      <c r="NWH67" s="1"/>
      <c r="NWI67" s="1"/>
      <c r="NWJ67" s="1"/>
      <c r="NWK67" s="1"/>
      <c r="NWL67" s="1"/>
      <c r="NWM67" s="1"/>
      <c r="NWN67" s="1"/>
      <c r="NWO67" s="1"/>
      <c r="NWP67" s="1"/>
      <c r="NWQ67" s="1"/>
      <c r="NWR67" s="1"/>
      <c r="NWS67" s="1"/>
      <c r="NWT67" s="1"/>
      <c r="NWU67" s="1"/>
      <c r="NWV67" s="1"/>
      <c r="NWW67" s="1"/>
      <c r="NWX67" s="1"/>
      <c r="NWY67" s="1"/>
      <c r="NWZ67" s="1"/>
      <c r="NXA67" s="1"/>
      <c r="NXB67" s="1"/>
      <c r="NXC67" s="1"/>
      <c r="NXD67" s="1"/>
      <c r="NXE67" s="1"/>
      <c r="NXF67" s="1"/>
      <c r="NXG67" s="1"/>
      <c r="NXH67" s="1"/>
      <c r="NXI67" s="1"/>
      <c r="NXJ67" s="1"/>
      <c r="NXK67" s="1"/>
      <c r="NXL67" s="1"/>
      <c r="NXM67" s="1"/>
      <c r="NXN67" s="1"/>
      <c r="NXO67" s="1"/>
      <c r="NXP67" s="1"/>
      <c r="NXQ67" s="1"/>
      <c r="NXR67" s="1"/>
      <c r="NXS67" s="1"/>
      <c r="NXT67" s="1"/>
      <c r="NXU67" s="1"/>
      <c r="NXV67" s="1"/>
      <c r="NXW67" s="1"/>
      <c r="NXX67" s="1"/>
      <c r="NXY67" s="1"/>
      <c r="NXZ67" s="1"/>
      <c r="NYA67" s="1"/>
      <c r="NYB67" s="1"/>
      <c r="NYC67" s="1"/>
      <c r="NYD67" s="1"/>
      <c r="NYE67" s="1"/>
      <c r="NYF67" s="1"/>
      <c r="NYG67" s="1"/>
      <c r="NYH67" s="1"/>
      <c r="NYI67" s="1"/>
      <c r="NYJ67" s="1"/>
      <c r="NYK67" s="1"/>
      <c r="NYL67" s="1"/>
      <c r="NYM67" s="1"/>
      <c r="NYN67" s="1"/>
      <c r="NYO67" s="1"/>
      <c r="NYP67" s="1"/>
      <c r="NYQ67" s="1"/>
      <c r="NYR67" s="1"/>
      <c r="NYS67" s="1"/>
      <c r="NYT67" s="1"/>
      <c r="NYU67" s="1"/>
      <c r="NYV67" s="1"/>
      <c r="NYW67" s="1"/>
      <c r="NYX67" s="1"/>
      <c r="NYY67" s="1"/>
      <c r="NYZ67" s="1"/>
      <c r="NZA67" s="1"/>
      <c r="NZB67" s="1"/>
      <c r="NZC67" s="1"/>
      <c r="NZD67" s="1"/>
      <c r="NZE67" s="1"/>
      <c r="NZF67" s="1"/>
      <c r="NZG67" s="1"/>
      <c r="NZH67" s="1"/>
      <c r="NZI67" s="1"/>
      <c r="NZJ67" s="1"/>
      <c r="NZK67" s="1"/>
      <c r="NZL67" s="1"/>
      <c r="NZM67" s="1"/>
      <c r="NZN67" s="1"/>
      <c r="NZO67" s="1"/>
      <c r="NZP67" s="1"/>
      <c r="NZQ67" s="1"/>
      <c r="NZR67" s="1"/>
      <c r="NZS67" s="1"/>
      <c r="NZT67" s="1"/>
      <c r="NZU67" s="1"/>
      <c r="NZV67" s="1"/>
      <c r="NZW67" s="1"/>
      <c r="NZX67" s="1"/>
      <c r="NZY67" s="1"/>
      <c r="NZZ67" s="1"/>
      <c r="OAA67" s="1"/>
      <c r="OAB67" s="1"/>
      <c r="OAC67" s="1"/>
      <c r="OAD67" s="1"/>
      <c r="OAE67" s="1"/>
      <c r="OAF67" s="1"/>
      <c r="OAG67" s="1"/>
      <c r="OAH67" s="1"/>
      <c r="OAI67" s="1"/>
      <c r="OAJ67" s="1"/>
      <c r="OAK67" s="1"/>
      <c r="OAL67" s="1"/>
      <c r="OAM67" s="1"/>
      <c r="OAN67" s="1"/>
      <c r="OAO67" s="1"/>
      <c r="OAP67" s="1"/>
      <c r="OAQ67" s="1"/>
      <c r="OAR67" s="1"/>
      <c r="OAS67" s="1"/>
      <c r="OAT67" s="1"/>
      <c r="OAU67" s="1"/>
      <c r="OAV67" s="1"/>
      <c r="OAW67" s="1"/>
      <c r="OAX67" s="1"/>
      <c r="OAY67" s="1"/>
      <c r="OAZ67" s="1"/>
      <c r="OBA67" s="1"/>
      <c r="OBB67" s="1"/>
      <c r="OBC67" s="1"/>
      <c r="OBD67" s="1"/>
      <c r="OBE67" s="1"/>
      <c r="OBF67" s="1"/>
      <c r="OBG67" s="1"/>
      <c r="OBH67" s="1"/>
      <c r="OBI67" s="1"/>
      <c r="OBJ67" s="1"/>
      <c r="OBK67" s="1"/>
      <c r="OBL67" s="1"/>
      <c r="OBM67" s="1"/>
      <c r="OBN67" s="1"/>
      <c r="OBO67" s="1"/>
      <c r="OBP67" s="1"/>
      <c r="OBQ67" s="1"/>
      <c r="OBR67" s="1"/>
      <c r="OBS67" s="1"/>
      <c r="OBT67" s="1"/>
      <c r="OBU67" s="1"/>
      <c r="OBV67" s="1"/>
      <c r="OBW67" s="1"/>
      <c r="OBX67" s="1"/>
      <c r="OBY67" s="1"/>
      <c r="OBZ67" s="1"/>
      <c r="OCA67" s="1"/>
      <c r="OCB67" s="1"/>
      <c r="OCC67" s="1"/>
      <c r="OCD67" s="1"/>
      <c r="OCE67" s="1"/>
      <c r="OCF67" s="1"/>
      <c r="OCG67" s="1"/>
      <c r="OCH67" s="1"/>
      <c r="OCI67" s="1"/>
      <c r="OCJ67" s="1"/>
      <c r="OCK67" s="1"/>
      <c r="OCL67" s="1"/>
      <c r="OCM67" s="1"/>
      <c r="OCN67" s="1"/>
      <c r="OCO67" s="1"/>
      <c r="OCP67" s="1"/>
      <c r="OCQ67" s="1"/>
      <c r="OCR67" s="1"/>
      <c r="OCS67" s="1"/>
      <c r="OCT67" s="1"/>
      <c r="OCU67" s="1"/>
      <c r="OCV67" s="1"/>
      <c r="OCW67" s="1"/>
      <c r="OCX67" s="1"/>
      <c r="OCY67" s="1"/>
      <c r="OCZ67" s="1"/>
      <c r="ODA67" s="1"/>
      <c r="ODB67" s="1"/>
      <c r="ODC67" s="1"/>
      <c r="ODD67" s="1"/>
      <c r="ODE67" s="1"/>
      <c r="ODF67" s="1"/>
      <c r="ODG67" s="1"/>
      <c r="ODH67" s="1"/>
      <c r="ODI67" s="1"/>
      <c r="ODJ67" s="1"/>
      <c r="ODK67" s="1"/>
      <c r="ODL67" s="1"/>
      <c r="ODM67" s="1"/>
      <c r="ODN67" s="1"/>
      <c r="ODO67" s="1"/>
      <c r="ODP67" s="1"/>
      <c r="ODQ67" s="1"/>
      <c r="ODR67" s="1"/>
      <c r="ODS67" s="1"/>
      <c r="ODT67" s="1"/>
      <c r="ODU67" s="1"/>
      <c r="ODV67" s="1"/>
      <c r="ODW67" s="1"/>
      <c r="ODX67" s="1"/>
      <c r="ODY67" s="1"/>
      <c r="ODZ67" s="1"/>
      <c r="OEA67" s="1"/>
      <c r="OEB67" s="1"/>
      <c r="OEC67" s="1"/>
      <c r="OED67" s="1"/>
      <c r="OEE67" s="1"/>
      <c r="OEF67" s="1"/>
      <c r="OEG67" s="1"/>
      <c r="OEH67" s="1"/>
      <c r="OEI67" s="1"/>
      <c r="OEJ67" s="1"/>
      <c r="OEK67" s="1"/>
      <c r="OEL67" s="1"/>
      <c r="OEM67" s="1"/>
      <c r="OEN67" s="1"/>
      <c r="OEO67" s="1"/>
      <c r="OEP67" s="1"/>
      <c r="OEQ67" s="1"/>
      <c r="OER67" s="1"/>
      <c r="OES67" s="1"/>
      <c r="OET67" s="1"/>
      <c r="OEU67" s="1"/>
      <c r="OEV67" s="1"/>
      <c r="OEW67" s="1"/>
      <c r="OEX67" s="1"/>
      <c r="OEY67" s="1"/>
      <c r="OEZ67" s="1"/>
      <c r="OFA67" s="1"/>
      <c r="OFB67" s="1"/>
      <c r="OFC67" s="1"/>
      <c r="OFD67" s="1"/>
      <c r="OFE67" s="1"/>
      <c r="OFF67" s="1"/>
      <c r="OFG67" s="1"/>
      <c r="OFH67" s="1"/>
      <c r="OFI67" s="1"/>
      <c r="OFJ67" s="1"/>
      <c r="OFK67" s="1"/>
      <c r="OFL67" s="1"/>
      <c r="OFM67" s="1"/>
      <c r="OFN67" s="1"/>
      <c r="OFO67" s="1"/>
      <c r="OFP67" s="1"/>
      <c r="OFQ67" s="1"/>
      <c r="OFR67" s="1"/>
      <c r="OFS67" s="1"/>
      <c r="OFT67" s="1"/>
      <c r="OFU67" s="1"/>
      <c r="OFV67" s="1"/>
      <c r="OFW67" s="1"/>
      <c r="OFX67" s="1"/>
      <c r="OFY67" s="1"/>
      <c r="OFZ67" s="1"/>
      <c r="OGA67" s="1"/>
      <c r="OGB67" s="1"/>
      <c r="OGC67" s="1"/>
      <c r="OGD67" s="1"/>
      <c r="OGE67" s="1"/>
      <c r="OGF67" s="1"/>
      <c r="OGG67" s="1"/>
      <c r="OGH67" s="1"/>
      <c r="OGI67" s="1"/>
      <c r="OGJ67" s="1"/>
      <c r="OGK67" s="1"/>
      <c r="OGL67" s="1"/>
      <c r="OGM67" s="1"/>
      <c r="OGN67" s="1"/>
      <c r="OGO67" s="1"/>
      <c r="OGP67" s="1"/>
      <c r="OGQ67" s="1"/>
      <c r="OGR67" s="1"/>
      <c r="OGS67" s="1"/>
      <c r="OGT67" s="1"/>
      <c r="OGU67" s="1"/>
      <c r="OGV67" s="1"/>
      <c r="OGW67" s="1"/>
      <c r="OGX67" s="1"/>
      <c r="OGY67" s="1"/>
      <c r="OGZ67" s="1"/>
      <c r="OHA67" s="1"/>
      <c r="OHB67" s="1"/>
      <c r="OHC67" s="1"/>
      <c r="OHD67" s="1"/>
      <c r="OHE67" s="1"/>
      <c r="OHF67" s="1"/>
      <c r="OHG67" s="1"/>
      <c r="OHH67" s="1"/>
      <c r="OHI67" s="1"/>
      <c r="OHJ67" s="1"/>
      <c r="OHK67" s="1"/>
      <c r="OHL67" s="1"/>
      <c r="OHM67" s="1"/>
      <c r="OHN67" s="1"/>
      <c r="OHO67" s="1"/>
      <c r="OHP67" s="1"/>
      <c r="OHQ67" s="1"/>
      <c r="OHR67" s="1"/>
      <c r="OHS67" s="1"/>
      <c r="OHT67" s="1"/>
      <c r="OHU67" s="1"/>
      <c r="OHV67" s="1"/>
      <c r="OHW67" s="1"/>
      <c r="OHX67" s="1"/>
      <c r="OHY67" s="1"/>
      <c r="OHZ67" s="1"/>
      <c r="OIA67" s="1"/>
      <c r="OIB67" s="1"/>
      <c r="OIC67" s="1"/>
      <c r="OID67" s="1"/>
      <c r="OIE67" s="1"/>
      <c r="OIF67" s="1"/>
      <c r="OIG67" s="1"/>
      <c r="OIH67" s="1"/>
      <c r="OII67" s="1"/>
      <c r="OIJ67" s="1"/>
      <c r="OIK67" s="1"/>
      <c r="OIL67" s="1"/>
      <c r="OIM67" s="1"/>
      <c r="OIN67" s="1"/>
      <c r="OIO67" s="1"/>
      <c r="OIP67" s="1"/>
      <c r="OIQ67" s="1"/>
      <c r="OIR67" s="1"/>
      <c r="OIS67" s="1"/>
      <c r="OIT67" s="1"/>
      <c r="OIU67" s="1"/>
      <c r="OIV67" s="1"/>
      <c r="OIW67" s="1"/>
      <c r="OIX67" s="1"/>
      <c r="OIY67" s="1"/>
      <c r="OIZ67" s="1"/>
      <c r="OJA67" s="1"/>
      <c r="OJB67" s="1"/>
      <c r="OJC67" s="1"/>
      <c r="OJD67" s="1"/>
      <c r="OJE67" s="1"/>
      <c r="OJF67" s="1"/>
      <c r="OJG67" s="1"/>
      <c r="OJH67" s="1"/>
      <c r="OJI67" s="1"/>
      <c r="OJJ67" s="1"/>
      <c r="OJK67" s="1"/>
      <c r="OJL67" s="1"/>
      <c r="OJM67" s="1"/>
      <c r="OJN67" s="1"/>
      <c r="OJO67" s="1"/>
      <c r="OJP67" s="1"/>
      <c r="OJQ67" s="1"/>
      <c r="OJR67" s="1"/>
      <c r="OJS67" s="1"/>
      <c r="OJT67" s="1"/>
      <c r="OJU67" s="1"/>
      <c r="OJV67" s="1"/>
      <c r="OJW67" s="1"/>
      <c r="OJX67" s="1"/>
      <c r="OJY67" s="1"/>
      <c r="OJZ67" s="1"/>
      <c r="OKA67" s="1"/>
      <c r="OKB67" s="1"/>
      <c r="OKC67" s="1"/>
      <c r="OKD67" s="1"/>
      <c r="OKE67" s="1"/>
      <c r="OKF67" s="1"/>
      <c r="OKG67" s="1"/>
      <c r="OKH67" s="1"/>
      <c r="OKI67" s="1"/>
      <c r="OKJ67" s="1"/>
      <c r="OKK67" s="1"/>
      <c r="OKL67" s="1"/>
      <c r="OKM67" s="1"/>
      <c r="OKN67" s="1"/>
      <c r="OKO67" s="1"/>
      <c r="OKP67" s="1"/>
      <c r="OKQ67" s="1"/>
      <c r="OKR67" s="1"/>
      <c r="OKS67" s="1"/>
      <c r="OKT67" s="1"/>
      <c r="OKU67" s="1"/>
      <c r="OKV67" s="1"/>
      <c r="OKW67" s="1"/>
      <c r="OKX67" s="1"/>
      <c r="OKY67" s="1"/>
      <c r="OKZ67" s="1"/>
      <c r="OLA67" s="1"/>
      <c r="OLB67" s="1"/>
      <c r="OLC67" s="1"/>
      <c r="OLD67" s="1"/>
      <c r="OLE67" s="1"/>
      <c r="OLF67" s="1"/>
      <c r="OLG67" s="1"/>
      <c r="OLH67" s="1"/>
      <c r="OLI67" s="1"/>
      <c r="OLJ67" s="1"/>
      <c r="OLK67" s="1"/>
      <c r="OLL67" s="1"/>
      <c r="OLM67" s="1"/>
      <c r="OLN67" s="1"/>
      <c r="OLO67" s="1"/>
      <c r="OLP67" s="1"/>
      <c r="OLQ67" s="1"/>
      <c r="OLR67" s="1"/>
      <c r="OLS67" s="1"/>
      <c r="OLT67" s="1"/>
      <c r="OLU67" s="1"/>
      <c r="OLV67" s="1"/>
      <c r="OLW67" s="1"/>
      <c r="OLX67" s="1"/>
      <c r="OLY67" s="1"/>
      <c r="OLZ67" s="1"/>
      <c r="OMA67" s="1"/>
      <c r="OMB67" s="1"/>
      <c r="OMC67" s="1"/>
      <c r="OMD67" s="1"/>
      <c r="OME67" s="1"/>
      <c r="OMF67" s="1"/>
      <c r="OMG67" s="1"/>
      <c r="OMH67" s="1"/>
      <c r="OMI67" s="1"/>
      <c r="OMJ67" s="1"/>
      <c r="OMK67" s="1"/>
      <c r="OML67" s="1"/>
      <c r="OMM67" s="1"/>
      <c r="OMN67" s="1"/>
      <c r="OMO67" s="1"/>
      <c r="OMP67" s="1"/>
      <c r="OMQ67" s="1"/>
      <c r="OMR67" s="1"/>
      <c r="OMS67" s="1"/>
      <c r="OMT67" s="1"/>
      <c r="OMU67" s="1"/>
      <c r="OMV67" s="1"/>
      <c r="OMW67" s="1"/>
      <c r="OMX67" s="1"/>
      <c r="OMY67" s="1"/>
      <c r="OMZ67" s="1"/>
      <c r="ONA67" s="1"/>
      <c r="ONB67" s="1"/>
      <c r="ONC67" s="1"/>
      <c r="OND67" s="1"/>
      <c r="ONE67" s="1"/>
      <c r="ONF67" s="1"/>
      <c r="ONG67" s="1"/>
      <c r="ONH67" s="1"/>
      <c r="ONI67" s="1"/>
      <c r="ONJ67" s="1"/>
      <c r="ONK67" s="1"/>
      <c r="ONL67" s="1"/>
      <c r="ONM67" s="1"/>
      <c r="ONN67" s="1"/>
      <c r="ONO67" s="1"/>
      <c r="ONP67" s="1"/>
      <c r="ONQ67" s="1"/>
      <c r="ONR67" s="1"/>
      <c r="ONS67" s="1"/>
      <c r="ONT67" s="1"/>
      <c r="ONU67" s="1"/>
      <c r="ONV67" s="1"/>
      <c r="ONW67" s="1"/>
      <c r="ONX67" s="1"/>
      <c r="ONY67" s="1"/>
      <c r="ONZ67" s="1"/>
      <c r="OOA67" s="1"/>
      <c r="OOB67" s="1"/>
      <c r="OOC67" s="1"/>
      <c r="OOD67" s="1"/>
      <c r="OOE67" s="1"/>
      <c r="OOF67" s="1"/>
      <c r="OOG67" s="1"/>
      <c r="OOH67" s="1"/>
      <c r="OOI67" s="1"/>
      <c r="OOJ67" s="1"/>
      <c r="OOK67" s="1"/>
      <c r="OOL67" s="1"/>
      <c r="OOM67" s="1"/>
      <c r="OON67" s="1"/>
      <c r="OOO67" s="1"/>
      <c r="OOP67" s="1"/>
      <c r="OOQ67" s="1"/>
      <c r="OOR67" s="1"/>
      <c r="OOS67" s="1"/>
      <c r="OOT67" s="1"/>
      <c r="OOU67" s="1"/>
      <c r="OOV67" s="1"/>
      <c r="OOW67" s="1"/>
      <c r="OOX67" s="1"/>
      <c r="OOY67" s="1"/>
      <c r="OOZ67" s="1"/>
      <c r="OPA67" s="1"/>
      <c r="OPB67" s="1"/>
      <c r="OPC67" s="1"/>
      <c r="OPD67" s="1"/>
      <c r="OPE67" s="1"/>
      <c r="OPF67" s="1"/>
      <c r="OPG67" s="1"/>
      <c r="OPH67" s="1"/>
      <c r="OPI67" s="1"/>
      <c r="OPJ67" s="1"/>
      <c r="OPK67" s="1"/>
      <c r="OPL67" s="1"/>
      <c r="OPM67" s="1"/>
      <c r="OPN67" s="1"/>
      <c r="OPO67" s="1"/>
      <c r="OPP67" s="1"/>
      <c r="OPQ67" s="1"/>
      <c r="OPR67" s="1"/>
      <c r="OPS67" s="1"/>
      <c r="OPT67" s="1"/>
      <c r="OPU67" s="1"/>
      <c r="OPV67" s="1"/>
      <c r="OPW67" s="1"/>
      <c r="OPX67" s="1"/>
      <c r="OPY67" s="1"/>
      <c r="OPZ67" s="1"/>
      <c r="OQA67" s="1"/>
      <c r="OQB67" s="1"/>
      <c r="OQC67" s="1"/>
      <c r="OQD67" s="1"/>
      <c r="OQE67" s="1"/>
      <c r="OQF67" s="1"/>
      <c r="OQG67" s="1"/>
      <c r="OQH67" s="1"/>
      <c r="OQI67" s="1"/>
      <c r="OQJ67" s="1"/>
      <c r="OQK67" s="1"/>
      <c r="OQL67" s="1"/>
      <c r="OQM67" s="1"/>
      <c r="OQN67" s="1"/>
      <c r="OQO67" s="1"/>
      <c r="OQP67" s="1"/>
      <c r="OQQ67" s="1"/>
      <c r="OQR67" s="1"/>
      <c r="OQS67" s="1"/>
      <c r="OQT67" s="1"/>
      <c r="OQU67" s="1"/>
      <c r="OQV67" s="1"/>
      <c r="OQW67" s="1"/>
      <c r="OQX67" s="1"/>
      <c r="OQY67" s="1"/>
      <c r="OQZ67" s="1"/>
      <c r="ORA67" s="1"/>
      <c r="ORB67" s="1"/>
      <c r="ORC67" s="1"/>
      <c r="ORD67" s="1"/>
      <c r="ORE67" s="1"/>
      <c r="ORF67" s="1"/>
      <c r="ORG67" s="1"/>
      <c r="ORH67" s="1"/>
      <c r="ORI67" s="1"/>
      <c r="ORJ67" s="1"/>
      <c r="ORK67" s="1"/>
      <c r="ORL67" s="1"/>
      <c r="ORM67" s="1"/>
      <c r="ORN67" s="1"/>
      <c r="ORO67" s="1"/>
      <c r="ORP67" s="1"/>
      <c r="ORQ67" s="1"/>
      <c r="ORR67" s="1"/>
      <c r="ORS67" s="1"/>
      <c r="ORT67" s="1"/>
      <c r="ORU67" s="1"/>
      <c r="ORV67" s="1"/>
      <c r="ORW67" s="1"/>
      <c r="ORX67" s="1"/>
      <c r="ORY67" s="1"/>
      <c r="ORZ67" s="1"/>
      <c r="OSA67" s="1"/>
      <c r="OSB67" s="1"/>
      <c r="OSC67" s="1"/>
      <c r="OSD67" s="1"/>
      <c r="OSE67" s="1"/>
      <c r="OSF67" s="1"/>
      <c r="OSG67" s="1"/>
      <c r="OSH67" s="1"/>
      <c r="OSI67" s="1"/>
      <c r="OSJ67" s="1"/>
      <c r="OSK67" s="1"/>
      <c r="OSL67" s="1"/>
      <c r="OSM67" s="1"/>
      <c r="OSN67" s="1"/>
      <c r="OSO67" s="1"/>
      <c r="OSP67" s="1"/>
      <c r="OSQ67" s="1"/>
      <c r="OSR67" s="1"/>
      <c r="OSS67" s="1"/>
      <c r="OST67" s="1"/>
      <c r="OSU67" s="1"/>
      <c r="OSV67" s="1"/>
      <c r="OSW67" s="1"/>
      <c r="OSX67" s="1"/>
      <c r="OSY67" s="1"/>
      <c r="OSZ67" s="1"/>
      <c r="OTA67" s="1"/>
      <c r="OTB67" s="1"/>
      <c r="OTC67" s="1"/>
      <c r="OTD67" s="1"/>
      <c r="OTE67" s="1"/>
      <c r="OTF67" s="1"/>
      <c r="OTG67" s="1"/>
      <c r="OTH67" s="1"/>
      <c r="OTI67" s="1"/>
      <c r="OTJ67" s="1"/>
      <c r="OTK67" s="1"/>
      <c r="OTL67" s="1"/>
      <c r="OTM67" s="1"/>
      <c r="OTN67" s="1"/>
      <c r="OTO67" s="1"/>
      <c r="OTP67" s="1"/>
      <c r="OTQ67" s="1"/>
      <c r="OTR67" s="1"/>
      <c r="OTS67" s="1"/>
      <c r="OTT67" s="1"/>
      <c r="OTU67" s="1"/>
      <c r="OTV67" s="1"/>
      <c r="OTW67" s="1"/>
      <c r="OTX67" s="1"/>
      <c r="OTY67" s="1"/>
      <c r="OTZ67" s="1"/>
      <c r="OUA67" s="1"/>
      <c r="OUB67" s="1"/>
      <c r="OUC67" s="1"/>
      <c r="OUD67" s="1"/>
      <c r="OUE67" s="1"/>
      <c r="OUF67" s="1"/>
      <c r="OUG67" s="1"/>
      <c r="OUH67" s="1"/>
      <c r="OUI67" s="1"/>
      <c r="OUJ67" s="1"/>
      <c r="OUK67" s="1"/>
      <c r="OUL67" s="1"/>
      <c r="OUM67" s="1"/>
      <c r="OUN67" s="1"/>
      <c r="OUO67" s="1"/>
      <c r="OUP67" s="1"/>
      <c r="OUQ67" s="1"/>
      <c r="OUR67" s="1"/>
      <c r="OUS67" s="1"/>
      <c r="OUT67" s="1"/>
      <c r="OUU67" s="1"/>
      <c r="OUV67" s="1"/>
      <c r="OUW67" s="1"/>
      <c r="OUX67" s="1"/>
      <c r="OUY67" s="1"/>
      <c r="OUZ67" s="1"/>
      <c r="OVA67" s="1"/>
      <c r="OVB67" s="1"/>
      <c r="OVC67" s="1"/>
      <c r="OVD67" s="1"/>
      <c r="OVE67" s="1"/>
      <c r="OVF67" s="1"/>
      <c r="OVG67" s="1"/>
      <c r="OVH67" s="1"/>
      <c r="OVI67" s="1"/>
      <c r="OVJ67" s="1"/>
      <c r="OVK67" s="1"/>
      <c r="OVL67" s="1"/>
      <c r="OVM67" s="1"/>
      <c r="OVN67" s="1"/>
      <c r="OVO67" s="1"/>
      <c r="OVP67" s="1"/>
      <c r="OVQ67" s="1"/>
      <c r="OVR67" s="1"/>
      <c r="OVS67" s="1"/>
      <c r="OVT67" s="1"/>
      <c r="OVU67" s="1"/>
      <c r="OVV67" s="1"/>
      <c r="OVW67" s="1"/>
      <c r="OVX67" s="1"/>
      <c r="OVY67" s="1"/>
      <c r="OVZ67" s="1"/>
      <c r="OWA67" s="1"/>
      <c r="OWB67" s="1"/>
      <c r="OWC67" s="1"/>
      <c r="OWD67" s="1"/>
      <c r="OWE67" s="1"/>
      <c r="OWF67" s="1"/>
      <c r="OWG67" s="1"/>
      <c r="OWH67" s="1"/>
      <c r="OWI67" s="1"/>
      <c r="OWJ67" s="1"/>
      <c r="OWK67" s="1"/>
      <c r="OWL67" s="1"/>
      <c r="OWM67" s="1"/>
      <c r="OWN67" s="1"/>
      <c r="OWO67" s="1"/>
      <c r="OWP67" s="1"/>
      <c r="OWQ67" s="1"/>
      <c r="OWR67" s="1"/>
      <c r="OWS67" s="1"/>
      <c r="OWT67" s="1"/>
      <c r="OWU67" s="1"/>
      <c r="OWV67" s="1"/>
      <c r="OWW67" s="1"/>
      <c r="OWX67" s="1"/>
      <c r="OWY67" s="1"/>
      <c r="OWZ67" s="1"/>
      <c r="OXA67" s="1"/>
      <c r="OXB67" s="1"/>
      <c r="OXC67" s="1"/>
      <c r="OXD67" s="1"/>
      <c r="OXE67" s="1"/>
      <c r="OXF67" s="1"/>
      <c r="OXG67" s="1"/>
      <c r="OXH67" s="1"/>
      <c r="OXI67" s="1"/>
      <c r="OXJ67" s="1"/>
      <c r="OXK67" s="1"/>
      <c r="OXL67" s="1"/>
      <c r="OXM67" s="1"/>
      <c r="OXN67" s="1"/>
      <c r="OXO67" s="1"/>
      <c r="OXP67" s="1"/>
      <c r="OXQ67" s="1"/>
      <c r="OXR67" s="1"/>
      <c r="OXS67" s="1"/>
      <c r="OXT67" s="1"/>
      <c r="OXU67" s="1"/>
      <c r="OXV67" s="1"/>
      <c r="OXW67" s="1"/>
      <c r="OXX67" s="1"/>
      <c r="OXY67" s="1"/>
      <c r="OXZ67" s="1"/>
      <c r="OYA67" s="1"/>
      <c r="OYB67" s="1"/>
      <c r="OYC67" s="1"/>
      <c r="OYD67" s="1"/>
      <c r="OYE67" s="1"/>
      <c r="OYF67" s="1"/>
      <c r="OYG67" s="1"/>
      <c r="OYH67" s="1"/>
      <c r="OYI67" s="1"/>
      <c r="OYJ67" s="1"/>
      <c r="OYK67" s="1"/>
      <c r="OYL67" s="1"/>
      <c r="OYM67" s="1"/>
      <c r="OYN67" s="1"/>
      <c r="OYO67" s="1"/>
      <c r="OYP67" s="1"/>
      <c r="OYQ67" s="1"/>
      <c r="OYR67" s="1"/>
      <c r="OYS67" s="1"/>
      <c r="OYT67" s="1"/>
      <c r="OYU67" s="1"/>
      <c r="OYV67" s="1"/>
      <c r="OYW67" s="1"/>
      <c r="OYX67" s="1"/>
      <c r="OYY67" s="1"/>
      <c r="OYZ67" s="1"/>
      <c r="OZA67" s="1"/>
      <c r="OZB67" s="1"/>
      <c r="OZC67" s="1"/>
      <c r="OZD67" s="1"/>
      <c r="OZE67" s="1"/>
      <c r="OZF67" s="1"/>
      <c r="OZG67" s="1"/>
      <c r="OZH67" s="1"/>
      <c r="OZI67" s="1"/>
      <c r="OZJ67" s="1"/>
      <c r="OZK67" s="1"/>
      <c r="OZL67" s="1"/>
      <c r="OZM67" s="1"/>
      <c r="OZN67" s="1"/>
      <c r="OZO67" s="1"/>
      <c r="OZP67" s="1"/>
      <c r="OZQ67" s="1"/>
      <c r="OZR67" s="1"/>
      <c r="OZS67" s="1"/>
      <c r="OZT67" s="1"/>
      <c r="OZU67" s="1"/>
      <c r="OZV67" s="1"/>
      <c r="OZW67" s="1"/>
      <c r="OZX67" s="1"/>
      <c r="OZY67" s="1"/>
      <c r="OZZ67" s="1"/>
      <c r="PAA67" s="1"/>
      <c r="PAB67" s="1"/>
      <c r="PAC67" s="1"/>
      <c r="PAD67" s="1"/>
      <c r="PAE67" s="1"/>
      <c r="PAF67" s="1"/>
      <c r="PAG67" s="1"/>
      <c r="PAH67" s="1"/>
      <c r="PAI67" s="1"/>
      <c r="PAJ67" s="1"/>
      <c r="PAK67" s="1"/>
      <c r="PAL67" s="1"/>
      <c r="PAM67" s="1"/>
      <c r="PAN67" s="1"/>
      <c r="PAO67" s="1"/>
      <c r="PAP67" s="1"/>
      <c r="PAQ67" s="1"/>
      <c r="PAR67" s="1"/>
      <c r="PAS67" s="1"/>
      <c r="PAT67" s="1"/>
      <c r="PAU67" s="1"/>
      <c r="PAV67" s="1"/>
      <c r="PAW67" s="1"/>
      <c r="PAX67" s="1"/>
      <c r="PAY67" s="1"/>
      <c r="PAZ67" s="1"/>
      <c r="PBA67" s="1"/>
      <c r="PBB67" s="1"/>
      <c r="PBC67" s="1"/>
      <c r="PBD67" s="1"/>
      <c r="PBE67" s="1"/>
      <c r="PBF67" s="1"/>
      <c r="PBG67" s="1"/>
      <c r="PBH67" s="1"/>
      <c r="PBI67" s="1"/>
      <c r="PBJ67" s="1"/>
      <c r="PBK67" s="1"/>
      <c r="PBL67" s="1"/>
      <c r="PBM67" s="1"/>
      <c r="PBN67" s="1"/>
      <c r="PBO67" s="1"/>
      <c r="PBP67" s="1"/>
      <c r="PBQ67" s="1"/>
      <c r="PBR67" s="1"/>
      <c r="PBS67" s="1"/>
      <c r="PBT67" s="1"/>
      <c r="PBU67" s="1"/>
      <c r="PBV67" s="1"/>
      <c r="PBW67" s="1"/>
      <c r="PBX67" s="1"/>
      <c r="PBY67" s="1"/>
      <c r="PBZ67" s="1"/>
      <c r="PCA67" s="1"/>
      <c r="PCB67" s="1"/>
      <c r="PCC67" s="1"/>
      <c r="PCD67" s="1"/>
      <c r="PCE67" s="1"/>
      <c r="PCF67" s="1"/>
      <c r="PCG67" s="1"/>
      <c r="PCH67" s="1"/>
      <c r="PCI67" s="1"/>
      <c r="PCJ67" s="1"/>
      <c r="PCK67" s="1"/>
      <c r="PCL67" s="1"/>
      <c r="PCM67" s="1"/>
      <c r="PCN67" s="1"/>
      <c r="PCO67" s="1"/>
      <c r="PCP67" s="1"/>
      <c r="PCQ67" s="1"/>
      <c r="PCR67" s="1"/>
      <c r="PCS67" s="1"/>
      <c r="PCT67" s="1"/>
      <c r="PCU67" s="1"/>
      <c r="PCV67" s="1"/>
      <c r="PCW67" s="1"/>
      <c r="PCX67" s="1"/>
      <c r="PCY67" s="1"/>
      <c r="PCZ67" s="1"/>
      <c r="PDA67" s="1"/>
      <c r="PDB67" s="1"/>
      <c r="PDC67" s="1"/>
      <c r="PDD67" s="1"/>
      <c r="PDE67" s="1"/>
      <c r="PDF67" s="1"/>
      <c r="PDG67" s="1"/>
      <c r="PDH67" s="1"/>
      <c r="PDI67" s="1"/>
      <c r="PDJ67" s="1"/>
      <c r="PDK67" s="1"/>
      <c r="PDL67" s="1"/>
      <c r="PDM67" s="1"/>
      <c r="PDN67" s="1"/>
      <c r="PDO67" s="1"/>
      <c r="PDP67" s="1"/>
      <c r="PDQ67" s="1"/>
      <c r="PDR67" s="1"/>
      <c r="PDS67" s="1"/>
      <c r="PDT67" s="1"/>
      <c r="PDU67" s="1"/>
      <c r="PDV67" s="1"/>
      <c r="PDW67" s="1"/>
      <c r="PDX67" s="1"/>
      <c r="PDY67" s="1"/>
      <c r="PDZ67" s="1"/>
      <c r="PEA67" s="1"/>
      <c r="PEB67" s="1"/>
      <c r="PEC67" s="1"/>
      <c r="PED67" s="1"/>
      <c r="PEE67" s="1"/>
      <c r="PEF67" s="1"/>
      <c r="PEG67" s="1"/>
      <c r="PEH67" s="1"/>
      <c r="PEI67" s="1"/>
      <c r="PEJ67" s="1"/>
      <c r="PEK67" s="1"/>
      <c r="PEL67" s="1"/>
      <c r="PEM67" s="1"/>
      <c r="PEN67" s="1"/>
      <c r="PEO67" s="1"/>
      <c r="PEP67" s="1"/>
      <c r="PEQ67" s="1"/>
      <c r="PER67" s="1"/>
      <c r="PES67" s="1"/>
      <c r="PET67" s="1"/>
      <c r="PEU67" s="1"/>
      <c r="PEV67" s="1"/>
      <c r="PEW67" s="1"/>
      <c r="PEX67" s="1"/>
      <c r="PEY67" s="1"/>
      <c r="PEZ67" s="1"/>
      <c r="PFA67" s="1"/>
      <c r="PFB67" s="1"/>
      <c r="PFC67" s="1"/>
      <c r="PFD67" s="1"/>
      <c r="PFE67" s="1"/>
      <c r="PFF67" s="1"/>
      <c r="PFG67" s="1"/>
      <c r="PFH67" s="1"/>
      <c r="PFI67" s="1"/>
      <c r="PFJ67" s="1"/>
      <c r="PFK67" s="1"/>
      <c r="PFL67" s="1"/>
      <c r="PFM67" s="1"/>
      <c r="PFN67" s="1"/>
      <c r="PFO67" s="1"/>
      <c r="PFP67" s="1"/>
      <c r="PFQ67" s="1"/>
      <c r="PFR67" s="1"/>
      <c r="PFS67" s="1"/>
      <c r="PFT67" s="1"/>
      <c r="PFU67" s="1"/>
      <c r="PFV67" s="1"/>
      <c r="PFW67" s="1"/>
      <c r="PFX67" s="1"/>
      <c r="PFY67" s="1"/>
      <c r="PFZ67" s="1"/>
      <c r="PGA67" s="1"/>
      <c r="PGB67" s="1"/>
      <c r="PGC67" s="1"/>
      <c r="PGD67" s="1"/>
      <c r="PGE67" s="1"/>
      <c r="PGF67" s="1"/>
      <c r="PGG67" s="1"/>
      <c r="PGH67" s="1"/>
      <c r="PGI67" s="1"/>
      <c r="PGJ67" s="1"/>
      <c r="PGK67" s="1"/>
      <c r="PGL67" s="1"/>
      <c r="PGM67" s="1"/>
      <c r="PGN67" s="1"/>
      <c r="PGO67" s="1"/>
      <c r="PGP67" s="1"/>
      <c r="PGQ67" s="1"/>
      <c r="PGR67" s="1"/>
      <c r="PGS67" s="1"/>
      <c r="PGT67" s="1"/>
      <c r="PGU67" s="1"/>
      <c r="PGV67" s="1"/>
      <c r="PGW67" s="1"/>
      <c r="PGX67" s="1"/>
      <c r="PGY67" s="1"/>
      <c r="PGZ67" s="1"/>
      <c r="PHA67" s="1"/>
      <c r="PHB67" s="1"/>
      <c r="PHC67" s="1"/>
      <c r="PHD67" s="1"/>
      <c r="PHE67" s="1"/>
      <c r="PHF67" s="1"/>
      <c r="PHG67" s="1"/>
      <c r="PHH67" s="1"/>
      <c r="PHI67" s="1"/>
      <c r="PHJ67" s="1"/>
      <c r="PHK67" s="1"/>
      <c r="PHL67" s="1"/>
      <c r="PHM67" s="1"/>
      <c r="PHN67" s="1"/>
      <c r="PHO67" s="1"/>
      <c r="PHP67" s="1"/>
      <c r="PHQ67" s="1"/>
      <c r="PHR67" s="1"/>
      <c r="PHS67" s="1"/>
      <c r="PHT67" s="1"/>
      <c r="PHU67" s="1"/>
      <c r="PHV67" s="1"/>
      <c r="PHW67" s="1"/>
      <c r="PHX67" s="1"/>
      <c r="PHY67" s="1"/>
      <c r="PHZ67" s="1"/>
      <c r="PIA67" s="1"/>
      <c r="PIB67" s="1"/>
      <c r="PIC67" s="1"/>
      <c r="PID67" s="1"/>
      <c r="PIE67" s="1"/>
      <c r="PIF67" s="1"/>
      <c r="PIG67" s="1"/>
      <c r="PIH67" s="1"/>
      <c r="PII67" s="1"/>
      <c r="PIJ67" s="1"/>
      <c r="PIK67" s="1"/>
      <c r="PIL67" s="1"/>
      <c r="PIM67" s="1"/>
      <c r="PIN67" s="1"/>
      <c r="PIO67" s="1"/>
      <c r="PIP67" s="1"/>
      <c r="PIQ67" s="1"/>
      <c r="PIR67" s="1"/>
      <c r="PIS67" s="1"/>
      <c r="PIT67" s="1"/>
      <c r="PIU67" s="1"/>
      <c r="PIV67" s="1"/>
      <c r="PIW67" s="1"/>
      <c r="PIX67" s="1"/>
      <c r="PIY67" s="1"/>
      <c r="PIZ67" s="1"/>
      <c r="PJA67" s="1"/>
      <c r="PJB67" s="1"/>
      <c r="PJC67" s="1"/>
      <c r="PJD67" s="1"/>
      <c r="PJE67" s="1"/>
      <c r="PJF67" s="1"/>
      <c r="PJG67" s="1"/>
      <c r="PJH67" s="1"/>
      <c r="PJI67" s="1"/>
      <c r="PJJ67" s="1"/>
      <c r="PJK67" s="1"/>
      <c r="PJL67" s="1"/>
      <c r="PJM67" s="1"/>
      <c r="PJN67" s="1"/>
      <c r="PJO67" s="1"/>
      <c r="PJP67" s="1"/>
      <c r="PJQ67" s="1"/>
      <c r="PJR67" s="1"/>
      <c r="PJS67" s="1"/>
      <c r="PJT67" s="1"/>
      <c r="PJU67" s="1"/>
      <c r="PJV67" s="1"/>
      <c r="PJW67" s="1"/>
      <c r="PJX67" s="1"/>
      <c r="PJY67" s="1"/>
      <c r="PJZ67" s="1"/>
      <c r="PKA67" s="1"/>
      <c r="PKB67" s="1"/>
      <c r="PKC67" s="1"/>
      <c r="PKD67" s="1"/>
      <c r="PKE67" s="1"/>
      <c r="PKF67" s="1"/>
      <c r="PKG67" s="1"/>
      <c r="PKH67" s="1"/>
      <c r="PKI67" s="1"/>
      <c r="PKJ67" s="1"/>
      <c r="PKK67" s="1"/>
      <c r="PKL67" s="1"/>
      <c r="PKM67" s="1"/>
      <c r="PKN67" s="1"/>
      <c r="PKO67" s="1"/>
      <c r="PKP67" s="1"/>
      <c r="PKQ67" s="1"/>
      <c r="PKR67" s="1"/>
      <c r="PKS67" s="1"/>
      <c r="PKT67" s="1"/>
      <c r="PKU67" s="1"/>
      <c r="PKV67" s="1"/>
      <c r="PKW67" s="1"/>
      <c r="PKX67" s="1"/>
      <c r="PKY67" s="1"/>
      <c r="PKZ67" s="1"/>
      <c r="PLA67" s="1"/>
      <c r="PLB67" s="1"/>
      <c r="PLC67" s="1"/>
      <c r="PLD67" s="1"/>
      <c r="PLE67" s="1"/>
      <c r="PLF67" s="1"/>
      <c r="PLG67" s="1"/>
      <c r="PLH67" s="1"/>
      <c r="PLI67" s="1"/>
      <c r="PLJ67" s="1"/>
      <c r="PLK67" s="1"/>
      <c r="PLL67" s="1"/>
      <c r="PLM67" s="1"/>
      <c r="PLN67" s="1"/>
      <c r="PLO67" s="1"/>
      <c r="PLP67" s="1"/>
      <c r="PLQ67" s="1"/>
      <c r="PLR67" s="1"/>
      <c r="PLS67" s="1"/>
      <c r="PLT67" s="1"/>
      <c r="PLU67" s="1"/>
      <c r="PLV67" s="1"/>
      <c r="PLW67" s="1"/>
      <c r="PLX67" s="1"/>
      <c r="PLY67" s="1"/>
      <c r="PLZ67" s="1"/>
      <c r="PMA67" s="1"/>
      <c r="PMB67" s="1"/>
      <c r="PMC67" s="1"/>
      <c r="PMD67" s="1"/>
      <c r="PME67" s="1"/>
      <c r="PMF67" s="1"/>
      <c r="PMG67" s="1"/>
      <c r="PMH67" s="1"/>
      <c r="PMI67" s="1"/>
      <c r="PMJ67" s="1"/>
      <c r="PMK67" s="1"/>
      <c r="PML67" s="1"/>
      <c r="PMM67" s="1"/>
      <c r="PMN67" s="1"/>
      <c r="PMO67" s="1"/>
      <c r="PMP67" s="1"/>
      <c r="PMQ67" s="1"/>
      <c r="PMR67" s="1"/>
      <c r="PMS67" s="1"/>
      <c r="PMT67" s="1"/>
      <c r="PMU67" s="1"/>
      <c r="PMV67" s="1"/>
      <c r="PMW67" s="1"/>
      <c r="PMX67" s="1"/>
      <c r="PMY67" s="1"/>
      <c r="PMZ67" s="1"/>
      <c r="PNA67" s="1"/>
      <c r="PNB67" s="1"/>
      <c r="PNC67" s="1"/>
      <c r="PND67" s="1"/>
      <c r="PNE67" s="1"/>
      <c r="PNF67" s="1"/>
      <c r="PNG67" s="1"/>
      <c r="PNH67" s="1"/>
      <c r="PNI67" s="1"/>
      <c r="PNJ67" s="1"/>
      <c r="PNK67" s="1"/>
      <c r="PNL67" s="1"/>
      <c r="PNM67" s="1"/>
      <c r="PNN67" s="1"/>
      <c r="PNO67" s="1"/>
      <c r="PNP67" s="1"/>
      <c r="PNQ67" s="1"/>
      <c r="PNR67" s="1"/>
      <c r="PNS67" s="1"/>
      <c r="PNT67" s="1"/>
      <c r="PNU67" s="1"/>
      <c r="PNV67" s="1"/>
      <c r="PNW67" s="1"/>
      <c r="PNX67" s="1"/>
      <c r="PNY67" s="1"/>
      <c r="PNZ67" s="1"/>
      <c r="POA67" s="1"/>
      <c r="POB67" s="1"/>
      <c r="POC67" s="1"/>
      <c r="POD67" s="1"/>
      <c r="POE67" s="1"/>
      <c r="POF67" s="1"/>
      <c r="POG67" s="1"/>
      <c r="POH67" s="1"/>
      <c r="POI67" s="1"/>
      <c r="POJ67" s="1"/>
      <c r="POK67" s="1"/>
      <c r="POL67" s="1"/>
      <c r="POM67" s="1"/>
      <c r="PON67" s="1"/>
      <c r="POO67" s="1"/>
      <c r="POP67" s="1"/>
      <c r="POQ67" s="1"/>
      <c r="POR67" s="1"/>
      <c r="POS67" s="1"/>
      <c r="POT67" s="1"/>
      <c r="POU67" s="1"/>
      <c r="POV67" s="1"/>
      <c r="POW67" s="1"/>
      <c r="POX67" s="1"/>
      <c r="POY67" s="1"/>
      <c r="POZ67" s="1"/>
      <c r="PPA67" s="1"/>
      <c r="PPB67" s="1"/>
      <c r="PPC67" s="1"/>
      <c r="PPD67" s="1"/>
      <c r="PPE67" s="1"/>
      <c r="PPF67" s="1"/>
      <c r="PPG67" s="1"/>
      <c r="PPH67" s="1"/>
      <c r="PPI67" s="1"/>
      <c r="PPJ67" s="1"/>
      <c r="PPK67" s="1"/>
      <c r="PPL67" s="1"/>
      <c r="PPM67" s="1"/>
      <c r="PPN67" s="1"/>
      <c r="PPO67" s="1"/>
      <c r="PPP67" s="1"/>
      <c r="PPQ67" s="1"/>
      <c r="PPR67" s="1"/>
      <c r="PPS67" s="1"/>
      <c r="PPT67" s="1"/>
      <c r="PPU67" s="1"/>
      <c r="PPV67" s="1"/>
      <c r="PPW67" s="1"/>
      <c r="PPX67" s="1"/>
      <c r="PPY67" s="1"/>
      <c r="PPZ67" s="1"/>
      <c r="PQA67" s="1"/>
      <c r="PQB67" s="1"/>
      <c r="PQC67" s="1"/>
      <c r="PQD67" s="1"/>
      <c r="PQE67" s="1"/>
      <c r="PQF67" s="1"/>
      <c r="PQG67" s="1"/>
      <c r="PQH67" s="1"/>
      <c r="PQI67" s="1"/>
      <c r="PQJ67" s="1"/>
      <c r="PQK67" s="1"/>
      <c r="PQL67" s="1"/>
      <c r="PQM67" s="1"/>
      <c r="PQN67" s="1"/>
      <c r="PQO67" s="1"/>
      <c r="PQP67" s="1"/>
      <c r="PQQ67" s="1"/>
      <c r="PQR67" s="1"/>
      <c r="PQS67" s="1"/>
      <c r="PQT67" s="1"/>
      <c r="PQU67" s="1"/>
      <c r="PQV67" s="1"/>
      <c r="PQW67" s="1"/>
      <c r="PQX67" s="1"/>
      <c r="PQY67" s="1"/>
      <c r="PQZ67" s="1"/>
      <c r="PRA67" s="1"/>
      <c r="PRB67" s="1"/>
      <c r="PRC67" s="1"/>
      <c r="PRD67" s="1"/>
      <c r="PRE67" s="1"/>
      <c r="PRF67" s="1"/>
      <c r="PRG67" s="1"/>
      <c r="PRH67" s="1"/>
      <c r="PRI67" s="1"/>
      <c r="PRJ67" s="1"/>
      <c r="PRK67" s="1"/>
      <c r="PRL67" s="1"/>
      <c r="PRM67" s="1"/>
      <c r="PRN67" s="1"/>
      <c r="PRO67" s="1"/>
      <c r="PRP67" s="1"/>
      <c r="PRQ67" s="1"/>
      <c r="PRR67" s="1"/>
      <c r="PRS67" s="1"/>
      <c r="PRT67" s="1"/>
      <c r="PRU67" s="1"/>
      <c r="PRV67" s="1"/>
      <c r="PRW67" s="1"/>
      <c r="PRX67" s="1"/>
      <c r="PRY67" s="1"/>
      <c r="PRZ67" s="1"/>
      <c r="PSA67" s="1"/>
      <c r="PSB67" s="1"/>
      <c r="PSC67" s="1"/>
      <c r="PSD67" s="1"/>
      <c r="PSE67" s="1"/>
      <c r="PSF67" s="1"/>
      <c r="PSG67" s="1"/>
      <c r="PSH67" s="1"/>
      <c r="PSI67" s="1"/>
      <c r="PSJ67" s="1"/>
      <c r="PSK67" s="1"/>
      <c r="PSL67" s="1"/>
      <c r="PSM67" s="1"/>
      <c r="PSN67" s="1"/>
      <c r="PSO67" s="1"/>
      <c r="PSP67" s="1"/>
      <c r="PSQ67" s="1"/>
      <c r="PSR67" s="1"/>
      <c r="PSS67" s="1"/>
      <c r="PST67" s="1"/>
      <c r="PSU67" s="1"/>
      <c r="PSV67" s="1"/>
      <c r="PSW67" s="1"/>
      <c r="PSX67" s="1"/>
      <c r="PSY67" s="1"/>
      <c r="PSZ67" s="1"/>
      <c r="PTA67" s="1"/>
      <c r="PTB67" s="1"/>
      <c r="PTC67" s="1"/>
      <c r="PTD67" s="1"/>
      <c r="PTE67" s="1"/>
      <c r="PTF67" s="1"/>
      <c r="PTG67" s="1"/>
      <c r="PTH67" s="1"/>
      <c r="PTI67" s="1"/>
      <c r="PTJ67" s="1"/>
      <c r="PTK67" s="1"/>
      <c r="PTL67" s="1"/>
      <c r="PTM67" s="1"/>
      <c r="PTN67" s="1"/>
      <c r="PTO67" s="1"/>
      <c r="PTP67" s="1"/>
      <c r="PTQ67" s="1"/>
      <c r="PTR67" s="1"/>
      <c r="PTS67" s="1"/>
      <c r="PTT67" s="1"/>
      <c r="PTU67" s="1"/>
      <c r="PTV67" s="1"/>
      <c r="PTW67" s="1"/>
      <c r="PTX67" s="1"/>
      <c r="PTY67" s="1"/>
      <c r="PTZ67" s="1"/>
      <c r="PUA67" s="1"/>
      <c r="PUB67" s="1"/>
      <c r="PUC67" s="1"/>
      <c r="PUD67" s="1"/>
      <c r="PUE67" s="1"/>
      <c r="PUF67" s="1"/>
      <c r="PUG67" s="1"/>
      <c r="PUH67" s="1"/>
      <c r="PUI67" s="1"/>
      <c r="PUJ67" s="1"/>
      <c r="PUK67" s="1"/>
      <c r="PUL67" s="1"/>
      <c r="PUM67" s="1"/>
      <c r="PUN67" s="1"/>
      <c r="PUO67" s="1"/>
      <c r="PUP67" s="1"/>
      <c r="PUQ67" s="1"/>
      <c r="PUR67" s="1"/>
      <c r="PUS67" s="1"/>
      <c r="PUT67" s="1"/>
      <c r="PUU67" s="1"/>
      <c r="PUV67" s="1"/>
      <c r="PUW67" s="1"/>
      <c r="PUX67" s="1"/>
      <c r="PUY67" s="1"/>
      <c r="PUZ67" s="1"/>
      <c r="PVA67" s="1"/>
      <c r="PVB67" s="1"/>
      <c r="PVC67" s="1"/>
      <c r="PVD67" s="1"/>
      <c r="PVE67" s="1"/>
      <c r="PVF67" s="1"/>
      <c r="PVG67" s="1"/>
      <c r="PVH67" s="1"/>
      <c r="PVI67" s="1"/>
      <c r="PVJ67" s="1"/>
      <c r="PVK67" s="1"/>
      <c r="PVL67" s="1"/>
      <c r="PVM67" s="1"/>
      <c r="PVN67" s="1"/>
      <c r="PVO67" s="1"/>
      <c r="PVP67" s="1"/>
      <c r="PVQ67" s="1"/>
      <c r="PVR67" s="1"/>
      <c r="PVS67" s="1"/>
      <c r="PVT67" s="1"/>
      <c r="PVU67" s="1"/>
      <c r="PVV67" s="1"/>
      <c r="PVW67" s="1"/>
      <c r="PVX67" s="1"/>
      <c r="PVY67" s="1"/>
      <c r="PVZ67" s="1"/>
      <c r="PWA67" s="1"/>
      <c r="PWB67" s="1"/>
      <c r="PWC67" s="1"/>
      <c r="PWD67" s="1"/>
      <c r="PWE67" s="1"/>
      <c r="PWF67" s="1"/>
      <c r="PWG67" s="1"/>
      <c r="PWH67" s="1"/>
      <c r="PWI67" s="1"/>
      <c r="PWJ67" s="1"/>
      <c r="PWK67" s="1"/>
      <c r="PWL67" s="1"/>
      <c r="PWM67" s="1"/>
      <c r="PWN67" s="1"/>
      <c r="PWO67" s="1"/>
      <c r="PWP67" s="1"/>
      <c r="PWQ67" s="1"/>
      <c r="PWR67" s="1"/>
      <c r="PWS67" s="1"/>
      <c r="PWT67" s="1"/>
      <c r="PWU67" s="1"/>
      <c r="PWV67" s="1"/>
      <c r="PWW67" s="1"/>
      <c r="PWX67" s="1"/>
      <c r="PWY67" s="1"/>
      <c r="PWZ67" s="1"/>
      <c r="PXA67" s="1"/>
      <c r="PXB67" s="1"/>
      <c r="PXC67" s="1"/>
      <c r="PXD67" s="1"/>
      <c r="PXE67" s="1"/>
      <c r="PXF67" s="1"/>
      <c r="PXG67" s="1"/>
      <c r="PXH67" s="1"/>
      <c r="PXI67" s="1"/>
      <c r="PXJ67" s="1"/>
      <c r="PXK67" s="1"/>
      <c r="PXL67" s="1"/>
      <c r="PXM67" s="1"/>
      <c r="PXN67" s="1"/>
      <c r="PXO67" s="1"/>
      <c r="PXP67" s="1"/>
      <c r="PXQ67" s="1"/>
      <c r="PXR67" s="1"/>
      <c r="PXS67" s="1"/>
      <c r="PXT67" s="1"/>
      <c r="PXU67" s="1"/>
      <c r="PXV67" s="1"/>
      <c r="PXW67" s="1"/>
      <c r="PXX67" s="1"/>
      <c r="PXY67" s="1"/>
      <c r="PXZ67" s="1"/>
      <c r="PYA67" s="1"/>
      <c r="PYB67" s="1"/>
      <c r="PYC67" s="1"/>
      <c r="PYD67" s="1"/>
      <c r="PYE67" s="1"/>
      <c r="PYF67" s="1"/>
      <c r="PYG67" s="1"/>
      <c r="PYH67" s="1"/>
      <c r="PYI67" s="1"/>
      <c r="PYJ67" s="1"/>
      <c r="PYK67" s="1"/>
      <c r="PYL67" s="1"/>
      <c r="PYM67" s="1"/>
      <c r="PYN67" s="1"/>
      <c r="PYO67" s="1"/>
      <c r="PYP67" s="1"/>
      <c r="PYQ67" s="1"/>
      <c r="PYR67" s="1"/>
      <c r="PYS67" s="1"/>
      <c r="PYT67" s="1"/>
      <c r="PYU67" s="1"/>
      <c r="PYV67" s="1"/>
      <c r="PYW67" s="1"/>
      <c r="PYX67" s="1"/>
      <c r="PYY67" s="1"/>
      <c r="PYZ67" s="1"/>
      <c r="PZA67" s="1"/>
      <c r="PZB67" s="1"/>
      <c r="PZC67" s="1"/>
      <c r="PZD67" s="1"/>
      <c r="PZE67" s="1"/>
      <c r="PZF67" s="1"/>
      <c r="PZG67" s="1"/>
      <c r="PZH67" s="1"/>
      <c r="PZI67" s="1"/>
      <c r="PZJ67" s="1"/>
      <c r="PZK67" s="1"/>
      <c r="PZL67" s="1"/>
      <c r="PZM67" s="1"/>
      <c r="PZN67" s="1"/>
      <c r="PZO67" s="1"/>
      <c r="PZP67" s="1"/>
      <c r="PZQ67" s="1"/>
      <c r="PZR67" s="1"/>
      <c r="PZS67" s="1"/>
      <c r="PZT67" s="1"/>
      <c r="PZU67" s="1"/>
      <c r="PZV67" s="1"/>
      <c r="PZW67" s="1"/>
      <c r="PZX67" s="1"/>
      <c r="PZY67" s="1"/>
      <c r="PZZ67" s="1"/>
      <c r="QAA67" s="1"/>
      <c r="QAB67" s="1"/>
      <c r="QAC67" s="1"/>
      <c r="QAD67" s="1"/>
      <c r="QAE67" s="1"/>
      <c r="QAF67" s="1"/>
      <c r="QAG67" s="1"/>
      <c r="QAH67" s="1"/>
      <c r="QAI67" s="1"/>
      <c r="QAJ67" s="1"/>
      <c r="QAK67" s="1"/>
      <c r="QAL67" s="1"/>
      <c r="QAM67" s="1"/>
      <c r="QAN67" s="1"/>
      <c r="QAO67" s="1"/>
      <c r="QAP67" s="1"/>
      <c r="QAQ67" s="1"/>
      <c r="QAR67" s="1"/>
      <c r="QAS67" s="1"/>
      <c r="QAT67" s="1"/>
      <c r="QAU67" s="1"/>
      <c r="QAV67" s="1"/>
      <c r="QAW67" s="1"/>
      <c r="QAX67" s="1"/>
      <c r="QAY67" s="1"/>
      <c r="QAZ67" s="1"/>
      <c r="QBA67" s="1"/>
      <c r="QBB67" s="1"/>
      <c r="QBC67" s="1"/>
      <c r="QBD67" s="1"/>
      <c r="QBE67" s="1"/>
      <c r="QBF67" s="1"/>
      <c r="QBG67" s="1"/>
      <c r="QBH67" s="1"/>
      <c r="QBI67" s="1"/>
      <c r="QBJ67" s="1"/>
      <c r="QBK67" s="1"/>
      <c r="QBL67" s="1"/>
      <c r="QBM67" s="1"/>
      <c r="QBN67" s="1"/>
      <c r="QBO67" s="1"/>
      <c r="QBP67" s="1"/>
      <c r="QBQ67" s="1"/>
      <c r="QBR67" s="1"/>
      <c r="QBS67" s="1"/>
      <c r="QBT67" s="1"/>
      <c r="QBU67" s="1"/>
      <c r="QBV67" s="1"/>
      <c r="QBW67" s="1"/>
      <c r="QBX67" s="1"/>
      <c r="QBY67" s="1"/>
      <c r="QBZ67" s="1"/>
      <c r="QCA67" s="1"/>
      <c r="QCB67" s="1"/>
      <c r="QCC67" s="1"/>
      <c r="QCD67" s="1"/>
      <c r="QCE67" s="1"/>
      <c r="QCF67" s="1"/>
      <c r="QCG67" s="1"/>
      <c r="QCH67" s="1"/>
      <c r="QCI67" s="1"/>
      <c r="QCJ67" s="1"/>
      <c r="QCK67" s="1"/>
      <c r="QCL67" s="1"/>
      <c r="QCM67" s="1"/>
      <c r="QCN67" s="1"/>
      <c r="QCO67" s="1"/>
      <c r="QCP67" s="1"/>
      <c r="QCQ67" s="1"/>
      <c r="QCR67" s="1"/>
      <c r="QCS67" s="1"/>
      <c r="QCT67" s="1"/>
      <c r="QCU67" s="1"/>
      <c r="QCV67" s="1"/>
      <c r="QCW67" s="1"/>
      <c r="QCX67" s="1"/>
      <c r="QCY67" s="1"/>
      <c r="QCZ67" s="1"/>
      <c r="QDA67" s="1"/>
      <c r="QDB67" s="1"/>
      <c r="QDC67" s="1"/>
      <c r="QDD67" s="1"/>
      <c r="QDE67" s="1"/>
      <c r="QDF67" s="1"/>
      <c r="QDG67" s="1"/>
      <c r="QDH67" s="1"/>
      <c r="QDI67" s="1"/>
      <c r="QDJ67" s="1"/>
      <c r="QDK67" s="1"/>
      <c r="QDL67" s="1"/>
      <c r="QDM67" s="1"/>
      <c r="QDN67" s="1"/>
      <c r="QDO67" s="1"/>
      <c r="QDP67" s="1"/>
      <c r="QDQ67" s="1"/>
      <c r="QDR67" s="1"/>
      <c r="QDS67" s="1"/>
      <c r="QDT67" s="1"/>
      <c r="QDU67" s="1"/>
      <c r="QDV67" s="1"/>
      <c r="QDW67" s="1"/>
      <c r="QDX67" s="1"/>
      <c r="QDY67" s="1"/>
      <c r="QDZ67" s="1"/>
      <c r="QEA67" s="1"/>
      <c r="QEB67" s="1"/>
      <c r="QEC67" s="1"/>
      <c r="QED67" s="1"/>
      <c r="QEE67" s="1"/>
      <c r="QEF67" s="1"/>
      <c r="QEG67" s="1"/>
      <c r="QEH67" s="1"/>
      <c r="QEI67" s="1"/>
      <c r="QEJ67" s="1"/>
      <c r="QEK67" s="1"/>
      <c r="QEL67" s="1"/>
      <c r="QEM67" s="1"/>
      <c r="QEN67" s="1"/>
      <c r="QEO67" s="1"/>
      <c r="QEP67" s="1"/>
      <c r="QEQ67" s="1"/>
      <c r="QER67" s="1"/>
      <c r="QES67" s="1"/>
      <c r="QET67" s="1"/>
      <c r="QEU67" s="1"/>
      <c r="QEV67" s="1"/>
      <c r="QEW67" s="1"/>
      <c r="QEX67" s="1"/>
      <c r="QEY67" s="1"/>
      <c r="QEZ67" s="1"/>
      <c r="QFA67" s="1"/>
      <c r="QFB67" s="1"/>
      <c r="QFC67" s="1"/>
      <c r="QFD67" s="1"/>
      <c r="QFE67" s="1"/>
      <c r="QFF67" s="1"/>
      <c r="QFG67" s="1"/>
      <c r="QFH67" s="1"/>
      <c r="QFI67" s="1"/>
      <c r="QFJ67" s="1"/>
      <c r="QFK67" s="1"/>
      <c r="QFL67" s="1"/>
      <c r="QFM67" s="1"/>
      <c r="QFN67" s="1"/>
      <c r="QFO67" s="1"/>
      <c r="QFP67" s="1"/>
      <c r="QFQ67" s="1"/>
      <c r="QFR67" s="1"/>
      <c r="QFS67" s="1"/>
      <c r="QFT67" s="1"/>
      <c r="QFU67" s="1"/>
      <c r="QFV67" s="1"/>
      <c r="QFW67" s="1"/>
      <c r="QFX67" s="1"/>
      <c r="QFY67" s="1"/>
      <c r="QFZ67" s="1"/>
      <c r="QGA67" s="1"/>
      <c r="QGB67" s="1"/>
      <c r="QGC67" s="1"/>
      <c r="QGD67" s="1"/>
      <c r="QGE67" s="1"/>
      <c r="QGF67" s="1"/>
      <c r="QGG67" s="1"/>
      <c r="QGH67" s="1"/>
      <c r="QGI67" s="1"/>
      <c r="QGJ67" s="1"/>
      <c r="QGK67" s="1"/>
      <c r="QGL67" s="1"/>
      <c r="QGM67" s="1"/>
      <c r="QGN67" s="1"/>
      <c r="QGO67" s="1"/>
      <c r="QGP67" s="1"/>
      <c r="QGQ67" s="1"/>
      <c r="QGR67" s="1"/>
      <c r="QGS67" s="1"/>
      <c r="QGT67" s="1"/>
      <c r="QGU67" s="1"/>
      <c r="QGV67" s="1"/>
      <c r="QGW67" s="1"/>
      <c r="QGX67" s="1"/>
      <c r="QGY67" s="1"/>
      <c r="QGZ67" s="1"/>
      <c r="QHA67" s="1"/>
      <c r="QHB67" s="1"/>
      <c r="QHC67" s="1"/>
      <c r="QHD67" s="1"/>
      <c r="QHE67" s="1"/>
      <c r="QHF67" s="1"/>
      <c r="QHG67" s="1"/>
      <c r="QHH67" s="1"/>
      <c r="QHI67" s="1"/>
      <c r="QHJ67" s="1"/>
      <c r="QHK67" s="1"/>
      <c r="QHL67" s="1"/>
      <c r="QHM67" s="1"/>
      <c r="QHN67" s="1"/>
      <c r="QHO67" s="1"/>
      <c r="QHP67" s="1"/>
      <c r="QHQ67" s="1"/>
      <c r="QHR67" s="1"/>
      <c r="QHS67" s="1"/>
      <c r="QHT67" s="1"/>
      <c r="QHU67" s="1"/>
      <c r="QHV67" s="1"/>
      <c r="QHW67" s="1"/>
      <c r="QHX67" s="1"/>
      <c r="QHY67" s="1"/>
      <c r="QHZ67" s="1"/>
      <c r="QIA67" s="1"/>
      <c r="QIB67" s="1"/>
      <c r="QIC67" s="1"/>
      <c r="QID67" s="1"/>
      <c r="QIE67" s="1"/>
      <c r="QIF67" s="1"/>
      <c r="QIG67" s="1"/>
      <c r="QIH67" s="1"/>
      <c r="QII67" s="1"/>
      <c r="QIJ67" s="1"/>
      <c r="QIK67" s="1"/>
      <c r="QIL67" s="1"/>
      <c r="QIM67" s="1"/>
      <c r="QIN67" s="1"/>
      <c r="QIO67" s="1"/>
      <c r="QIP67" s="1"/>
      <c r="QIQ67" s="1"/>
      <c r="QIR67" s="1"/>
      <c r="QIS67" s="1"/>
      <c r="QIT67" s="1"/>
      <c r="QIU67" s="1"/>
      <c r="QIV67" s="1"/>
      <c r="QIW67" s="1"/>
      <c r="QIX67" s="1"/>
      <c r="QIY67" s="1"/>
      <c r="QIZ67" s="1"/>
      <c r="QJA67" s="1"/>
      <c r="QJB67" s="1"/>
      <c r="QJC67" s="1"/>
      <c r="QJD67" s="1"/>
      <c r="QJE67" s="1"/>
      <c r="QJF67" s="1"/>
      <c r="QJG67" s="1"/>
      <c r="QJH67" s="1"/>
      <c r="QJI67" s="1"/>
      <c r="QJJ67" s="1"/>
      <c r="QJK67" s="1"/>
      <c r="QJL67" s="1"/>
      <c r="QJM67" s="1"/>
      <c r="QJN67" s="1"/>
      <c r="QJO67" s="1"/>
      <c r="QJP67" s="1"/>
      <c r="QJQ67" s="1"/>
      <c r="QJR67" s="1"/>
      <c r="QJS67" s="1"/>
      <c r="QJT67" s="1"/>
      <c r="QJU67" s="1"/>
      <c r="QJV67" s="1"/>
      <c r="QJW67" s="1"/>
      <c r="QJX67" s="1"/>
      <c r="QJY67" s="1"/>
      <c r="QJZ67" s="1"/>
      <c r="QKA67" s="1"/>
      <c r="QKB67" s="1"/>
      <c r="QKC67" s="1"/>
      <c r="QKD67" s="1"/>
      <c r="QKE67" s="1"/>
      <c r="QKF67" s="1"/>
      <c r="QKG67" s="1"/>
      <c r="QKH67" s="1"/>
      <c r="QKI67" s="1"/>
      <c r="QKJ67" s="1"/>
      <c r="QKK67" s="1"/>
      <c r="QKL67" s="1"/>
      <c r="QKM67" s="1"/>
      <c r="QKN67" s="1"/>
      <c r="QKO67" s="1"/>
      <c r="QKP67" s="1"/>
      <c r="QKQ67" s="1"/>
      <c r="QKR67" s="1"/>
      <c r="QKS67" s="1"/>
      <c r="QKT67" s="1"/>
      <c r="QKU67" s="1"/>
      <c r="QKV67" s="1"/>
      <c r="QKW67" s="1"/>
      <c r="QKX67" s="1"/>
      <c r="QKY67" s="1"/>
      <c r="QKZ67" s="1"/>
      <c r="QLA67" s="1"/>
      <c r="QLB67" s="1"/>
      <c r="QLC67" s="1"/>
      <c r="QLD67" s="1"/>
      <c r="QLE67" s="1"/>
      <c r="QLF67" s="1"/>
      <c r="QLG67" s="1"/>
      <c r="QLH67" s="1"/>
      <c r="QLI67" s="1"/>
      <c r="QLJ67" s="1"/>
      <c r="QLK67" s="1"/>
      <c r="QLL67" s="1"/>
      <c r="QLM67" s="1"/>
      <c r="QLN67" s="1"/>
      <c r="QLO67" s="1"/>
      <c r="QLP67" s="1"/>
      <c r="QLQ67" s="1"/>
      <c r="QLR67" s="1"/>
      <c r="QLS67" s="1"/>
      <c r="QLT67" s="1"/>
      <c r="QLU67" s="1"/>
      <c r="QLV67" s="1"/>
      <c r="QLW67" s="1"/>
      <c r="QLX67" s="1"/>
      <c r="QLY67" s="1"/>
      <c r="QLZ67" s="1"/>
      <c r="QMA67" s="1"/>
      <c r="QMB67" s="1"/>
      <c r="QMC67" s="1"/>
      <c r="QMD67" s="1"/>
      <c r="QME67" s="1"/>
      <c r="QMF67" s="1"/>
      <c r="QMG67" s="1"/>
      <c r="QMH67" s="1"/>
      <c r="QMI67" s="1"/>
      <c r="QMJ67" s="1"/>
      <c r="QMK67" s="1"/>
      <c r="QML67" s="1"/>
      <c r="QMM67" s="1"/>
      <c r="QMN67" s="1"/>
      <c r="QMO67" s="1"/>
      <c r="QMP67" s="1"/>
      <c r="QMQ67" s="1"/>
      <c r="QMR67" s="1"/>
      <c r="QMS67" s="1"/>
      <c r="QMT67" s="1"/>
      <c r="QMU67" s="1"/>
      <c r="QMV67" s="1"/>
      <c r="QMW67" s="1"/>
      <c r="QMX67" s="1"/>
      <c r="QMY67" s="1"/>
      <c r="QMZ67" s="1"/>
      <c r="QNA67" s="1"/>
      <c r="QNB67" s="1"/>
      <c r="QNC67" s="1"/>
      <c r="QND67" s="1"/>
      <c r="QNE67" s="1"/>
      <c r="QNF67" s="1"/>
      <c r="QNG67" s="1"/>
      <c r="QNH67" s="1"/>
      <c r="QNI67" s="1"/>
      <c r="QNJ67" s="1"/>
      <c r="QNK67" s="1"/>
      <c r="QNL67" s="1"/>
      <c r="QNM67" s="1"/>
      <c r="QNN67" s="1"/>
      <c r="QNO67" s="1"/>
      <c r="QNP67" s="1"/>
      <c r="QNQ67" s="1"/>
      <c r="QNR67" s="1"/>
      <c r="QNS67" s="1"/>
      <c r="QNT67" s="1"/>
      <c r="QNU67" s="1"/>
      <c r="QNV67" s="1"/>
      <c r="QNW67" s="1"/>
      <c r="QNX67" s="1"/>
      <c r="QNY67" s="1"/>
      <c r="QNZ67" s="1"/>
      <c r="QOA67" s="1"/>
      <c r="QOB67" s="1"/>
      <c r="QOC67" s="1"/>
      <c r="QOD67" s="1"/>
      <c r="QOE67" s="1"/>
      <c r="QOF67" s="1"/>
      <c r="QOG67" s="1"/>
      <c r="QOH67" s="1"/>
      <c r="QOI67" s="1"/>
      <c r="QOJ67" s="1"/>
      <c r="QOK67" s="1"/>
      <c r="QOL67" s="1"/>
      <c r="QOM67" s="1"/>
      <c r="QON67" s="1"/>
      <c r="QOO67" s="1"/>
      <c r="QOP67" s="1"/>
      <c r="QOQ67" s="1"/>
      <c r="QOR67" s="1"/>
      <c r="QOS67" s="1"/>
      <c r="QOT67" s="1"/>
      <c r="QOU67" s="1"/>
      <c r="QOV67" s="1"/>
      <c r="QOW67" s="1"/>
      <c r="QOX67" s="1"/>
      <c r="QOY67" s="1"/>
      <c r="QOZ67" s="1"/>
      <c r="QPA67" s="1"/>
      <c r="QPB67" s="1"/>
      <c r="QPC67" s="1"/>
      <c r="QPD67" s="1"/>
      <c r="QPE67" s="1"/>
      <c r="QPF67" s="1"/>
      <c r="QPG67" s="1"/>
      <c r="QPH67" s="1"/>
      <c r="QPI67" s="1"/>
      <c r="QPJ67" s="1"/>
      <c r="QPK67" s="1"/>
      <c r="QPL67" s="1"/>
      <c r="QPM67" s="1"/>
      <c r="QPN67" s="1"/>
      <c r="QPO67" s="1"/>
      <c r="QPP67" s="1"/>
      <c r="QPQ67" s="1"/>
      <c r="QPR67" s="1"/>
      <c r="QPS67" s="1"/>
      <c r="QPT67" s="1"/>
      <c r="QPU67" s="1"/>
      <c r="QPV67" s="1"/>
      <c r="QPW67" s="1"/>
      <c r="QPX67" s="1"/>
      <c r="QPY67" s="1"/>
      <c r="QPZ67" s="1"/>
      <c r="QQA67" s="1"/>
      <c r="QQB67" s="1"/>
      <c r="QQC67" s="1"/>
      <c r="QQD67" s="1"/>
      <c r="QQE67" s="1"/>
      <c r="QQF67" s="1"/>
      <c r="QQG67" s="1"/>
      <c r="QQH67" s="1"/>
      <c r="QQI67" s="1"/>
      <c r="QQJ67" s="1"/>
      <c r="QQK67" s="1"/>
      <c r="QQL67" s="1"/>
      <c r="QQM67" s="1"/>
      <c r="QQN67" s="1"/>
      <c r="QQO67" s="1"/>
      <c r="QQP67" s="1"/>
      <c r="QQQ67" s="1"/>
      <c r="QQR67" s="1"/>
      <c r="QQS67" s="1"/>
      <c r="QQT67" s="1"/>
      <c r="QQU67" s="1"/>
      <c r="QQV67" s="1"/>
      <c r="QQW67" s="1"/>
      <c r="QQX67" s="1"/>
      <c r="QQY67" s="1"/>
      <c r="QQZ67" s="1"/>
      <c r="QRA67" s="1"/>
      <c r="QRB67" s="1"/>
      <c r="QRC67" s="1"/>
      <c r="QRD67" s="1"/>
      <c r="QRE67" s="1"/>
      <c r="QRF67" s="1"/>
      <c r="QRG67" s="1"/>
      <c r="QRH67" s="1"/>
      <c r="QRI67" s="1"/>
      <c r="QRJ67" s="1"/>
      <c r="QRK67" s="1"/>
      <c r="QRL67" s="1"/>
      <c r="QRM67" s="1"/>
      <c r="QRN67" s="1"/>
      <c r="QRO67" s="1"/>
      <c r="QRP67" s="1"/>
      <c r="QRQ67" s="1"/>
      <c r="QRR67" s="1"/>
      <c r="QRS67" s="1"/>
      <c r="QRT67" s="1"/>
      <c r="QRU67" s="1"/>
      <c r="QRV67" s="1"/>
      <c r="QRW67" s="1"/>
      <c r="QRX67" s="1"/>
      <c r="QRY67" s="1"/>
      <c r="QRZ67" s="1"/>
      <c r="QSA67" s="1"/>
      <c r="QSB67" s="1"/>
      <c r="QSC67" s="1"/>
      <c r="QSD67" s="1"/>
      <c r="QSE67" s="1"/>
      <c r="QSF67" s="1"/>
      <c r="QSG67" s="1"/>
      <c r="QSH67" s="1"/>
      <c r="QSI67" s="1"/>
      <c r="QSJ67" s="1"/>
      <c r="QSK67" s="1"/>
      <c r="QSL67" s="1"/>
      <c r="QSM67" s="1"/>
      <c r="QSN67" s="1"/>
      <c r="QSO67" s="1"/>
      <c r="QSP67" s="1"/>
      <c r="QSQ67" s="1"/>
      <c r="QSR67" s="1"/>
      <c r="QSS67" s="1"/>
      <c r="QST67" s="1"/>
      <c r="QSU67" s="1"/>
      <c r="QSV67" s="1"/>
      <c r="QSW67" s="1"/>
      <c r="QSX67" s="1"/>
      <c r="QSY67" s="1"/>
      <c r="QSZ67" s="1"/>
      <c r="QTA67" s="1"/>
      <c r="QTB67" s="1"/>
      <c r="QTC67" s="1"/>
      <c r="QTD67" s="1"/>
      <c r="QTE67" s="1"/>
      <c r="QTF67" s="1"/>
      <c r="QTG67" s="1"/>
      <c r="QTH67" s="1"/>
      <c r="QTI67" s="1"/>
      <c r="QTJ67" s="1"/>
      <c r="QTK67" s="1"/>
      <c r="QTL67" s="1"/>
      <c r="QTM67" s="1"/>
      <c r="QTN67" s="1"/>
      <c r="QTO67" s="1"/>
      <c r="QTP67" s="1"/>
      <c r="QTQ67" s="1"/>
      <c r="QTR67" s="1"/>
      <c r="QTS67" s="1"/>
      <c r="QTT67" s="1"/>
      <c r="QTU67" s="1"/>
      <c r="QTV67" s="1"/>
      <c r="QTW67" s="1"/>
      <c r="QTX67" s="1"/>
      <c r="QTY67" s="1"/>
      <c r="QTZ67" s="1"/>
      <c r="QUA67" s="1"/>
      <c r="QUB67" s="1"/>
      <c r="QUC67" s="1"/>
      <c r="QUD67" s="1"/>
      <c r="QUE67" s="1"/>
      <c r="QUF67" s="1"/>
      <c r="QUG67" s="1"/>
      <c r="QUH67" s="1"/>
      <c r="QUI67" s="1"/>
      <c r="QUJ67" s="1"/>
      <c r="QUK67" s="1"/>
      <c r="QUL67" s="1"/>
      <c r="QUM67" s="1"/>
      <c r="QUN67" s="1"/>
      <c r="QUO67" s="1"/>
      <c r="QUP67" s="1"/>
      <c r="QUQ67" s="1"/>
      <c r="QUR67" s="1"/>
      <c r="QUS67" s="1"/>
      <c r="QUT67" s="1"/>
      <c r="QUU67" s="1"/>
      <c r="QUV67" s="1"/>
      <c r="QUW67" s="1"/>
      <c r="QUX67" s="1"/>
      <c r="QUY67" s="1"/>
      <c r="QUZ67" s="1"/>
      <c r="QVA67" s="1"/>
      <c r="QVB67" s="1"/>
      <c r="QVC67" s="1"/>
      <c r="QVD67" s="1"/>
      <c r="QVE67" s="1"/>
      <c r="QVF67" s="1"/>
      <c r="QVG67" s="1"/>
      <c r="QVH67" s="1"/>
      <c r="QVI67" s="1"/>
      <c r="QVJ67" s="1"/>
      <c r="QVK67" s="1"/>
      <c r="QVL67" s="1"/>
      <c r="QVM67" s="1"/>
      <c r="QVN67" s="1"/>
      <c r="QVO67" s="1"/>
      <c r="QVP67" s="1"/>
      <c r="QVQ67" s="1"/>
      <c r="QVR67" s="1"/>
      <c r="QVS67" s="1"/>
      <c r="QVT67" s="1"/>
      <c r="QVU67" s="1"/>
      <c r="QVV67" s="1"/>
      <c r="QVW67" s="1"/>
      <c r="QVX67" s="1"/>
      <c r="QVY67" s="1"/>
      <c r="QVZ67" s="1"/>
      <c r="QWA67" s="1"/>
      <c r="QWB67" s="1"/>
      <c r="QWC67" s="1"/>
      <c r="QWD67" s="1"/>
      <c r="QWE67" s="1"/>
      <c r="QWF67" s="1"/>
      <c r="QWG67" s="1"/>
      <c r="QWH67" s="1"/>
      <c r="QWI67" s="1"/>
      <c r="QWJ67" s="1"/>
      <c r="QWK67" s="1"/>
      <c r="QWL67" s="1"/>
      <c r="QWM67" s="1"/>
      <c r="QWN67" s="1"/>
      <c r="QWO67" s="1"/>
      <c r="QWP67" s="1"/>
      <c r="QWQ67" s="1"/>
      <c r="QWR67" s="1"/>
      <c r="QWS67" s="1"/>
      <c r="QWT67" s="1"/>
      <c r="QWU67" s="1"/>
      <c r="QWV67" s="1"/>
      <c r="QWW67" s="1"/>
      <c r="QWX67" s="1"/>
      <c r="QWY67" s="1"/>
      <c r="QWZ67" s="1"/>
      <c r="QXA67" s="1"/>
      <c r="QXB67" s="1"/>
      <c r="QXC67" s="1"/>
      <c r="QXD67" s="1"/>
      <c r="QXE67" s="1"/>
      <c r="QXF67" s="1"/>
      <c r="QXG67" s="1"/>
      <c r="QXH67" s="1"/>
      <c r="QXI67" s="1"/>
      <c r="QXJ67" s="1"/>
      <c r="QXK67" s="1"/>
      <c r="QXL67" s="1"/>
      <c r="QXM67" s="1"/>
      <c r="QXN67" s="1"/>
      <c r="QXO67" s="1"/>
      <c r="QXP67" s="1"/>
      <c r="QXQ67" s="1"/>
      <c r="QXR67" s="1"/>
      <c r="QXS67" s="1"/>
      <c r="QXT67" s="1"/>
      <c r="QXU67" s="1"/>
      <c r="QXV67" s="1"/>
      <c r="QXW67" s="1"/>
      <c r="QXX67" s="1"/>
      <c r="QXY67" s="1"/>
      <c r="QXZ67" s="1"/>
      <c r="QYA67" s="1"/>
      <c r="QYB67" s="1"/>
      <c r="QYC67" s="1"/>
      <c r="QYD67" s="1"/>
      <c r="QYE67" s="1"/>
      <c r="QYF67" s="1"/>
      <c r="QYG67" s="1"/>
      <c r="QYH67" s="1"/>
      <c r="QYI67" s="1"/>
      <c r="QYJ67" s="1"/>
      <c r="QYK67" s="1"/>
      <c r="QYL67" s="1"/>
      <c r="QYM67" s="1"/>
      <c r="QYN67" s="1"/>
      <c r="QYO67" s="1"/>
      <c r="QYP67" s="1"/>
      <c r="QYQ67" s="1"/>
      <c r="QYR67" s="1"/>
      <c r="QYS67" s="1"/>
      <c r="QYT67" s="1"/>
      <c r="QYU67" s="1"/>
      <c r="QYV67" s="1"/>
      <c r="QYW67" s="1"/>
      <c r="QYX67" s="1"/>
      <c r="QYY67" s="1"/>
      <c r="QYZ67" s="1"/>
      <c r="QZA67" s="1"/>
      <c r="QZB67" s="1"/>
      <c r="QZC67" s="1"/>
      <c r="QZD67" s="1"/>
      <c r="QZE67" s="1"/>
      <c r="QZF67" s="1"/>
      <c r="QZG67" s="1"/>
      <c r="QZH67" s="1"/>
      <c r="QZI67" s="1"/>
      <c r="QZJ67" s="1"/>
      <c r="QZK67" s="1"/>
      <c r="QZL67" s="1"/>
      <c r="QZM67" s="1"/>
      <c r="QZN67" s="1"/>
      <c r="QZO67" s="1"/>
      <c r="QZP67" s="1"/>
      <c r="QZQ67" s="1"/>
      <c r="QZR67" s="1"/>
      <c r="QZS67" s="1"/>
      <c r="QZT67" s="1"/>
      <c r="QZU67" s="1"/>
      <c r="QZV67" s="1"/>
      <c r="QZW67" s="1"/>
      <c r="QZX67" s="1"/>
      <c r="QZY67" s="1"/>
      <c r="QZZ67" s="1"/>
      <c r="RAA67" s="1"/>
      <c r="RAB67" s="1"/>
      <c r="RAC67" s="1"/>
      <c r="RAD67" s="1"/>
      <c r="RAE67" s="1"/>
      <c r="RAF67" s="1"/>
      <c r="RAG67" s="1"/>
      <c r="RAH67" s="1"/>
      <c r="RAI67" s="1"/>
      <c r="RAJ67" s="1"/>
      <c r="RAK67" s="1"/>
      <c r="RAL67" s="1"/>
      <c r="RAM67" s="1"/>
      <c r="RAN67" s="1"/>
      <c r="RAO67" s="1"/>
      <c r="RAP67" s="1"/>
      <c r="RAQ67" s="1"/>
      <c r="RAR67" s="1"/>
      <c r="RAS67" s="1"/>
      <c r="RAT67" s="1"/>
      <c r="RAU67" s="1"/>
      <c r="RAV67" s="1"/>
      <c r="RAW67" s="1"/>
      <c r="RAX67" s="1"/>
      <c r="RAY67" s="1"/>
      <c r="RAZ67" s="1"/>
      <c r="RBA67" s="1"/>
      <c r="RBB67" s="1"/>
      <c r="RBC67" s="1"/>
      <c r="RBD67" s="1"/>
      <c r="RBE67" s="1"/>
      <c r="RBF67" s="1"/>
      <c r="RBG67" s="1"/>
      <c r="RBH67" s="1"/>
      <c r="RBI67" s="1"/>
      <c r="RBJ67" s="1"/>
      <c r="RBK67" s="1"/>
      <c r="RBL67" s="1"/>
      <c r="RBM67" s="1"/>
      <c r="RBN67" s="1"/>
      <c r="RBO67" s="1"/>
      <c r="RBP67" s="1"/>
      <c r="RBQ67" s="1"/>
      <c r="RBR67" s="1"/>
      <c r="RBS67" s="1"/>
      <c r="RBT67" s="1"/>
      <c r="RBU67" s="1"/>
      <c r="RBV67" s="1"/>
      <c r="RBW67" s="1"/>
      <c r="RBX67" s="1"/>
      <c r="RBY67" s="1"/>
      <c r="RBZ67" s="1"/>
      <c r="RCA67" s="1"/>
      <c r="RCB67" s="1"/>
      <c r="RCC67" s="1"/>
      <c r="RCD67" s="1"/>
      <c r="RCE67" s="1"/>
      <c r="RCF67" s="1"/>
      <c r="RCG67" s="1"/>
      <c r="RCH67" s="1"/>
      <c r="RCI67" s="1"/>
      <c r="RCJ67" s="1"/>
      <c r="RCK67" s="1"/>
      <c r="RCL67" s="1"/>
      <c r="RCM67" s="1"/>
      <c r="RCN67" s="1"/>
      <c r="RCO67" s="1"/>
      <c r="RCP67" s="1"/>
      <c r="RCQ67" s="1"/>
      <c r="RCR67" s="1"/>
      <c r="RCS67" s="1"/>
      <c r="RCT67" s="1"/>
      <c r="RCU67" s="1"/>
      <c r="RCV67" s="1"/>
      <c r="RCW67" s="1"/>
      <c r="RCX67" s="1"/>
      <c r="RCY67" s="1"/>
      <c r="RCZ67" s="1"/>
      <c r="RDA67" s="1"/>
      <c r="RDB67" s="1"/>
      <c r="RDC67" s="1"/>
      <c r="RDD67" s="1"/>
      <c r="RDE67" s="1"/>
      <c r="RDF67" s="1"/>
      <c r="RDG67" s="1"/>
      <c r="RDH67" s="1"/>
      <c r="RDI67" s="1"/>
      <c r="RDJ67" s="1"/>
      <c r="RDK67" s="1"/>
      <c r="RDL67" s="1"/>
      <c r="RDM67" s="1"/>
      <c r="RDN67" s="1"/>
      <c r="RDO67" s="1"/>
      <c r="RDP67" s="1"/>
      <c r="RDQ67" s="1"/>
      <c r="RDR67" s="1"/>
      <c r="RDS67" s="1"/>
      <c r="RDT67" s="1"/>
      <c r="RDU67" s="1"/>
      <c r="RDV67" s="1"/>
      <c r="RDW67" s="1"/>
      <c r="RDX67" s="1"/>
      <c r="RDY67" s="1"/>
      <c r="RDZ67" s="1"/>
      <c r="REA67" s="1"/>
      <c r="REB67" s="1"/>
      <c r="REC67" s="1"/>
      <c r="RED67" s="1"/>
      <c r="REE67" s="1"/>
      <c r="REF67" s="1"/>
      <c r="REG67" s="1"/>
      <c r="REH67" s="1"/>
      <c r="REI67" s="1"/>
      <c r="REJ67" s="1"/>
      <c r="REK67" s="1"/>
      <c r="REL67" s="1"/>
      <c r="REM67" s="1"/>
      <c r="REN67" s="1"/>
      <c r="REO67" s="1"/>
      <c r="REP67" s="1"/>
      <c r="REQ67" s="1"/>
      <c r="RER67" s="1"/>
      <c r="RES67" s="1"/>
      <c r="RET67" s="1"/>
      <c r="REU67" s="1"/>
      <c r="REV67" s="1"/>
      <c r="REW67" s="1"/>
      <c r="REX67" s="1"/>
      <c r="REY67" s="1"/>
      <c r="REZ67" s="1"/>
      <c r="RFA67" s="1"/>
      <c r="RFB67" s="1"/>
      <c r="RFC67" s="1"/>
      <c r="RFD67" s="1"/>
      <c r="RFE67" s="1"/>
      <c r="RFF67" s="1"/>
      <c r="RFG67" s="1"/>
      <c r="RFH67" s="1"/>
      <c r="RFI67" s="1"/>
      <c r="RFJ67" s="1"/>
      <c r="RFK67" s="1"/>
      <c r="RFL67" s="1"/>
      <c r="RFM67" s="1"/>
      <c r="RFN67" s="1"/>
      <c r="RFO67" s="1"/>
      <c r="RFP67" s="1"/>
      <c r="RFQ67" s="1"/>
      <c r="RFR67" s="1"/>
      <c r="RFS67" s="1"/>
      <c r="RFT67" s="1"/>
      <c r="RFU67" s="1"/>
      <c r="RFV67" s="1"/>
      <c r="RFW67" s="1"/>
      <c r="RFX67" s="1"/>
      <c r="RFY67" s="1"/>
      <c r="RFZ67" s="1"/>
      <c r="RGA67" s="1"/>
      <c r="RGB67" s="1"/>
      <c r="RGC67" s="1"/>
      <c r="RGD67" s="1"/>
      <c r="RGE67" s="1"/>
      <c r="RGF67" s="1"/>
      <c r="RGG67" s="1"/>
      <c r="RGH67" s="1"/>
      <c r="RGI67" s="1"/>
      <c r="RGJ67" s="1"/>
      <c r="RGK67" s="1"/>
      <c r="RGL67" s="1"/>
      <c r="RGM67" s="1"/>
      <c r="RGN67" s="1"/>
      <c r="RGO67" s="1"/>
      <c r="RGP67" s="1"/>
      <c r="RGQ67" s="1"/>
      <c r="RGR67" s="1"/>
      <c r="RGS67" s="1"/>
      <c r="RGT67" s="1"/>
      <c r="RGU67" s="1"/>
      <c r="RGV67" s="1"/>
      <c r="RGW67" s="1"/>
      <c r="RGX67" s="1"/>
      <c r="RGY67" s="1"/>
      <c r="RGZ67" s="1"/>
      <c r="RHA67" s="1"/>
      <c r="RHB67" s="1"/>
      <c r="RHC67" s="1"/>
      <c r="RHD67" s="1"/>
      <c r="RHE67" s="1"/>
      <c r="RHF67" s="1"/>
      <c r="RHG67" s="1"/>
      <c r="RHH67" s="1"/>
      <c r="RHI67" s="1"/>
      <c r="RHJ67" s="1"/>
      <c r="RHK67" s="1"/>
      <c r="RHL67" s="1"/>
      <c r="RHM67" s="1"/>
      <c r="RHN67" s="1"/>
      <c r="RHO67" s="1"/>
      <c r="RHP67" s="1"/>
      <c r="RHQ67" s="1"/>
      <c r="RHR67" s="1"/>
      <c r="RHS67" s="1"/>
      <c r="RHT67" s="1"/>
      <c r="RHU67" s="1"/>
      <c r="RHV67" s="1"/>
      <c r="RHW67" s="1"/>
      <c r="RHX67" s="1"/>
      <c r="RHY67" s="1"/>
      <c r="RHZ67" s="1"/>
      <c r="RIA67" s="1"/>
      <c r="RIB67" s="1"/>
      <c r="RIC67" s="1"/>
      <c r="RID67" s="1"/>
      <c r="RIE67" s="1"/>
      <c r="RIF67" s="1"/>
      <c r="RIG67" s="1"/>
      <c r="RIH67" s="1"/>
      <c r="RII67" s="1"/>
      <c r="RIJ67" s="1"/>
      <c r="RIK67" s="1"/>
      <c r="RIL67" s="1"/>
      <c r="RIM67" s="1"/>
      <c r="RIN67" s="1"/>
      <c r="RIO67" s="1"/>
      <c r="RIP67" s="1"/>
      <c r="RIQ67" s="1"/>
      <c r="RIR67" s="1"/>
      <c r="RIS67" s="1"/>
      <c r="RIT67" s="1"/>
      <c r="RIU67" s="1"/>
      <c r="RIV67" s="1"/>
      <c r="RIW67" s="1"/>
      <c r="RIX67" s="1"/>
      <c r="RIY67" s="1"/>
      <c r="RIZ67" s="1"/>
      <c r="RJA67" s="1"/>
      <c r="RJB67" s="1"/>
      <c r="RJC67" s="1"/>
      <c r="RJD67" s="1"/>
      <c r="RJE67" s="1"/>
      <c r="RJF67" s="1"/>
      <c r="RJG67" s="1"/>
      <c r="RJH67" s="1"/>
      <c r="RJI67" s="1"/>
      <c r="RJJ67" s="1"/>
      <c r="RJK67" s="1"/>
      <c r="RJL67" s="1"/>
      <c r="RJM67" s="1"/>
      <c r="RJN67" s="1"/>
      <c r="RJO67" s="1"/>
      <c r="RJP67" s="1"/>
      <c r="RJQ67" s="1"/>
      <c r="RJR67" s="1"/>
      <c r="RJS67" s="1"/>
      <c r="RJT67" s="1"/>
      <c r="RJU67" s="1"/>
      <c r="RJV67" s="1"/>
      <c r="RJW67" s="1"/>
      <c r="RJX67" s="1"/>
      <c r="RJY67" s="1"/>
      <c r="RJZ67" s="1"/>
      <c r="RKA67" s="1"/>
      <c r="RKB67" s="1"/>
      <c r="RKC67" s="1"/>
      <c r="RKD67" s="1"/>
      <c r="RKE67" s="1"/>
      <c r="RKF67" s="1"/>
      <c r="RKG67" s="1"/>
      <c r="RKH67" s="1"/>
      <c r="RKI67" s="1"/>
      <c r="RKJ67" s="1"/>
      <c r="RKK67" s="1"/>
      <c r="RKL67" s="1"/>
      <c r="RKM67" s="1"/>
      <c r="RKN67" s="1"/>
      <c r="RKO67" s="1"/>
      <c r="RKP67" s="1"/>
      <c r="RKQ67" s="1"/>
      <c r="RKR67" s="1"/>
      <c r="RKS67" s="1"/>
      <c r="RKT67" s="1"/>
      <c r="RKU67" s="1"/>
      <c r="RKV67" s="1"/>
      <c r="RKW67" s="1"/>
      <c r="RKX67" s="1"/>
      <c r="RKY67" s="1"/>
      <c r="RKZ67" s="1"/>
      <c r="RLA67" s="1"/>
      <c r="RLB67" s="1"/>
      <c r="RLC67" s="1"/>
      <c r="RLD67" s="1"/>
      <c r="RLE67" s="1"/>
      <c r="RLF67" s="1"/>
      <c r="RLG67" s="1"/>
      <c r="RLH67" s="1"/>
      <c r="RLI67" s="1"/>
      <c r="RLJ67" s="1"/>
      <c r="RLK67" s="1"/>
      <c r="RLL67" s="1"/>
      <c r="RLM67" s="1"/>
      <c r="RLN67" s="1"/>
      <c r="RLO67" s="1"/>
      <c r="RLP67" s="1"/>
      <c r="RLQ67" s="1"/>
      <c r="RLR67" s="1"/>
      <c r="RLS67" s="1"/>
      <c r="RLT67" s="1"/>
      <c r="RLU67" s="1"/>
      <c r="RLV67" s="1"/>
      <c r="RLW67" s="1"/>
      <c r="RLX67" s="1"/>
      <c r="RLY67" s="1"/>
      <c r="RLZ67" s="1"/>
      <c r="RMA67" s="1"/>
      <c r="RMB67" s="1"/>
      <c r="RMC67" s="1"/>
      <c r="RMD67" s="1"/>
      <c r="RME67" s="1"/>
      <c r="RMF67" s="1"/>
      <c r="RMG67" s="1"/>
      <c r="RMH67" s="1"/>
      <c r="RMI67" s="1"/>
      <c r="RMJ67" s="1"/>
      <c r="RMK67" s="1"/>
      <c r="RML67" s="1"/>
      <c r="RMM67" s="1"/>
      <c r="RMN67" s="1"/>
      <c r="RMO67" s="1"/>
      <c r="RMP67" s="1"/>
      <c r="RMQ67" s="1"/>
      <c r="RMR67" s="1"/>
      <c r="RMS67" s="1"/>
      <c r="RMT67" s="1"/>
      <c r="RMU67" s="1"/>
      <c r="RMV67" s="1"/>
      <c r="RMW67" s="1"/>
      <c r="RMX67" s="1"/>
      <c r="RMY67" s="1"/>
      <c r="RMZ67" s="1"/>
      <c r="RNA67" s="1"/>
      <c r="RNB67" s="1"/>
      <c r="RNC67" s="1"/>
      <c r="RND67" s="1"/>
      <c r="RNE67" s="1"/>
      <c r="RNF67" s="1"/>
      <c r="RNG67" s="1"/>
      <c r="RNH67" s="1"/>
      <c r="RNI67" s="1"/>
      <c r="RNJ67" s="1"/>
      <c r="RNK67" s="1"/>
      <c r="RNL67" s="1"/>
      <c r="RNM67" s="1"/>
      <c r="RNN67" s="1"/>
      <c r="RNO67" s="1"/>
      <c r="RNP67" s="1"/>
      <c r="RNQ67" s="1"/>
      <c r="RNR67" s="1"/>
      <c r="RNS67" s="1"/>
      <c r="RNT67" s="1"/>
      <c r="RNU67" s="1"/>
      <c r="RNV67" s="1"/>
      <c r="RNW67" s="1"/>
      <c r="RNX67" s="1"/>
      <c r="RNY67" s="1"/>
      <c r="RNZ67" s="1"/>
      <c r="ROA67" s="1"/>
      <c r="ROB67" s="1"/>
      <c r="ROC67" s="1"/>
      <c r="ROD67" s="1"/>
      <c r="ROE67" s="1"/>
      <c r="ROF67" s="1"/>
      <c r="ROG67" s="1"/>
      <c r="ROH67" s="1"/>
      <c r="ROI67" s="1"/>
      <c r="ROJ67" s="1"/>
      <c r="ROK67" s="1"/>
      <c r="ROL67" s="1"/>
      <c r="ROM67" s="1"/>
      <c r="RON67" s="1"/>
      <c r="ROO67" s="1"/>
      <c r="ROP67" s="1"/>
      <c r="ROQ67" s="1"/>
      <c r="ROR67" s="1"/>
      <c r="ROS67" s="1"/>
      <c r="ROT67" s="1"/>
      <c r="ROU67" s="1"/>
      <c r="ROV67" s="1"/>
      <c r="ROW67" s="1"/>
      <c r="ROX67" s="1"/>
      <c r="ROY67" s="1"/>
      <c r="ROZ67" s="1"/>
      <c r="RPA67" s="1"/>
      <c r="RPB67" s="1"/>
      <c r="RPC67" s="1"/>
      <c r="RPD67" s="1"/>
      <c r="RPE67" s="1"/>
      <c r="RPF67" s="1"/>
      <c r="RPG67" s="1"/>
      <c r="RPH67" s="1"/>
      <c r="RPI67" s="1"/>
      <c r="RPJ67" s="1"/>
      <c r="RPK67" s="1"/>
      <c r="RPL67" s="1"/>
      <c r="RPM67" s="1"/>
      <c r="RPN67" s="1"/>
      <c r="RPO67" s="1"/>
      <c r="RPP67" s="1"/>
      <c r="RPQ67" s="1"/>
      <c r="RPR67" s="1"/>
      <c r="RPS67" s="1"/>
      <c r="RPT67" s="1"/>
      <c r="RPU67" s="1"/>
      <c r="RPV67" s="1"/>
      <c r="RPW67" s="1"/>
      <c r="RPX67" s="1"/>
      <c r="RPY67" s="1"/>
      <c r="RPZ67" s="1"/>
      <c r="RQA67" s="1"/>
      <c r="RQB67" s="1"/>
      <c r="RQC67" s="1"/>
      <c r="RQD67" s="1"/>
      <c r="RQE67" s="1"/>
      <c r="RQF67" s="1"/>
      <c r="RQG67" s="1"/>
      <c r="RQH67" s="1"/>
      <c r="RQI67" s="1"/>
      <c r="RQJ67" s="1"/>
      <c r="RQK67" s="1"/>
      <c r="RQL67" s="1"/>
      <c r="RQM67" s="1"/>
      <c r="RQN67" s="1"/>
      <c r="RQO67" s="1"/>
      <c r="RQP67" s="1"/>
      <c r="RQQ67" s="1"/>
      <c r="RQR67" s="1"/>
      <c r="RQS67" s="1"/>
      <c r="RQT67" s="1"/>
      <c r="RQU67" s="1"/>
      <c r="RQV67" s="1"/>
      <c r="RQW67" s="1"/>
      <c r="RQX67" s="1"/>
      <c r="RQY67" s="1"/>
      <c r="RQZ67" s="1"/>
      <c r="RRA67" s="1"/>
      <c r="RRB67" s="1"/>
      <c r="RRC67" s="1"/>
      <c r="RRD67" s="1"/>
      <c r="RRE67" s="1"/>
      <c r="RRF67" s="1"/>
      <c r="RRG67" s="1"/>
      <c r="RRH67" s="1"/>
      <c r="RRI67" s="1"/>
      <c r="RRJ67" s="1"/>
      <c r="RRK67" s="1"/>
      <c r="RRL67" s="1"/>
      <c r="RRM67" s="1"/>
      <c r="RRN67" s="1"/>
      <c r="RRO67" s="1"/>
      <c r="RRP67" s="1"/>
      <c r="RRQ67" s="1"/>
      <c r="RRR67" s="1"/>
      <c r="RRS67" s="1"/>
      <c r="RRT67" s="1"/>
      <c r="RRU67" s="1"/>
      <c r="RRV67" s="1"/>
      <c r="RRW67" s="1"/>
      <c r="RRX67" s="1"/>
      <c r="RRY67" s="1"/>
      <c r="RRZ67" s="1"/>
      <c r="RSA67" s="1"/>
      <c r="RSB67" s="1"/>
      <c r="RSC67" s="1"/>
      <c r="RSD67" s="1"/>
      <c r="RSE67" s="1"/>
      <c r="RSF67" s="1"/>
      <c r="RSG67" s="1"/>
      <c r="RSH67" s="1"/>
      <c r="RSI67" s="1"/>
      <c r="RSJ67" s="1"/>
      <c r="RSK67" s="1"/>
      <c r="RSL67" s="1"/>
      <c r="RSM67" s="1"/>
      <c r="RSN67" s="1"/>
      <c r="RSO67" s="1"/>
      <c r="RSP67" s="1"/>
      <c r="RSQ67" s="1"/>
      <c r="RSR67" s="1"/>
      <c r="RSS67" s="1"/>
      <c r="RST67" s="1"/>
      <c r="RSU67" s="1"/>
      <c r="RSV67" s="1"/>
      <c r="RSW67" s="1"/>
      <c r="RSX67" s="1"/>
      <c r="RSY67" s="1"/>
      <c r="RSZ67" s="1"/>
      <c r="RTA67" s="1"/>
      <c r="RTB67" s="1"/>
      <c r="RTC67" s="1"/>
      <c r="RTD67" s="1"/>
      <c r="RTE67" s="1"/>
      <c r="RTF67" s="1"/>
      <c r="RTG67" s="1"/>
      <c r="RTH67" s="1"/>
      <c r="RTI67" s="1"/>
      <c r="RTJ67" s="1"/>
      <c r="RTK67" s="1"/>
      <c r="RTL67" s="1"/>
      <c r="RTM67" s="1"/>
      <c r="RTN67" s="1"/>
      <c r="RTO67" s="1"/>
      <c r="RTP67" s="1"/>
      <c r="RTQ67" s="1"/>
      <c r="RTR67" s="1"/>
      <c r="RTS67" s="1"/>
      <c r="RTT67" s="1"/>
      <c r="RTU67" s="1"/>
      <c r="RTV67" s="1"/>
      <c r="RTW67" s="1"/>
      <c r="RTX67" s="1"/>
      <c r="RTY67" s="1"/>
      <c r="RTZ67" s="1"/>
      <c r="RUA67" s="1"/>
      <c r="RUB67" s="1"/>
      <c r="RUC67" s="1"/>
      <c r="RUD67" s="1"/>
      <c r="RUE67" s="1"/>
      <c r="RUF67" s="1"/>
      <c r="RUG67" s="1"/>
      <c r="RUH67" s="1"/>
      <c r="RUI67" s="1"/>
      <c r="RUJ67" s="1"/>
      <c r="RUK67" s="1"/>
      <c r="RUL67" s="1"/>
      <c r="RUM67" s="1"/>
      <c r="RUN67" s="1"/>
      <c r="RUO67" s="1"/>
      <c r="RUP67" s="1"/>
      <c r="RUQ67" s="1"/>
      <c r="RUR67" s="1"/>
      <c r="RUS67" s="1"/>
      <c r="RUT67" s="1"/>
      <c r="RUU67" s="1"/>
      <c r="RUV67" s="1"/>
      <c r="RUW67" s="1"/>
      <c r="RUX67" s="1"/>
      <c r="RUY67" s="1"/>
      <c r="RUZ67" s="1"/>
      <c r="RVA67" s="1"/>
      <c r="RVB67" s="1"/>
      <c r="RVC67" s="1"/>
      <c r="RVD67" s="1"/>
      <c r="RVE67" s="1"/>
      <c r="RVF67" s="1"/>
      <c r="RVG67" s="1"/>
      <c r="RVH67" s="1"/>
      <c r="RVI67" s="1"/>
      <c r="RVJ67" s="1"/>
      <c r="RVK67" s="1"/>
      <c r="RVL67" s="1"/>
      <c r="RVM67" s="1"/>
      <c r="RVN67" s="1"/>
      <c r="RVO67" s="1"/>
      <c r="RVP67" s="1"/>
      <c r="RVQ67" s="1"/>
      <c r="RVR67" s="1"/>
      <c r="RVS67" s="1"/>
      <c r="RVT67" s="1"/>
      <c r="RVU67" s="1"/>
      <c r="RVV67" s="1"/>
      <c r="RVW67" s="1"/>
      <c r="RVX67" s="1"/>
      <c r="RVY67" s="1"/>
      <c r="RVZ67" s="1"/>
      <c r="RWA67" s="1"/>
      <c r="RWB67" s="1"/>
      <c r="RWC67" s="1"/>
      <c r="RWD67" s="1"/>
      <c r="RWE67" s="1"/>
      <c r="RWF67" s="1"/>
      <c r="RWG67" s="1"/>
      <c r="RWH67" s="1"/>
      <c r="RWI67" s="1"/>
      <c r="RWJ67" s="1"/>
      <c r="RWK67" s="1"/>
      <c r="RWL67" s="1"/>
      <c r="RWM67" s="1"/>
      <c r="RWN67" s="1"/>
      <c r="RWO67" s="1"/>
      <c r="RWP67" s="1"/>
      <c r="RWQ67" s="1"/>
      <c r="RWR67" s="1"/>
      <c r="RWS67" s="1"/>
      <c r="RWT67" s="1"/>
      <c r="RWU67" s="1"/>
      <c r="RWV67" s="1"/>
      <c r="RWW67" s="1"/>
      <c r="RWX67" s="1"/>
      <c r="RWY67" s="1"/>
      <c r="RWZ67" s="1"/>
      <c r="RXA67" s="1"/>
      <c r="RXB67" s="1"/>
      <c r="RXC67" s="1"/>
      <c r="RXD67" s="1"/>
      <c r="RXE67" s="1"/>
      <c r="RXF67" s="1"/>
      <c r="RXG67" s="1"/>
      <c r="RXH67" s="1"/>
      <c r="RXI67" s="1"/>
      <c r="RXJ67" s="1"/>
      <c r="RXK67" s="1"/>
      <c r="RXL67" s="1"/>
      <c r="RXM67" s="1"/>
      <c r="RXN67" s="1"/>
      <c r="RXO67" s="1"/>
      <c r="RXP67" s="1"/>
      <c r="RXQ67" s="1"/>
      <c r="RXR67" s="1"/>
      <c r="RXS67" s="1"/>
      <c r="RXT67" s="1"/>
      <c r="RXU67" s="1"/>
      <c r="RXV67" s="1"/>
      <c r="RXW67" s="1"/>
      <c r="RXX67" s="1"/>
      <c r="RXY67" s="1"/>
      <c r="RXZ67" s="1"/>
      <c r="RYA67" s="1"/>
      <c r="RYB67" s="1"/>
      <c r="RYC67" s="1"/>
      <c r="RYD67" s="1"/>
      <c r="RYE67" s="1"/>
      <c r="RYF67" s="1"/>
      <c r="RYG67" s="1"/>
      <c r="RYH67" s="1"/>
      <c r="RYI67" s="1"/>
      <c r="RYJ67" s="1"/>
      <c r="RYK67" s="1"/>
      <c r="RYL67" s="1"/>
      <c r="RYM67" s="1"/>
      <c r="RYN67" s="1"/>
      <c r="RYO67" s="1"/>
      <c r="RYP67" s="1"/>
      <c r="RYQ67" s="1"/>
      <c r="RYR67" s="1"/>
      <c r="RYS67" s="1"/>
      <c r="RYT67" s="1"/>
      <c r="RYU67" s="1"/>
      <c r="RYV67" s="1"/>
      <c r="RYW67" s="1"/>
      <c r="RYX67" s="1"/>
      <c r="RYY67" s="1"/>
      <c r="RYZ67" s="1"/>
      <c r="RZA67" s="1"/>
      <c r="RZB67" s="1"/>
      <c r="RZC67" s="1"/>
      <c r="RZD67" s="1"/>
      <c r="RZE67" s="1"/>
      <c r="RZF67" s="1"/>
      <c r="RZG67" s="1"/>
      <c r="RZH67" s="1"/>
      <c r="RZI67" s="1"/>
      <c r="RZJ67" s="1"/>
      <c r="RZK67" s="1"/>
      <c r="RZL67" s="1"/>
      <c r="RZM67" s="1"/>
      <c r="RZN67" s="1"/>
      <c r="RZO67" s="1"/>
      <c r="RZP67" s="1"/>
      <c r="RZQ67" s="1"/>
      <c r="RZR67" s="1"/>
      <c r="RZS67" s="1"/>
      <c r="RZT67" s="1"/>
      <c r="RZU67" s="1"/>
      <c r="RZV67" s="1"/>
      <c r="RZW67" s="1"/>
      <c r="RZX67" s="1"/>
      <c r="RZY67" s="1"/>
      <c r="RZZ67" s="1"/>
      <c r="SAA67" s="1"/>
      <c r="SAB67" s="1"/>
      <c r="SAC67" s="1"/>
      <c r="SAD67" s="1"/>
      <c r="SAE67" s="1"/>
      <c r="SAF67" s="1"/>
      <c r="SAG67" s="1"/>
      <c r="SAH67" s="1"/>
      <c r="SAI67" s="1"/>
      <c r="SAJ67" s="1"/>
      <c r="SAK67" s="1"/>
      <c r="SAL67" s="1"/>
      <c r="SAM67" s="1"/>
      <c r="SAN67" s="1"/>
      <c r="SAO67" s="1"/>
      <c r="SAP67" s="1"/>
      <c r="SAQ67" s="1"/>
      <c r="SAR67" s="1"/>
      <c r="SAS67" s="1"/>
      <c r="SAT67" s="1"/>
      <c r="SAU67" s="1"/>
      <c r="SAV67" s="1"/>
      <c r="SAW67" s="1"/>
      <c r="SAX67" s="1"/>
      <c r="SAY67" s="1"/>
      <c r="SAZ67" s="1"/>
      <c r="SBA67" s="1"/>
      <c r="SBB67" s="1"/>
      <c r="SBC67" s="1"/>
      <c r="SBD67" s="1"/>
      <c r="SBE67" s="1"/>
      <c r="SBF67" s="1"/>
      <c r="SBG67" s="1"/>
      <c r="SBH67" s="1"/>
      <c r="SBI67" s="1"/>
      <c r="SBJ67" s="1"/>
      <c r="SBK67" s="1"/>
      <c r="SBL67" s="1"/>
      <c r="SBM67" s="1"/>
      <c r="SBN67" s="1"/>
      <c r="SBO67" s="1"/>
      <c r="SBP67" s="1"/>
      <c r="SBQ67" s="1"/>
      <c r="SBR67" s="1"/>
      <c r="SBS67" s="1"/>
      <c r="SBT67" s="1"/>
      <c r="SBU67" s="1"/>
      <c r="SBV67" s="1"/>
      <c r="SBW67" s="1"/>
      <c r="SBX67" s="1"/>
      <c r="SBY67" s="1"/>
      <c r="SBZ67" s="1"/>
      <c r="SCA67" s="1"/>
      <c r="SCB67" s="1"/>
      <c r="SCC67" s="1"/>
      <c r="SCD67" s="1"/>
      <c r="SCE67" s="1"/>
      <c r="SCF67" s="1"/>
      <c r="SCG67" s="1"/>
      <c r="SCH67" s="1"/>
      <c r="SCI67" s="1"/>
      <c r="SCJ67" s="1"/>
      <c r="SCK67" s="1"/>
      <c r="SCL67" s="1"/>
      <c r="SCM67" s="1"/>
      <c r="SCN67" s="1"/>
      <c r="SCO67" s="1"/>
      <c r="SCP67" s="1"/>
      <c r="SCQ67" s="1"/>
      <c r="SCR67" s="1"/>
      <c r="SCS67" s="1"/>
      <c r="SCT67" s="1"/>
      <c r="SCU67" s="1"/>
      <c r="SCV67" s="1"/>
      <c r="SCW67" s="1"/>
      <c r="SCX67" s="1"/>
      <c r="SCY67" s="1"/>
      <c r="SCZ67" s="1"/>
      <c r="SDA67" s="1"/>
      <c r="SDB67" s="1"/>
      <c r="SDC67" s="1"/>
      <c r="SDD67" s="1"/>
      <c r="SDE67" s="1"/>
      <c r="SDF67" s="1"/>
      <c r="SDG67" s="1"/>
      <c r="SDH67" s="1"/>
      <c r="SDI67" s="1"/>
      <c r="SDJ67" s="1"/>
      <c r="SDK67" s="1"/>
      <c r="SDL67" s="1"/>
      <c r="SDM67" s="1"/>
      <c r="SDN67" s="1"/>
      <c r="SDO67" s="1"/>
      <c r="SDP67" s="1"/>
      <c r="SDQ67" s="1"/>
      <c r="SDR67" s="1"/>
      <c r="SDS67" s="1"/>
      <c r="SDT67" s="1"/>
      <c r="SDU67" s="1"/>
      <c r="SDV67" s="1"/>
      <c r="SDW67" s="1"/>
      <c r="SDX67" s="1"/>
      <c r="SDY67" s="1"/>
      <c r="SDZ67" s="1"/>
      <c r="SEA67" s="1"/>
      <c r="SEB67" s="1"/>
      <c r="SEC67" s="1"/>
      <c r="SED67" s="1"/>
      <c r="SEE67" s="1"/>
      <c r="SEF67" s="1"/>
      <c r="SEG67" s="1"/>
      <c r="SEH67" s="1"/>
      <c r="SEI67" s="1"/>
      <c r="SEJ67" s="1"/>
      <c r="SEK67" s="1"/>
      <c r="SEL67" s="1"/>
      <c r="SEM67" s="1"/>
      <c r="SEN67" s="1"/>
      <c r="SEO67" s="1"/>
      <c r="SEP67" s="1"/>
      <c r="SEQ67" s="1"/>
      <c r="SER67" s="1"/>
      <c r="SES67" s="1"/>
      <c r="SET67" s="1"/>
      <c r="SEU67" s="1"/>
      <c r="SEV67" s="1"/>
      <c r="SEW67" s="1"/>
      <c r="SEX67" s="1"/>
      <c r="SEY67" s="1"/>
      <c r="SEZ67" s="1"/>
      <c r="SFA67" s="1"/>
      <c r="SFB67" s="1"/>
      <c r="SFC67" s="1"/>
      <c r="SFD67" s="1"/>
      <c r="SFE67" s="1"/>
      <c r="SFF67" s="1"/>
      <c r="SFG67" s="1"/>
      <c r="SFH67" s="1"/>
      <c r="SFI67" s="1"/>
      <c r="SFJ67" s="1"/>
      <c r="SFK67" s="1"/>
      <c r="SFL67" s="1"/>
      <c r="SFM67" s="1"/>
      <c r="SFN67" s="1"/>
      <c r="SFO67" s="1"/>
      <c r="SFP67" s="1"/>
      <c r="SFQ67" s="1"/>
      <c r="SFR67" s="1"/>
      <c r="SFS67" s="1"/>
      <c r="SFT67" s="1"/>
      <c r="SFU67" s="1"/>
      <c r="SFV67" s="1"/>
      <c r="SFW67" s="1"/>
      <c r="SFX67" s="1"/>
      <c r="SFY67" s="1"/>
      <c r="SFZ67" s="1"/>
      <c r="SGA67" s="1"/>
      <c r="SGB67" s="1"/>
      <c r="SGC67" s="1"/>
      <c r="SGD67" s="1"/>
      <c r="SGE67" s="1"/>
      <c r="SGF67" s="1"/>
      <c r="SGG67" s="1"/>
      <c r="SGH67" s="1"/>
      <c r="SGI67" s="1"/>
      <c r="SGJ67" s="1"/>
      <c r="SGK67" s="1"/>
      <c r="SGL67" s="1"/>
      <c r="SGM67" s="1"/>
      <c r="SGN67" s="1"/>
      <c r="SGO67" s="1"/>
      <c r="SGP67" s="1"/>
      <c r="SGQ67" s="1"/>
      <c r="SGR67" s="1"/>
      <c r="SGS67" s="1"/>
      <c r="SGT67" s="1"/>
      <c r="SGU67" s="1"/>
      <c r="SGV67" s="1"/>
      <c r="SGW67" s="1"/>
      <c r="SGX67" s="1"/>
      <c r="SGY67" s="1"/>
      <c r="SGZ67" s="1"/>
      <c r="SHA67" s="1"/>
      <c r="SHB67" s="1"/>
      <c r="SHC67" s="1"/>
      <c r="SHD67" s="1"/>
      <c r="SHE67" s="1"/>
      <c r="SHF67" s="1"/>
      <c r="SHG67" s="1"/>
      <c r="SHH67" s="1"/>
      <c r="SHI67" s="1"/>
      <c r="SHJ67" s="1"/>
      <c r="SHK67" s="1"/>
      <c r="SHL67" s="1"/>
      <c r="SHM67" s="1"/>
      <c r="SHN67" s="1"/>
      <c r="SHO67" s="1"/>
      <c r="SHP67" s="1"/>
      <c r="SHQ67" s="1"/>
      <c r="SHR67" s="1"/>
      <c r="SHS67" s="1"/>
      <c r="SHT67" s="1"/>
      <c r="SHU67" s="1"/>
      <c r="SHV67" s="1"/>
      <c r="SHW67" s="1"/>
      <c r="SHX67" s="1"/>
      <c r="SHY67" s="1"/>
      <c r="SHZ67" s="1"/>
      <c r="SIA67" s="1"/>
      <c r="SIB67" s="1"/>
      <c r="SIC67" s="1"/>
      <c r="SID67" s="1"/>
      <c r="SIE67" s="1"/>
      <c r="SIF67" s="1"/>
      <c r="SIG67" s="1"/>
      <c r="SIH67" s="1"/>
      <c r="SII67" s="1"/>
      <c r="SIJ67" s="1"/>
      <c r="SIK67" s="1"/>
      <c r="SIL67" s="1"/>
      <c r="SIM67" s="1"/>
      <c r="SIN67" s="1"/>
      <c r="SIO67" s="1"/>
      <c r="SIP67" s="1"/>
      <c r="SIQ67" s="1"/>
      <c r="SIR67" s="1"/>
      <c r="SIS67" s="1"/>
      <c r="SIT67" s="1"/>
      <c r="SIU67" s="1"/>
      <c r="SIV67" s="1"/>
      <c r="SIW67" s="1"/>
      <c r="SIX67" s="1"/>
      <c r="SIY67" s="1"/>
      <c r="SIZ67" s="1"/>
      <c r="SJA67" s="1"/>
      <c r="SJB67" s="1"/>
      <c r="SJC67" s="1"/>
      <c r="SJD67" s="1"/>
      <c r="SJE67" s="1"/>
      <c r="SJF67" s="1"/>
      <c r="SJG67" s="1"/>
      <c r="SJH67" s="1"/>
      <c r="SJI67" s="1"/>
      <c r="SJJ67" s="1"/>
      <c r="SJK67" s="1"/>
      <c r="SJL67" s="1"/>
      <c r="SJM67" s="1"/>
      <c r="SJN67" s="1"/>
      <c r="SJO67" s="1"/>
      <c r="SJP67" s="1"/>
      <c r="SJQ67" s="1"/>
      <c r="SJR67" s="1"/>
      <c r="SJS67" s="1"/>
      <c r="SJT67" s="1"/>
      <c r="SJU67" s="1"/>
      <c r="SJV67" s="1"/>
      <c r="SJW67" s="1"/>
      <c r="SJX67" s="1"/>
      <c r="SJY67" s="1"/>
      <c r="SJZ67" s="1"/>
      <c r="SKA67" s="1"/>
      <c r="SKB67" s="1"/>
      <c r="SKC67" s="1"/>
      <c r="SKD67" s="1"/>
      <c r="SKE67" s="1"/>
      <c r="SKF67" s="1"/>
      <c r="SKG67" s="1"/>
      <c r="SKH67" s="1"/>
      <c r="SKI67" s="1"/>
      <c r="SKJ67" s="1"/>
      <c r="SKK67" s="1"/>
      <c r="SKL67" s="1"/>
      <c r="SKM67" s="1"/>
      <c r="SKN67" s="1"/>
      <c r="SKO67" s="1"/>
      <c r="SKP67" s="1"/>
      <c r="SKQ67" s="1"/>
      <c r="SKR67" s="1"/>
      <c r="SKS67" s="1"/>
      <c r="SKT67" s="1"/>
      <c r="SKU67" s="1"/>
      <c r="SKV67" s="1"/>
      <c r="SKW67" s="1"/>
      <c r="SKX67" s="1"/>
      <c r="SKY67" s="1"/>
      <c r="SKZ67" s="1"/>
      <c r="SLA67" s="1"/>
      <c r="SLB67" s="1"/>
      <c r="SLC67" s="1"/>
      <c r="SLD67" s="1"/>
      <c r="SLE67" s="1"/>
      <c r="SLF67" s="1"/>
      <c r="SLG67" s="1"/>
      <c r="SLH67" s="1"/>
      <c r="SLI67" s="1"/>
      <c r="SLJ67" s="1"/>
      <c r="SLK67" s="1"/>
      <c r="SLL67" s="1"/>
      <c r="SLM67" s="1"/>
      <c r="SLN67" s="1"/>
      <c r="SLO67" s="1"/>
      <c r="SLP67" s="1"/>
      <c r="SLQ67" s="1"/>
      <c r="SLR67" s="1"/>
      <c r="SLS67" s="1"/>
      <c r="SLT67" s="1"/>
      <c r="SLU67" s="1"/>
      <c r="SLV67" s="1"/>
      <c r="SLW67" s="1"/>
      <c r="SLX67" s="1"/>
      <c r="SLY67" s="1"/>
      <c r="SLZ67" s="1"/>
      <c r="SMA67" s="1"/>
      <c r="SMB67" s="1"/>
      <c r="SMC67" s="1"/>
      <c r="SMD67" s="1"/>
      <c r="SME67" s="1"/>
      <c r="SMF67" s="1"/>
      <c r="SMG67" s="1"/>
      <c r="SMH67" s="1"/>
      <c r="SMI67" s="1"/>
      <c r="SMJ67" s="1"/>
      <c r="SMK67" s="1"/>
      <c r="SML67" s="1"/>
      <c r="SMM67" s="1"/>
      <c r="SMN67" s="1"/>
      <c r="SMO67" s="1"/>
      <c r="SMP67" s="1"/>
      <c r="SMQ67" s="1"/>
      <c r="SMR67" s="1"/>
      <c r="SMS67" s="1"/>
      <c r="SMT67" s="1"/>
      <c r="SMU67" s="1"/>
      <c r="SMV67" s="1"/>
      <c r="SMW67" s="1"/>
      <c r="SMX67" s="1"/>
      <c r="SMY67" s="1"/>
      <c r="SMZ67" s="1"/>
      <c r="SNA67" s="1"/>
      <c r="SNB67" s="1"/>
      <c r="SNC67" s="1"/>
      <c r="SND67" s="1"/>
      <c r="SNE67" s="1"/>
      <c r="SNF67" s="1"/>
      <c r="SNG67" s="1"/>
      <c r="SNH67" s="1"/>
      <c r="SNI67" s="1"/>
      <c r="SNJ67" s="1"/>
      <c r="SNK67" s="1"/>
      <c r="SNL67" s="1"/>
      <c r="SNM67" s="1"/>
      <c r="SNN67" s="1"/>
      <c r="SNO67" s="1"/>
      <c r="SNP67" s="1"/>
      <c r="SNQ67" s="1"/>
      <c r="SNR67" s="1"/>
      <c r="SNS67" s="1"/>
      <c r="SNT67" s="1"/>
      <c r="SNU67" s="1"/>
      <c r="SNV67" s="1"/>
      <c r="SNW67" s="1"/>
      <c r="SNX67" s="1"/>
      <c r="SNY67" s="1"/>
      <c r="SNZ67" s="1"/>
      <c r="SOA67" s="1"/>
      <c r="SOB67" s="1"/>
      <c r="SOC67" s="1"/>
      <c r="SOD67" s="1"/>
      <c r="SOE67" s="1"/>
      <c r="SOF67" s="1"/>
      <c r="SOG67" s="1"/>
      <c r="SOH67" s="1"/>
      <c r="SOI67" s="1"/>
      <c r="SOJ67" s="1"/>
      <c r="SOK67" s="1"/>
      <c r="SOL67" s="1"/>
      <c r="SOM67" s="1"/>
      <c r="SON67" s="1"/>
      <c r="SOO67" s="1"/>
      <c r="SOP67" s="1"/>
      <c r="SOQ67" s="1"/>
      <c r="SOR67" s="1"/>
      <c r="SOS67" s="1"/>
      <c r="SOT67" s="1"/>
      <c r="SOU67" s="1"/>
      <c r="SOV67" s="1"/>
      <c r="SOW67" s="1"/>
      <c r="SOX67" s="1"/>
      <c r="SOY67" s="1"/>
      <c r="SOZ67" s="1"/>
      <c r="SPA67" s="1"/>
      <c r="SPB67" s="1"/>
      <c r="SPC67" s="1"/>
      <c r="SPD67" s="1"/>
      <c r="SPE67" s="1"/>
      <c r="SPF67" s="1"/>
      <c r="SPG67" s="1"/>
      <c r="SPH67" s="1"/>
      <c r="SPI67" s="1"/>
      <c r="SPJ67" s="1"/>
      <c r="SPK67" s="1"/>
      <c r="SPL67" s="1"/>
      <c r="SPM67" s="1"/>
      <c r="SPN67" s="1"/>
      <c r="SPO67" s="1"/>
      <c r="SPP67" s="1"/>
      <c r="SPQ67" s="1"/>
      <c r="SPR67" s="1"/>
      <c r="SPS67" s="1"/>
      <c r="SPT67" s="1"/>
      <c r="SPU67" s="1"/>
      <c r="SPV67" s="1"/>
      <c r="SPW67" s="1"/>
      <c r="SPX67" s="1"/>
      <c r="SPY67" s="1"/>
      <c r="SPZ67" s="1"/>
      <c r="SQA67" s="1"/>
      <c r="SQB67" s="1"/>
      <c r="SQC67" s="1"/>
      <c r="SQD67" s="1"/>
      <c r="SQE67" s="1"/>
      <c r="SQF67" s="1"/>
      <c r="SQG67" s="1"/>
      <c r="SQH67" s="1"/>
      <c r="SQI67" s="1"/>
      <c r="SQJ67" s="1"/>
      <c r="SQK67" s="1"/>
      <c r="SQL67" s="1"/>
      <c r="SQM67" s="1"/>
      <c r="SQN67" s="1"/>
      <c r="SQO67" s="1"/>
      <c r="SQP67" s="1"/>
      <c r="SQQ67" s="1"/>
      <c r="SQR67" s="1"/>
      <c r="SQS67" s="1"/>
      <c r="SQT67" s="1"/>
      <c r="SQU67" s="1"/>
      <c r="SQV67" s="1"/>
      <c r="SQW67" s="1"/>
      <c r="SQX67" s="1"/>
      <c r="SQY67" s="1"/>
      <c r="SQZ67" s="1"/>
      <c r="SRA67" s="1"/>
      <c r="SRB67" s="1"/>
      <c r="SRC67" s="1"/>
      <c r="SRD67" s="1"/>
      <c r="SRE67" s="1"/>
      <c r="SRF67" s="1"/>
      <c r="SRG67" s="1"/>
      <c r="SRH67" s="1"/>
      <c r="SRI67" s="1"/>
      <c r="SRJ67" s="1"/>
      <c r="SRK67" s="1"/>
      <c r="SRL67" s="1"/>
      <c r="SRM67" s="1"/>
      <c r="SRN67" s="1"/>
      <c r="SRO67" s="1"/>
      <c r="SRP67" s="1"/>
      <c r="SRQ67" s="1"/>
      <c r="SRR67" s="1"/>
      <c r="SRS67" s="1"/>
      <c r="SRT67" s="1"/>
      <c r="SRU67" s="1"/>
      <c r="SRV67" s="1"/>
      <c r="SRW67" s="1"/>
      <c r="SRX67" s="1"/>
      <c r="SRY67" s="1"/>
      <c r="SRZ67" s="1"/>
      <c r="SSA67" s="1"/>
      <c r="SSB67" s="1"/>
      <c r="SSC67" s="1"/>
      <c r="SSD67" s="1"/>
      <c r="SSE67" s="1"/>
      <c r="SSF67" s="1"/>
      <c r="SSG67" s="1"/>
      <c r="SSH67" s="1"/>
      <c r="SSI67" s="1"/>
      <c r="SSJ67" s="1"/>
      <c r="SSK67" s="1"/>
      <c r="SSL67" s="1"/>
      <c r="SSM67" s="1"/>
      <c r="SSN67" s="1"/>
      <c r="SSO67" s="1"/>
      <c r="SSP67" s="1"/>
      <c r="SSQ67" s="1"/>
      <c r="SSR67" s="1"/>
      <c r="SSS67" s="1"/>
      <c r="SST67" s="1"/>
      <c r="SSU67" s="1"/>
      <c r="SSV67" s="1"/>
      <c r="SSW67" s="1"/>
      <c r="SSX67" s="1"/>
      <c r="SSY67" s="1"/>
      <c r="SSZ67" s="1"/>
      <c r="STA67" s="1"/>
      <c r="STB67" s="1"/>
      <c r="STC67" s="1"/>
      <c r="STD67" s="1"/>
      <c r="STE67" s="1"/>
      <c r="STF67" s="1"/>
      <c r="STG67" s="1"/>
      <c r="STH67" s="1"/>
      <c r="STI67" s="1"/>
      <c r="STJ67" s="1"/>
      <c r="STK67" s="1"/>
      <c r="STL67" s="1"/>
      <c r="STM67" s="1"/>
      <c r="STN67" s="1"/>
      <c r="STO67" s="1"/>
      <c r="STP67" s="1"/>
      <c r="STQ67" s="1"/>
      <c r="STR67" s="1"/>
      <c r="STS67" s="1"/>
      <c r="STT67" s="1"/>
      <c r="STU67" s="1"/>
      <c r="STV67" s="1"/>
      <c r="STW67" s="1"/>
      <c r="STX67" s="1"/>
      <c r="STY67" s="1"/>
      <c r="STZ67" s="1"/>
      <c r="SUA67" s="1"/>
      <c r="SUB67" s="1"/>
      <c r="SUC67" s="1"/>
      <c r="SUD67" s="1"/>
      <c r="SUE67" s="1"/>
      <c r="SUF67" s="1"/>
      <c r="SUG67" s="1"/>
      <c r="SUH67" s="1"/>
      <c r="SUI67" s="1"/>
      <c r="SUJ67" s="1"/>
      <c r="SUK67" s="1"/>
      <c r="SUL67" s="1"/>
      <c r="SUM67" s="1"/>
      <c r="SUN67" s="1"/>
      <c r="SUO67" s="1"/>
      <c r="SUP67" s="1"/>
      <c r="SUQ67" s="1"/>
      <c r="SUR67" s="1"/>
      <c r="SUS67" s="1"/>
      <c r="SUT67" s="1"/>
      <c r="SUU67" s="1"/>
      <c r="SUV67" s="1"/>
      <c r="SUW67" s="1"/>
      <c r="SUX67" s="1"/>
      <c r="SUY67" s="1"/>
      <c r="SUZ67" s="1"/>
      <c r="SVA67" s="1"/>
      <c r="SVB67" s="1"/>
      <c r="SVC67" s="1"/>
      <c r="SVD67" s="1"/>
      <c r="SVE67" s="1"/>
      <c r="SVF67" s="1"/>
      <c r="SVG67" s="1"/>
      <c r="SVH67" s="1"/>
      <c r="SVI67" s="1"/>
      <c r="SVJ67" s="1"/>
      <c r="SVK67" s="1"/>
      <c r="SVL67" s="1"/>
      <c r="SVM67" s="1"/>
      <c r="SVN67" s="1"/>
      <c r="SVO67" s="1"/>
      <c r="SVP67" s="1"/>
      <c r="SVQ67" s="1"/>
      <c r="SVR67" s="1"/>
      <c r="SVS67" s="1"/>
      <c r="SVT67" s="1"/>
      <c r="SVU67" s="1"/>
      <c r="SVV67" s="1"/>
      <c r="SVW67" s="1"/>
      <c r="SVX67" s="1"/>
      <c r="SVY67" s="1"/>
      <c r="SVZ67" s="1"/>
      <c r="SWA67" s="1"/>
      <c r="SWB67" s="1"/>
      <c r="SWC67" s="1"/>
      <c r="SWD67" s="1"/>
      <c r="SWE67" s="1"/>
      <c r="SWF67" s="1"/>
      <c r="SWG67" s="1"/>
      <c r="SWH67" s="1"/>
      <c r="SWI67" s="1"/>
      <c r="SWJ67" s="1"/>
      <c r="SWK67" s="1"/>
      <c r="SWL67" s="1"/>
      <c r="SWM67" s="1"/>
      <c r="SWN67" s="1"/>
      <c r="SWO67" s="1"/>
      <c r="SWP67" s="1"/>
      <c r="SWQ67" s="1"/>
      <c r="SWR67" s="1"/>
      <c r="SWS67" s="1"/>
      <c r="SWT67" s="1"/>
      <c r="SWU67" s="1"/>
      <c r="SWV67" s="1"/>
      <c r="SWW67" s="1"/>
      <c r="SWX67" s="1"/>
      <c r="SWY67" s="1"/>
      <c r="SWZ67" s="1"/>
      <c r="SXA67" s="1"/>
      <c r="SXB67" s="1"/>
      <c r="SXC67" s="1"/>
      <c r="SXD67" s="1"/>
      <c r="SXE67" s="1"/>
      <c r="SXF67" s="1"/>
      <c r="SXG67" s="1"/>
      <c r="SXH67" s="1"/>
      <c r="SXI67" s="1"/>
      <c r="SXJ67" s="1"/>
      <c r="SXK67" s="1"/>
      <c r="SXL67" s="1"/>
      <c r="SXM67" s="1"/>
      <c r="SXN67" s="1"/>
      <c r="SXO67" s="1"/>
      <c r="SXP67" s="1"/>
      <c r="SXQ67" s="1"/>
      <c r="SXR67" s="1"/>
      <c r="SXS67" s="1"/>
      <c r="SXT67" s="1"/>
      <c r="SXU67" s="1"/>
      <c r="SXV67" s="1"/>
      <c r="SXW67" s="1"/>
      <c r="SXX67" s="1"/>
      <c r="SXY67" s="1"/>
      <c r="SXZ67" s="1"/>
      <c r="SYA67" s="1"/>
      <c r="SYB67" s="1"/>
      <c r="SYC67" s="1"/>
      <c r="SYD67" s="1"/>
      <c r="SYE67" s="1"/>
      <c r="SYF67" s="1"/>
      <c r="SYG67" s="1"/>
      <c r="SYH67" s="1"/>
      <c r="SYI67" s="1"/>
      <c r="SYJ67" s="1"/>
      <c r="SYK67" s="1"/>
      <c r="SYL67" s="1"/>
      <c r="SYM67" s="1"/>
      <c r="SYN67" s="1"/>
      <c r="SYO67" s="1"/>
      <c r="SYP67" s="1"/>
      <c r="SYQ67" s="1"/>
      <c r="SYR67" s="1"/>
      <c r="SYS67" s="1"/>
      <c r="SYT67" s="1"/>
      <c r="SYU67" s="1"/>
      <c r="SYV67" s="1"/>
      <c r="SYW67" s="1"/>
      <c r="SYX67" s="1"/>
      <c r="SYY67" s="1"/>
      <c r="SYZ67" s="1"/>
      <c r="SZA67" s="1"/>
      <c r="SZB67" s="1"/>
      <c r="SZC67" s="1"/>
      <c r="SZD67" s="1"/>
      <c r="SZE67" s="1"/>
      <c r="SZF67" s="1"/>
      <c r="SZG67" s="1"/>
      <c r="SZH67" s="1"/>
      <c r="SZI67" s="1"/>
      <c r="SZJ67" s="1"/>
      <c r="SZK67" s="1"/>
      <c r="SZL67" s="1"/>
      <c r="SZM67" s="1"/>
      <c r="SZN67" s="1"/>
      <c r="SZO67" s="1"/>
      <c r="SZP67" s="1"/>
      <c r="SZQ67" s="1"/>
      <c r="SZR67" s="1"/>
      <c r="SZS67" s="1"/>
      <c r="SZT67" s="1"/>
      <c r="SZU67" s="1"/>
      <c r="SZV67" s="1"/>
      <c r="SZW67" s="1"/>
      <c r="SZX67" s="1"/>
      <c r="SZY67" s="1"/>
      <c r="SZZ67" s="1"/>
      <c r="TAA67" s="1"/>
      <c r="TAB67" s="1"/>
      <c r="TAC67" s="1"/>
      <c r="TAD67" s="1"/>
      <c r="TAE67" s="1"/>
      <c r="TAF67" s="1"/>
      <c r="TAG67" s="1"/>
      <c r="TAH67" s="1"/>
      <c r="TAI67" s="1"/>
      <c r="TAJ67" s="1"/>
      <c r="TAK67" s="1"/>
      <c r="TAL67" s="1"/>
      <c r="TAM67" s="1"/>
      <c r="TAN67" s="1"/>
      <c r="TAO67" s="1"/>
      <c r="TAP67" s="1"/>
      <c r="TAQ67" s="1"/>
      <c r="TAR67" s="1"/>
      <c r="TAS67" s="1"/>
      <c r="TAT67" s="1"/>
      <c r="TAU67" s="1"/>
      <c r="TAV67" s="1"/>
      <c r="TAW67" s="1"/>
      <c r="TAX67" s="1"/>
      <c r="TAY67" s="1"/>
      <c r="TAZ67" s="1"/>
      <c r="TBA67" s="1"/>
      <c r="TBB67" s="1"/>
      <c r="TBC67" s="1"/>
      <c r="TBD67" s="1"/>
      <c r="TBE67" s="1"/>
      <c r="TBF67" s="1"/>
      <c r="TBG67" s="1"/>
      <c r="TBH67" s="1"/>
      <c r="TBI67" s="1"/>
      <c r="TBJ67" s="1"/>
      <c r="TBK67" s="1"/>
      <c r="TBL67" s="1"/>
      <c r="TBM67" s="1"/>
      <c r="TBN67" s="1"/>
      <c r="TBO67" s="1"/>
      <c r="TBP67" s="1"/>
      <c r="TBQ67" s="1"/>
      <c r="TBR67" s="1"/>
      <c r="TBS67" s="1"/>
      <c r="TBT67" s="1"/>
      <c r="TBU67" s="1"/>
      <c r="TBV67" s="1"/>
      <c r="TBW67" s="1"/>
      <c r="TBX67" s="1"/>
      <c r="TBY67" s="1"/>
      <c r="TBZ67" s="1"/>
      <c r="TCA67" s="1"/>
      <c r="TCB67" s="1"/>
      <c r="TCC67" s="1"/>
      <c r="TCD67" s="1"/>
      <c r="TCE67" s="1"/>
      <c r="TCF67" s="1"/>
      <c r="TCG67" s="1"/>
      <c r="TCH67" s="1"/>
      <c r="TCI67" s="1"/>
      <c r="TCJ67" s="1"/>
      <c r="TCK67" s="1"/>
      <c r="TCL67" s="1"/>
      <c r="TCM67" s="1"/>
      <c r="TCN67" s="1"/>
      <c r="TCO67" s="1"/>
      <c r="TCP67" s="1"/>
      <c r="TCQ67" s="1"/>
      <c r="TCR67" s="1"/>
      <c r="TCS67" s="1"/>
      <c r="TCT67" s="1"/>
      <c r="TCU67" s="1"/>
      <c r="TCV67" s="1"/>
      <c r="TCW67" s="1"/>
      <c r="TCX67" s="1"/>
      <c r="TCY67" s="1"/>
      <c r="TCZ67" s="1"/>
      <c r="TDA67" s="1"/>
      <c r="TDB67" s="1"/>
      <c r="TDC67" s="1"/>
      <c r="TDD67" s="1"/>
      <c r="TDE67" s="1"/>
      <c r="TDF67" s="1"/>
      <c r="TDG67" s="1"/>
      <c r="TDH67" s="1"/>
      <c r="TDI67" s="1"/>
      <c r="TDJ67" s="1"/>
      <c r="TDK67" s="1"/>
      <c r="TDL67" s="1"/>
      <c r="TDM67" s="1"/>
      <c r="TDN67" s="1"/>
      <c r="TDO67" s="1"/>
      <c r="TDP67" s="1"/>
      <c r="TDQ67" s="1"/>
      <c r="TDR67" s="1"/>
      <c r="TDS67" s="1"/>
      <c r="TDT67" s="1"/>
      <c r="TDU67" s="1"/>
      <c r="TDV67" s="1"/>
      <c r="TDW67" s="1"/>
      <c r="TDX67" s="1"/>
      <c r="TDY67" s="1"/>
      <c r="TDZ67" s="1"/>
      <c r="TEA67" s="1"/>
      <c r="TEB67" s="1"/>
      <c r="TEC67" s="1"/>
      <c r="TED67" s="1"/>
      <c r="TEE67" s="1"/>
      <c r="TEF67" s="1"/>
      <c r="TEG67" s="1"/>
      <c r="TEH67" s="1"/>
      <c r="TEI67" s="1"/>
      <c r="TEJ67" s="1"/>
      <c r="TEK67" s="1"/>
      <c r="TEL67" s="1"/>
      <c r="TEM67" s="1"/>
      <c r="TEN67" s="1"/>
      <c r="TEO67" s="1"/>
      <c r="TEP67" s="1"/>
      <c r="TEQ67" s="1"/>
      <c r="TER67" s="1"/>
      <c r="TES67" s="1"/>
      <c r="TET67" s="1"/>
      <c r="TEU67" s="1"/>
      <c r="TEV67" s="1"/>
      <c r="TEW67" s="1"/>
      <c r="TEX67" s="1"/>
      <c r="TEY67" s="1"/>
      <c r="TEZ67" s="1"/>
      <c r="TFA67" s="1"/>
      <c r="TFB67" s="1"/>
      <c r="TFC67" s="1"/>
      <c r="TFD67" s="1"/>
      <c r="TFE67" s="1"/>
      <c r="TFF67" s="1"/>
      <c r="TFG67" s="1"/>
      <c r="TFH67" s="1"/>
      <c r="TFI67" s="1"/>
      <c r="TFJ67" s="1"/>
      <c r="TFK67" s="1"/>
      <c r="TFL67" s="1"/>
      <c r="TFM67" s="1"/>
      <c r="TFN67" s="1"/>
      <c r="TFO67" s="1"/>
      <c r="TFP67" s="1"/>
      <c r="TFQ67" s="1"/>
      <c r="TFR67" s="1"/>
      <c r="TFS67" s="1"/>
      <c r="TFT67" s="1"/>
      <c r="TFU67" s="1"/>
      <c r="TFV67" s="1"/>
      <c r="TFW67" s="1"/>
      <c r="TFX67" s="1"/>
      <c r="TFY67" s="1"/>
      <c r="TFZ67" s="1"/>
      <c r="TGA67" s="1"/>
      <c r="TGB67" s="1"/>
      <c r="TGC67" s="1"/>
      <c r="TGD67" s="1"/>
      <c r="TGE67" s="1"/>
      <c r="TGF67" s="1"/>
      <c r="TGG67" s="1"/>
      <c r="TGH67" s="1"/>
      <c r="TGI67" s="1"/>
      <c r="TGJ67" s="1"/>
      <c r="TGK67" s="1"/>
      <c r="TGL67" s="1"/>
      <c r="TGM67" s="1"/>
      <c r="TGN67" s="1"/>
      <c r="TGO67" s="1"/>
      <c r="TGP67" s="1"/>
      <c r="TGQ67" s="1"/>
      <c r="TGR67" s="1"/>
      <c r="TGS67" s="1"/>
      <c r="TGT67" s="1"/>
      <c r="TGU67" s="1"/>
      <c r="TGV67" s="1"/>
      <c r="TGW67" s="1"/>
      <c r="TGX67" s="1"/>
      <c r="TGY67" s="1"/>
      <c r="TGZ67" s="1"/>
      <c r="THA67" s="1"/>
      <c r="THB67" s="1"/>
      <c r="THC67" s="1"/>
      <c r="THD67" s="1"/>
      <c r="THE67" s="1"/>
      <c r="THF67" s="1"/>
      <c r="THG67" s="1"/>
      <c r="THH67" s="1"/>
      <c r="THI67" s="1"/>
      <c r="THJ67" s="1"/>
      <c r="THK67" s="1"/>
      <c r="THL67" s="1"/>
      <c r="THM67" s="1"/>
      <c r="THN67" s="1"/>
      <c r="THO67" s="1"/>
      <c r="THP67" s="1"/>
      <c r="THQ67" s="1"/>
      <c r="THR67" s="1"/>
      <c r="THS67" s="1"/>
      <c r="THT67" s="1"/>
      <c r="THU67" s="1"/>
      <c r="THV67" s="1"/>
      <c r="THW67" s="1"/>
      <c r="THX67" s="1"/>
      <c r="THY67" s="1"/>
      <c r="THZ67" s="1"/>
      <c r="TIA67" s="1"/>
      <c r="TIB67" s="1"/>
      <c r="TIC67" s="1"/>
      <c r="TID67" s="1"/>
      <c r="TIE67" s="1"/>
      <c r="TIF67" s="1"/>
      <c r="TIG67" s="1"/>
      <c r="TIH67" s="1"/>
      <c r="TII67" s="1"/>
      <c r="TIJ67" s="1"/>
      <c r="TIK67" s="1"/>
      <c r="TIL67" s="1"/>
      <c r="TIM67" s="1"/>
      <c r="TIN67" s="1"/>
      <c r="TIO67" s="1"/>
      <c r="TIP67" s="1"/>
      <c r="TIQ67" s="1"/>
      <c r="TIR67" s="1"/>
      <c r="TIS67" s="1"/>
      <c r="TIT67" s="1"/>
      <c r="TIU67" s="1"/>
      <c r="TIV67" s="1"/>
      <c r="TIW67" s="1"/>
      <c r="TIX67" s="1"/>
      <c r="TIY67" s="1"/>
      <c r="TIZ67" s="1"/>
      <c r="TJA67" s="1"/>
      <c r="TJB67" s="1"/>
      <c r="TJC67" s="1"/>
      <c r="TJD67" s="1"/>
      <c r="TJE67" s="1"/>
      <c r="TJF67" s="1"/>
      <c r="TJG67" s="1"/>
      <c r="TJH67" s="1"/>
      <c r="TJI67" s="1"/>
      <c r="TJJ67" s="1"/>
      <c r="TJK67" s="1"/>
      <c r="TJL67" s="1"/>
      <c r="TJM67" s="1"/>
      <c r="TJN67" s="1"/>
      <c r="TJO67" s="1"/>
      <c r="TJP67" s="1"/>
      <c r="TJQ67" s="1"/>
      <c r="TJR67" s="1"/>
      <c r="TJS67" s="1"/>
      <c r="TJT67" s="1"/>
      <c r="TJU67" s="1"/>
      <c r="TJV67" s="1"/>
      <c r="TJW67" s="1"/>
      <c r="TJX67" s="1"/>
      <c r="TJY67" s="1"/>
      <c r="TJZ67" s="1"/>
      <c r="TKA67" s="1"/>
      <c r="TKB67" s="1"/>
      <c r="TKC67" s="1"/>
      <c r="TKD67" s="1"/>
      <c r="TKE67" s="1"/>
      <c r="TKF67" s="1"/>
      <c r="TKG67" s="1"/>
      <c r="TKH67" s="1"/>
      <c r="TKI67" s="1"/>
      <c r="TKJ67" s="1"/>
      <c r="TKK67" s="1"/>
      <c r="TKL67" s="1"/>
      <c r="TKM67" s="1"/>
      <c r="TKN67" s="1"/>
      <c r="TKO67" s="1"/>
      <c r="TKP67" s="1"/>
      <c r="TKQ67" s="1"/>
      <c r="TKR67" s="1"/>
      <c r="TKS67" s="1"/>
      <c r="TKT67" s="1"/>
      <c r="TKU67" s="1"/>
      <c r="TKV67" s="1"/>
      <c r="TKW67" s="1"/>
      <c r="TKX67" s="1"/>
      <c r="TKY67" s="1"/>
      <c r="TKZ67" s="1"/>
      <c r="TLA67" s="1"/>
      <c r="TLB67" s="1"/>
      <c r="TLC67" s="1"/>
      <c r="TLD67" s="1"/>
      <c r="TLE67" s="1"/>
      <c r="TLF67" s="1"/>
      <c r="TLG67" s="1"/>
      <c r="TLH67" s="1"/>
      <c r="TLI67" s="1"/>
      <c r="TLJ67" s="1"/>
      <c r="TLK67" s="1"/>
      <c r="TLL67" s="1"/>
      <c r="TLM67" s="1"/>
      <c r="TLN67" s="1"/>
      <c r="TLO67" s="1"/>
      <c r="TLP67" s="1"/>
      <c r="TLQ67" s="1"/>
      <c r="TLR67" s="1"/>
      <c r="TLS67" s="1"/>
      <c r="TLT67" s="1"/>
      <c r="TLU67" s="1"/>
      <c r="TLV67" s="1"/>
      <c r="TLW67" s="1"/>
      <c r="TLX67" s="1"/>
      <c r="TLY67" s="1"/>
      <c r="TLZ67" s="1"/>
      <c r="TMA67" s="1"/>
      <c r="TMB67" s="1"/>
      <c r="TMC67" s="1"/>
      <c r="TMD67" s="1"/>
      <c r="TME67" s="1"/>
      <c r="TMF67" s="1"/>
      <c r="TMG67" s="1"/>
      <c r="TMH67" s="1"/>
      <c r="TMI67" s="1"/>
      <c r="TMJ67" s="1"/>
      <c r="TMK67" s="1"/>
      <c r="TML67" s="1"/>
      <c r="TMM67" s="1"/>
      <c r="TMN67" s="1"/>
      <c r="TMO67" s="1"/>
      <c r="TMP67" s="1"/>
      <c r="TMQ67" s="1"/>
      <c r="TMR67" s="1"/>
      <c r="TMS67" s="1"/>
      <c r="TMT67" s="1"/>
      <c r="TMU67" s="1"/>
      <c r="TMV67" s="1"/>
      <c r="TMW67" s="1"/>
      <c r="TMX67" s="1"/>
      <c r="TMY67" s="1"/>
      <c r="TMZ67" s="1"/>
      <c r="TNA67" s="1"/>
      <c r="TNB67" s="1"/>
      <c r="TNC67" s="1"/>
      <c r="TND67" s="1"/>
      <c r="TNE67" s="1"/>
      <c r="TNF67" s="1"/>
      <c r="TNG67" s="1"/>
      <c r="TNH67" s="1"/>
      <c r="TNI67" s="1"/>
      <c r="TNJ67" s="1"/>
      <c r="TNK67" s="1"/>
      <c r="TNL67" s="1"/>
      <c r="TNM67" s="1"/>
      <c r="TNN67" s="1"/>
      <c r="TNO67" s="1"/>
      <c r="TNP67" s="1"/>
      <c r="TNQ67" s="1"/>
      <c r="TNR67" s="1"/>
      <c r="TNS67" s="1"/>
      <c r="TNT67" s="1"/>
      <c r="TNU67" s="1"/>
      <c r="TNV67" s="1"/>
      <c r="TNW67" s="1"/>
      <c r="TNX67" s="1"/>
      <c r="TNY67" s="1"/>
      <c r="TNZ67" s="1"/>
      <c r="TOA67" s="1"/>
      <c r="TOB67" s="1"/>
      <c r="TOC67" s="1"/>
      <c r="TOD67" s="1"/>
      <c r="TOE67" s="1"/>
      <c r="TOF67" s="1"/>
      <c r="TOG67" s="1"/>
      <c r="TOH67" s="1"/>
      <c r="TOI67" s="1"/>
      <c r="TOJ67" s="1"/>
      <c r="TOK67" s="1"/>
      <c r="TOL67" s="1"/>
      <c r="TOM67" s="1"/>
      <c r="TON67" s="1"/>
      <c r="TOO67" s="1"/>
      <c r="TOP67" s="1"/>
      <c r="TOQ67" s="1"/>
      <c r="TOR67" s="1"/>
      <c r="TOS67" s="1"/>
      <c r="TOT67" s="1"/>
      <c r="TOU67" s="1"/>
      <c r="TOV67" s="1"/>
      <c r="TOW67" s="1"/>
      <c r="TOX67" s="1"/>
      <c r="TOY67" s="1"/>
      <c r="TOZ67" s="1"/>
      <c r="TPA67" s="1"/>
      <c r="TPB67" s="1"/>
      <c r="TPC67" s="1"/>
      <c r="TPD67" s="1"/>
      <c r="TPE67" s="1"/>
      <c r="TPF67" s="1"/>
      <c r="TPG67" s="1"/>
      <c r="TPH67" s="1"/>
      <c r="TPI67" s="1"/>
      <c r="TPJ67" s="1"/>
      <c r="TPK67" s="1"/>
      <c r="TPL67" s="1"/>
      <c r="TPM67" s="1"/>
      <c r="TPN67" s="1"/>
      <c r="TPO67" s="1"/>
      <c r="TPP67" s="1"/>
      <c r="TPQ67" s="1"/>
      <c r="TPR67" s="1"/>
      <c r="TPS67" s="1"/>
      <c r="TPT67" s="1"/>
      <c r="TPU67" s="1"/>
      <c r="TPV67" s="1"/>
      <c r="TPW67" s="1"/>
      <c r="TPX67" s="1"/>
      <c r="TPY67" s="1"/>
      <c r="TPZ67" s="1"/>
      <c r="TQA67" s="1"/>
      <c r="TQB67" s="1"/>
      <c r="TQC67" s="1"/>
      <c r="TQD67" s="1"/>
      <c r="TQE67" s="1"/>
      <c r="TQF67" s="1"/>
      <c r="TQG67" s="1"/>
      <c r="TQH67" s="1"/>
      <c r="TQI67" s="1"/>
      <c r="TQJ67" s="1"/>
      <c r="TQK67" s="1"/>
      <c r="TQL67" s="1"/>
      <c r="TQM67" s="1"/>
      <c r="TQN67" s="1"/>
      <c r="TQO67" s="1"/>
      <c r="TQP67" s="1"/>
      <c r="TQQ67" s="1"/>
      <c r="TQR67" s="1"/>
      <c r="TQS67" s="1"/>
      <c r="TQT67" s="1"/>
      <c r="TQU67" s="1"/>
      <c r="TQV67" s="1"/>
      <c r="TQW67" s="1"/>
      <c r="TQX67" s="1"/>
      <c r="TQY67" s="1"/>
      <c r="TQZ67" s="1"/>
      <c r="TRA67" s="1"/>
      <c r="TRB67" s="1"/>
      <c r="TRC67" s="1"/>
      <c r="TRD67" s="1"/>
      <c r="TRE67" s="1"/>
      <c r="TRF67" s="1"/>
      <c r="TRG67" s="1"/>
      <c r="TRH67" s="1"/>
      <c r="TRI67" s="1"/>
      <c r="TRJ67" s="1"/>
      <c r="TRK67" s="1"/>
      <c r="TRL67" s="1"/>
      <c r="TRM67" s="1"/>
      <c r="TRN67" s="1"/>
      <c r="TRO67" s="1"/>
      <c r="TRP67" s="1"/>
      <c r="TRQ67" s="1"/>
      <c r="TRR67" s="1"/>
      <c r="TRS67" s="1"/>
      <c r="TRT67" s="1"/>
      <c r="TRU67" s="1"/>
      <c r="TRV67" s="1"/>
      <c r="TRW67" s="1"/>
      <c r="TRX67" s="1"/>
      <c r="TRY67" s="1"/>
      <c r="TRZ67" s="1"/>
      <c r="TSA67" s="1"/>
      <c r="TSB67" s="1"/>
      <c r="TSC67" s="1"/>
      <c r="TSD67" s="1"/>
      <c r="TSE67" s="1"/>
      <c r="TSF67" s="1"/>
      <c r="TSG67" s="1"/>
      <c r="TSH67" s="1"/>
      <c r="TSI67" s="1"/>
      <c r="TSJ67" s="1"/>
      <c r="TSK67" s="1"/>
      <c r="TSL67" s="1"/>
      <c r="TSM67" s="1"/>
      <c r="TSN67" s="1"/>
      <c r="TSO67" s="1"/>
      <c r="TSP67" s="1"/>
      <c r="TSQ67" s="1"/>
      <c r="TSR67" s="1"/>
      <c r="TSS67" s="1"/>
      <c r="TST67" s="1"/>
      <c r="TSU67" s="1"/>
      <c r="TSV67" s="1"/>
      <c r="TSW67" s="1"/>
      <c r="TSX67" s="1"/>
      <c r="TSY67" s="1"/>
      <c r="TSZ67" s="1"/>
      <c r="TTA67" s="1"/>
      <c r="TTB67" s="1"/>
      <c r="TTC67" s="1"/>
      <c r="TTD67" s="1"/>
      <c r="TTE67" s="1"/>
      <c r="TTF67" s="1"/>
      <c r="TTG67" s="1"/>
      <c r="TTH67" s="1"/>
      <c r="TTI67" s="1"/>
      <c r="TTJ67" s="1"/>
      <c r="TTK67" s="1"/>
      <c r="TTL67" s="1"/>
      <c r="TTM67" s="1"/>
      <c r="TTN67" s="1"/>
      <c r="TTO67" s="1"/>
      <c r="TTP67" s="1"/>
      <c r="TTQ67" s="1"/>
      <c r="TTR67" s="1"/>
      <c r="TTS67" s="1"/>
      <c r="TTT67" s="1"/>
      <c r="TTU67" s="1"/>
      <c r="TTV67" s="1"/>
      <c r="TTW67" s="1"/>
      <c r="TTX67" s="1"/>
      <c r="TTY67" s="1"/>
      <c r="TTZ67" s="1"/>
      <c r="TUA67" s="1"/>
      <c r="TUB67" s="1"/>
      <c r="TUC67" s="1"/>
      <c r="TUD67" s="1"/>
      <c r="TUE67" s="1"/>
      <c r="TUF67" s="1"/>
      <c r="TUG67" s="1"/>
      <c r="TUH67" s="1"/>
      <c r="TUI67" s="1"/>
      <c r="TUJ67" s="1"/>
      <c r="TUK67" s="1"/>
      <c r="TUL67" s="1"/>
      <c r="TUM67" s="1"/>
      <c r="TUN67" s="1"/>
      <c r="TUO67" s="1"/>
      <c r="TUP67" s="1"/>
      <c r="TUQ67" s="1"/>
      <c r="TUR67" s="1"/>
      <c r="TUS67" s="1"/>
      <c r="TUT67" s="1"/>
      <c r="TUU67" s="1"/>
      <c r="TUV67" s="1"/>
      <c r="TUW67" s="1"/>
      <c r="TUX67" s="1"/>
      <c r="TUY67" s="1"/>
      <c r="TUZ67" s="1"/>
      <c r="TVA67" s="1"/>
      <c r="TVB67" s="1"/>
      <c r="TVC67" s="1"/>
      <c r="TVD67" s="1"/>
      <c r="TVE67" s="1"/>
      <c r="TVF67" s="1"/>
      <c r="TVG67" s="1"/>
      <c r="TVH67" s="1"/>
      <c r="TVI67" s="1"/>
      <c r="TVJ67" s="1"/>
      <c r="TVK67" s="1"/>
      <c r="TVL67" s="1"/>
      <c r="TVM67" s="1"/>
      <c r="TVN67" s="1"/>
      <c r="TVO67" s="1"/>
      <c r="TVP67" s="1"/>
      <c r="TVQ67" s="1"/>
      <c r="TVR67" s="1"/>
      <c r="TVS67" s="1"/>
      <c r="TVT67" s="1"/>
      <c r="TVU67" s="1"/>
      <c r="TVV67" s="1"/>
      <c r="TVW67" s="1"/>
      <c r="TVX67" s="1"/>
      <c r="TVY67" s="1"/>
      <c r="TVZ67" s="1"/>
      <c r="TWA67" s="1"/>
      <c r="TWB67" s="1"/>
      <c r="TWC67" s="1"/>
      <c r="TWD67" s="1"/>
      <c r="TWE67" s="1"/>
      <c r="TWF67" s="1"/>
      <c r="TWG67" s="1"/>
      <c r="TWH67" s="1"/>
      <c r="TWI67" s="1"/>
      <c r="TWJ67" s="1"/>
      <c r="TWK67" s="1"/>
      <c r="TWL67" s="1"/>
      <c r="TWM67" s="1"/>
      <c r="TWN67" s="1"/>
      <c r="TWO67" s="1"/>
      <c r="TWP67" s="1"/>
      <c r="TWQ67" s="1"/>
      <c r="TWR67" s="1"/>
      <c r="TWS67" s="1"/>
      <c r="TWT67" s="1"/>
      <c r="TWU67" s="1"/>
      <c r="TWV67" s="1"/>
      <c r="TWW67" s="1"/>
      <c r="TWX67" s="1"/>
      <c r="TWY67" s="1"/>
      <c r="TWZ67" s="1"/>
      <c r="TXA67" s="1"/>
      <c r="TXB67" s="1"/>
      <c r="TXC67" s="1"/>
      <c r="TXD67" s="1"/>
      <c r="TXE67" s="1"/>
      <c r="TXF67" s="1"/>
      <c r="TXG67" s="1"/>
      <c r="TXH67" s="1"/>
      <c r="TXI67" s="1"/>
      <c r="TXJ67" s="1"/>
      <c r="TXK67" s="1"/>
      <c r="TXL67" s="1"/>
      <c r="TXM67" s="1"/>
      <c r="TXN67" s="1"/>
      <c r="TXO67" s="1"/>
      <c r="TXP67" s="1"/>
      <c r="TXQ67" s="1"/>
      <c r="TXR67" s="1"/>
      <c r="TXS67" s="1"/>
      <c r="TXT67" s="1"/>
      <c r="TXU67" s="1"/>
      <c r="TXV67" s="1"/>
      <c r="TXW67" s="1"/>
      <c r="TXX67" s="1"/>
      <c r="TXY67" s="1"/>
      <c r="TXZ67" s="1"/>
      <c r="TYA67" s="1"/>
      <c r="TYB67" s="1"/>
      <c r="TYC67" s="1"/>
      <c r="TYD67" s="1"/>
      <c r="TYE67" s="1"/>
      <c r="TYF67" s="1"/>
      <c r="TYG67" s="1"/>
      <c r="TYH67" s="1"/>
      <c r="TYI67" s="1"/>
      <c r="TYJ67" s="1"/>
      <c r="TYK67" s="1"/>
      <c r="TYL67" s="1"/>
      <c r="TYM67" s="1"/>
      <c r="TYN67" s="1"/>
      <c r="TYO67" s="1"/>
      <c r="TYP67" s="1"/>
      <c r="TYQ67" s="1"/>
      <c r="TYR67" s="1"/>
      <c r="TYS67" s="1"/>
      <c r="TYT67" s="1"/>
      <c r="TYU67" s="1"/>
      <c r="TYV67" s="1"/>
      <c r="TYW67" s="1"/>
      <c r="TYX67" s="1"/>
      <c r="TYY67" s="1"/>
      <c r="TYZ67" s="1"/>
      <c r="TZA67" s="1"/>
      <c r="TZB67" s="1"/>
      <c r="TZC67" s="1"/>
      <c r="TZD67" s="1"/>
      <c r="TZE67" s="1"/>
      <c r="TZF67" s="1"/>
      <c r="TZG67" s="1"/>
      <c r="TZH67" s="1"/>
      <c r="TZI67" s="1"/>
      <c r="TZJ67" s="1"/>
      <c r="TZK67" s="1"/>
      <c r="TZL67" s="1"/>
      <c r="TZM67" s="1"/>
      <c r="TZN67" s="1"/>
      <c r="TZO67" s="1"/>
      <c r="TZP67" s="1"/>
      <c r="TZQ67" s="1"/>
      <c r="TZR67" s="1"/>
      <c r="TZS67" s="1"/>
      <c r="TZT67" s="1"/>
      <c r="TZU67" s="1"/>
      <c r="TZV67" s="1"/>
      <c r="TZW67" s="1"/>
      <c r="TZX67" s="1"/>
      <c r="TZY67" s="1"/>
      <c r="TZZ67" s="1"/>
      <c r="UAA67" s="1"/>
      <c r="UAB67" s="1"/>
      <c r="UAC67" s="1"/>
      <c r="UAD67" s="1"/>
      <c r="UAE67" s="1"/>
      <c r="UAF67" s="1"/>
      <c r="UAG67" s="1"/>
      <c r="UAH67" s="1"/>
      <c r="UAI67" s="1"/>
      <c r="UAJ67" s="1"/>
      <c r="UAK67" s="1"/>
      <c r="UAL67" s="1"/>
      <c r="UAM67" s="1"/>
      <c r="UAN67" s="1"/>
      <c r="UAO67" s="1"/>
      <c r="UAP67" s="1"/>
      <c r="UAQ67" s="1"/>
      <c r="UAR67" s="1"/>
      <c r="UAS67" s="1"/>
      <c r="UAT67" s="1"/>
      <c r="UAU67" s="1"/>
      <c r="UAV67" s="1"/>
      <c r="UAW67" s="1"/>
      <c r="UAX67" s="1"/>
      <c r="UAY67" s="1"/>
      <c r="UAZ67" s="1"/>
      <c r="UBA67" s="1"/>
      <c r="UBB67" s="1"/>
      <c r="UBC67" s="1"/>
      <c r="UBD67" s="1"/>
      <c r="UBE67" s="1"/>
      <c r="UBF67" s="1"/>
      <c r="UBG67" s="1"/>
      <c r="UBH67" s="1"/>
      <c r="UBI67" s="1"/>
      <c r="UBJ67" s="1"/>
      <c r="UBK67" s="1"/>
      <c r="UBL67" s="1"/>
      <c r="UBM67" s="1"/>
      <c r="UBN67" s="1"/>
      <c r="UBO67" s="1"/>
      <c r="UBP67" s="1"/>
      <c r="UBQ67" s="1"/>
      <c r="UBR67" s="1"/>
      <c r="UBS67" s="1"/>
      <c r="UBT67" s="1"/>
      <c r="UBU67" s="1"/>
      <c r="UBV67" s="1"/>
      <c r="UBW67" s="1"/>
      <c r="UBX67" s="1"/>
      <c r="UBY67" s="1"/>
      <c r="UBZ67" s="1"/>
      <c r="UCA67" s="1"/>
      <c r="UCB67" s="1"/>
      <c r="UCC67" s="1"/>
      <c r="UCD67" s="1"/>
      <c r="UCE67" s="1"/>
      <c r="UCF67" s="1"/>
      <c r="UCG67" s="1"/>
      <c r="UCH67" s="1"/>
      <c r="UCI67" s="1"/>
      <c r="UCJ67" s="1"/>
      <c r="UCK67" s="1"/>
      <c r="UCL67" s="1"/>
      <c r="UCM67" s="1"/>
      <c r="UCN67" s="1"/>
      <c r="UCO67" s="1"/>
      <c r="UCP67" s="1"/>
      <c r="UCQ67" s="1"/>
      <c r="UCR67" s="1"/>
      <c r="UCS67" s="1"/>
      <c r="UCT67" s="1"/>
      <c r="UCU67" s="1"/>
      <c r="UCV67" s="1"/>
      <c r="UCW67" s="1"/>
      <c r="UCX67" s="1"/>
      <c r="UCY67" s="1"/>
      <c r="UCZ67" s="1"/>
      <c r="UDA67" s="1"/>
      <c r="UDB67" s="1"/>
      <c r="UDC67" s="1"/>
      <c r="UDD67" s="1"/>
      <c r="UDE67" s="1"/>
      <c r="UDF67" s="1"/>
      <c r="UDG67" s="1"/>
      <c r="UDH67" s="1"/>
      <c r="UDI67" s="1"/>
      <c r="UDJ67" s="1"/>
      <c r="UDK67" s="1"/>
      <c r="UDL67" s="1"/>
      <c r="UDM67" s="1"/>
      <c r="UDN67" s="1"/>
      <c r="UDO67" s="1"/>
      <c r="UDP67" s="1"/>
      <c r="UDQ67" s="1"/>
      <c r="UDR67" s="1"/>
      <c r="UDS67" s="1"/>
      <c r="UDT67" s="1"/>
      <c r="UDU67" s="1"/>
      <c r="UDV67" s="1"/>
      <c r="UDW67" s="1"/>
      <c r="UDX67" s="1"/>
      <c r="UDY67" s="1"/>
      <c r="UDZ67" s="1"/>
      <c r="UEA67" s="1"/>
      <c r="UEB67" s="1"/>
      <c r="UEC67" s="1"/>
      <c r="UED67" s="1"/>
      <c r="UEE67" s="1"/>
      <c r="UEF67" s="1"/>
      <c r="UEG67" s="1"/>
      <c r="UEH67" s="1"/>
      <c r="UEI67" s="1"/>
      <c r="UEJ67" s="1"/>
      <c r="UEK67" s="1"/>
      <c r="UEL67" s="1"/>
      <c r="UEM67" s="1"/>
      <c r="UEN67" s="1"/>
      <c r="UEO67" s="1"/>
      <c r="UEP67" s="1"/>
      <c r="UEQ67" s="1"/>
      <c r="UER67" s="1"/>
      <c r="UES67" s="1"/>
      <c r="UET67" s="1"/>
      <c r="UEU67" s="1"/>
      <c r="UEV67" s="1"/>
      <c r="UEW67" s="1"/>
      <c r="UEX67" s="1"/>
      <c r="UEY67" s="1"/>
      <c r="UEZ67" s="1"/>
      <c r="UFA67" s="1"/>
      <c r="UFB67" s="1"/>
      <c r="UFC67" s="1"/>
      <c r="UFD67" s="1"/>
      <c r="UFE67" s="1"/>
      <c r="UFF67" s="1"/>
      <c r="UFG67" s="1"/>
      <c r="UFH67" s="1"/>
      <c r="UFI67" s="1"/>
      <c r="UFJ67" s="1"/>
      <c r="UFK67" s="1"/>
      <c r="UFL67" s="1"/>
      <c r="UFM67" s="1"/>
      <c r="UFN67" s="1"/>
      <c r="UFO67" s="1"/>
      <c r="UFP67" s="1"/>
      <c r="UFQ67" s="1"/>
      <c r="UFR67" s="1"/>
      <c r="UFS67" s="1"/>
      <c r="UFT67" s="1"/>
      <c r="UFU67" s="1"/>
      <c r="UFV67" s="1"/>
      <c r="UFW67" s="1"/>
      <c r="UFX67" s="1"/>
      <c r="UFY67" s="1"/>
      <c r="UFZ67" s="1"/>
      <c r="UGA67" s="1"/>
      <c r="UGB67" s="1"/>
      <c r="UGC67" s="1"/>
      <c r="UGD67" s="1"/>
      <c r="UGE67" s="1"/>
      <c r="UGF67" s="1"/>
      <c r="UGG67" s="1"/>
      <c r="UGH67" s="1"/>
      <c r="UGI67" s="1"/>
      <c r="UGJ67" s="1"/>
      <c r="UGK67" s="1"/>
      <c r="UGL67" s="1"/>
      <c r="UGM67" s="1"/>
      <c r="UGN67" s="1"/>
      <c r="UGO67" s="1"/>
      <c r="UGP67" s="1"/>
      <c r="UGQ67" s="1"/>
      <c r="UGR67" s="1"/>
      <c r="UGS67" s="1"/>
      <c r="UGT67" s="1"/>
      <c r="UGU67" s="1"/>
      <c r="UGV67" s="1"/>
      <c r="UGW67" s="1"/>
      <c r="UGX67" s="1"/>
      <c r="UGY67" s="1"/>
      <c r="UGZ67" s="1"/>
      <c r="UHA67" s="1"/>
      <c r="UHB67" s="1"/>
      <c r="UHC67" s="1"/>
      <c r="UHD67" s="1"/>
      <c r="UHE67" s="1"/>
      <c r="UHF67" s="1"/>
      <c r="UHG67" s="1"/>
      <c r="UHH67" s="1"/>
      <c r="UHI67" s="1"/>
      <c r="UHJ67" s="1"/>
      <c r="UHK67" s="1"/>
      <c r="UHL67" s="1"/>
      <c r="UHM67" s="1"/>
      <c r="UHN67" s="1"/>
      <c r="UHO67" s="1"/>
      <c r="UHP67" s="1"/>
      <c r="UHQ67" s="1"/>
      <c r="UHR67" s="1"/>
      <c r="UHS67" s="1"/>
      <c r="UHT67" s="1"/>
      <c r="UHU67" s="1"/>
      <c r="UHV67" s="1"/>
      <c r="UHW67" s="1"/>
      <c r="UHX67" s="1"/>
      <c r="UHY67" s="1"/>
      <c r="UHZ67" s="1"/>
      <c r="UIA67" s="1"/>
      <c r="UIB67" s="1"/>
      <c r="UIC67" s="1"/>
      <c r="UID67" s="1"/>
      <c r="UIE67" s="1"/>
      <c r="UIF67" s="1"/>
      <c r="UIG67" s="1"/>
      <c r="UIH67" s="1"/>
      <c r="UII67" s="1"/>
      <c r="UIJ67" s="1"/>
      <c r="UIK67" s="1"/>
      <c r="UIL67" s="1"/>
      <c r="UIM67" s="1"/>
      <c r="UIN67" s="1"/>
      <c r="UIO67" s="1"/>
      <c r="UIP67" s="1"/>
      <c r="UIQ67" s="1"/>
      <c r="UIR67" s="1"/>
      <c r="UIS67" s="1"/>
      <c r="UIT67" s="1"/>
      <c r="UIU67" s="1"/>
      <c r="UIV67" s="1"/>
      <c r="UIW67" s="1"/>
      <c r="UIX67" s="1"/>
      <c r="UIY67" s="1"/>
      <c r="UIZ67" s="1"/>
      <c r="UJA67" s="1"/>
      <c r="UJB67" s="1"/>
      <c r="UJC67" s="1"/>
      <c r="UJD67" s="1"/>
      <c r="UJE67" s="1"/>
      <c r="UJF67" s="1"/>
      <c r="UJG67" s="1"/>
      <c r="UJH67" s="1"/>
      <c r="UJI67" s="1"/>
      <c r="UJJ67" s="1"/>
      <c r="UJK67" s="1"/>
      <c r="UJL67" s="1"/>
      <c r="UJM67" s="1"/>
      <c r="UJN67" s="1"/>
      <c r="UJO67" s="1"/>
      <c r="UJP67" s="1"/>
      <c r="UJQ67" s="1"/>
      <c r="UJR67" s="1"/>
      <c r="UJS67" s="1"/>
      <c r="UJT67" s="1"/>
      <c r="UJU67" s="1"/>
      <c r="UJV67" s="1"/>
      <c r="UJW67" s="1"/>
      <c r="UJX67" s="1"/>
      <c r="UJY67" s="1"/>
      <c r="UJZ67" s="1"/>
      <c r="UKA67" s="1"/>
      <c r="UKB67" s="1"/>
      <c r="UKC67" s="1"/>
      <c r="UKD67" s="1"/>
      <c r="UKE67" s="1"/>
      <c r="UKF67" s="1"/>
      <c r="UKG67" s="1"/>
      <c r="UKH67" s="1"/>
      <c r="UKI67" s="1"/>
      <c r="UKJ67" s="1"/>
      <c r="UKK67" s="1"/>
      <c r="UKL67" s="1"/>
      <c r="UKM67" s="1"/>
      <c r="UKN67" s="1"/>
      <c r="UKO67" s="1"/>
      <c r="UKP67" s="1"/>
      <c r="UKQ67" s="1"/>
      <c r="UKR67" s="1"/>
      <c r="UKS67" s="1"/>
      <c r="UKT67" s="1"/>
      <c r="UKU67" s="1"/>
      <c r="UKV67" s="1"/>
      <c r="UKW67" s="1"/>
      <c r="UKX67" s="1"/>
      <c r="UKY67" s="1"/>
      <c r="UKZ67" s="1"/>
      <c r="ULA67" s="1"/>
      <c r="ULB67" s="1"/>
      <c r="ULC67" s="1"/>
      <c r="ULD67" s="1"/>
      <c r="ULE67" s="1"/>
      <c r="ULF67" s="1"/>
      <c r="ULG67" s="1"/>
      <c r="ULH67" s="1"/>
      <c r="ULI67" s="1"/>
      <c r="ULJ67" s="1"/>
      <c r="ULK67" s="1"/>
      <c r="ULL67" s="1"/>
      <c r="ULM67" s="1"/>
      <c r="ULN67" s="1"/>
      <c r="ULO67" s="1"/>
      <c r="ULP67" s="1"/>
      <c r="ULQ67" s="1"/>
      <c r="ULR67" s="1"/>
      <c r="ULS67" s="1"/>
      <c r="ULT67" s="1"/>
      <c r="ULU67" s="1"/>
      <c r="ULV67" s="1"/>
      <c r="ULW67" s="1"/>
      <c r="ULX67" s="1"/>
      <c r="ULY67" s="1"/>
      <c r="ULZ67" s="1"/>
      <c r="UMA67" s="1"/>
      <c r="UMB67" s="1"/>
      <c r="UMC67" s="1"/>
      <c r="UMD67" s="1"/>
      <c r="UME67" s="1"/>
      <c r="UMF67" s="1"/>
      <c r="UMG67" s="1"/>
      <c r="UMH67" s="1"/>
      <c r="UMI67" s="1"/>
      <c r="UMJ67" s="1"/>
      <c r="UMK67" s="1"/>
      <c r="UML67" s="1"/>
      <c r="UMM67" s="1"/>
      <c r="UMN67" s="1"/>
      <c r="UMO67" s="1"/>
      <c r="UMP67" s="1"/>
      <c r="UMQ67" s="1"/>
      <c r="UMR67" s="1"/>
      <c r="UMS67" s="1"/>
      <c r="UMT67" s="1"/>
      <c r="UMU67" s="1"/>
      <c r="UMV67" s="1"/>
      <c r="UMW67" s="1"/>
      <c r="UMX67" s="1"/>
      <c r="UMY67" s="1"/>
      <c r="UMZ67" s="1"/>
      <c r="UNA67" s="1"/>
      <c r="UNB67" s="1"/>
      <c r="UNC67" s="1"/>
      <c r="UND67" s="1"/>
      <c r="UNE67" s="1"/>
      <c r="UNF67" s="1"/>
      <c r="UNG67" s="1"/>
      <c r="UNH67" s="1"/>
      <c r="UNI67" s="1"/>
      <c r="UNJ67" s="1"/>
      <c r="UNK67" s="1"/>
      <c r="UNL67" s="1"/>
      <c r="UNM67" s="1"/>
      <c r="UNN67" s="1"/>
      <c r="UNO67" s="1"/>
      <c r="UNP67" s="1"/>
      <c r="UNQ67" s="1"/>
      <c r="UNR67" s="1"/>
      <c r="UNS67" s="1"/>
      <c r="UNT67" s="1"/>
      <c r="UNU67" s="1"/>
      <c r="UNV67" s="1"/>
      <c r="UNW67" s="1"/>
      <c r="UNX67" s="1"/>
      <c r="UNY67" s="1"/>
      <c r="UNZ67" s="1"/>
      <c r="UOA67" s="1"/>
      <c r="UOB67" s="1"/>
      <c r="UOC67" s="1"/>
      <c r="UOD67" s="1"/>
      <c r="UOE67" s="1"/>
      <c r="UOF67" s="1"/>
      <c r="UOG67" s="1"/>
      <c r="UOH67" s="1"/>
      <c r="UOI67" s="1"/>
      <c r="UOJ67" s="1"/>
      <c r="UOK67" s="1"/>
      <c r="UOL67" s="1"/>
      <c r="UOM67" s="1"/>
      <c r="UON67" s="1"/>
      <c r="UOO67" s="1"/>
      <c r="UOP67" s="1"/>
      <c r="UOQ67" s="1"/>
      <c r="UOR67" s="1"/>
      <c r="UOS67" s="1"/>
      <c r="UOT67" s="1"/>
      <c r="UOU67" s="1"/>
      <c r="UOV67" s="1"/>
      <c r="UOW67" s="1"/>
      <c r="UOX67" s="1"/>
      <c r="UOY67" s="1"/>
      <c r="UOZ67" s="1"/>
      <c r="UPA67" s="1"/>
      <c r="UPB67" s="1"/>
      <c r="UPC67" s="1"/>
      <c r="UPD67" s="1"/>
      <c r="UPE67" s="1"/>
      <c r="UPF67" s="1"/>
      <c r="UPG67" s="1"/>
      <c r="UPH67" s="1"/>
      <c r="UPI67" s="1"/>
      <c r="UPJ67" s="1"/>
      <c r="UPK67" s="1"/>
      <c r="UPL67" s="1"/>
      <c r="UPM67" s="1"/>
      <c r="UPN67" s="1"/>
      <c r="UPO67" s="1"/>
      <c r="UPP67" s="1"/>
      <c r="UPQ67" s="1"/>
      <c r="UPR67" s="1"/>
      <c r="UPS67" s="1"/>
      <c r="UPT67" s="1"/>
      <c r="UPU67" s="1"/>
      <c r="UPV67" s="1"/>
      <c r="UPW67" s="1"/>
      <c r="UPX67" s="1"/>
      <c r="UPY67" s="1"/>
      <c r="UPZ67" s="1"/>
      <c r="UQA67" s="1"/>
      <c r="UQB67" s="1"/>
      <c r="UQC67" s="1"/>
      <c r="UQD67" s="1"/>
      <c r="UQE67" s="1"/>
      <c r="UQF67" s="1"/>
      <c r="UQG67" s="1"/>
      <c r="UQH67" s="1"/>
      <c r="UQI67" s="1"/>
      <c r="UQJ67" s="1"/>
      <c r="UQK67" s="1"/>
      <c r="UQL67" s="1"/>
      <c r="UQM67" s="1"/>
      <c r="UQN67" s="1"/>
      <c r="UQO67" s="1"/>
      <c r="UQP67" s="1"/>
      <c r="UQQ67" s="1"/>
      <c r="UQR67" s="1"/>
      <c r="UQS67" s="1"/>
      <c r="UQT67" s="1"/>
      <c r="UQU67" s="1"/>
      <c r="UQV67" s="1"/>
      <c r="UQW67" s="1"/>
      <c r="UQX67" s="1"/>
      <c r="UQY67" s="1"/>
      <c r="UQZ67" s="1"/>
      <c r="URA67" s="1"/>
      <c r="URB67" s="1"/>
      <c r="URC67" s="1"/>
      <c r="URD67" s="1"/>
      <c r="URE67" s="1"/>
      <c r="URF67" s="1"/>
      <c r="URG67" s="1"/>
      <c r="URH67" s="1"/>
      <c r="URI67" s="1"/>
      <c r="URJ67" s="1"/>
      <c r="URK67" s="1"/>
      <c r="URL67" s="1"/>
      <c r="URM67" s="1"/>
      <c r="URN67" s="1"/>
      <c r="URO67" s="1"/>
      <c r="URP67" s="1"/>
      <c r="URQ67" s="1"/>
      <c r="URR67" s="1"/>
      <c r="URS67" s="1"/>
      <c r="URT67" s="1"/>
      <c r="URU67" s="1"/>
      <c r="URV67" s="1"/>
      <c r="URW67" s="1"/>
      <c r="URX67" s="1"/>
      <c r="URY67" s="1"/>
      <c r="URZ67" s="1"/>
      <c r="USA67" s="1"/>
      <c r="USB67" s="1"/>
      <c r="USC67" s="1"/>
      <c r="USD67" s="1"/>
      <c r="USE67" s="1"/>
      <c r="USF67" s="1"/>
      <c r="USG67" s="1"/>
      <c r="USH67" s="1"/>
      <c r="USI67" s="1"/>
      <c r="USJ67" s="1"/>
      <c r="USK67" s="1"/>
      <c r="USL67" s="1"/>
      <c r="USM67" s="1"/>
      <c r="USN67" s="1"/>
      <c r="USO67" s="1"/>
      <c r="USP67" s="1"/>
      <c r="USQ67" s="1"/>
      <c r="USR67" s="1"/>
      <c r="USS67" s="1"/>
      <c r="UST67" s="1"/>
      <c r="USU67" s="1"/>
      <c r="USV67" s="1"/>
      <c r="USW67" s="1"/>
      <c r="USX67" s="1"/>
      <c r="USY67" s="1"/>
      <c r="USZ67" s="1"/>
      <c r="UTA67" s="1"/>
      <c r="UTB67" s="1"/>
      <c r="UTC67" s="1"/>
      <c r="UTD67" s="1"/>
      <c r="UTE67" s="1"/>
      <c r="UTF67" s="1"/>
      <c r="UTG67" s="1"/>
      <c r="UTH67" s="1"/>
      <c r="UTI67" s="1"/>
      <c r="UTJ67" s="1"/>
      <c r="UTK67" s="1"/>
      <c r="UTL67" s="1"/>
      <c r="UTM67" s="1"/>
      <c r="UTN67" s="1"/>
      <c r="UTO67" s="1"/>
      <c r="UTP67" s="1"/>
      <c r="UTQ67" s="1"/>
      <c r="UTR67" s="1"/>
      <c r="UTS67" s="1"/>
      <c r="UTT67" s="1"/>
      <c r="UTU67" s="1"/>
      <c r="UTV67" s="1"/>
      <c r="UTW67" s="1"/>
      <c r="UTX67" s="1"/>
      <c r="UTY67" s="1"/>
      <c r="UTZ67" s="1"/>
      <c r="UUA67" s="1"/>
      <c r="UUB67" s="1"/>
      <c r="UUC67" s="1"/>
      <c r="UUD67" s="1"/>
      <c r="UUE67" s="1"/>
      <c r="UUF67" s="1"/>
      <c r="UUG67" s="1"/>
      <c r="UUH67" s="1"/>
      <c r="UUI67" s="1"/>
      <c r="UUJ67" s="1"/>
      <c r="UUK67" s="1"/>
      <c r="UUL67" s="1"/>
      <c r="UUM67" s="1"/>
      <c r="UUN67" s="1"/>
      <c r="UUO67" s="1"/>
      <c r="UUP67" s="1"/>
      <c r="UUQ67" s="1"/>
      <c r="UUR67" s="1"/>
      <c r="UUS67" s="1"/>
      <c r="UUT67" s="1"/>
      <c r="UUU67" s="1"/>
      <c r="UUV67" s="1"/>
      <c r="UUW67" s="1"/>
      <c r="UUX67" s="1"/>
      <c r="UUY67" s="1"/>
      <c r="UUZ67" s="1"/>
      <c r="UVA67" s="1"/>
      <c r="UVB67" s="1"/>
      <c r="UVC67" s="1"/>
      <c r="UVD67" s="1"/>
      <c r="UVE67" s="1"/>
      <c r="UVF67" s="1"/>
      <c r="UVG67" s="1"/>
      <c r="UVH67" s="1"/>
      <c r="UVI67" s="1"/>
      <c r="UVJ67" s="1"/>
      <c r="UVK67" s="1"/>
      <c r="UVL67" s="1"/>
      <c r="UVM67" s="1"/>
      <c r="UVN67" s="1"/>
      <c r="UVO67" s="1"/>
      <c r="UVP67" s="1"/>
      <c r="UVQ67" s="1"/>
      <c r="UVR67" s="1"/>
      <c r="UVS67" s="1"/>
      <c r="UVT67" s="1"/>
      <c r="UVU67" s="1"/>
      <c r="UVV67" s="1"/>
      <c r="UVW67" s="1"/>
      <c r="UVX67" s="1"/>
      <c r="UVY67" s="1"/>
      <c r="UVZ67" s="1"/>
      <c r="UWA67" s="1"/>
      <c r="UWB67" s="1"/>
      <c r="UWC67" s="1"/>
      <c r="UWD67" s="1"/>
      <c r="UWE67" s="1"/>
      <c r="UWF67" s="1"/>
      <c r="UWG67" s="1"/>
      <c r="UWH67" s="1"/>
      <c r="UWI67" s="1"/>
      <c r="UWJ67" s="1"/>
      <c r="UWK67" s="1"/>
      <c r="UWL67" s="1"/>
      <c r="UWM67" s="1"/>
      <c r="UWN67" s="1"/>
      <c r="UWO67" s="1"/>
      <c r="UWP67" s="1"/>
      <c r="UWQ67" s="1"/>
      <c r="UWR67" s="1"/>
      <c r="UWS67" s="1"/>
      <c r="UWT67" s="1"/>
      <c r="UWU67" s="1"/>
      <c r="UWV67" s="1"/>
      <c r="UWW67" s="1"/>
      <c r="UWX67" s="1"/>
      <c r="UWY67" s="1"/>
      <c r="UWZ67" s="1"/>
      <c r="UXA67" s="1"/>
      <c r="UXB67" s="1"/>
      <c r="UXC67" s="1"/>
      <c r="UXD67" s="1"/>
      <c r="UXE67" s="1"/>
      <c r="UXF67" s="1"/>
      <c r="UXG67" s="1"/>
      <c r="UXH67" s="1"/>
      <c r="UXI67" s="1"/>
      <c r="UXJ67" s="1"/>
      <c r="UXK67" s="1"/>
      <c r="UXL67" s="1"/>
      <c r="UXM67" s="1"/>
      <c r="UXN67" s="1"/>
      <c r="UXO67" s="1"/>
      <c r="UXP67" s="1"/>
      <c r="UXQ67" s="1"/>
      <c r="UXR67" s="1"/>
      <c r="UXS67" s="1"/>
      <c r="UXT67" s="1"/>
      <c r="UXU67" s="1"/>
      <c r="UXV67" s="1"/>
      <c r="UXW67" s="1"/>
      <c r="UXX67" s="1"/>
      <c r="UXY67" s="1"/>
      <c r="UXZ67" s="1"/>
      <c r="UYA67" s="1"/>
      <c r="UYB67" s="1"/>
      <c r="UYC67" s="1"/>
      <c r="UYD67" s="1"/>
      <c r="UYE67" s="1"/>
      <c r="UYF67" s="1"/>
      <c r="UYG67" s="1"/>
      <c r="UYH67" s="1"/>
      <c r="UYI67" s="1"/>
      <c r="UYJ67" s="1"/>
      <c r="UYK67" s="1"/>
      <c r="UYL67" s="1"/>
      <c r="UYM67" s="1"/>
      <c r="UYN67" s="1"/>
      <c r="UYO67" s="1"/>
      <c r="UYP67" s="1"/>
      <c r="UYQ67" s="1"/>
      <c r="UYR67" s="1"/>
      <c r="UYS67" s="1"/>
      <c r="UYT67" s="1"/>
      <c r="UYU67" s="1"/>
      <c r="UYV67" s="1"/>
      <c r="UYW67" s="1"/>
      <c r="UYX67" s="1"/>
      <c r="UYY67" s="1"/>
      <c r="UYZ67" s="1"/>
      <c r="UZA67" s="1"/>
      <c r="UZB67" s="1"/>
      <c r="UZC67" s="1"/>
      <c r="UZD67" s="1"/>
      <c r="UZE67" s="1"/>
      <c r="UZF67" s="1"/>
      <c r="UZG67" s="1"/>
      <c r="UZH67" s="1"/>
      <c r="UZI67" s="1"/>
      <c r="UZJ67" s="1"/>
      <c r="UZK67" s="1"/>
      <c r="UZL67" s="1"/>
      <c r="UZM67" s="1"/>
      <c r="UZN67" s="1"/>
      <c r="UZO67" s="1"/>
      <c r="UZP67" s="1"/>
      <c r="UZQ67" s="1"/>
      <c r="UZR67" s="1"/>
      <c r="UZS67" s="1"/>
      <c r="UZT67" s="1"/>
      <c r="UZU67" s="1"/>
      <c r="UZV67" s="1"/>
      <c r="UZW67" s="1"/>
      <c r="UZX67" s="1"/>
      <c r="UZY67" s="1"/>
      <c r="UZZ67" s="1"/>
      <c r="VAA67" s="1"/>
      <c r="VAB67" s="1"/>
      <c r="VAC67" s="1"/>
      <c r="VAD67" s="1"/>
      <c r="VAE67" s="1"/>
      <c r="VAF67" s="1"/>
      <c r="VAG67" s="1"/>
      <c r="VAH67" s="1"/>
      <c r="VAI67" s="1"/>
      <c r="VAJ67" s="1"/>
      <c r="VAK67" s="1"/>
      <c r="VAL67" s="1"/>
      <c r="VAM67" s="1"/>
      <c r="VAN67" s="1"/>
      <c r="VAO67" s="1"/>
      <c r="VAP67" s="1"/>
      <c r="VAQ67" s="1"/>
      <c r="VAR67" s="1"/>
      <c r="VAS67" s="1"/>
      <c r="VAT67" s="1"/>
      <c r="VAU67" s="1"/>
      <c r="VAV67" s="1"/>
      <c r="VAW67" s="1"/>
      <c r="VAX67" s="1"/>
      <c r="VAY67" s="1"/>
      <c r="VAZ67" s="1"/>
      <c r="VBA67" s="1"/>
      <c r="VBB67" s="1"/>
      <c r="VBC67" s="1"/>
      <c r="VBD67" s="1"/>
      <c r="VBE67" s="1"/>
      <c r="VBF67" s="1"/>
      <c r="VBG67" s="1"/>
      <c r="VBH67" s="1"/>
      <c r="VBI67" s="1"/>
      <c r="VBJ67" s="1"/>
      <c r="VBK67" s="1"/>
      <c r="VBL67" s="1"/>
      <c r="VBM67" s="1"/>
      <c r="VBN67" s="1"/>
      <c r="VBO67" s="1"/>
      <c r="VBP67" s="1"/>
      <c r="VBQ67" s="1"/>
      <c r="VBR67" s="1"/>
      <c r="VBS67" s="1"/>
      <c r="VBT67" s="1"/>
      <c r="VBU67" s="1"/>
      <c r="VBV67" s="1"/>
      <c r="VBW67" s="1"/>
      <c r="VBX67" s="1"/>
      <c r="VBY67" s="1"/>
      <c r="VBZ67" s="1"/>
      <c r="VCA67" s="1"/>
      <c r="VCB67" s="1"/>
      <c r="VCC67" s="1"/>
      <c r="VCD67" s="1"/>
      <c r="VCE67" s="1"/>
      <c r="VCF67" s="1"/>
      <c r="VCG67" s="1"/>
      <c r="VCH67" s="1"/>
      <c r="VCI67" s="1"/>
      <c r="VCJ67" s="1"/>
      <c r="VCK67" s="1"/>
      <c r="VCL67" s="1"/>
      <c r="VCM67" s="1"/>
      <c r="VCN67" s="1"/>
      <c r="VCO67" s="1"/>
      <c r="VCP67" s="1"/>
      <c r="VCQ67" s="1"/>
      <c r="VCR67" s="1"/>
      <c r="VCS67" s="1"/>
      <c r="VCT67" s="1"/>
      <c r="VCU67" s="1"/>
      <c r="VCV67" s="1"/>
      <c r="VCW67" s="1"/>
      <c r="VCX67" s="1"/>
      <c r="VCY67" s="1"/>
      <c r="VCZ67" s="1"/>
      <c r="VDA67" s="1"/>
      <c r="VDB67" s="1"/>
      <c r="VDC67" s="1"/>
      <c r="VDD67" s="1"/>
      <c r="VDE67" s="1"/>
      <c r="VDF67" s="1"/>
      <c r="VDG67" s="1"/>
      <c r="VDH67" s="1"/>
      <c r="VDI67" s="1"/>
      <c r="VDJ67" s="1"/>
      <c r="VDK67" s="1"/>
      <c r="VDL67" s="1"/>
      <c r="VDM67" s="1"/>
      <c r="VDN67" s="1"/>
      <c r="VDO67" s="1"/>
      <c r="VDP67" s="1"/>
      <c r="VDQ67" s="1"/>
      <c r="VDR67" s="1"/>
      <c r="VDS67" s="1"/>
      <c r="VDT67" s="1"/>
      <c r="VDU67" s="1"/>
      <c r="VDV67" s="1"/>
      <c r="VDW67" s="1"/>
      <c r="VDX67" s="1"/>
      <c r="VDY67" s="1"/>
      <c r="VDZ67" s="1"/>
      <c r="VEA67" s="1"/>
      <c r="VEB67" s="1"/>
      <c r="VEC67" s="1"/>
      <c r="VED67" s="1"/>
      <c r="VEE67" s="1"/>
      <c r="VEF67" s="1"/>
      <c r="VEG67" s="1"/>
      <c r="VEH67" s="1"/>
      <c r="VEI67" s="1"/>
      <c r="VEJ67" s="1"/>
      <c r="VEK67" s="1"/>
      <c r="VEL67" s="1"/>
      <c r="VEM67" s="1"/>
      <c r="VEN67" s="1"/>
      <c r="VEO67" s="1"/>
      <c r="VEP67" s="1"/>
      <c r="VEQ67" s="1"/>
      <c r="VER67" s="1"/>
      <c r="VES67" s="1"/>
      <c r="VET67" s="1"/>
      <c r="VEU67" s="1"/>
      <c r="VEV67" s="1"/>
      <c r="VEW67" s="1"/>
      <c r="VEX67" s="1"/>
      <c r="VEY67" s="1"/>
      <c r="VEZ67" s="1"/>
      <c r="VFA67" s="1"/>
      <c r="VFB67" s="1"/>
      <c r="VFC67" s="1"/>
      <c r="VFD67" s="1"/>
      <c r="VFE67" s="1"/>
      <c r="VFF67" s="1"/>
      <c r="VFG67" s="1"/>
      <c r="VFH67" s="1"/>
      <c r="VFI67" s="1"/>
      <c r="VFJ67" s="1"/>
      <c r="VFK67" s="1"/>
      <c r="VFL67" s="1"/>
      <c r="VFM67" s="1"/>
      <c r="VFN67" s="1"/>
      <c r="VFO67" s="1"/>
      <c r="VFP67" s="1"/>
      <c r="VFQ67" s="1"/>
      <c r="VFR67" s="1"/>
      <c r="VFS67" s="1"/>
      <c r="VFT67" s="1"/>
      <c r="VFU67" s="1"/>
      <c r="VFV67" s="1"/>
      <c r="VFW67" s="1"/>
      <c r="VFX67" s="1"/>
      <c r="VFY67" s="1"/>
      <c r="VFZ67" s="1"/>
      <c r="VGA67" s="1"/>
      <c r="VGB67" s="1"/>
      <c r="VGC67" s="1"/>
      <c r="VGD67" s="1"/>
      <c r="VGE67" s="1"/>
      <c r="VGF67" s="1"/>
      <c r="VGG67" s="1"/>
      <c r="VGH67" s="1"/>
      <c r="VGI67" s="1"/>
      <c r="VGJ67" s="1"/>
      <c r="VGK67" s="1"/>
      <c r="VGL67" s="1"/>
      <c r="VGM67" s="1"/>
      <c r="VGN67" s="1"/>
      <c r="VGO67" s="1"/>
      <c r="VGP67" s="1"/>
      <c r="VGQ67" s="1"/>
      <c r="VGR67" s="1"/>
      <c r="VGS67" s="1"/>
      <c r="VGT67" s="1"/>
      <c r="VGU67" s="1"/>
      <c r="VGV67" s="1"/>
      <c r="VGW67" s="1"/>
      <c r="VGX67" s="1"/>
      <c r="VGY67" s="1"/>
      <c r="VGZ67" s="1"/>
      <c r="VHA67" s="1"/>
      <c r="VHB67" s="1"/>
      <c r="VHC67" s="1"/>
      <c r="VHD67" s="1"/>
      <c r="VHE67" s="1"/>
      <c r="VHF67" s="1"/>
      <c r="VHG67" s="1"/>
      <c r="VHH67" s="1"/>
      <c r="VHI67" s="1"/>
      <c r="VHJ67" s="1"/>
      <c r="VHK67" s="1"/>
      <c r="VHL67" s="1"/>
      <c r="VHM67" s="1"/>
      <c r="VHN67" s="1"/>
      <c r="VHO67" s="1"/>
      <c r="VHP67" s="1"/>
      <c r="VHQ67" s="1"/>
      <c r="VHR67" s="1"/>
      <c r="VHS67" s="1"/>
      <c r="VHT67" s="1"/>
      <c r="VHU67" s="1"/>
      <c r="VHV67" s="1"/>
      <c r="VHW67" s="1"/>
      <c r="VHX67" s="1"/>
      <c r="VHY67" s="1"/>
      <c r="VHZ67" s="1"/>
      <c r="VIA67" s="1"/>
      <c r="VIB67" s="1"/>
      <c r="VIC67" s="1"/>
      <c r="VID67" s="1"/>
      <c r="VIE67" s="1"/>
      <c r="VIF67" s="1"/>
      <c r="VIG67" s="1"/>
      <c r="VIH67" s="1"/>
      <c r="VII67" s="1"/>
      <c r="VIJ67" s="1"/>
      <c r="VIK67" s="1"/>
      <c r="VIL67" s="1"/>
      <c r="VIM67" s="1"/>
      <c r="VIN67" s="1"/>
      <c r="VIO67" s="1"/>
      <c r="VIP67" s="1"/>
      <c r="VIQ67" s="1"/>
      <c r="VIR67" s="1"/>
      <c r="VIS67" s="1"/>
      <c r="VIT67" s="1"/>
      <c r="VIU67" s="1"/>
      <c r="VIV67" s="1"/>
      <c r="VIW67" s="1"/>
      <c r="VIX67" s="1"/>
      <c r="VIY67" s="1"/>
      <c r="VIZ67" s="1"/>
      <c r="VJA67" s="1"/>
      <c r="VJB67" s="1"/>
      <c r="VJC67" s="1"/>
      <c r="VJD67" s="1"/>
      <c r="VJE67" s="1"/>
      <c r="VJF67" s="1"/>
      <c r="VJG67" s="1"/>
      <c r="VJH67" s="1"/>
      <c r="VJI67" s="1"/>
      <c r="VJJ67" s="1"/>
      <c r="VJK67" s="1"/>
      <c r="VJL67" s="1"/>
      <c r="VJM67" s="1"/>
      <c r="VJN67" s="1"/>
      <c r="VJO67" s="1"/>
      <c r="VJP67" s="1"/>
      <c r="VJQ67" s="1"/>
      <c r="VJR67" s="1"/>
      <c r="VJS67" s="1"/>
      <c r="VJT67" s="1"/>
      <c r="VJU67" s="1"/>
      <c r="VJV67" s="1"/>
      <c r="VJW67" s="1"/>
      <c r="VJX67" s="1"/>
      <c r="VJY67" s="1"/>
      <c r="VJZ67" s="1"/>
      <c r="VKA67" s="1"/>
      <c r="VKB67" s="1"/>
      <c r="VKC67" s="1"/>
      <c r="VKD67" s="1"/>
      <c r="VKE67" s="1"/>
      <c r="VKF67" s="1"/>
      <c r="VKG67" s="1"/>
      <c r="VKH67" s="1"/>
      <c r="VKI67" s="1"/>
      <c r="VKJ67" s="1"/>
      <c r="VKK67" s="1"/>
      <c r="VKL67" s="1"/>
      <c r="VKM67" s="1"/>
      <c r="VKN67" s="1"/>
      <c r="VKO67" s="1"/>
      <c r="VKP67" s="1"/>
      <c r="VKQ67" s="1"/>
      <c r="VKR67" s="1"/>
      <c r="VKS67" s="1"/>
      <c r="VKT67" s="1"/>
      <c r="VKU67" s="1"/>
      <c r="VKV67" s="1"/>
      <c r="VKW67" s="1"/>
      <c r="VKX67" s="1"/>
      <c r="VKY67" s="1"/>
      <c r="VKZ67" s="1"/>
      <c r="VLA67" s="1"/>
      <c r="VLB67" s="1"/>
      <c r="VLC67" s="1"/>
      <c r="VLD67" s="1"/>
      <c r="VLE67" s="1"/>
      <c r="VLF67" s="1"/>
      <c r="VLG67" s="1"/>
      <c r="VLH67" s="1"/>
      <c r="VLI67" s="1"/>
      <c r="VLJ67" s="1"/>
      <c r="VLK67" s="1"/>
      <c r="VLL67" s="1"/>
      <c r="VLM67" s="1"/>
      <c r="VLN67" s="1"/>
      <c r="VLO67" s="1"/>
      <c r="VLP67" s="1"/>
      <c r="VLQ67" s="1"/>
      <c r="VLR67" s="1"/>
      <c r="VLS67" s="1"/>
      <c r="VLT67" s="1"/>
      <c r="VLU67" s="1"/>
      <c r="VLV67" s="1"/>
      <c r="VLW67" s="1"/>
      <c r="VLX67" s="1"/>
      <c r="VLY67" s="1"/>
      <c r="VLZ67" s="1"/>
      <c r="VMA67" s="1"/>
      <c r="VMB67" s="1"/>
      <c r="VMC67" s="1"/>
      <c r="VMD67" s="1"/>
      <c r="VME67" s="1"/>
      <c r="VMF67" s="1"/>
      <c r="VMG67" s="1"/>
      <c r="VMH67" s="1"/>
      <c r="VMI67" s="1"/>
      <c r="VMJ67" s="1"/>
      <c r="VMK67" s="1"/>
      <c r="VML67" s="1"/>
      <c r="VMM67" s="1"/>
      <c r="VMN67" s="1"/>
      <c r="VMO67" s="1"/>
      <c r="VMP67" s="1"/>
      <c r="VMQ67" s="1"/>
      <c r="VMR67" s="1"/>
      <c r="VMS67" s="1"/>
      <c r="VMT67" s="1"/>
      <c r="VMU67" s="1"/>
      <c r="VMV67" s="1"/>
      <c r="VMW67" s="1"/>
      <c r="VMX67" s="1"/>
      <c r="VMY67" s="1"/>
      <c r="VMZ67" s="1"/>
      <c r="VNA67" s="1"/>
      <c r="VNB67" s="1"/>
      <c r="VNC67" s="1"/>
      <c r="VND67" s="1"/>
      <c r="VNE67" s="1"/>
      <c r="VNF67" s="1"/>
      <c r="VNG67" s="1"/>
      <c r="VNH67" s="1"/>
      <c r="VNI67" s="1"/>
      <c r="VNJ67" s="1"/>
      <c r="VNK67" s="1"/>
      <c r="VNL67" s="1"/>
      <c r="VNM67" s="1"/>
      <c r="VNN67" s="1"/>
      <c r="VNO67" s="1"/>
      <c r="VNP67" s="1"/>
      <c r="VNQ67" s="1"/>
      <c r="VNR67" s="1"/>
      <c r="VNS67" s="1"/>
      <c r="VNT67" s="1"/>
      <c r="VNU67" s="1"/>
      <c r="VNV67" s="1"/>
      <c r="VNW67" s="1"/>
      <c r="VNX67" s="1"/>
      <c r="VNY67" s="1"/>
      <c r="VNZ67" s="1"/>
      <c r="VOA67" s="1"/>
      <c r="VOB67" s="1"/>
      <c r="VOC67" s="1"/>
      <c r="VOD67" s="1"/>
      <c r="VOE67" s="1"/>
      <c r="VOF67" s="1"/>
      <c r="VOG67" s="1"/>
      <c r="VOH67" s="1"/>
      <c r="VOI67" s="1"/>
      <c r="VOJ67" s="1"/>
      <c r="VOK67" s="1"/>
      <c r="VOL67" s="1"/>
      <c r="VOM67" s="1"/>
      <c r="VON67" s="1"/>
      <c r="VOO67" s="1"/>
      <c r="VOP67" s="1"/>
      <c r="VOQ67" s="1"/>
      <c r="VOR67" s="1"/>
      <c r="VOS67" s="1"/>
      <c r="VOT67" s="1"/>
      <c r="VOU67" s="1"/>
      <c r="VOV67" s="1"/>
      <c r="VOW67" s="1"/>
      <c r="VOX67" s="1"/>
      <c r="VOY67" s="1"/>
      <c r="VOZ67" s="1"/>
      <c r="VPA67" s="1"/>
      <c r="VPB67" s="1"/>
      <c r="VPC67" s="1"/>
      <c r="VPD67" s="1"/>
      <c r="VPE67" s="1"/>
      <c r="VPF67" s="1"/>
      <c r="VPG67" s="1"/>
      <c r="VPH67" s="1"/>
      <c r="VPI67" s="1"/>
      <c r="VPJ67" s="1"/>
      <c r="VPK67" s="1"/>
      <c r="VPL67" s="1"/>
      <c r="VPM67" s="1"/>
      <c r="VPN67" s="1"/>
      <c r="VPO67" s="1"/>
      <c r="VPP67" s="1"/>
      <c r="VPQ67" s="1"/>
      <c r="VPR67" s="1"/>
      <c r="VPS67" s="1"/>
      <c r="VPT67" s="1"/>
      <c r="VPU67" s="1"/>
      <c r="VPV67" s="1"/>
      <c r="VPW67" s="1"/>
      <c r="VPX67" s="1"/>
      <c r="VPY67" s="1"/>
      <c r="VPZ67" s="1"/>
      <c r="VQA67" s="1"/>
      <c r="VQB67" s="1"/>
      <c r="VQC67" s="1"/>
      <c r="VQD67" s="1"/>
      <c r="VQE67" s="1"/>
      <c r="VQF67" s="1"/>
      <c r="VQG67" s="1"/>
      <c r="VQH67" s="1"/>
      <c r="VQI67" s="1"/>
      <c r="VQJ67" s="1"/>
      <c r="VQK67" s="1"/>
      <c r="VQL67" s="1"/>
      <c r="VQM67" s="1"/>
      <c r="VQN67" s="1"/>
      <c r="VQO67" s="1"/>
      <c r="VQP67" s="1"/>
      <c r="VQQ67" s="1"/>
      <c r="VQR67" s="1"/>
      <c r="VQS67" s="1"/>
      <c r="VQT67" s="1"/>
      <c r="VQU67" s="1"/>
      <c r="VQV67" s="1"/>
      <c r="VQW67" s="1"/>
      <c r="VQX67" s="1"/>
      <c r="VQY67" s="1"/>
      <c r="VQZ67" s="1"/>
      <c r="VRA67" s="1"/>
      <c r="VRB67" s="1"/>
      <c r="VRC67" s="1"/>
      <c r="VRD67" s="1"/>
      <c r="VRE67" s="1"/>
      <c r="VRF67" s="1"/>
      <c r="VRG67" s="1"/>
      <c r="VRH67" s="1"/>
      <c r="VRI67" s="1"/>
      <c r="VRJ67" s="1"/>
      <c r="VRK67" s="1"/>
      <c r="VRL67" s="1"/>
      <c r="VRM67" s="1"/>
      <c r="VRN67" s="1"/>
      <c r="VRO67" s="1"/>
      <c r="VRP67" s="1"/>
      <c r="VRQ67" s="1"/>
      <c r="VRR67" s="1"/>
      <c r="VRS67" s="1"/>
      <c r="VRT67" s="1"/>
      <c r="VRU67" s="1"/>
      <c r="VRV67" s="1"/>
      <c r="VRW67" s="1"/>
      <c r="VRX67" s="1"/>
      <c r="VRY67" s="1"/>
      <c r="VRZ67" s="1"/>
      <c r="VSA67" s="1"/>
      <c r="VSB67" s="1"/>
      <c r="VSC67" s="1"/>
      <c r="VSD67" s="1"/>
      <c r="VSE67" s="1"/>
      <c r="VSF67" s="1"/>
      <c r="VSG67" s="1"/>
      <c r="VSH67" s="1"/>
      <c r="VSI67" s="1"/>
      <c r="VSJ67" s="1"/>
      <c r="VSK67" s="1"/>
      <c r="VSL67" s="1"/>
      <c r="VSM67" s="1"/>
      <c r="VSN67" s="1"/>
      <c r="VSO67" s="1"/>
      <c r="VSP67" s="1"/>
      <c r="VSQ67" s="1"/>
      <c r="VSR67" s="1"/>
      <c r="VSS67" s="1"/>
      <c r="VST67" s="1"/>
      <c r="VSU67" s="1"/>
      <c r="VSV67" s="1"/>
      <c r="VSW67" s="1"/>
      <c r="VSX67" s="1"/>
      <c r="VSY67" s="1"/>
      <c r="VSZ67" s="1"/>
      <c r="VTA67" s="1"/>
      <c r="VTB67" s="1"/>
      <c r="VTC67" s="1"/>
      <c r="VTD67" s="1"/>
      <c r="VTE67" s="1"/>
      <c r="VTF67" s="1"/>
      <c r="VTG67" s="1"/>
      <c r="VTH67" s="1"/>
      <c r="VTI67" s="1"/>
      <c r="VTJ67" s="1"/>
      <c r="VTK67" s="1"/>
      <c r="VTL67" s="1"/>
      <c r="VTM67" s="1"/>
      <c r="VTN67" s="1"/>
      <c r="VTO67" s="1"/>
      <c r="VTP67" s="1"/>
      <c r="VTQ67" s="1"/>
      <c r="VTR67" s="1"/>
      <c r="VTS67" s="1"/>
      <c r="VTT67" s="1"/>
      <c r="VTU67" s="1"/>
      <c r="VTV67" s="1"/>
      <c r="VTW67" s="1"/>
      <c r="VTX67" s="1"/>
      <c r="VTY67" s="1"/>
      <c r="VTZ67" s="1"/>
      <c r="VUA67" s="1"/>
      <c r="VUB67" s="1"/>
      <c r="VUC67" s="1"/>
      <c r="VUD67" s="1"/>
      <c r="VUE67" s="1"/>
      <c r="VUF67" s="1"/>
      <c r="VUG67" s="1"/>
      <c r="VUH67" s="1"/>
      <c r="VUI67" s="1"/>
      <c r="VUJ67" s="1"/>
      <c r="VUK67" s="1"/>
      <c r="VUL67" s="1"/>
      <c r="VUM67" s="1"/>
      <c r="VUN67" s="1"/>
      <c r="VUO67" s="1"/>
      <c r="VUP67" s="1"/>
      <c r="VUQ67" s="1"/>
      <c r="VUR67" s="1"/>
      <c r="VUS67" s="1"/>
      <c r="VUT67" s="1"/>
      <c r="VUU67" s="1"/>
      <c r="VUV67" s="1"/>
      <c r="VUW67" s="1"/>
      <c r="VUX67" s="1"/>
      <c r="VUY67" s="1"/>
      <c r="VUZ67" s="1"/>
      <c r="VVA67" s="1"/>
      <c r="VVB67" s="1"/>
      <c r="VVC67" s="1"/>
      <c r="VVD67" s="1"/>
      <c r="VVE67" s="1"/>
      <c r="VVF67" s="1"/>
      <c r="VVG67" s="1"/>
      <c r="VVH67" s="1"/>
      <c r="VVI67" s="1"/>
      <c r="VVJ67" s="1"/>
      <c r="VVK67" s="1"/>
      <c r="VVL67" s="1"/>
      <c r="VVM67" s="1"/>
      <c r="VVN67" s="1"/>
      <c r="VVO67" s="1"/>
      <c r="VVP67" s="1"/>
      <c r="VVQ67" s="1"/>
      <c r="VVR67" s="1"/>
      <c r="VVS67" s="1"/>
      <c r="VVT67" s="1"/>
      <c r="VVU67" s="1"/>
      <c r="VVV67" s="1"/>
      <c r="VVW67" s="1"/>
      <c r="VVX67" s="1"/>
      <c r="VVY67" s="1"/>
      <c r="VVZ67" s="1"/>
      <c r="VWA67" s="1"/>
      <c r="VWB67" s="1"/>
      <c r="VWC67" s="1"/>
      <c r="VWD67" s="1"/>
      <c r="VWE67" s="1"/>
      <c r="VWF67" s="1"/>
      <c r="VWG67" s="1"/>
      <c r="VWH67" s="1"/>
      <c r="VWI67" s="1"/>
      <c r="VWJ67" s="1"/>
      <c r="VWK67" s="1"/>
      <c r="VWL67" s="1"/>
      <c r="VWM67" s="1"/>
      <c r="VWN67" s="1"/>
      <c r="VWO67" s="1"/>
      <c r="VWP67" s="1"/>
      <c r="VWQ67" s="1"/>
      <c r="VWR67" s="1"/>
      <c r="VWS67" s="1"/>
      <c r="VWT67" s="1"/>
      <c r="VWU67" s="1"/>
      <c r="VWV67" s="1"/>
      <c r="VWW67" s="1"/>
      <c r="VWX67" s="1"/>
      <c r="VWY67" s="1"/>
      <c r="VWZ67" s="1"/>
      <c r="VXA67" s="1"/>
      <c r="VXB67" s="1"/>
      <c r="VXC67" s="1"/>
      <c r="VXD67" s="1"/>
      <c r="VXE67" s="1"/>
      <c r="VXF67" s="1"/>
      <c r="VXG67" s="1"/>
      <c r="VXH67" s="1"/>
      <c r="VXI67" s="1"/>
      <c r="VXJ67" s="1"/>
      <c r="VXK67" s="1"/>
      <c r="VXL67" s="1"/>
      <c r="VXM67" s="1"/>
      <c r="VXN67" s="1"/>
      <c r="VXO67" s="1"/>
      <c r="VXP67" s="1"/>
      <c r="VXQ67" s="1"/>
      <c r="VXR67" s="1"/>
      <c r="VXS67" s="1"/>
      <c r="VXT67" s="1"/>
      <c r="VXU67" s="1"/>
      <c r="VXV67" s="1"/>
      <c r="VXW67" s="1"/>
      <c r="VXX67" s="1"/>
      <c r="VXY67" s="1"/>
      <c r="VXZ67" s="1"/>
      <c r="VYA67" s="1"/>
      <c r="VYB67" s="1"/>
      <c r="VYC67" s="1"/>
      <c r="VYD67" s="1"/>
      <c r="VYE67" s="1"/>
      <c r="VYF67" s="1"/>
      <c r="VYG67" s="1"/>
      <c r="VYH67" s="1"/>
      <c r="VYI67" s="1"/>
      <c r="VYJ67" s="1"/>
      <c r="VYK67" s="1"/>
      <c r="VYL67" s="1"/>
      <c r="VYM67" s="1"/>
      <c r="VYN67" s="1"/>
      <c r="VYO67" s="1"/>
      <c r="VYP67" s="1"/>
      <c r="VYQ67" s="1"/>
      <c r="VYR67" s="1"/>
      <c r="VYS67" s="1"/>
      <c r="VYT67" s="1"/>
      <c r="VYU67" s="1"/>
      <c r="VYV67" s="1"/>
      <c r="VYW67" s="1"/>
      <c r="VYX67" s="1"/>
      <c r="VYY67" s="1"/>
      <c r="VYZ67" s="1"/>
      <c r="VZA67" s="1"/>
      <c r="VZB67" s="1"/>
      <c r="VZC67" s="1"/>
      <c r="VZD67" s="1"/>
      <c r="VZE67" s="1"/>
      <c r="VZF67" s="1"/>
      <c r="VZG67" s="1"/>
      <c r="VZH67" s="1"/>
      <c r="VZI67" s="1"/>
      <c r="VZJ67" s="1"/>
      <c r="VZK67" s="1"/>
      <c r="VZL67" s="1"/>
      <c r="VZM67" s="1"/>
      <c r="VZN67" s="1"/>
      <c r="VZO67" s="1"/>
      <c r="VZP67" s="1"/>
      <c r="VZQ67" s="1"/>
      <c r="VZR67" s="1"/>
      <c r="VZS67" s="1"/>
      <c r="VZT67" s="1"/>
      <c r="VZU67" s="1"/>
      <c r="VZV67" s="1"/>
      <c r="VZW67" s="1"/>
      <c r="VZX67" s="1"/>
      <c r="VZY67" s="1"/>
      <c r="VZZ67" s="1"/>
      <c r="WAA67" s="1"/>
      <c r="WAB67" s="1"/>
      <c r="WAC67" s="1"/>
      <c r="WAD67" s="1"/>
      <c r="WAE67" s="1"/>
      <c r="WAF67" s="1"/>
      <c r="WAG67" s="1"/>
      <c r="WAH67" s="1"/>
      <c r="WAI67" s="1"/>
      <c r="WAJ67" s="1"/>
      <c r="WAK67" s="1"/>
      <c r="WAL67" s="1"/>
      <c r="WAM67" s="1"/>
      <c r="WAN67" s="1"/>
      <c r="WAO67" s="1"/>
      <c r="WAP67" s="1"/>
      <c r="WAQ67" s="1"/>
      <c r="WAR67" s="1"/>
      <c r="WAS67" s="1"/>
      <c r="WAT67" s="1"/>
      <c r="WAU67" s="1"/>
      <c r="WAV67" s="1"/>
      <c r="WAW67" s="1"/>
      <c r="WAX67" s="1"/>
      <c r="WAY67" s="1"/>
      <c r="WAZ67" s="1"/>
      <c r="WBA67" s="1"/>
      <c r="WBB67" s="1"/>
      <c r="WBC67" s="1"/>
      <c r="WBD67" s="1"/>
      <c r="WBE67" s="1"/>
      <c r="WBF67" s="1"/>
      <c r="WBG67" s="1"/>
      <c r="WBH67" s="1"/>
      <c r="WBI67" s="1"/>
      <c r="WBJ67" s="1"/>
      <c r="WBK67" s="1"/>
      <c r="WBL67" s="1"/>
      <c r="WBM67" s="1"/>
      <c r="WBN67" s="1"/>
      <c r="WBO67" s="1"/>
      <c r="WBP67" s="1"/>
      <c r="WBQ67" s="1"/>
      <c r="WBR67" s="1"/>
      <c r="WBS67" s="1"/>
      <c r="WBT67" s="1"/>
      <c r="WBU67" s="1"/>
      <c r="WBV67" s="1"/>
      <c r="WBW67" s="1"/>
      <c r="WBX67" s="1"/>
      <c r="WBY67" s="1"/>
      <c r="WBZ67" s="1"/>
      <c r="WCA67" s="1"/>
      <c r="WCB67" s="1"/>
      <c r="WCC67" s="1"/>
      <c r="WCD67" s="1"/>
      <c r="WCE67" s="1"/>
      <c r="WCF67" s="1"/>
      <c r="WCG67" s="1"/>
      <c r="WCH67" s="1"/>
      <c r="WCI67" s="1"/>
      <c r="WCJ67" s="1"/>
      <c r="WCK67" s="1"/>
      <c r="WCL67" s="1"/>
      <c r="WCM67" s="1"/>
      <c r="WCN67" s="1"/>
      <c r="WCO67" s="1"/>
      <c r="WCP67" s="1"/>
      <c r="WCQ67" s="1"/>
      <c r="WCR67" s="1"/>
      <c r="WCS67" s="1"/>
      <c r="WCT67" s="1"/>
      <c r="WCU67" s="1"/>
      <c r="WCV67" s="1"/>
      <c r="WCW67" s="1"/>
      <c r="WCX67" s="1"/>
      <c r="WCY67" s="1"/>
      <c r="WCZ67" s="1"/>
      <c r="WDA67" s="1"/>
      <c r="WDB67" s="1"/>
      <c r="WDC67" s="1"/>
      <c r="WDD67" s="1"/>
      <c r="WDE67" s="1"/>
      <c r="WDF67" s="1"/>
      <c r="WDG67" s="1"/>
      <c r="WDH67" s="1"/>
      <c r="WDI67" s="1"/>
      <c r="WDJ67" s="1"/>
      <c r="WDK67" s="1"/>
      <c r="WDL67" s="1"/>
      <c r="WDM67" s="1"/>
      <c r="WDN67" s="1"/>
      <c r="WDO67" s="1"/>
      <c r="WDP67" s="1"/>
      <c r="WDQ67" s="1"/>
      <c r="WDR67" s="1"/>
      <c r="WDS67" s="1"/>
      <c r="WDT67" s="1"/>
      <c r="WDU67" s="1"/>
      <c r="WDV67" s="1"/>
      <c r="WDW67" s="1"/>
      <c r="WDX67" s="1"/>
      <c r="WDY67" s="1"/>
      <c r="WDZ67" s="1"/>
      <c r="WEA67" s="1"/>
      <c r="WEB67" s="1"/>
      <c r="WEC67" s="1"/>
      <c r="WED67" s="1"/>
      <c r="WEE67" s="1"/>
      <c r="WEF67" s="1"/>
      <c r="WEG67" s="1"/>
      <c r="WEH67" s="1"/>
      <c r="WEI67" s="1"/>
      <c r="WEJ67" s="1"/>
      <c r="WEK67" s="1"/>
      <c r="WEL67" s="1"/>
      <c r="WEM67" s="1"/>
      <c r="WEN67" s="1"/>
      <c r="WEO67" s="1"/>
      <c r="WEP67" s="1"/>
      <c r="WEQ67" s="1"/>
      <c r="WER67" s="1"/>
      <c r="WES67" s="1"/>
      <c r="WET67" s="1"/>
      <c r="WEU67" s="1"/>
      <c r="WEV67" s="1"/>
      <c r="WEW67" s="1"/>
      <c r="WEX67" s="1"/>
      <c r="WEY67" s="1"/>
      <c r="WEZ67" s="1"/>
      <c r="WFA67" s="1"/>
      <c r="WFB67" s="1"/>
      <c r="WFC67" s="1"/>
      <c r="WFD67" s="1"/>
      <c r="WFE67" s="1"/>
      <c r="WFF67" s="1"/>
      <c r="WFG67" s="1"/>
      <c r="WFH67" s="1"/>
      <c r="WFI67" s="1"/>
      <c r="WFJ67" s="1"/>
      <c r="WFK67" s="1"/>
      <c r="WFL67" s="1"/>
      <c r="WFM67" s="1"/>
      <c r="WFN67" s="1"/>
      <c r="WFO67" s="1"/>
      <c r="WFP67" s="1"/>
      <c r="WFQ67" s="1"/>
      <c r="WFR67" s="1"/>
      <c r="WFS67" s="1"/>
      <c r="WFT67" s="1"/>
      <c r="WFU67" s="1"/>
      <c r="WFV67" s="1"/>
      <c r="WFW67" s="1"/>
      <c r="WFX67" s="1"/>
      <c r="WFY67" s="1"/>
      <c r="WFZ67" s="1"/>
      <c r="WGA67" s="1"/>
      <c r="WGB67" s="1"/>
      <c r="WGC67" s="1"/>
      <c r="WGD67" s="1"/>
      <c r="WGE67" s="1"/>
      <c r="WGF67" s="1"/>
      <c r="WGG67" s="1"/>
      <c r="WGH67" s="1"/>
      <c r="WGI67" s="1"/>
      <c r="WGJ67" s="1"/>
      <c r="WGK67" s="1"/>
      <c r="WGL67" s="1"/>
      <c r="WGM67" s="1"/>
      <c r="WGN67" s="1"/>
      <c r="WGO67" s="1"/>
      <c r="WGP67" s="1"/>
      <c r="WGQ67" s="1"/>
      <c r="WGR67" s="1"/>
      <c r="WGS67" s="1"/>
      <c r="WGT67" s="1"/>
      <c r="WGU67" s="1"/>
      <c r="WGV67" s="1"/>
      <c r="WGW67" s="1"/>
      <c r="WGX67" s="1"/>
      <c r="WGY67" s="1"/>
      <c r="WGZ67" s="1"/>
      <c r="WHA67" s="1"/>
      <c r="WHB67" s="1"/>
      <c r="WHC67" s="1"/>
      <c r="WHD67" s="1"/>
      <c r="WHE67" s="1"/>
      <c r="WHF67" s="1"/>
      <c r="WHG67" s="1"/>
      <c r="WHH67" s="1"/>
      <c r="WHI67" s="1"/>
      <c r="WHJ67" s="1"/>
      <c r="WHK67" s="1"/>
      <c r="WHL67" s="1"/>
      <c r="WHM67" s="1"/>
      <c r="WHN67" s="1"/>
      <c r="WHO67" s="1"/>
      <c r="WHP67" s="1"/>
      <c r="WHQ67" s="1"/>
      <c r="WHR67" s="1"/>
      <c r="WHS67" s="1"/>
      <c r="WHT67" s="1"/>
      <c r="WHU67" s="1"/>
      <c r="WHV67" s="1"/>
      <c r="WHW67" s="1"/>
      <c r="WHX67" s="1"/>
      <c r="WHY67" s="1"/>
      <c r="WHZ67" s="1"/>
      <c r="WIA67" s="1"/>
      <c r="WIB67" s="1"/>
      <c r="WIC67" s="1"/>
      <c r="WID67" s="1"/>
      <c r="WIE67" s="1"/>
      <c r="WIF67" s="1"/>
      <c r="WIG67" s="1"/>
      <c r="WIH67" s="1"/>
      <c r="WII67" s="1"/>
      <c r="WIJ67" s="1"/>
      <c r="WIK67" s="1"/>
      <c r="WIL67" s="1"/>
      <c r="WIM67" s="1"/>
      <c r="WIN67" s="1"/>
      <c r="WIO67" s="1"/>
      <c r="WIP67" s="1"/>
      <c r="WIQ67" s="1"/>
      <c r="WIR67" s="1"/>
      <c r="WIS67" s="1"/>
      <c r="WIT67" s="1"/>
      <c r="WIU67" s="1"/>
      <c r="WIV67" s="1"/>
      <c r="WIW67" s="1"/>
      <c r="WIX67" s="1"/>
      <c r="WIY67" s="1"/>
      <c r="WIZ67" s="1"/>
      <c r="WJA67" s="1"/>
      <c r="WJB67" s="1"/>
      <c r="WJC67" s="1"/>
      <c r="WJD67" s="1"/>
      <c r="WJE67" s="1"/>
      <c r="WJF67" s="1"/>
      <c r="WJG67" s="1"/>
      <c r="WJH67" s="1"/>
      <c r="WJI67" s="1"/>
      <c r="WJJ67" s="1"/>
      <c r="WJK67" s="1"/>
      <c r="WJL67" s="1"/>
      <c r="WJM67" s="1"/>
      <c r="WJN67" s="1"/>
      <c r="WJO67" s="1"/>
      <c r="WJP67" s="1"/>
      <c r="WJQ67" s="1"/>
      <c r="WJR67" s="1"/>
      <c r="WJS67" s="1"/>
      <c r="WJT67" s="1"/>
      <c r="WJU67" s="1"/>
      <c r="WJV67" s="1"/>
      <c r="WJW67" s="1"/>
      <c r="WJX67" s="1"/>
      <c r="WJY67" s="1"/>
      <c r="WJZ67" s="1"/>
      <c r="WKA67" s="1"/>
      <c r="WKB67" s="1"/>
      <c r="WKC67" s="1"/>
      <c r="WKD67" s="1"/>
      <c r="WKE67" s="1"/>
      <c r="WKF67" s="1"/>
      <c r="WKG67" s="1"/>
      <c r="WKH67" s="1"/>
      <c r="WKI67" s="1"/>
      <c r="WKJ67" s="1"/>
      <c r="WKK67" s="1"/>
      <c r="WKL67" s="1"/>
      <c r="WKM67" s="1"/>
      <c r="WKN67" s="1"/>
      <c r="WKO67" s="1"/>
      <c r="WKP67" s="1"/>
      <c r="WKQ67" s="1"/>
      <c r="WKR67" s="1"/>
      <c r="WKS67" s="1"/>
      <c r="WKT67" s="1"/>
      <c r="WKU67" s="1"/>
      <c r="WKV67" s="1"/>
      <c r="WKW67" s="1"/>
      <c r="WKX67" s="1"/>
      <c r="WKY67" s="1"/>
      <c r="WKZ67" s="1"/>
      <c r="WLA67" s="1"/>
      <c r="WLB67" s="1"/>
      <c r="WLC67" s="1"/>
      <c r="WLD67" s="1"/>
      <c r="WLE67" s="1"/>
      <c r="WLF67" s="1"/>
      <c r="WLG67" s="1"/>
      <c r="WLH67" s="1"/>
      <c r="WLI67" s="1"/>
      <c r="WLJ67" s="1"/>
      <c r="WLK67" s="1"/>
      <c r="WLL67" s="1"/>
      <c r="WLM67" s="1"/>
      <c r="WLN67" s="1"/>
      <c r="WLO67" s="1"/>
      <c r="WLP67" s="1"/>
      <c r="WLQ67" s="1"/>
      <c r="WLR67" s="1"/>
      <c r="WLS67" s="1"/>
      <c r="WLT67" s="1"/>
      <c r="WLU67" s="1"/>
      <c r="WLV67" s="1"/>
      <c r="WLW67" s="1"/>
      <c r="WLX67" s="1"/>
      <c r="WLY67" s="1"/>
      <c r="WLZ67" s="1"/>
      <c r="WMA67" s="1"/>
      <c r="WMB67" s="1"/>
      <c r="WMC67" s="1"/>
      <c r="WMD67" s="1"/>
      <c r="WME67" s="1"/>
      <c r="WMF67" s="1"/>
      <c r="WMG67" s="1"/>
      <c r="WMH67" s="1"/>
      <c r="WMI67" s="1"/>
      <c r="WMJ67" s="1"/>
      <c r="WMK67" s="1"/>
      <c r="WML67" s="1"/>
      <c r="WMM67" s="1"/>
      <c r="WMN67" s="1"/>
      <c r="WMO67" s="1"/>
      <c r="WMP67" s="1"/>
      <c r="WMQ67" s="1"/>
      <c r="WMR67" s="1"/>
      <c r="WMS67" s="1"/>
      <c r="WMT67" s="1"/>
      <c r="WMU67" s="1"/>
      <c r="WMV67" s="1"/>
      <c r="WMW67" s="1"/>
      <c r="WMX67" s="1"/>
      <c r="WMY67" s="1"/>
      <c r="WMZ67" s="1"/>
      <c r="WNA67" s="1"/>
      <c r="WNB67" s="1"/>
      <c r="WNC67" s="1"/>
      <c r="WND67" s="1"/>
      <c r="WNE67" s="1"/>
      <c r="WNF67" s="1"/>
      <c r="WNG67" s="1"/>
      <c r="WNH67" s="1"/>
      <c r="WNI67" s="1"/>
      <c r="WNJ67" s="1"/>
      <c r="WNK67" s="1"/>
      <c r="WNL67" s="1"/>
      <c r="WNM67" s="1"/>
      <c r="WNN67" s="1"/>
      <c r="WNO67" s="1"/>
      <c r="WNP67" s="1"/>
      <c r="WNQ67" s="1"/>
      <c r="WNR67" s="1"/>
      <c r="WNS67" s="1"/>
      <c r="WNT67" s="1"/>
      <c r="WNU67" s="1"/>
      <c r="WNV67" s="1"/>
      <c r="WNW67" s="1"/>
      <c r="WNX67" s="1"/>
      <c r="WNY67" s="1"/>
      <c r="WNZ67" s="1"/>
      <c r="WOA67" s="1"/>
      <c r="WOB67" s="1"/>
      <c r="WOC67" s="1"/>
      <c r="WOD67" s="1"/>
      <c r="WOE67" s="1"/>
      <c r="WOF67" s="1"/>
      <c r="WOG67" s="1"/>
      <c r="WOH67" s="1"/>
      <c r="WOI67" s="1"/>
      <c r="WOJ67" s="1"/>
      <c r="WOK67" s="1"/>
      <c r="WOL67" s="1"/>
      <c r="WOM67" s="1"/>
      <c r="WON67" s="1"/>
      <c r="WOO67" s="1"/>
      <c r="WOP67" s="1"/>
      <c r="WOQ67" s="1"/>
      <c r="WOR67" s="1"/>
      <c r="WOS67" s="1"/>
      <c r="WOT67" s="1"/>
      <c r="WOU67" s="1"/>
      <c r="WOV67" s="1"/>
      <c r="WOW67" s="1"/>
      <c r="WOX67" s="1"/>
      <c r="WOY67" s="1"/>
      <c r="WOZ67" s="1"/>
      <c r="WPA67" s="1"/>
      <c r="WPB67" s="1"/>
      <c r="WPC67" s="1"/>
      <c r="WPD67" s="1"/>
      <c r="WPE67" s="1"/>
      <c r="WPF67" s="1"/>
      <c r="WPG67" s="1"/>
      <c r="WPH67" s="1"/>
      <c r="WPI67" s="1"/>
      <c r="WPJ67" s="1"/>
      <c r="WPK67" s="1"/>
      <c r="WPL67" s="1"/>
      <c r="WPM67" s="1"/>
      <c r="WPN67" s="1"/>
      <c r="WPO67" s="1"/>
      <c r="WPP67" s="1"/>
      <c r="WPQ67" s="1"/>
      <c r="WPR67" s="1"/>
      <c r="WPS67" s="1"/>
      <c r="WPT67" s="1"/>
      <c r="WPU67" s="1"/>
      <c r="WPV67" s="1"/>
      <c r="WPW67" s="1"/>
      <c r="WPX67" s="1"/>
      <c r="WPY67" s="1"/>
      <c r="WPZ67" s="1"/>
      <c r="WQA67" s="1"/>
      <c r="WQB67" s="1"/>
      <c r="WQC67" s="1"/>
      <c r="WQD67" s="1"/>
      <c r="WQE67" s="1"/>
      <c r="WQF67" s="1"/>
      <c r="WQG67" s="1"/>
      <c r="WQH67" s="1"/>
      <c r="WQI67" s="1"/>
      <c r="WQJ67" s="1"/>
      <c r="WQK67" s="1"/>
      <c r="WQL67" s="1"/>
      <c r="WQM67" s="1"/>
      <c r="WQN67" s="1"/>
      <c r="WQO67" s="1"/>
      <c r="WQP67" s="1"/>
      <c r="WQQ67" s="1"/>
      <c r="WQR67" s="1"/>
      <c r="WQS67" s="1"/>
      <c r="WQT67" s="1"/>
      <c r="WQU67" s="1"/>
      <c r="WQV67" s="1"/>
      <c r="WQW67" s="1"/>
      <c r="WQX67" s="1"/>
      <c r="WQY67" s="1"/>
      <c r="WQZ67" s="1"/>
      <c r="WRA67" s="1"/>
      <c r="WRB67" s="1"/>
      <c r="WRC67" s="1"/>
      <c r="WRD67" s="1"/>
      <c r="WRE67" s="1"/>
      <c r="WRF67" s="1"/>
      <c r="WRG67" s="1"/>
      <c r="WRH67" s="1"/>
      <c r="WRI67" s="1"/>
      <c r="WRJ67" s="1"/>
      <c r="WRK67" s="1"/>
      <c r="WRL67" s="1"/>
      <c r="WRM67" s="1"/>
      <c r="WRN67" s="1"/>
      <c r="WRO67" s="1"/>
      <c r="WRP67" s="1"/>
      <c r="WRQ67" s="1"/>
      <c r="WRR67" s="1"/>
      <c r="WRS67" s="1"/>
      <c r="WRT67" s="1"/>
      <c r="WRU67" s="1"/>
      <c r="WRV67" s="1"/>
      <c r="WRW67" s="1"/>
      <c r="WRX67" s="1"/>
      <c r="WRY67" s="1"/>
      <c r="WRZ67" s="1"/>
      <c r="WSA67" s="1"/>
      <c r="WSB67" s="1"/>
      <c r="WSC67" s="1"/>
      <c r="WSD67" s="1"/>
      <c r="WSE67" s="1"/>
      <c r="WSF67" s="1"/>
      <c r="WSG67" s="1"/>
      <c r="WSH67" s="1"/>
      <c r="WSI67" s="1"/>
      <c r="WSJ67" s="1"/>
      <c r="WSK67" s="1"/>
      <c r="WSL67" s="1"/>
      <c r="WSM67" s="1"/>
      <c r="WSN67" s="1"/>
      <c r="WSO67" s="1"/>
      <c r="WSP67" s="1"/>
      <c r="WSQ67" s="1"/>
      <c r="WSR67" s="1"/>
      <c r="WSS67" s="1"/>
      <c r="WST67" s="1"/>
      <c r="WSU67" s="1"/>
      <c r="WSV67" s="1"/>
      <c r="WSW67" s="1"/>
      <c r="WSX67" s="1"/>
      <c r="WSY67" s="1"/>
      <c r="WSZ67" s="1"/>
      <c r="WTA67" s="1"/>
      <c r="WTB67" s="1"/>
      <c r="WTC67" s="1"/>
      <c r="WTD67" s="1"/>
      <c r="WTE67" s="1"/>
      <c r="WTF67" s="1"/>
      <c r="WTG67" s="1"/>
      <c r="WTH67" s="1"/>
      <c r="WTI67" s="1"/>
      <c r="WTJ67" s="1"/>
      <c r="WTK67" s="1"/>
      <c r="WTL67" s="1"/>
      <c r="WTM67" s="1"/>
      <c r="WTN67" s="1"/>
      <c r="WTO67" s="1"/>
      <c r="WTP67" s="1"/>
      <c r="WTQ67" s="1"/>
      <c r="WTR67" s="1"/>
      <c r="WTS67" s="1"/>
      <c r="WTT67" s="1"/>
      <c r="WTU67" s="1"/>
      <c r="WTV67" s="1"/>
      <c r="WTW67" s="1"/>
      <c r="WTX67" s="1"/>
      <c r="WTY67" s="1"/>
      <c r="WTZ67" s="1"/>
      <c r="WUA67" s="1"/>
      <c r="WUB67" s="1"/>
      <c r="WUC67" s="1"/>
      <c r="WUD67" s="1"/>
      <c r="WUE67" s="1"/>
      <c r="WUF67" s="1"/>
      <c r="WUG67" s="1"/>
      <c r="WUH67" s="1"/>
      <c r="WUI67" s="1"/>
      <c r="WUJ67" s="1"/>
      <c r="WUK67" s="1"/>
      <c r="WUL67" s="1"/>
      <c r="WUM67" s="1"/>
      <c r="WUN67" s="1"/>
    </row>
    <row r="68" spans="1:16108" s="13" customFormat="1">
      <c r="A68" s="1"/>
      <c r="B68" s="1"/>
      <c r="C68" s="1"/>
      <c r="D68" s="1"/>
      <c r="E68" s="354"/>
      <c r="F68" s="369"/>
      <c r="G68" s="369"/>
      <c r="H68" s="1"/>
      <c r="I68" s="1"/>
      <c r="J68" s="1"/>
      <c r="K68" s="57"/>
      <c r="M68" s="1"/>
      <c r="N68" s="1"/>
      <c r="O68" s="7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  <c r="ALD68" s="1"/>
      <c r="ALE68" s="1"/>
      <c r="ALF68" s="1"/>
      <c r="ALG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  <c r="AMI68" s="1"/>
      <c r="AMJ68" s="1"/>
      <c r="AMK68" s="1"/>
      <c r="AML68" s="1"/>
      <c r="AMM68" s="1"/>
      <c r="AMN68" s="1"/>
      <c r="AMO68" s="1"/>
      <c r="AMP68" s="1"/>
      <c r="AMQ68" s="1"/>
      <c r="AMR68" s="1"/>
      <c r="AMS68" s="1"/>
      <c r="AMT68" s="1"/>
      <c r="AMU68" s="1"/>
      <c r="AMV68" s="1"/>
      <c r="AMW68" s="1"/>
      <c r="AMX68" s="1"/>
      <c r="AMY68" s="1"/>
      <c r="AMZ68" s="1"/>
      <c r="ANA68" s="1"/>
      <c r="ANB68" s="1"/>
      <c r="ANC68" s="1"/>
      <c r="AND68" s="1"/>
      <c r="ANE68" s="1"/>
      <c r="ANF68" s="1"/>
      <c r="ANG68" s="1"/>
      <c r="ANH68" s="1"/>
      <c r="ANI68" s="1"/>
      <c r="ANJ68" s="1"/>
      <c r="ANK68" s="1"/>
      <c r="ANL68" s="1"/>
      <c r="ANM68" s="1"/>
      <c r="ANN68" s="1"/>
      <c r="ANO68" s="1"/>
      <c r="ANP68" s="1"/>
      <c r="ANQ68" s="1"/>
      <c r="ANR68" s="1"/>
      <c r="ANS68" s="1"/>
      <c r="ANT68" s="1"/>
      <c r="ANU68" s="1"/>
      <c r="ANV68" s="1"/>
      <c r="ANW68" s="1"/>
      <c r="ANX68" s="1"/>
      <c r="ANY68" s="1"/>
      <c r="ANZ68" s="1"/>
      <c r="AOA68" s="1"/>
      <c r="AOB68" s="1"/>
      <c r="AOC68" s="1"/>
      <c r="AOD68" s="1"/>
      <c r="AOE68" s="1"/>
      <c r="AOF68" s="1"/>
      <c r="AOG68" s="1"/>
      <c r="AOH68" s="1"/>
      <c r="AOI68" s="1"/>
      <c r="AOJ68" s="1"/>
      <c r="AOK68" s="1"/>
      <c r="AOL68" s="1"/>
      <c r="AOM68" s="1"/>
      <c r="AON68" s="1"/>
      <c r="AOO68" s="1"/>
      <c r="AOP68" s="1"/>
      <c r="AOQ68" s="1"/>
      <c r="AOR68" s="1"/>
      <c r="AOS68" s="1"/>
      <c r="AOT68" s="1"/>
      <c r="AOU68" s="1"/>
      <c r="AOV68" s="1"/>
      <c r="AOW68" s="1"/>
      <c r="AOX68" s="1"/>
      <c r="AOY68" s="1"/>
      <c r="AOZ68" s="1"/>
      <c r="APA68" s="1"/>
      <c r="APB68" s="1"/>
      <c r="APC68" s="1"/>
      <c r="APD68" s="1"/>
      <c r="APE68" s="1"/>
      <c r="APF68" s="1"/>
      <c r="APG68" s="1"/>
      <c r="APH68" s="1"/>
      <c r="API68" s="1"/>
      <c r="APJ68" s="1"/>
      <c r="APK68" s="1"/>
      <c r="APL68" s="1"/>
      <c r="APM68" s="1"/>
      <c r="APN68" s="1"/>
      <c r="APO68" s="1"/>
      <c r="APP68" s="1"/>
      <c r="APQ68" s="1"/>
      <c r="APR68" s="1"/>
      <c r="APS68" s="1"/>
      <c r="APT68" s="1"/>
      <c r="APU68" s="1"/>
      <c r="APV68" s="1"/>
      <c r="APW68" s="1"/>
      <c r="APX68" s="1"/>
      <c r="APY68" s="1"/>
      <c r="APZ68" s="1"/>
      <c r="AQA68" s="1"/>
      <c r="AQB68" s="1"/>
      <c r="AQC68" s="1"/>
      <c r="AQD68" s="1"/>
      <c r="AQE68" s="1"/>
      <c r="AQF68" s="1"/>
      <c r="AQG68" s="1"/>
      <c r="AQH68" s="1"/>
      <c r="AQI68" s="1"/>
      <c r="AQJ68" s="1"/>
      <c r="AQK68" s="1"/>
      <c r="AQL68" s="1"/>
      <c r="AQM68" s="1"/>
      <c r="AQN68" s="1"/>
      <c r="AQO68" s="1"/>
      <c r="AQP68" s="1"/>
      <c r="AQQ68" s="1"/>
      <c r="AQR68" s="1"/>
      <c r="AQS68" s="1"/>
      <c r="AQT68" s="1"/>
      <c r="AQU68" s="1"/>
      <c r="AQV68" s="1"/>
      <c r="AQW68" s="1"/>
      <c r="AQX68" s="1"/>
      <c r="AQY68" s="1"/>
      <c r="AQZ68" s="1"/>
      <c r="ARA68" s="1"/>
      <c r="ARB68" s="1"/>
      <c r="ARC68" s="1"/>
      <c r="ARD68" s="1"/>
      <c r="ARE68" s="1"/>
      <c r="ARF68" s="1"/>
      <c r="ARG68" s="1"/>
      <c r="ARH68" s="1"/>
      <c r="ARI68" s="1"/>
      <c r="ARJ68" s="1"/>
      <c r="ARK68" s="1"/>
      <c r="ARL68" s="1"/>
      <c r="ARM68" s="1"/>
      <c r="ARN68" s="1"/>
      <c r="ARO68" s="1"/>
      <c r="ARP68" s="1"/>
      <c r="ARQ68" s="1"/>
      <c r="ARR68" s="1"/>
      <c r="ARS68" s="1"/>
      <c r="ART68" s="1"/>
      <c r="ARU68" s="1"/>
      <c r="ARV68" s="1"/>
      <c r="ARW68" s="1"/>
      <c r="ARX68" s="1"/>
      <c r="ARY68" s="1"/>
      <c r="ARZ68" s="1"/>
      <c r="ASA68" s="1"/>
      <c r="ASB68" s="1"/>
      <c r="ASC68" s="1"/>
      <c r="ASD68" s="1"/>
      <c r="ASE68" s="1"/>
      <c r="ASF68" s="1"/>
      <c r="ASG68" s="1"/>
      <c r="ASH68" s="1"/>
      <c r="ASI68" s="1"/>
      <c r="ASJ68" s="1"/>
      <c r="ASK68" s="1"/>
      <c r="ASL68" s="1"/>
      <c r="ASM68" s="1"/>
      <c r="ASN68" s="1"/>
      <c r="ASO68" s="1"/>
      <c r="ASP68" s="1"/>
      <c r="ASQ68" s="1"/>
      <c r="ASR68" s="1"/>
      <c r="ASS68" s="1"/>
      <c r="AST68" s="1"/>
      <c r="ASU68" s="1"/>
      <c r="ASV68" s="1"/>
      <c r="ASW68" s="1"/>
      <c r="ASX68" s="1"/>
      <c r="ASY68" s="1"/>
      <c r="ASZ68" s="1"/>
      <c r="ATA68" s="1"/>
      <c r="ATB68" s="1"/>
      <c r="ATC68" s="1"/>
      <c r="ATD68" s="1"/>
      <c r="ATE68" s="1"/>
      <c r="ATF68" s="1"/>
      <c r="ATG68" s="1"/>
      <c r="ATH68" s="1"/>
      <c r="ATI68" s="1"/>
      <c r="ATJ68" s="1"/>
      <c r="ATK68" s="1"/>
      <c r="ATL68" s="1"/>
      <c r="ATM68" s="1"/>
      <c r="ATN68" s="1"/>
      <c r="ATO68" s="1"/>
      <c r="ATP68" s="1"/>
      <c r="ATQ68" s="1"/>
      <c r="ATR68" s="1"/>
      <c r="ATS68" s="1"/>
      <c r="ATT68" s="1"/>
      <c r="ATU68" s="1"/>
      <c r="ATV68" s="1"/>
      <c r="ATW68" s="1"/>
      <c r="ATX68" s="1"/>
      <c r="ATY68" s="1"/>
      <c r="ATZ68" s="1"/>
      <c r="AUA68" s="1"/>
      <c r="AUB68" s="1"/>
      <c r="AUC68" s="1"/>
      <c r="AUD68" s="1"/>
      <c r="AUE68" s="1"/>
      <c r="AUF68" s="1"/>
      <c r="AUG68" s="1"/>
      <c r="AUH68" s="1"/>
      <c r="AUI68" s="1"/>
      <c r="AUJ68" s="1"/>
      <c r="AUK68" s="1"/>
      <c r="AUL68" s="1"/>
      <c r="AUM68" s="1"/>
      <c r="AUN68" s="1"/>
      <c r="AUO68" s="1"/>
      <c r="AUP68" s="1"/>
      <c r="AUQ68" s="1"/>
      <c r="AUR68" s="1"/>
      <c r="AUS68" s="1"/>
      <c r="AUT68" s="1"/>
      <c r="AUU68" s="1"/>
      <c r="AUV68" s="1"/>
      <c r="AUW68" s="1"/>
      <c r="AUX68" s="1"/>
      <c r="AUY68" s="1"/>
      <c r="AUZ68" s="1"/>
      <c r="AVA68" s="1"/>
      <c r="AVB68" s="1"/>
      <c r="AVC68" s="1"/>
      <c r="AVD68" s="1"/>
      <c r="AVE68" s="1"/>
      <c r="AVF68" s="1"/>
      <c r="AVG68" s="1"/>
      <c r="AVH68" s="1"/>
      <c r="AVI68" s="1"/>
      <c r="AVJ68" s="1"/>
      <c r="AVK68" s="1"/>
      <c r="AVL68" s="1"/>
      <c r="AVM68" s="1"/>
      <c r="AVN68" s="1"/>
      <c r="AVO68" s="1"/>
      <c r="AVP68" s="1"/>
      <c r="AVQ68" s="1"/>
      <c r="AVR68" s="1"/>
      <c r="AVS68" s="1"/>
      <c r="AVT68" s="1"/>
      <c r="AVU68" s="1"/>
      <c r="AVV68" s="1"/>
      <c r="AVW68" s="1"/>
      <c r="AVX68" s="1"/>
      <c r="AVY68" s="1"/>
      <c r="AVZ68" s="1"/>
      <c r="AWA68" s="1"/>
      <c r="AWB68" s="1"/>
      <c r="AWC68" s="1"/>
      <c r="AWD68" s="1"/>
      <c r="AWE68" s="1"/>
      <c r="AWF68" s="1"/>
      <c r="AWG68" s="1"/>
      <c r="AWH68" s="1"/>
      <c r="AWI68" s="1"/>
      <c r="AWJ68" s="1"/>
      <c r="AWK68" s="1"/>
      <c r="AWL68" s="1"/>
      <c r="AWM68" s="1"/>
      <c r="AWN68" s="1"/>
      <c r="AWO68" s="1"/>
      <c r="AWP68" s="1"/>
      <c r="AWQ68" s="1"/>
      <c r="AWR68" s="1"/>
      <c r="AWS68" s="1"/>
      <c r="AWT68" s="1"/>
      <c r="AWU68" s="1"/>
      <c r="AWV68" s="1"/>
      <c r="AWW68" s="1"/>
      <c r="AWX68" s="1"/>
      <c r="AWY68" s="1"/>
      <c r="AWZ68" s="1"/>
      <c r="AXA68" s="1"/>
      <c r="AXB68" s="1"/>
      <c r="AXC68" s="1"/>
      <c r="AXD68" s="1"/>
      <c r="AXE68" s="1"/>
      <c r="AXF68" s="1"/>
      <c r="AXG68" s="1"/>
      <c r="AXH68" s="1"/>
      <c r="AXI68" s="1"/>
      <c r="AXJ68" s="1"/>
      <c r="AXK68" s="1"/>
      <c r="AXL68" s="1"/>
      <c r="AXM68" s="1"/>
      <c r="AXN68" s="1"/>
      <c r="AXO68" s="1"/>
      <c r="AXP68" s="1"/>
      <c r="AXQ68" s="1"/>
      <c r="AXR68" s="1"/>
      <c r="AXS68" s="1"/>
      <c r="AXT68" s="1"/>
      <c r="AXU68" s="1"/>
      <c r="AXV68" s="1"/>
      <c r="AXW68" s="1"/>
      <c r="AXX68" s="1"/>
      <c r="AXY68" s="1"/>
      <c r="AXZ68" s="1"/>
      <c r="AYA68" s="1"/>
      <c r="AYB68" s="1"/>
      <c r="AYC68" s="1"/>
      <c r="AYD68" s="1"/>
      <c r="AYE68" s="1"/>
      <c r="AYF68" s="1"/>
      <c r="AYG68" s="1"/>
      <c r="AYH68" s="1"/>
      <c r="AYI68" s="1"/>
      <c r="AYJ68" s="1"/>
      <c r="AYK68" s="1"/>
      <c r="AYL68" s="1"/>
      <c r="AYM68" s="1"/>
      <c r="AYN68" s="1"/>
      <c r="AYO68" s="1"/>
      <c r="AYP68" s="1"/>
      <c r="AYQ68" s="1"/>
      <c r="AYR68" s="1"/>
      <c r="AYS68" s="1"/>
      <c r="AYT68" s="1"/>
      <c r="AYU68" s="1"/>
      <c r="AYV68" s="1"/>
      <c r="AYW68" s="1"/>
      <c r="AYX68" s="1"/>
      <c r="AYY68" s="1"/>
      <c r="AYZ68" s="1"/>
      <c r="AZA68" s="1"/>
      <c r="AZB68" s="1"/>
      <c r="AZC68" s="1"/>
      <c r="AZD68" s="1"/>
      <c r="AZE68" s="1"/>
      <c r="AZF68" s="1"/>
      <c r="AZG68" s="1"/>
      <c r="AZH68" s="1"/>
      <c r="AZI68" s="1"/>
      <c r="AZJ68" s="1"/>
      <c r="AZK68" s="1"/>
      <c r="AZL68" s="1"/>
      <c r="AZM68" s="1"/>
      <c r="AZN68" s="1"/>
      <c r="AZO68" s="1"/>
      <c r="AZP68" s="1"/>
      <c r="AZQ68" s="1"/>
      <c r="AZR68" s="1"/>
      <c r="AZS68" s="1"/>
      <c r="AZT68" s="1"/>
      <c r="AZU68" s="1"/>
      <c r="AZV68" s="1"/>
      <c r="AZW68" s="1"/>
      <c r="AZX68" s="1"/>
      <c r="AZY68" s="1"/>
      <c r="AZZ68" s="1"/>
      <c r="BAA68" s="1"/>
      <c r="BAB68" s="1"/>
      <c r="BAC68" s="1"/>
      <c r="BAD68" s="1"/>
      <c r="BAE68" s="1"/>
      <c r="BAF68" s="1"/>
      <c r="BAG68" s="1"/>
      <c r="BAH68" s="1"/>
      <c r="BAI68" s="1"/>
      <c r="BAJ68" s="1"/>
      <c r="BAK68" s="1"/>
      <c r="BAL68" s="1"/>
      <c r="BAM68" s="1"/>
      <c r="BAN68" s="1"/>
      <c r="BAO68" s="1"/>
      <c r="BAP68" s="1"/>
      <c r="BAQ68" s="1"/>
      <c r="BAR68" s="1"/>
      <c r="BAS68" s="1"/>
      <c r="BAT68" s="1"/>
      <c r="BAU68" s="1"/>
      <c r="BAV68" s="1"/>
      <c r="BAW68" s="1"/>
      <c r="BAX68" s="1"/>
      <c r="BAY68" s="1"/>
      <c r="BAZ68" s="1"/>
      <c r="BBA68" s="1"/>
      <c r="BBB68" s="1"/>
      <c r="BBC68" s="1"/>
      <c r="BBD68" s="1"/>
      <c r="BBE68" s="1"/>
      <c r="BBF68" s="1"/>
      <c r="BBG68" s="1"/>
      <c r="BBH68" s="1"/>
      <c r="BBI68" s="1"/>
      <c r="BBJ68" s="1"/>
      <c r="BBK68" s="1"/>
      <c r="BBL68" s="1"/>
      <c r="BBM68" s="1"/>
      <c r="BBN68" s="1"/>
      <c r="BBO68" s="1"/>
      <c r="BBP68" s="1"/>
      <c r="BBQ68" s="1"/>
      <c r="BBR68" s="1"/>
      <c r="BBS68" s="1"/>
      <c r="BBT68" s="1"/>
      <c r="BBU68" s="1"/>
      <c r="BBV68" s="1"/>
      <c r="BBW68" s="1"/>
      <c r="BBX68" s="1"/>
      <c r="BBY68" s="1"/>
      <c r="BBZ68" s="1"/>
      <c r="BCA68" s="1"/>
      <c r="BCB68" s="1"/>
      <c r="BCC68" s="1"/>
      <c r="BCD68" s="1"/>
      <c r="BCE68" s="1"/>
      <c r="BCF68" s="1"/>
      <c r="BCG68" s="1"/>
      <c r="BCH68" s="1"/>
      <c r="BCI68" s="1"/>
      <c r="BCJ68" s="1"/>
      <c r="BCK68" s="1"/>
      <c r="BCL68" s="1"/>
      <c r="BCM68" s="1"/>
      <c r="BCN68" s="1"/>
      <c r="BCO68" s="1"/>
      <c r="BCP68" s="1"/>
      <c r="BCQ68" s="1"/>
      <c r="BCR68" s="1"/>
      <c r="BCS68" s="1"/>
      <c r="BCT68" s="1"/>
      <c r="BCU68" s="1"/>
      <c r="BCV68" s="1"/>
      <c r="BCW68" s="1"/>
      <c r="BCX68" s="1"/>
      <c r="BCY68" s="1"/>
      <c r="BCZ68" s="1"/>
      <c r="BDA68" s="1"/>
      <c r="BDB68" s="1"/>
      <c r="BDC68" s="1"/>
      <c r="BDD68" s="1"/>
      <c r="BDE68" s="1"/>
      <c r="BDF68" s="1"/>
      <c r="BDG68" s="1"/>
      <c r="BDH68" s="1"/>
      <c r="BDI68" s="1"/>
      <c r="BDJ68" s="1"/>
      <c r="BDK68" s="1"/>
      <c r="BDL68" s="1"/>
      <c r="BDM68" s="1"/>
      <c r="BDN68" s="1"/>
      <c r="BDO68" s="1"/>
      <c r="BDP68" s="1"/>
      <c r="BDQ68" s="1"/>
      <c r="BDR68" s="1"/>
      <c r="BDS68" s="1"/>
      <c r="BDT68" s="1"/>
      <c r="BDU68" s="1"/>
      <c r="BDV68" s="1"/>
      <c r="BDW68" s="1"/>
      <c r="BDX68" s="1"/>
      <c r="BDY68" s="1"/>
      <c r="BDZ68" s="1"/>
      <c r="BEA68" s="1"/>
      <c r="BEB68" s="1"/>
      <c r="BEC68" s="1"/>
      <c r="BED68" s="1"/>
      <c r="BEE68" s="1"/>
      <c r="BEF68" s="1"/>
      <c r="BEG68" s="1"/>
      <c r="BEH68" s="1"/>
      <c r="BEI68" s="1"/>
      <c r="BEJ68" s="1"/>
      <c r="BEK68" s="1"/>
      <c r="BEL68" s="1"/>
      <c r="BEM68" s="1"/>
      <c r="BEN68" s="1"/>
      <c r="BEO68" s="1"/>
      <c r="BEP68" s="1"/>
      <c r="BEQ68" s="1"/>
      <c r="BER68" s="1"/>
      <c r="BES68" s="1"/>
      <c r="BET68" s="1"/>
      <c r="BEU68" s="1"/>
      <c r="BEV68" s="1"/>
      <c r="BEW68" s="1"/>
      <c r="BEX68" s="1"/>
      <c r="BEY68" s="1"/>
      <c r="BEZ68" s="1"/>
      <c r="BFA68" s="1"/>
      <c r="BFB68" s="1"/>
      <c r="BFC68" s="1"/>
      <c r="BFD68" s="1"/>
      <c r="BFE68" s="1"/>
      <c r="BFF68" s="1"/>
      <c r="BFG68" s="1"/>
      <c r="BFH68" s="1"/>
      <c r="BFI68" s="1"/>
      <c r="BFJ68" s="1"/>
      <c r="BFK68" s="1"/>
      <c r="BFL68" s="1"/>
      <c r="BFM68" s="1"/>
      <c r="BFN68" s="1"/>
      <c r="BFO68" s="1"/>
      <c r="BFP68" s="1"/>
      <c r="BFQ68" s="1"/>
      <c r="BFR68" s="1"/>
      <c r="BFS68" s="1"/>
      <c r="BFT68" s="1"/>
      <c r="BFU68" s="1"/>
      <c r="BFV68" s="1"/>
      <c r="BFW68" s="1"/>
      <c r="BFX68" s="1"/>
      <c r="BFY68" s="1"/>
      <c r="BFZ68" s="1"/>
      <c r="BGA68" s="1"/>
      <c r="BGB68" s="1"/>
      <c r="BGC68" s="1"/>
      <c r="BGD68" s="1"/>
      <c r="BGE68" s="1"/>
      <c r="BGF68" s="1"/>
      <c r="BGG68" s="1"/>
      <c r="BGH68" s="1"/>
      <c r="BGI68" s="1"/>
      <c r="BGJ68" s="1"/>
      <c r="BGK68" s="1"/>
      <c r="BGL68" s="1"/>
      <c r="BGM68" s="1"/>
      <c r="BGN68" s="1"/>
      <c r="BGO68" s="1"/>
      <c r="BGP68" s="1"/>
      <c r="BGQ68" s="1"/>
      <c r="BGR68" s="1"/>
      <c r="BGS68" s="1"/>
      <c r="BGT68" s="1"/>
      <c r="BGU68" s="1"/>
      <c r="BGV68" s="1"/>
      <c r="BGW68" s="1"/>
      <c r="BGX68" s="1"/>
      <c r="BGY68" s="1"/>
      <c r="BGZ68" s="1"/>
      <c r="BHA68" s="1"/>
      <c r="BHB68" s="1"/>
      <c r="BHC68" s="1"/>
      <c r="BHD68" s="1"/>
      <c r="BHE68" s="1"/>
      <c r="BHF68" s="1"/>
      <c r="BHG68" s="1"/>
      <c r="BHH68" s="1"/>
      <c r="BHI68" s="1"/>
      <c r="BHJ68" s="1"/>
      <c r="BHK68" s="1"/>
      <c r="BHL68" s="1"/>
      <c r="BHM68" s="1"/>
      <c r="BHN68" s="1"/>
      <c r="BHO68" s="1"/>
      <c r="BHP68" s="1"/>
      <c r="BHQ68" s="1"/>
      <c r="BHR68" s="1"/>
      <c r="BHS68" s="1"/>
      <c r="BHT68" s="1"/>
      <c r="BHU68" s="1"/>
      <c r="BHV68" s="1"/>
      <c r="BHW68" s="1"/>
      <c r="BHX68" s="1"/>
      <c r="BHY68" s="1"/>
      <c r="BHZ68" s="1"/>
      <c r="BIA68" s="1"/>
      <c r="BIB68" s="1"/>
      <c r="BIC68" s="1"/>
      <c r="BID68" s="1"/>
      <c r="BIE68" s="1"/>
      <c r="BIF68" s="1"/>
      <c r="BIG68" s="1"/>
      <c r="BIH68" s="1"/>
      <c r="BII68" s="1"/>
      <c r="BIJ68" s="1"/>
      <c r="BIK68" s="1"/>
      <c r="BIL68" s="1"/>
      <c r="BIM68" s="1"/>
      <c r="BIN68" s="1"/>
      <c r="BIO68" s="1"/>
      <c r="BIP68" s="1"/>
      <c r="BIQ68" s="1"/>
      <c r="BIR68" s="1"/>
      <c r="BIS68" s="1"/>
      <c r="BIT68" s="1"/>
      <c r="BIU68" s="1"/>
      <c r="BIV68" s="1"/>
      <c r="BIW68" s="1"/>
      <c r="BIX68" s="1"/>
      <c r="BIY68" s="1"/>
      <c r="BIZ68" s="1"/>
      <c r="BJA68" s="1"/>
      <c r="BJB68" s="1"/>
      <c r="BJC68" s="1"/>
      <c r="BJD68" s="1"/>
      <c r="BJE68" s="1"/>
      <c r="BJF68" s="1"/>
      <c r="BJG68" s="1"/>
      <c r="BJH68" s="1"/>
      <c r="BJI68" s="1"/>
      <c r="BJJ68" s="1"/>
      <c r="BJK68" s="1"/>
      <c r="BJL68" s="1"/>
      <c r="BJM68" s="1"/>
      <c r="BJN68" s="1"/>
      <c r="BJO68" s="1"/>
      <c r="BJP68" s="1"/>
      <c r="BJQ68" s="1"/>
      <c r="BJR68" s="1"/>
      <c r="BJS68" s="1"/>
      <c r="BJT68" s="1"/>
      <c r="BJU68" s="1"/>
      <c r="BJV68" s="1"/>
      <c r="BJW68" s="1"/>
      <c r="BJX68" s="1"/>
      <c r="BJY68" s="1"/>
      <c r="BJZ68" s="1"/>
      <c r="BKA68" s="1"/>
      <c r="BKB68" s="1"/>
      <c r="BKC68" s="1"/>
      <c r="BKD68" s="1"/>
      <c r="BKE68" s="1"/>
      <c r="BKF68" s="1"/>
      <c r="BKG68" s="1"/>
      <c r="BKH68" s="1"/>
      <c r="BKI68" s="1"/>
      <c r="BKJ68" s="1"/>
      <c r="BKK68" s="1"/>
      <c r="BKL68" s="1"/>
      <c r="BKM68" s="1"/>
      <c r="BKN68" s="1"/>
      <c r="BKO68" s="1"/>
      <c r="BKP68" s="1"/>
      <c r="BKQ68" s="1"/>
      <c r="BKR68" s="1"/>
      <c r="BKS68" s="1"/>
      <c r="BKT68" s="1"/>
      <c r="BKU68" s="1"/>
      <c r="BKV68" s="1"/>
      <c r="BKW68" s="1"/>
      <c r="BKX68" s="1"/>
      <c r="BKY68" s="1"/>
      <c r="BKZ68" s="1"/>
      <c r="BLA68" s="1"/>
      <c r="BLB68" s="1"/>
      <c r="BLC68" s="1"/>
      <c r="BLD68" s="1"/>
      <c r="BLE68" s="1"/>
      <c r="BLF68" s="1"/>
      <c r="BLG68" s="1"/>
      <c r="BLH68" s="1"/>
      <c r="BLI68" s="1"/>
      <c r="BLJ68" s="1"/>
      <c r="BLK68" s="1"/>
      <c r="BLL68" s="1"/>
      <c r="BLM68" s="1"/>
      <c r="BLN68" s="1"/>
      <c r="BLO68" s="1"/>
      <c r="BLP68" s="1"/>
      <c r="BLQ68" s="1"/>
      <c r="BLR68" s="1"/>
      <c r="BLS68" s="1"/>
      <c r="BLT68" s="1"/>
      <c r="BLU68" s="1"/>
      <c r="BLV68" s="1"/>
      <c r="BLW68" s="1"/>
      <c r="BLX68" s="1"/>
      <c r="BLY68" s="1"/>
      <c r="BLZ68" s="1"/>
      <c r="BMA68" s="1"/>
      <c r="BMB68" s="1"/>
      <c r="BMC68" s="1"/>
      <c r="BMD68" s="1"/>
      <c r="BME68" s="1"/>
      <c r="BMF68" s="1"/>
      <c r="BMG68" s="1"/>
      <c r="BMH68" s="1"/>
      <c r="BMI68" s="1"/>
      <c r="BMJ68" s="1"/>
      <c r="BMK68" s="1"/>
      <c r="BML68" s="1"/>
      <c r="BMM68" s="1"/>
      <c r="BMN68" s="1"/>
      <c r="BMO68" s="1"/>
      <c r="BMP68" s="1"/>
      <c r="BMQ68" s="1"/>
      <c r="BMR68" s="1"/>
      <c r="BMS68" s="1"/>
      <c r="BMT68" s="1"/>
      <c r="BMU68" s="1"/>
      <c r="BMV68" s="1"/>
      <c r="BMW68" s="1"/>
      <c r="BMX68" s="1"/>
      <c r="BMY68" s="1"/>
      <c r="BMZ68" s="1"/>
      <c r="BNA68" s="1"/>
      <c r="BNB68" s="1"/>
      <c r="BNC68" s="1"/>
      <c r="BND68" s="1"/>
      <c r="BNE68" s="1"/>
      <c r="BNF68" s="1"/>
      <c r="BNG68" s="1"/>
      <c r="BNH68" s="1"/>
      <c r="BNI68" s="1"/>
      <c r="BNJ68" s="1"/>
      <c r="BNK68" s="1"/>
      <c r="BNL68" s="1"/>
      <c r="BNM68" s="1"/>
      <c r="BNN68" s="1"/>
      <c r="BNO68" s="1"/>
      <c r="BNP68" s="1"/>
      <c r="BNQ68" s="1"/>
      <c r="BNR68" s="1"/>
      <c r="BNS68" s="1"/>
      <c r="BNT68" s="1"/>
      <c r="BNU68" s="1"/>
      <c r="BNV68" s="1"/>
      <c r="BNW68" s="1"/>
      <c r="BNX68" s="1"/>
      <c r="BNY68" s="1"/>
      <c r="BNZ68" s="1"/>
      <c r="BOA68" s="1"/>
      <c r="BOB68" s="1"/>
      <c r="BOC68" s="1"/>
      <c r="BOD68" s="1"/>
      <c r="BOE68" s="1"/>
      <c r="BOF68" s="1"/>
      <c r="BOG68" s="1"/>
      <c r="BOH68" s="1"/>
      <c r="BOI68" s="1"/>
      <c r="BOJ68" s="1"/>
      <c r="BOK68" s="1"/>
      <c r="BOL68" s="1"/>
      <c r="BOM68" s="1"/>
      <c r="BON68" s="1"/>
      <c r="BOO68" s="1"/>
      <c r="BOP68" s="1"/>
      <c r="BOQ68" s="1"/>
      <c r="BOR68" s="1"/>
      <c r="BOS68" s="1"/>
      <c r="BOT68" s="1"/>
      <c r="BOU68" s="1"/>
      <c r="BOV68" s="1"/>
      <c r="BOW68" s="1"/>
      <c r="BOX68" s="1"/>
      <c r="BOY68" s="1"/>
      <c r="BOZ68" s="1"/>
      <c r="BPA68" s="1"/>
      <c r="BPB68" s="1"/>
      <c r="BPC68" s="1"/>
      <c r="BPD68" s="1"/>
      <c r="BPE68" s="1"/>
      <c r="BPF68" s="1"/>
      <c r="BPG68" s="1"/>
      <c r="BPH68" s="1"/>
      <c r="BPI68" s="1"/>
      <c r="BPJ68" s="1"/>
      <c r="BPK68" s="1"/>
      <c r="BPL68" s="1"/>
      <c r="BPM68" s="1"/>
      <c r="BPN68" s="1"/>
      <c r="BPO68" s="1"/>
      <c r="BPP68" s="1"/>
      <c r="BPQ68" s="1"/>
      <c r="BPR68" s="1"/>
      <c r="BPS68" s="1"/>
      <c r="BPT68" s="1"/>
      <c r="BPU68" s="1"/>
      <c r="BPV68" s="1"/>
      <c r="BPW68" s="1"/>
      <c r="BPX68" s="1"/>
      <c r="BPY68" s="1"/>
      <c r="BPZ68" s="1"/>
      <c r="BQA68" s="1"/>
      <c r="BQB68" s="1"/>
      <c r="BQC68" s="1"/>
      <c r="BQD68" s="1"/>
      <c r="BQE68" s="1"/>
      <c r="BQF68" s="1"/>
      <c r="BQG68" s="1"/>
      <c r="BQH68" s="1"/>
      <c r="BQI68" s="1"/>
      <c r="BQJ68" s="1"/>
      <c r="BQK68" s="1"/>
      <c r="BQL68" s="1"/>
      <c r="BQM68" s="1"/>
      <c r="BQN68" s="1"/>
      <c r="BQO68" s="1"/>
      <c r="BQP68" s="1"/>
      <c r="BQQ68" s="1"/>
      <c r="BQR68" s="1"/>
      <c r="BQS68" s="1"/>
      <c r="BQT68" s="1"/>
      <c r="BQU68" s="1"/>
      <c r="BQV68" s="1"/>
      <c r="BQW68" s="1"/>
      <c r="BQX68" s="1"/>
      <c r="BQY68" s="1"/>
      <c r="BQZ68" s="1"/>
      <c r="BRA68" s="1"/>
      <c r="BRB68" s="1"/>
      <c r="BRC68" s="1"/>
      <c r="BRD68" s="1"/>
      <c r="BRE68" s="1"/>
      <c r="BRF68" s="1"/>
      <c r="BRG68" s="1"/>
      <c r="BRH68" s="1"/>
      <c r="BRI68" s="1"/>
      <c r="BRJ68" s="1"/>
      <c r="BRK68" s="1"/>
      <c r="BRL68" s="1"/>
      <c r="BRM68" s="1"/>
      <c r="BRN68" s="1"/>
      <c r="BRO68" s="1"/>
      <c r="BRP68" s="1"/>
      <c r="BRQ68" s="1"/>
      <c r="BRR68" s="1"/>
      <c r="BRS68" s="1"/>
      <c r="BRT68" s="1"/>
      <c r="BRU68" s="1"/>
      <c r="BRV68" s="1"/>
      <c r="BRW68" s="1"/>
      <c r="BRX68" s="1"/>
      <c r="BRY68" s="1"/>
      <c r="BRZ68" s="1"/>
      <c r="BSA68" s="1"/>
      <c r="BSB68" s="1"/>
      <c r="BSC68" s="1"/>
      <c r="BSD68" s="1"/>
      <c r="BSE68" s="1"/>
      <c r="BSF68" s="1"/>
      <c r="BSG68" s="1"/>
      <c r="BSH68" s="1"/>
      <c r="BSI68" s="1"/>
      <c r="BSJ68" s="1"/>
      <c r="BSK68" s="1"/>
      <c r="BSL68" s="1"/>
      <c r="BSM68" s="1"/>
      <c r="BSN68" s="1"/>
      <c r="BSO68" s="1"/>
      <c r="BSP68" s="1"/>
      <c r="BSQ68" s="1"/>
      <c r="BSR68" s="1"/>
      <c r="BSS68" s="1"/>
      <c r="BST68" s="1"/>
      <c r="BSU68" s="1"/>
      <c r="BSV68" s="1"/>
      <c r="BSW68" s="1"/>
      <c r="BSX68" s="1"/>
      <c r="BSY68" s="1"/>
      <c r="BSZ68" s="1"/>
      <c r="BTA68" s="1"/>
      <c r="BTB68" s="1"/>
      <c r="BTC68" s="1"/>
      <c r="BTD68" s="1"/>
      <c r="BTE68" s="1"/>
      <c r="BTF68" s="1"/>
      <c r="BTG68" s="1"/>
      <c r="BTH68" s="1"/>
      <c r="BTI68" s="1"/>
      <c r="BTJ68" s="1"/>
      <c r="BTK68" s="1"/>
      <c r="BTL68" s="1"/>
      <c r="BTM68" s="1"/>
      <c r="BTN68" s="1"/>
      <c r="BTO68" s="1"/>
      <c r="BTP68" s="1"/>
      <c r="BTQ68" s="1"/>
      <c r="BTR68" s="1"/>
      <c r="BTS68" s="1"/>
      <c r="BTT68" s="1"/>
      <c r="BTU68" s="1"/>
      <c r="BTV68" s="1"/>
      <c r="BTW68" s="1"/>
      <c r="BTX68" s="1"/>
      <c r="BTY68" s="1"/>
      <c r="BTZ68" s="1"/>
      <c r="BUA68" s="1"/>
      <c r="BUB68" s="1"/>
      <c r="BUC68" s="1"/>
      <c r="BUD68" s="1"/>
      <c r="BUE68" s="1"/>
      <c r="BUF68" s="1"/>
      <c r="BUG68" s="1"/>
      <c r="BUH68" s="1"/>
      <c r="BUI68" s="1"/>
      <c r="BUJ68" s="1"/>
      <c r="BUK68" s="1"/>
      <c r="BUL68" s="1"/>
      <c r="BUM68" s="1"/>
      <c r="BUN68" s="1"/>
      <c r="BUO68" s="1"/>
      <c r="BUP68" s="1"/>
      <c r="BUQ68" s="1"/>
      <c r="BUR68" s="1"/>
      <c r="BUS68" s="1"/>
      <c r="BUT68" s="1"/>
      <c r="BUU68" s="1"/>
      <c r="BUV68" s="1"/>
      <c r="BUW68" s="1"/>
      <c r="BUX68" s="1"/>
      <c r="BUY68" s="1"/>
      <c r="BUZ68" s="1"/>
      <c r="BVA68" s="1"/>
      <c r="BVB68" s="1"/>
      <c r="BVC68" s="1"/>
      <c r="BVD68" s="1"/>
      <c r="BVE68" s="1"/>
      <c r="BVF68" s="1"/>
      <c r="BVG68" s="1"/>
      <c r="BVH68" s="1"/>
      <c r="BVI68" s="1"/>
      <c r="BVJ68" s="1"/>
      <c r="BVK68" s="1"/>
      <c r="BVL68" s="1"/>
      <c r="BVM68" s="1"/>
      <c r="BVN68" s="1"/>
      <c r="BVO68" s="1"/>
      <c r="BVP68" s="1"/>
      <c r="BVQ68" s="1"/>
      <c r="BVR68" s="1"/>
      <c r="BVS68" s="1"/>
      <c r="BVT68" s="1"/>
      <c r="BVU68" s="1"/>
      <c r="BVV68" s="1"/>
      <c r="BVW68" s="1"/>
      <c r="BVX68" s="1"/>
      <c r="BVY68" s="1"/>
      <c r="BVZ68" s="1"/>
      <c r="BWA68" s="1"/>
      <c r="BWB68" s="1"/>
      <c r="BWC68" s="1"/>
      <c r="BWD68" s="1"/>
      <c r="BWE68" s="1"/>
      <c r="BWF68" s="1"/>
      <c r="BWG68" s="1"/>
      <c r="BWH68" s="1"/>
      <c r="BWI68" s="1"/>
      <c r="BWJ68" s="1"/>
      <c r="BWK68" s="1"/>
      <c r="BWL68" s="1"/>
      <c r="BWM68" s="1"/>
      <c r="BWN68" s="1"/>
      <c r="BWO68" s="1"/>
      <c r="BWP68" s="1"/>
      <c r="BWQ68" s="1"/>
      <c r="BWR68" s="1"/>
      <c r="BWS68" s="1"/>
      <c r="BWT68" s="1"/>
      <c r="BWU68" s="1"/>
      <c r="BWV68" s="1"/>
      <c r="BWW68" s="1"/>
      <c r="BWX68" s="1"/>
      <c r="BWY68" s="1"/>
      <c r="BWZ68" s="1"/>
      <c r="BXA68" s="1"/>
      <c r="BXB68" s="1"/>
      <c r="BXC68" s="1"/>
      <c r="BXD68" s="1"/>
      <c r="BXE68" s="1"/>
      <c r="BXF68" s="1"/>
      <c r="BXG68" s="1"/>
      <c r="BXH68" s="1"/>
      <c r="BXI68" s="1"/>
      <c r="BXJ68" s="1"/>
      <c r="BXK68" s="1"/>
      <c r="BXL68" s="1"/>
      <c r="BXM68" s="1"/>
      <c r="BXN68" s="1"/>
      <c r="BXO68" s="1"/>
      <c r="BXP68" s="1"/>
      <c r="BXQ68" s="1"/>
      <c r="BXR68" s="1"/>
      <c r="BXS68" s="1"/>
      <c r="BXT68" s="1"/>
      <c r="BXU68" s="1"/>
      <c r="BXV68" s="1"/>
      <c r="BXW68" s="1"/>
      <c r="BXX68" s="1"/>
      <c r="BXY68" s="1"/>
      <c r="BXZ68" s="1"/>
      <c r="BYA68" s="1"/>
      <c r="BYB68" s="1"/>
      <c r="BYC68" s="1"/>
      <c r="BYD68" s="1"/>
      <c r="BYE68" s="1"/>
      <c r="BYF68" s="1"/>
      <c r="BYG68" s="1"/>
      <c r="BYH68" s="1"/>
      <c r="BYI68" s="1"/>
      <c r="BYJ68" s="1"/>
      <c r="BYK68" s="1"/>
      <c r="BYL68" s="1"/>
      <c r="BYM68" s="1"/>
      <c r="BYN68" s="1"/>
      <c r="BYO68" s="1"/>
      <c r="BYP68" s="1"/>
      <c r="BYQ68" s="1"/>
      <c r="BYR68" s="1"/>
      <c r="BYS68" s="1"/>
      <c r="BYT68" s="1"/>
      <c r="BYU68" s="1"/>
      <c r="BYV68" s="1"/>
      <c r="BYW68" s="1"/>
      <c r="BYX68" s="1"/>
      <c r="BYY68" s="1"/>
      <c r="BYZ68" s="1"/>
      <c r="BZA68" s="1"/>
      <c r="BZB68" s="1"/>
      <c r="BZC68" s="1"/>
      <c r="BZD68" s="1"/>
      <c r="BZE68" s="1"/>
      <c r="BZF68" s="1"/>
      <c r="BZG68" s="1"/>
      <c r="BZH68" s="1"/>
      <c r="BZI68" s="1"/>
      <c r="BZJ68" s="1"/>
      <c r="BZK68" s="1"/>
      <c r="BZL68" s="1"/>
      <c r="BZM68" s="1"/>
      <c r="BZN68" s="1"/>
      <c r="BZO68" s="1"/>
      <c r="BZP68" s="1"/>
      <c r="BZQ68" s="1"/>
      <c r="BZR68" s="1"/>
      <c r="BZS68" s="1"/>
      <c r="BZT68" s="1"/>
      <c r="BZU68" s="1"/>
      <c r="BZV68" s="1"/>
      <c r="BZW68" s="1"/>
      <c r="BZX68" s="1"/>
      <c r="BZY68" s="1"/>
      <c r="BZZ68" s="1"/>
      <c r="CAA68" s="1"/>
      <c r="CAB68" s="1"/>
      <c r="CAC68" s="1"/>
      <c r="CAD68" s="1"/>
      <c r="CAE68" s="1"/>
      <c r="CAF68" s="1"/>
      <c r="CAG68" s="1"/>
      <c r="CAH68" s="1"/>
      <c r="CAI68" s="1"/>
      <c r="CAJ68" s="1"/>
      <c r="CAK68" s="1"/>
      <c r="CAL68" s="1"/>
      <c r="CAM68" s="1"/>
      <c r="CAN68" s="1"/>
      <c r="CAO68" s="1"/>
      <c r="CAP68" s="1"/>
      <c r="CAQ68" s="1"/>
      <c r="CAR68" s="1"/>
      <c r="CAS68" s="1"/>
      <c r="CAT68" s="1"/>
      <c r="CAU68" s="1"/>
      <c r="CAV68" s="1"/>
      <c r="CAW68" s="1"/>
      <c r="CAX68" s="1"/>
      <c r="CAY68" s="1"/>
      <c r="CAZ68" s="1"/>
      <c r="CBA68" s="1"/>
      <c r="CBB68" s="1"/>
      <c r="CBC68" s="1"/>
      <c r="CBD68" s="1"/>
      <c r="CBE68" s="1"/>
      <c r="CBF68" s="1"/>
      <c r="CBG68" s="1"/>
      <c r="CBH68" s="1"/>
      <c r="CBI68" s="1"/>
      <c r="CBJ68" s="1"/>
      <c r="CBK68" s="1"/>
      <c r="CBL68" s="1"/>
      <c r="CBM68" s="1"/>
      <c r="CBN68" s="1"/>
      <c r="CBO68" s="1"/>
      <c r="CBP68" s="1"/>
      <c r="CBQ68" s="1"/>
      <c r="CBR68" s="1"/>
      <c r="CBS68" s="1"/>
      <c r="CBT68" s="1"/>
      <c r="CBU68" s="1"/>
      <c r="CBV68" s="1"/>
      <c r="CBW68" s="1"/>
      <c r="CBX68" s="1"/>
      <c r="CBY68" s="1"/>
      <c r="CBZ68" s="1"/>
      <c r="CCA68" s="1"/>
      <c r="CCB68" s="1"/>
      <c r="CCC68" s="1"/>
      <c r="CCD68" s="1"/>
      <c r="CCE68" s="1"/>
      <c r="CCF68" s="1"/>
      <c r="CCG68" s="1"/>
      <c r="CCH68" s="1"/>
      <c r="CCI68" s="1"/>
      <c r="CCJ68" s="1"/>
      <c r="CCK68" s="1"/>
      <c r="CCL68" s="1"/>
      <c r="CCM68" s="1"/>
      <c r="CCN68" s="1"/>
      <c r="CCO68" s="1"/>
      <c r="CCP68" s="1"/>
      <c r="CCQ68" s="1"/>
      <c r="CCR68" s="1"/>
      <c r="CCS68" s="1"/>
      <c r="CCT68" s="1"/>
      <c r="CCU68" s="1"/>
      <c r="CCV68" s="1"/>
      <c r="CCW68" s="1"/>
      <c r="CCX68" s="1"/>
      <c r="CCY68" s="1"/>
      <c r="CCZ68" s="1"/>
      <c r="CDA68" s="1"/>
      <c r="CDB68" s="1"/>
      <c r="CDC68" s="1"/>
      <c r="CDD68" s="1"/>
      <c r="CDE68" s="1"/>
      <c r="CDF68" s="1"/>
      <c r="CDG68" s="1"/>
      <c r="CDH68" s="1"/>
      <c r="CDI68" s="1"/>
      <c r="CDJ68" s="1"/>
      <c r="CDK68" s="1"/>
      <c r="CDL68" s="1"/>
      <c r="CDM68" s="1"/>
      <c r="CDN68" s="1"/>
      <c r="CDO68" s="1"/>
      <c r="CDP68" s="1"/>
      <c r="CDQ68" s="1"/>
      <c r="CDR68" s="1"/>
      <c r="CDS68" s="1"/>
      <c r="CDT68" s="1"/>
      <c r="CDU68" s="1"/>
      <c r="CDV68" s="1"/>
      <c r="CDW68" s="1"/>
      <c r="CDX68" s="1"/>
      <c r="CDY68" s="1"/>
      <c r="CDZ68" s="1"/>
      <c r="CEA68" s="1"/>
      <c r="CEB68" s="1"/>
      <c r="CEC68" s="1"/>
      <c r="CED68" s="1"/>
      <c r="CEE68" s="1"/>
      <c r="CEF68" s="1"/>
      <c r="CEG68" s="1"/>
      <c r="CEH68" s="1"/>
      <c r="CEI68" s="1"/>
      <c r="CEJ68" s="1"/>
      <c r="CEK68" s="1"/>
      <c r="CEL68" s="1"/>
      <c r="CEM68" s="1"/>
      <c r="CEN68" s="1"/>
      <c r="CEO68" s="1"/>
      <c r="CEP68" s="1"/>
      <c r="CEQ68" s="1"/>
      <c r="CER68" s="1"/>
      <c r="CES68" s="1"/>
      <c r="CET68" s="1"/>
      <c r="CEU68" s="1"/>
      <c r="CEV68" s="1"/>
      <c r="CEW68" s="1"/>
      <c r="CEX68" s="1"/>
      <c r="CEY68" s="1"/>
      <c r="CEZ68" s="1"/>
      <c r="CFA68" s="1"/>
      <c r="CFB68" s="1"/>
      <c r="CFC68" s="1"/>
      <c r="CFD68" s="1"/>
      <c r="CFE68" s="1"/>
      <c r="CFF68" s="1"/>
      <c r="CFG68" s="1"/>
      <c r="CFH68" s="1"/>
      <c r="CFI68" s="1"/>
      <c r="CFJ68" s="1"/>
      <c r="CFK68" s="1"/>
      <c r="CFL68" s="1"/>
      <c r="CFM68" s="1"/>
      <c r="CFN68" s="1"/>
      <c r="CFO68" s="1"/>
      <c r="CFP68" s="1"/>
      <c r="CFQ68" s="1"/>
      <c r="CFR68" s="1"/>
      <c r="CFS68" s="1"/>
      <c r="CFT68" s="1"/>
      <c r="CFU68" s="1"/>
      <c r="CFV68" s="1"/>
      <c r="CFW68" s="1"/>
      <c r="CFX68" s="1"/>
      <c r="CFY68" s="1"/>
      <c r="CFZ68" s="1"/>
      <c r="CGA68" s="1"/>
      <c r="CGB68" s="1"/>
      <c r="CGC68" s="1"/>
      <c r="CGD68" s="1"/>
      <c r="CGE68" s="1"/>
      <c r="CGF68" s="1"/>
      <c r="CGG68" s="1"/>
      <c r="CGH68" s="1"/>
      <c r="CGI68" s="1"/>
      <c r="CGJ68" s="1"/>
      <c r="CGK68" s="1"/>
      <c r="CGL68" s="1"/>
      <c r="CGM68" s="1"/>
      <c r="CGN68" s="1"/>
      <c r="CGO68" s="1"/>
      <c r="CGP68" s="1"/>
      <c r="CGQ68" s="1"/>
      <c r="CGR68" s="1"/>
      <c r="CGS68" s="1"/>
      <c r="CGT68" s="1"/>
      <c r="CGU68" s="1"/>
      <c r="CGV68" s="1"/>
      <c r="CGW68" s="1"/>
      <c r="CGX68" s="1"/>
      <c r="CGY68" s="1"/>
      <c r="CGZ68" s="1"/>
      <c r="CHA68" s="1"/>
      <c r="CHB68" s="1"/>
      <c r="CHC68" s="1"/>
      <c r="CHD68" s="1"/>
      <c r="CHE68" s="1"/>
      <c r="CHF68" s="1"/>
      <c r="CHG68" s="1"/>
      <c r="CHH68" s="1"/>
      <c r="CHI68" s="1"/>
      <c r="CHJ68" s="1"/>
      <c r="CHK68" s="1"/>
      <c r="CHL68" s="1"/>
      <c r="CHM68" s="1"/>
      <c r="CHN68" s="1"/>
      <c r="CHO68" s="1"/>
      <c r="CHP68" s="1"/>
      <c r="CHQ68" s="1"/>
      <c r="CHR68" s="1"/>
      <c r="CHS68" s="1"/>
      <c r="CHT68" s="1"/>
      <c r="CHU68" s="1"/>
      <c r="CHV68" s="1"/>
      <c r="CHW68" s="1"/>
      <c r="CHX68" s="1"/>
      <c r="CHY68" s="1"/>
      <c r="CHZ68" s="1"/>
      <c r="CIA68" s="1"/>
      <c r="CIB68" s="1"/>
      <c r="CIC68" s="1"/>
      <c r="CID68" s="1"/>
      <c r="CIE68" s="1"/>
      <c r="CIF68" s="1"/>
      <c r="CIG68" s="1"/>
      <c r="CIH68" s="1"/>
      <c r="CII68" s="1"/>
      <c r="CIJ68" s="1"/>
      <c r="CIK68" s="1"/>
      <c r="CIL68" s="1"/>
      <c r="CIM68" s="1"/>
      <c r="CIN68" s="1"/>
      <c r="CIO68" s="1"/>
      <c r="CIP68" s="1"/>
      <c r="CIQ68" s="1"/>
      <c r="CIR68" s="1"/>
      <c r="CIS68" s="1"/>
      <c r="CIT68" s="1"/>
      <c r="CIU68" s="1"/>
      <c r="CIV68" s="1"/>
      <c r="CIW68" s="1"/>
      <c r="CIX68" s="1"/>
      <c r="CIY68" s="1"/>
      <c r="CIZ68" s="1"/>
      <c r="CJA68" s="1"/>
      <c r="CJB68" s="1"/>
      <c r="CJC68" s="1"/>
      <c r="CJD68" s="1"/>
      <c r="CJE68" s="1"/>
      <c r="CJF68" s="1"/>
      <c r="CJG68" s="1"/>
      <c r="CJH68" s="1"/>
      <c r="CJI68" s="1"/>
      <c r="CJJ68" s="1"/>
      <c r="CJK68" s="1"/>
      <c r="CJL68" s="1"/>
      <c r="CJM68" s="1"/>
      <c r="CJN68" s="1"/>
      <c r="CJO68" s="1"/>
      <c r="CJP68" s="1"/>
      <c r="CJQ68" s="1"/>
      <c r="CJR68" s="1"/>
      <c r="CJS68" s="1"/>
      <c r="CJT68" s="1"/>
      <c r="CJU68" s="1"/>
      <c r="CJV68" s="1"/>
      <c r="CJW68" s="1"/>
      <c r="CJX68" s="1"/>
      <c r="CJY68" s="1"/>
      <c r="CJZ68" s="1"/>
      <c r="CKA68" s="1"/>
      <c r="CKB68" s="1"/>
      <c r="CKC68" s="1"/>
      <c r="CKD68" s="1"/>
      <c r="CKE68" s="1"/>
      <c r="CKF68" s="1"/>
      <c r="CKG68" s="1"/>
      <c r="CKH68" s="1"/>
      <c r="CKI68" s="1"/>
      <c r="CKJ68" s="1"/>
      <c r="CKK68" s="1"/>
      <c r="CKL68" s="1"/>
      <c r="CKM68" s="1"/>
      <c r="CKN68" s="1"/>
      <c r="CKO68" s="1"/>
      <c r="CKP68" s="1"/>
      <c r="CKQ68" s="1"/>
      <c r="CKR68" s="1"/>
      <c r="CKS68" s="1"/>
      <c r="CKT68" s="1"/>
      <c r="CKU68" s="1"/>
      <c r="CKV68" s="1"/>
      <c r="CKW68" s="1"/>
      <c r="CKX68" s="1"/>
      <c r="CKY68" s="1"/>
      <c r="CKZ68" s="1"/>
      <c r="CLA68" s="1"/>
      <c r="CLB68" s="1"/>
      <c r="CLC68" s="1"/>
      <c r="CLD68" s="1"/>
      <c r="CLE68" s="1"/>
      <c r="CLF68" s="1"/>
      <c r="CLG68" s="1"/>
      <c r="CLH68" s="1"/>
      <c r="CLI68" s="1"/>
      <c r="CLJ68" s="1"/>
      <c r="CLK68" s="1"/>
      <c r="CLL68" s="1"/>
      <c r="CLM68" s="1"/>
      <c r="CLN68" s="1"/>
      <c r="CLO68" s="1"/>
      <c r="CLP68" s="1"/>
      <c r="CLQ68" s="1"/>
      <c r="CLR68" s="1"/>
      <c r="CLS68" s="1"/>
      <c r="CLT68" s="1"/>
      <c r="CLU68" s="1"/>
      <c r="CLV68" s="1"/>
      <c r="CLW68" s="1"/>
      <c r="CLX68" s="1"/>
      <c r="CLY68" s="1"/>
      <c r="CLZ68" s="1"/>
      <c r="CMA68" s="1"/>
      <c r="CMB68" s="1"/>
      <c r="CMC68" s="1"/>
      <c r="CMD68" s="1"/>
      <c r="CME68" s="1"/>
      <c r="CMF68" s="1"/>
      <c r="CMG68" s="1"/>
      <c r="CMH68" s="1"/>
      <c r="CMI68" s="1"/>
      <c r="CMJ68" s="1"/>
      <c r="CMK68" s="1"/>
      <c r="CML68" s="1"/>
      <c r="CMM68" s="1"/>
      <c r="CMN68" s="1"/>
      <c r="CMO68" s="1"/>
      <c r="CMP68" s="1"/>
      <c r="CMQ68" s="1"/>
      <c r="CMR68" s="1"/>
      <c r="CMS68" s="1"/>
      <c r="CMT68" s="1"/>
      <c r="CMU68" s="1"/>
      <c r="CMV68" s="1"/>
      <c r="CMW68" s="1"/>
      <c r="CMX68" s="1"/>
      <c r="CMY68" s="1"/>
      <c r="CMZ68" s="1"/>
      <c r="CNA68" s="1"/>
      <c r="CNB68" s="1"/>
      <c r="CNC68" s="1"/>
      <c r="CND68" s="1"/>
      <c r="CNE68" s="1"/>
      <c r="CNF68" s="1"/>
      <c r="CNG68" s="1"/>
      <c r="CNH68" s="1"/>
      <c r="CNI68" s="1"/>
      <c r="CNJ68" s="1"/>
      <c r="CNK68" s="1"/>
      <c r="CNL68" s="1"/>
      <c r="CNM68" s="1"/>
      <c r="CNN68" s="1"/>
      <c r="CNO68" s="1"/>
      <c r="CNP68" s="1"/>
      <c r="CNQ68" s="1"/>
      <c r="CNR68" s="1"/>
      <c r="CNS68" s="1"/>
      <c r="CNT68" s="1"/>
      <c r="CNU68" s="1"/>
      <c r="CNV68" s="1"/>
      <c r="CNW68" s="1"/>
      <c r="CNX68" s="1"/>
      <c r="CNY68" s="1"/>
      <c r="CNZ68" s="1"/>
      <c r="COA68" s="1"/>
      <c r="COB68" s="1"/>
      <c r="COC68" s="1"/>
      <c r="COD68" s="1"/>
      <c r="COE68" s="1"/>
      <c r="COF68" s="1"/>
      <c r="COG68" s="1"/>
      <c r="COH68" s="1"/>
      <c r="COI68" s="1"/>
      <c r="COJ68" s="1"/>
      <c r="COK68" s="1"/>
      <c r="COL68" s="1"/>
      <c r="COM68" s="1"/>
      <c r="CON68" s="1"/>
      <c r="COO68" s="1"/>
      <c r="COP68" s="1"/>
      <c r="COQ68" s="1"/>
      <c r="COR68" s="1"/>
      <c r="COS68" s="1"/>
      <c r="COT68" s="1"/>
      <c r="COU68" s="1"/>
      <c r="COV68" s="1"/>
      <c r="COW68" s="1"/>
      <c r="COX68" s="1"/>
      <c r="COY68" s="1"/>
      <c r="COZ68" s="1"/>
      <c r="CPA68" s="1"/>
      <c r="CPB68" s="1"/>
      <c r="CPC68" s="1"/>
      <c r="CPD68" s="1"/>
      <c r="CPE68" s="1"/>
      <c r="CPF68" s="1"/>
      <c r="CPG68" s="1"/>
      <c r="CPH68" s="1"/>
      <c r="CPI68" s="1"/>
      <c r="CPJ68" s="1"/>
      <c r="CPK68" s="1"/>
      <c r="CPL68" s="1"/>
      <c r="CPM68" s="1"/>
      <c r="CPN68" s="1"/>
      <c r="CPO68" s="1"/>
      <c r="CPP68" s="1"/>
      <c r="CPQ68" s="1"/>
      <c r="CPR68" s="1"/>
      <c r="CPS68" s="1"/>
      <c r="CPT68" s="1"/>
      <c r="CPU68" s="1"/>
      <c r="CPV68" s="1"/>
      <c r="CPW68" s="1"/>
      <c r="CPX68" s="1"/>
      <c r="CPY68" s="1"/>
      <c r="CPZ68" s="1"/>
      <c r="CQA68" s="1"/>
      <c r="CQB68" s="1"/>
      <c r="CQC68" s="1"/>
      <c r="CQD68" s="1"/>
      <c r="CQE68" s="1"/>
      <c r="CQF68" s="1"/>
      <c r="CQG68" s="1"/>
      <c r="CQH68" s="1"/>
      <c r="CQI68" s="1"/>
      <c r="CQJ68" s="1"/>
      <c r="CQK68" s="1"/>
      <c r="CQL68" s="1"/>
      <c r="CQM68" s="1"/>
      <c r="CQN68" s="1"/>
      <c r="CQO68" s="1"/>
      <c r="CQP68" s="1"/>
      <c r="CQQ68" s="1"/>
      <c r="CQR68" s="1"/>
      <c r="CQS68" s="1"/>
      <c r="CQT68" s="1"/>
      <c r="CQU68" s="1"/>
      <c r="CQV68" s="1"/>
      <c r="CQW68" s="1"/>
      <c r="CQX68" s="1"/>
      <c r="CQY68" s="1"/>
      <c r="CQZ68" s="1"/>
      <c r="CRA68" s="1"/>
      <c r="CRB68" s="1"/>
      <c r="CRC68" s="1"/>
      <c r="CRD68" s="1"/>
      <c r="CRE68" s="1"/>
      <c r="CRF68" s="1"/>
      <c r="CRG68" s="1"/>
      <c r="CRH68" s="1"/>
      <c r="CRI68" s="1"/>
      <c r="CRJ68" s="1"/>
      <c r="CRK68" s="1"/>
      <c r="CRL68" s="1"/>
      <c r="CRM68" s="1"/>
      <c r="CRN68" s="1"/>
      <c r="CRO68" s="1"/>
      <c r="CRP68" s="1"/>
      <c r="CRQ68" s="1"/>
      <c r="CRR68" s="1"/>
      <c r="CRS68" s="1"/>
      <c r="CRT68" s="1"/>
      <c r="CRU68" s="1"/>
      <c r="CRV68" s="1"/>
      <c r="CRW68" s="1"/>
      <c r="CRX68" s="1"/>
      <c r="CRY68" s="1"/>
      <c r="CRZ68" s="1"/>
      <c r="CSA68" s="1"/>
      <c r="CSB68" s="1"/>
      <c r="CSC68" s="1"/>
      <c r="CSD68" s="1"/>
      <c r="CSE68" s="1"/>
      <c r="CSF68" s="1"/>
      <c r="CSG68" s="1"/>
      <c r="CSH68" s="1"/>
      <c r="CSI68" s="1"/>
      <c r="CSJ68" s="1"/>
      <c r="CSK68" s="1"/>
      <c r="CSL68" s="1"/>
      <c r="CSM68" s="1"/>
      <c r="CSN68" s="1"/>
      <c r="CSO68" s="1"/>
      <c r="CSP68" s="1"/>
      <c r="CSQ68" s="1"/>
      <c r="CSR68" s="1"/>
      <c r="CSS68" s="1"/>
      <c r="CST68" s="1"/>
      <c r="CSU68" s="1"/>
      <c r="CSV68" s="1"/>
      <c r="CSW68" s="1"/>
      <c r="CSX68" s="1"/>
      <c r="CSY68" s="1"/>
      <c r="CSZ68" s="1"/>
      <c r="CTA68" s="1"/>
      <c r="CTB68" s="1"/>
      <c r="CTC68" s="1"/>
      <c r="CTD68" s="1"/>
      <c r="CTE68" s="1"/>
      <c r="CTF68" s="1"/>
      <c r="CTG68" s="1"/>
      <c r="CTH68" s="1"/>
      <c r="CTI68" s="1"/>
      <c r="CTJ68" s="1"/>
      <c r="CTK68" s="1"/>
      <c r="CTL68" s="1"/>
      <c r="CTM68" s="1"/>
      <c r="CTN68" s="1"/>
      <c r="CTO68" s="1"/>
      <c r="CTP68" s="1"/>
      <c r="CTQ68" s="1"/>
      <c r="CTR68" s="1"/>
      <c r="CTS68" s="1"/>
      <c r="CTT68" s="1"/>
      <c r="CTU68" s="1"/>
      <c r="CTV68" s="1"/>
      <c r="CTW68" s="1"/>
      <c r="CTX68" s="1"/>
      <c r="CTY68" s="1"/>
      <c r="CTZ68" s="1"/>
      <c r="CUA68" s="1"/>
      <c r="CUB68" s="1"/>
      <c r="CUC68" s="1"/>
      <c r="CUD68" s="1"/>
      <c r="CUE68" s="1"/>
      <c r="CUF68" s="1"/>
      <c r="CUG68" s="1"/>
      <c r="CUH68" s="1"/>
      <c r="CUI68" s="1"/>
      <c r="CUJ68" s="1"/>
      <c r="CUK68" s="1"/>
      <c r="CUL68" s="1"/>
      <c r="CUM68" s="1"/>
      <c r="CUN68" s="1"/>
      <c r="CUO68" s="1"/>
      <c r="CUP68" s="1"/>
      <c r="CUQ68" s="1"/>
      <c r="CUR68" s="1"/>
      <c r="CUS68" s="1"/>
      <c r="CUT68" s="1"/>
      <c r="CUU68" s="1"/>
      <c r="CUV68" s="1"/>
      <c r="CUW68" s="1"/>
      <c r="CUX68" s="1"/>
      <c r="CUY68" s="1"/>
      <c r="CUZ68" s="1"/>
      <c r="CVA68" s="1"/>
      <c r="CVB68" s="1"/>
      <c r="CVC68" s="1"/>
      <c r="CVD68" s="1"/>
      <c r="CVE68" s="1"/>
      <c r="CVF68" s="1"/>
      <c r="CVG68" s="1"/>
      <c r="CVH68" s="1"/>
      <c r="CVI68" s="1"/>
      <c r="CVJ68" s="1"/>
      <c r="CVK68" s="1"/>
      <c r="CVL68" s="1"/>
      <c r="CVM68" s="1"/>
      <c r="CVN68" s="1"/>
      <c r="CVO68" s="1"/>
      <c r="CVP68" s="1"/>
      <c r="CVQ68" s="1"/>
      <c r="CVR68" s="1"/>
      <c r="CVS68" s="1"/>
      <c r="CVT68" s="1"/>
      <c r="CVU68" s="1"/>
      <c r="CVV68" s="1"/>
      <c r="CVW68" s="1"/>
      <c r="CVX68" s="1"/>
      <c r="CVY68" s="1"/>
      <c r="CVZ68" s="1"/>
      <c r="CWA68" s="1"/>
      <c r="CWB68" s="1"/>
      <c r="CWC68" s="1"/>
      <c r="CWD68" s="1"/>
      <c r="CWE68" s="1"/>
      <c r="CWF68" s="1"/>
      <c r="CWG68" s="1"/>
      <c r="CWH68" s="1"/>
      <c r="CWI68" s="1"/>
      <c r="CWJ68" s="1"/>
      <c r="CWK68" s="1"/>
      <c r="CWL68" s="1"/>
      <c r="CWM68" s="1"/>
      <c r="CWN68" s="1"/>
      <c r="CWO68" s="1"/>
      <c r="CWP68" s="1"/>
      <c r="CWQ68" s="1"/>
      <c r="CWR68" s="1"/>
      <c r="CWS68" s="1"/>
      <c r="CWT68" s="1"/>
      <c r="CWU68" s="1"/>
      <c r="CWV68" s="1"/>
      <c r="CWW68" s="1"/>
      <c r="CWX68" s="1"/>
      <c r="CWY68" s="1"/>
      <c r="CWZ68" s="1"/>
      <c r="CXA68" s="1"/>
      <c r="CXB68" s="1"/>
      <c r="CXC68" s="1"/>
      <c r="CXD68" s="1"/>
      <c r="CXE68" s="1"/>
      <c r="CXF68" s="1"/>
      <c r="CXG68" s="1"/>
      <c r="CXH68" s="1"/>
      <c r="CXI68" s="1"/>
      <c r="CXJ68" s="1"/>
      <c r="CXK68" s="1"/>
      <c r="CXL68" s="1"/>
      <c r="CXM68" s="1"/>
      <c r="CXN68" s="1"/>
      <c r="CXO68" s="1"/>
      <c r="CXP68" s="1"/>
      <c r="CXQ68" s="1"/>
      <c r="CXR68" s="1"/>
      <c r="CXS68" s="1"/>
      <c r="CXT68" s="1"/>
      <c r="CXU68" s="1"/>
      <c r="CXV68" s="1"/>
      <c r="CXW68" s="1"/>
      <c r="CXX68" s="1"/>
      <c r="CXY68" s="1"/>
      <c r="CXZ68" s="1"/>
      <c r="CYA68" s="1"/>
      <c r="CYB68" s="1"/>
      <c r="CYC68" s="1"/>
      <c r="CYD68" s="1"/>
      <c r="CYE68" s="1"/>
      <c r="CYF68" s="1"/>
      <c r="CYG68" s="1"/>
      <c r="CYH68" s="1"/>
      <c r="CYI68" s="1"/>
      <c r="CYJ68" s="1"/>
      <c r="CYK68" s="1"/>
      <c r="CYL68" s="1"/>
      <c r="CYM68" s="1"/>
      <c r="CYN68" s="1"/>
      <c r="CYO68" s="1"/>
      <c r="CYP68" s="1"/>
      <c r="CYQ68" s="1"/>
      <c r="CYR68" s="1"/>
      <c r="CYS68" s="1"/>
      <c r="CYT68" s="1"/>
      <c r="CYU68" s="1"/>
      <c r="CYV68" s="1"/>
      <c r="CYW68" s="1"/>
      <c r="CYX68" s="1"/>
      <c r="CYY68" s="1"/>
      <c r="CYZ68" s="1"/>
      <c r="CZA68" s="1"/>
      <c r="CZB68" s="1"/>
      <c r="CZC68" s="1"/>
      <c r="CZD68" s="1"/>
      <c r="CZE68" s="1"/>
      <c r="CZF68" s="1"/>
      <c r="CZG68" s="1"/>
      <c r="CZH68" s="1"/>
      <c r="CZI68" s="1"/>
      <c r="CZJ68" s="1"/>
      <c r="CZK68" s="1"/>
      <c r="CZL68" s="1"/>
      <c r="CZM68" s="1"/>
      <c r="CZN68" s="1"/>
      <c r="CZO68" s="1"/>
      <c r="CZP68" s="1"/>
      <c r="CZQ68" s="1"/>
      <c r="CZR68" s="1"/>
      <c r="CZS68" s="1"/>
      <c r="CZT68" s="1"/>
      <c r="CZU68" s="1"/>
      <c r="CZV68" s="1"/>
      <c r="CZW68" s="1"/>
      <c r="CZX68" s="1"/>
      <c r="CZY68" s="1"/>
      <c r="CZZ68" s="1"/>
      <c r="DAA68" s="1"/>
      <c r="DAB68" s="1"/>
      <c r="DAC68" s="1"/>
      <c r="DAD68" s="1"/>
      <c r="DAE68" s="1"/>
      <c r="DAF68" s="1"/>
      <c r="DAG68" s="1"/>
      <c r="DAH68" s="1"/>
      <c r="DAI68" s="1"/>
      <c r="DAJ68" s="1"/>
      <c r="DAK68" s="1"/>
      <c r="DAL68" s="1"/>
      <c r="DAM68" s="1"/>
      <c r="DAN68" s="1"/>
      <c r="DAO68" s="1"/>
      <c r="DAP68" s="1"/>
      <c r="DAQ68" s="1"/>
      <c r="DAR68" s="1"/>
      <c r="DAS68" s="1"/>
      <c r="DAT68" s="1"/>
      <c r="DAU68" s="1"/>
      <c r="DAV68" s="1"/>
      <c r="DAW68" s="1"/>
      <c r="DAX68" s="1"/>
      <c r="DAY68" s="1"/>
      <c r="DAZ68" s="1"/>
      <c r="DBA68" s="1"/>
      <c r="DBB68" s="1"/>
      <c r="DBC68" s="1"/>
      <c r="DBD68" s="1"/>
      <c r="DBE68" s="1"/>
      <c r="DBF68" s="1"/>
      <c r="DBG68" s="1"/>
      <c r="DBH68" s="1"/>
      <c r="DBI68" s="1"/>
      <c r="DBJ68" s="1"/>
      <c r="DBK68" s="1"/>
      <c r="DBL68" s="1"/>
      <c r="DBM68" s="1"/>
      <c r="DBN68" s="1"/>
      <c r="DBO68" s="1"/>
      <c r="DBP68" s="1"/>
      <c r="DBQ68" s="1"/>
      <c r="DBR68" s="1"/>
      <c r="DBS68" s="1"/>
      <c r="DBT68" s="1"/>
      <c r="DBU68" s="1"/>
      <c r="DBV68" s="1"/>
      <c r="DBW68" s="1"/>
      <c r="DBX68" s="1"/>
      <c r="DBY68" s="1"/>
      <c r="DBZ68" s="1"/>
      <c r="DCA68" s="1"/>
      <c r="DCB68" s="1"/>
      <c r="DCC68" s="1"/>
      <c r="DCD68" s="1"/>
      <c r="DCE68" s="1"/>
      <c r="DCF68" s="1"/>
      <c r="DCG68" s="1"/>
      <c r="DCH68" s="1"/>
      <c r="DCI68" s="1"/>
      <c r="DCJ68" s="1"/>
      <c r="DCK68" s="1"/>
      <c r="DCL68" s="1"/>
      <c r="DCM68" s="1"/>
      <c r="DCN68" s="1"/>
      <c r="DCO68" s="1"/>
      <c r="DCP68" s="1"/>
      <c r="DCQ68" s="1"/>
      <c r="DCR68" s="1"/>
      <c r="DCS68" s="1"/>
      <c r="DCT68" s="1"/>
      <c r="DCU68" s="1"/>
      <c r="DCV68" s="1"/>
      <c r="DCW68" s="1"/>
      <c r="DCX68" s="1"/>
      <c r="DCY68" s="1"/>
      <c r="DCZ68" s="1"/>
      <c r="DDA68" s="1"/>
      <c r="DDB68" s="1"/>
      <c r="DDC68" s="1"/>
      <c r="DDD68" s="1"/>
      <c r="DDE68" s="1"/>
      <c r="DDF68" s="1"/>
      <c r="DDG68" s="1"/>
      <c r="DDH68" s="1"/>
      <c r="DDI68" s="1"/>
      <c r="DDJ68" s="1"/>
      <c r="DDK68" s="1"/>
      <c r="DDL68" s="1"/>
      <c r="DDM68" s="1"/>
      <c r="DDN68" s="1"/>
      <c r="DDO68" s="1"/>
      <c r="DDP68" s="1"/>
      <c r="DDQ68" s="1"/>
      <c r="DDR68" s="1"/>
      <c r="DDS68" s="1"/>
      <c r="DDT68" s="1"/>
      <c r="DDU68" s="1"/>
      <c r="DDV68" s="1"/>
      <c r="DDW68" s="1"/>
      <c r="DDX68" s="1"/>
      <c r="DDY68" s="1"/>
      <c r="DDZ68" s="1"/>
      <c r="DEA68" s="1"/>
      <c r="DEB68" s="1"/>
      <c r="DEC68" s="1"/>
      <c r="DED68" s="1"/>
      <c r="DEE68" s="1"/>
      <c r="DEF68" s="1"/>
      <c r="DEG68" s="1"/>
      <c r="DEH68" s="1"/>
      <c r="DEI68" s="1"/>
      <c r="DEJ68" s="1"/>
      <c r="DEK68" s="1"/>
      <c r="DEL68" s="1"/>
      <c r="DEM68" s="1"/>
      <c r="DEN68" s="1"/>
      <c r="DEO68" s="1"/>
      <c r="DEP68" s="1"/>
      <c r="DEQ68" s="1"/>
      <c r="DER68" s="1"/>
      <c r="DES68" s="1"/>
      <c r="DET68" s="1"/>
      <c r="DEU68" s="1"/>
      <c r="DEV68" s="1"/>
      <c r="DEW68" s="1"/>
      <c r="DEX68" s="1"/>
      <c r="DEY68" s="1"/>
      <c r="DEZ68" s="1"/>
      <c r="DFA68" s="1"/>
      <c r="DFB68" s="1"/>
      <c r="DFC68" s="1"/>
      <c r="DFD68" s="1"/>
      <c r="DFE68" s="1"/>
      <c r="DFF68" s="1"/>
      <c r="DFG68" s="1"/>
      <c r="DFH68" s="1"/>
      <c r="DFI68" s="1"/>
      <c r="DFJ68" s="1"/>
      <c r="DFK68" s="1"/>
      <c r="DFL68" s="1"/>
      <c r="DFM68" s="1"/>
      <c r="DFN68" s="1"/>
      <c r="DFO68" s="1"/>
      <c r="DFP68" s="1"/>
      <c r="DFQ68" s="1"/>
      <c r="DFR68" s="1"/>
      <c r="DFS68" s="1"/>
      <c r="DFT68" s="1"/>
      <c r="DFU68" s="1"/>
      <c r="DFV68" s="1"/>
      <c r="DFW68" s="1"/>
      <c r="DFX68" s="1"/>
      <c r="DFY68" s="1"/>
      <c r="DFZ68" s="1"/>
      <c r="DGA68" s="1"/>
      <c r="DGB68" s="1"/>
      <c r="DGC68" s="1"/>
      <c r="DGD68" s="1"/>
      <c r="DGE68" s="1"/>
      <c r="DGF68" s="1"/>
      <c r="DGG68" s="1"/>
      <c r="DGH68" s="1"/>
      <c r="DGI68" s="1"/>
      <c r="DGJ68" s="1"/>
      <c r="DGK68" s="1"/>
      <c r="DGL68" s="1"/>
      <c r="DGM68" s="1"/>
      <c r="DGN68" s="1"/>
      <c r="DGO68" s="1"/>
      <c r="DGP68" s="1"/>
      <c r="DGQ68" s="1"/>
      <c r="DGR68" s="1"/>
      <c r="DGS68" s="1"/>
      <c r="DGT68" s="1"/>
      <c r="DGU68" s="1"/>
      <c r="DGV68" s="1"/>
      <c r="DGW68" s="1"/>
      <c r="DGX68" s="1"/>
      <c r="DGY68" s="1"/>
      <c r="DGZ68" s="1"/>
      <c r="DHA68" s="1"/>
      <c r="DHB68" s="1"/>
      <c r="DHC68" s="1"/>
      <c r="DHD68" s="1"/>
      <c r="DHE68" s="1"/>
      <c r="DHF68" s="1"/>
      <c r="DHG68" s="1"/>
      <c r="DHH68" s="1"/>
      <c r="DHI68" s="1"/>
      <c r="DHJ68" s="1"/>
      <c r="DHK68" s="1"/>
      <c r="DHL68" s="1"/>
      <c r="DHM68" s="1"/>
      <c r="DHN68" s="1"/>
      <c r="DHO68" s="1"/>
      <c r="DHP68" s="1"/>
      <c r="DHQ68" s="1"/>
      <c r="DHR68" s="1"/>
      <c r="DHS68" s="1"/>
      <c r="DHT68" s="1"/>
      <c r="DHU68" s="1"/>
      <c r="DHV68" s="1"/>
      <c r="DHW68" s="1"/>
      <c r="DHX68" s="1"/>
      <c r="DHY68" s="1"/>
      <c r="DHZ68" s="1"/>
      <c r="DIA68" s="1"/>
      <c r="DIB68" s="1"/>
      <c r="DIC68" s="1"/>
      <c r="DID68" s="1"/>
      <c r="DIE68" s="1"/>
      <c r="DIF68" s="1"/>
      <c r="DIG68" s="1"/>
      <c r="DIH68" s="1"/>
      <c r="DII68" s="1"/>
      <c r="DIJ68" s="1"/>
      <c r="DIK68" s="1"/>
      <c r="DIL68" s="1"/>
      <c r="DIM68" s="1"/>
      <c r="DIN68" s="1"/>
      <c r="DIO68" s="1"/>
      <c r="DIP68" s="1"/>
      <c r="DIQ68" s="1"/>
      <c r="DIR68" s="1"/>
      <c r="DIS68" s="1"/>
      <c r="DIT68" s="1"/>
      <c r="DIU68" s="1"/>
      <c r="DIV68" s="1"/>
      <c r="DIW68" s="1"/>
      <c r="DIX68" s="1"/>
      <c r="DIY68" s="1"/>
      <c r="DIZ68" s="1"/>
      <c r="DJA68" s="1"/>
      <c r="DJB68" s="1"/>
      <c r="DJC68" s="1"/>
      <c r="DJD68" s="1"/>
      <c r="DJE68" s="1"/>
      <c r="DJF68" s="1"/>
      <c r="DJG68" s="1"/>
      <c r="DJH68" s="1"/>
      <c r="DJI68" s="1"/>
      <c r="DJJ68" s="1"/>
      <c r="DJK68" s="1"/>
      <c r="DJL68" s="1"/>
      <c r="DJM68" s="1"/>
      <c r="DJN68" s="1"/>
      <c r="DJO68" s="1"/>
      <c r="DJP68" s="1"/>
      <c r="DJQ68" s="1"/>
      <c r="DJR68" s="1"/>
      <c r="DJS68" s="1"/>
      <c r="DJT68" s="1"/>
      <c r="DJU68" s="1"/>
      <c r="DJV68" s="1"/>
      <c r="DJW68" s="1"/>
      <c r="DJX68" s="1"/>
      <c r="DJY68" s="1"/>
      <c r="DJZ68" s="1"/>
      <c r="DKA68" s="1"/>
      <c r="DKB68" s="1"/>
      <c r="DKC68" s="1"/>
      <c r="DKD68" s="1"/>
      <c r="DKE68" s="1"/>
      <c r="DKF68" s="1"/>
      <c r="DKG68" s="1"/>
      <c r="DKH68" s="1"/>
      <c r="DKI68" s="1"/>
      <c r="DKJ68" s="1"/>
      <c r="DKK68" s="1"/>
      <c r="DKL68" s="1"/>
      <c r="DKM68" s="1"/>
      <c r="DKN68" s="1"/>
      <c r="DKO68" s="1"/>
      <c r="DKP68" s="1"/>
      <c r="DKQ68" s="1"/>
      <c r="DKR68" s="1"/>
      <c r="DKS68" s="1"/>
      <c r="DKT68" s="1"/>
      <c r="DKU68" s="1"/>
      <c r="DKV68" s="1"/>
      <c r="DKW68" s="1"/>
      <c r="DKX68" s="1"/>
      <c r="DKY68" s="1"/>
      <c r="DKZ68" s="1"/>
      <c r="DLA68" s="1"/>
      <c r="DLB68" s="1"/>
      <c r="DLC68" s="1"/>
      <c r="DLD68" s="1"/>
      <c r="DLE68" s="1"/>
      <c r="DLF68" s="1"/>
      <c r="DLG68" s="1"/>
      <c r="DLH68" s="1"/>
      <c r="DLI68" s="1"/>
      <c r="DLJ68" s="1"/>
      <c r="DLK68" s="1"/>
      <c r="DLL68" s="1"/>
      <c r="DLM68" s="1"/>
      <c r="DLN68" s="1"/>
      <c r="DLO68" s="1"/>
      <c r="DLP68" s="1"/>
      <c r="DLQ68" s="1"/>
      <c r="DLR68" s="1"/>
      <c r="DLS68" s="1"/>
      <c r="DLT68" s="1"/>
      <c r="DLU68" s="1"/>
      <c r="DLV68" s="1"/>
      <c r="DLW68" s="1"/>
      <c r="DLX68" s="1"/>
      <c r="DLY68" s="1"/>
      <c r="DLZ68" s="1"/>
      <c r="DMA68" s="1"/>
      <c r="DMB68" s="1"/>
      <c r="DMC68" s="1"/>
      <c r="DMD68" s="1"/>
      <c r="DME68" s="1"/>
      <c r="DMF68" s="1"/>
      <c r="DMG68" s="1"/>
      <c r="DMH68" s="1"/>
      <c r="DMI68" s="1"/>
      <c r="DMJ68" s="1"/>
      <c r="DMK68" s="1"/>
      <c r="DML68" s="1"/>
      <c r="DMM68" s="1"/>
      <c r="DMN68" s="1"/>
      <c r="DMO68" s="1"/>
      <c r="DMP68" s="1"/>
      <c r="DMQ68" s="1"/>
      <c r="DMR68" s="1"/>
      <c r="DMS68" s="1"/>
      <c r="DMT68" s="1"/>
      <c r="DMU68" s="1"/>
      <c r="DMV68" s="1"/>
      <c r="DMW68" s="1"/>
      <c r="DMX68" s="1"/>
      <c r="DMY68" s="1"/>
      <c r="DMZ68" s="1"/>
      <c r="DNA68" s="1"/>
      <c r="DNB68" s="1"/>
      <c r="DNC68" s="1"/>
      <c r="DND68" s="1"/>
      <c r="DNE68" s="1"/>
      <c r="DNF68" s="1"/>
      <c r="DNG68" s="1"/>
      <c r="DNH68" s="1"/>
      <c r="DNI68" s="1"/>
      <c r="DNJ68" s="1"/>
      <c r="DNK68" s="1"/>
      <c r="DNL68" s="1"/>
      <c r="DNM68" s="1"/>
      <c r="DNN68" s="1"/>
      <c r="DNO68" s="1"/>
      <c r="DNP68" s="1"/>
      <c r="DNQ68" s="1"/>
      <c r="DNR68" s="1"/>
      <c r="DNS68" s="1"/>
      <c r="DNT68" s="1"/>
      <c r="DNU68" s="1"/>
      <c r="DNV68" s="1"/>
      <c r="DNW68" s="1"/>
      <c r="DNX68" s="1"/>
      <c r="DNY68" s="1"/>
      <c r="DNZ68" s="1"/>
      <c r="DOA68" s="1"/>
      <c r="DOB68" s="1"/>
      <c r="DOC68" s="1"/>
      <c r="DOD68" s="1"/>
      <c r="DOE68" s="1"/>
      <c r="DOF68" s="1"/>
      <c r="DOG68" s="1"/>
      <c r="DOH68" s="1"/>
      <c r="DOI68" s="1"/>
      <c r="DOJ68" s="1"/>
      <c r="DOK68" s="1"/>
      <c r="DOL68" s="1"/>
      <c r="DOM68" s="1"/>
      <c r="DON68" s="1"/>
      <c r="DOO68" s="1"/>
      <c r="DOP68" s="1"/>
      <c r="DOQ68" s="1"/>
      <c r="DOR68" s="1"/>
      <c r="DOS68" s="1"/>
      <c r="DOT68" s="1"/>
      <c r="DOU68" s="1"/>
      <c r="DOV68" s="1"/>
      <c r="DOW68" s="1"/>
      <c r="DOX68" s="1"/>
      <c r="DOY68" s="1"/>
      <c r="DOZ68" s="1"/>
      <c r="DPA68" s="1"/>
      <c r="DPB68" s="1"/>
      <c r="DPC68" s="1"/>
      <c r="DPD68" s="1"/>
      <c r="DPE68" s="1"/>
      <c r="DPF68" s="1"/>
      <c r="DPG68" s="1"/>
      <c r="DPH68" s="1"/>
      <c r="DPI68" s="1"/>
      <c r="DPJ68" s="1"/>
      <c r="DPK68" s="1"/>
      <c r="DPL68" s="1"/>
      <c r="DPM68" s="1"/>
      <c r="DPN68" s="1"/>
      <c r="DPO68" s="1"/>
      <c r="DPP68" s="1"/>
      <c r="DPQ68" s="1"/>
      <c r="DPR68" s="1"/>
      <c r="DPS68" s="1"/>
      <c r="DPT68" s="1"/>
      <c r="DPU68" s="1"/>
      <c r="DPV68" s="1"/>
      <c r="DPW68" s="1"/>
      <c r="DPX68" s="1"/>
      <c r="DPY68" s="1"/>
      <c r="DPZ68" s="1"/>
      <c r="DQA68" s="1"/>
      <c r="DQB68" s="1"/>
      <c r="DQC68" s="1"/>
      <c r="DQD68" s="1"/>
      <c r="DQE68" s="1"/>
      <c r="DQF68" s="1"/>
      <c r="DQG68" s="1"/>
      <c r="DQH68" s="1"/>
      <c r="DQI68" s="1"/>
      <c r="DQJ68" s="1"/>
      <c r="DQK68" s="1"/>
      <c r="DQL68" s="1"/>
      <c r="DQM68" s="1"/>
      <c r="DQN68" s="1"/>
      <c r="DQO68" s="1"/>
      <c r="DQP68" s="1"/>
      <c r="DQQ68" s="1"/>
      <c r="DQR68" s="1"/>
      <c r="DQS68" s="1"/>
      <c r="DQT68" s="1"/>
      <c r="DQU68" s="1"/>
      <c r="DQV68" s="1"/>
      <c r="DQW68" s="1"/>
      <c r="DQX68" s="1"/>
      <c r="DQY68" s="1"/>
      <c r="DQZ68" s="1"/>
      <c r="DRA68" s="1"/>
      <c r="DRB68" s="1"/>
      <c r="DRC68" s="1"/>
      <c r="DRD68" s="1"/>
      <c r="DRE68" s="1"/>
      <c r="DRF68" s="1"/>
      <c r="DRG68" s="1"/>
      <c r="DRH68" s="1"/>
      <c r="DRI68" s="1"/>
      <c r="DRJ68" s="1"/>
      <c r="DRK68" s="1"/>
      <c r="DRL68" s="1"/>
      <c r="DRM68" s="1"/>
      <c r="DRN68" s="1"/>
      <c r="DRO68" s="1"/>
      <c r="DRP68" s="1"/>
      <c r="DRQ68" s="1"/>
      <c r="DRR68" s="1"/>
      <c r="DRS68" s="1"/>
      <c r="DRT68" s="1"/>
      <c r="DRU68" s="1"/>
      <c r="DRV68" s="1"/>
      <c r="DRW68" s="1"/>
      <c r="DRX68" s="1"/>
      <c r="DRY68" s="1"/>
      <c r="DRZ68" s="1"/>
      <c r="DSA68" s="1"/>
      <c r="DSB68" s="1"/>
      <c r="DSC68" s="1"/>
      <c r="DSD68" s="1"/>
      <c r="DSE68" s="1"/>
      <c r="DSF68" s="1"/>
      <c r="DSG68" s="1"/>
      <c r="DSH68" s="1"/>
      <c r="DSI68" s="1"/>
      <c r="DSJ68" s="1"/>
      <c r="DSK68" s="1"/>
      <c r="DSL68" s="1"/>
      <c r="DSM68" s="1"/>
      <c r="DSN68" s="1"/>
      <c r="DSO68" s="1"/>
      <c r="DSP68" s="1"/>
      <c r="DSQ68" s="1"/>
      <c r="DSR68" s="1"/>
      <c r="DSS68" s="1"/>
      <c r="DST68" s="1"/>
      <c r="DSU68" s="1"/>
      <c r="DSV68" s="1"/>
      <c r="DSW68" s="1"/>
      <c r="DSX68" s="1"/>
      <c r="DSY68" s="1"/>
      <c r="DSZ68" s="1"/>
      <c r="DTA68" s="1"/>
      <c r="DTB68" s="1"/>
      <c r="DTC68" s="1"/>
      <c r="DTD68" s="1"/>
      <c r="DTE68" s="1"/>
      <c r="DTF68" s="1"/>
      <c r="DTG68" s="1"/>
      <c r="DTH68" s="1"/>
      <c r="DTI68" s="1"/>
      <c r="DTJ68" s="1"/>
      <c r="DTK68" s="1"/>
      <c r="DTL68" s="1"/>
      <c r="DTM68" s="1"/>
      <c r="DTN68" s="1"/>
      <c r="DTO68" s="1"/>
      <c r="DTP68" s="1"/>
      <c r="DTQ68" s="1"/>
      <c r="DTR68" s="1"/>
      <c r="DTS68" s="1"/>
      <c r="DTT68" s="1"/>
      <c r="DTU68" s="1"/>
      <c r="DTV68" s="1"/>
      <c r="DTW68" s="1"/>
      <c r="DTX68" s="1"/>
      <c r="DTY68" s="1"/>
      <c r="DTZ68" s="1"/>
      <c r="DUA68" s="1"/>
      <c r="DUB68" s="1"/>
      <c r="DUC68" s="1"/>
      <c r="DUD68" s="1"/>
      <c r="DUE68" s="1"/>
      <c r="DUF68" s="1"/>
      <c r="DUG68" s="1"/>
      <c r="DUH68" s="1"/>
      <c r="DUI68" s="1"/>
      <c r="DUJ68" s="1"/>
      <c r="DUK68" s="1"/>
      <c r="DUL68" s="1"/>
      <c r="DUM68" s="1"/>
      <c r="DUN68" s="1"/>
      <c r="DUO68" s="1"/>
      <c r="DUP68" s="1"/>
      <c r="DUQ68" s="1"/>
      <c r="DUR68" s="1"/>
      <c r="DUS68" s="1"/>
      <c r="DUT68" s="1"/>
      <c r="DUU68" s="1"/>
      <c r="DUV68" s="1"/>
      <c r="DUW68" s="1"/>
      <c r="DUX68" s="1"/>
      <c r="DUY68" s="1"/>
      <c r="DUZ68" s="1"/>
      <c r="DVA68" s="1"/>
      <c r="DVB68" s="1"/>
      <c r="DVC68" s="1"/>
      <c r="DVD68" s="1"/>
      <c r="DVE68" s="1"/>
      <c r="DVF68" s="1"/>
      <c r="DVG68" s="1"/>
      <c r="DVH68" s="1"/>
      <c r="DVI68" s="1"/>
      <c r="DVJ68" s="1"/>
      <c r="DVK68" s="1"/>
      <c r="DVL68" s="1"/>
      <c r="DVM68" s="1"/>
      <c r="DVN68" s="1"/>
      <c r="DVO68" s="1"/>
      <c r="DVP68" s="1"/>
      <c r="DVQ68" s="1"/>
      <c r="DVR68" s="1"/>
      <c r="DVS68" s="1"/>
      <c r="DVT68" s="1"/>
      <c r="DVU68" s="1"/>
      <c r="DVV68" s="1"/>
      <c r="DVW68" s="1"/>
      <c r="DVX68" s="1"/>
      <c r="DVY68" s="1"/>
      <c r="DVZ68" s="1"/>
      <c r="DWA68" s="1"/>
      <c r="DWB68" s="1"/>
      <c r="DWC68" s="1"/>
      <c r="DWD68" s="1"/>
      <c r="DWE68" s="1"/>
      <c r="DWF68" s="1"/>
      <c r="DWG68" s="1"/>
      <c r="DWH68" s="1"/>
      <c r="DWI68" s="1"/>
      <c r="DWJ68" s="1"/>
      <c r="DWK68" s="1"/>
      <c r="DWL68" s="1"/>
      <c r="DWM68" s="1"/>
      <c r="DWN68" s="1"/>
      <c r="DWO68" s="1"/>
      <c r="DWP68" s="1"/>
      <c r="DWQ68" s="1"/>
      <c r="DWR68" s="1"/>
      <c r="DWS68" s="1"/>
      <c r="DWT68" s="1"/>
      <c r="DWU68" s="1"/>
      <c r="DWV68" s="1"/>
      <c r="DWW68" s="1"/>
      <c r="DWX68" s="1"/>
      <c r="DWY68" s="1"/>
      <c r="DWZ68" s="1"/>
      <c r="DXA68" s="1"/>
      <c r="DXB68" s="1"/>
      <c r="DXC68" s="1"/>
      <c r="DXD68" s="1"/>
      <c r="DXE68" s="1"/>
      <c r="DXF68" s="1"/>
      <c r="DXG68" s="1"/>
      <c r="DXH68" s="1"/>
      <c r="DXI68" s="1"/>
      <c r="DXJ68" s="1"/>
      <c r="DXK68" s="1"/>
      <c r="DXL68" s="1"/>
      <c r="DXM68" s="1"/>
      <c r="DXN68" s="1"/>
      <c r="DXO68" s="1"/>
      <c r="DXP68" s="1"/>
      <c r="DXQ68" s="1"/>
      <c r="DXR68" s="1"/>
      <c r="DXS68" s="1"/>
      <c r="DXT68" s="1"/>
      <c r="DXU68" s="1"/>
      <c r="DXV68" s="1"/>
      <c r="DXW68" s="1"/>
      <c r="DXX68" s="1"/>
      <c r="DXY68" s="1"/>
      <c r="DXZ68" s="1"/>
      <c r="DYA68" s="1"/>
      <c r="DYB68" s="1"/>
      <c r="DYC68" s="1"/>
      <c r="DYD68" s="1"/>
      <c r="DYE68" s="1"/>
      <c r="DYF68" s="1"/>
      <c r="DYG68" s="1"/>
      <c r="DYH68" s="1"/>
      <c r="DYI68" s="1"/>
      <c r="DYJ68" s="1"/>
      <c r="DYK68" s="1"/>
      <c r="DYL68" s="1"/>
      <c r="DYM68" s="1"/>
      <c r="DYN68" s="1"/>
      <c r="DYO68" s="1"/>
      <c r="DYP68" s="1"/>
      <c r="DYQ68" s="1"/>
      <c r="DYR68" s="1"/>
      <c r="DYS68" s="1"/>
      <c r="DYT68" s="1"/>
      <c r="DYU68" s="1"/>
      <c r="DYV68" s="1"/>
      <c r="DYW68" s="1"/>
      <c r="DYX68" s="1"/>
      <c r="DYY68" s="1"/>
      <c r="DYZ68" s="1"/>
      <c r="DZA68" s="1"/>
      <c r="DZB68" s="1"/>
      <c r="DZC68" s="1"/>
      <c r="DZD68" s="1"/>
      <c r="DZE68" s="1"/>
      <c r="DZF68" s="1"/>
      <c r="DZG68" s="1"/>
      <c r="DZH68" s="1"/>
      <c r="DZI68" s="1"/>
      <c r="DZJ68" s="1"/>
      <c r="DZK68" s="1"/>
      <c r="DZL68" s="1"/>
      <c r="DZM68" s="1"/>
      <c r="DZN68" s="1"/>
      <c r="DZO68" s="1"/>
      <c r="DZP68" s="1"/>
      <c r="DZQ68" s="1"/>
      <c r="DZR68" s="1"/>
      <c r="DZS68" s="1"/>
      <c r="DZT68" s="1"/>
      <c r="DZU68" s="1"/>
      <c r="DZV68" s="1"/>
      <c r="DZW68" s="1"/>
      <c r="DZX68" s="1"/>
      <c r="DZY68" s="1"/>
      <c r="DZZ68" s="1"/>
      <c r="EAA68" s="1"/>
      <c r="EAB68" s="1"/>
      <c r="EAC68" s="1"/>
      <c r="EAD68" s="1"/>
      <c r="EAE68" s="1"/>
      <c r="EAF68" s="1"/>
      <c r="EAG68" s="1"/>
      <c r="EAH68" s="1"/>
      <c r="EAI68" s="1"/>
      <c r="EAJ68" s="1"/>
      <c r="EAK68" s="1"/>
      <c r="EAL68" s="1"/>
      <c r="EAM68" s="1"/>
      <c r="EAN68" s="1"/>
      <c r="EAO68" s="1"/>
      <c r="EAP68" s="1"/>
      <c r="EAQ68" s="1"/>
      <c r="EAR68" s="1"/>
      <c r="EAS68" s="1"/>
      <c r="EAT68" s="1"/>
      <c r="EAU68" s="1"/>
      <c r="EAV68" s="1"/>
      <c r="EAW68" s="1"/>
      <c r="EAX68" s="1"/>
      <c r="EAY68" s="1"/>
      <c r="EAZ68" s="1"/>
      <c r="EBA68" s="1"/>
      <c r="EBB68" s="1"/>
      <c r="EBC68" s="1"/>
      <c r="EBD68" s="1"/>
      <c r="EBE68" s="1"/>
      <c r="EBF68" s="1"/>
      <c r="EBG68" s="1"/>
      <c r="EBH68" s="1"/>
      <c r="EBI68" s="1"/>
      <c r="EBJ68" s="1"/>
      <c r="EBK68" s="1"/>
      <c r="EBL68" s="1"/>
      <c r="EBM68" s="1"/>
      <c r="EBN68" s="1"/>
      <c r="EBO68" s="1"/>
      <c r="EBP68" s="1"/>
      <c r="EBQ68" s="1"/>
      <c r="EBR68" s="1"/>
      <c r="EBS68" s="1"/>
      <c r="EBT68" s="1"/>
      <c r="EBU68" s="1"/>
      <c r="EBV68" s="1"/>
      <c r="EBW68" s="1"/>
      <c r="EBX68" s="1"/>
      <c r="EBY68" s="1"/>
      <c r="EBZ68" s="1"/>
      <c r="ECA68" s="1"/>
      <c r="ECB68" s="1"/>
      <c r="ECC68" s="1"/>
      <c r="ECD68" s="1"/>
      <c r="ECE68" s="1"/>
      <c r="ECF68" s="1"/>
      <c r="ECG68" s="1"/>
      <c r="ECH68" s="1"/>
      <c r="ECI68" s="1"/>
      <c r="ECJ68" s="1"/>
      <c r="ECK68" s="1"/>
      <c r="ECL68" s="1"/>
      <c r="ECM68" s="1"/>
      <c r="ECN68" s="1"/>
      <c r="ECO68" s="1"/>
      <c r="ECP68" s="1"/>
      <c r="ECQ68" s="1"/>
      <c r="ECR68" s="1"/>
      <c r="ECS68" s="1"/>
      <c r="ECT68" s="1"/>
      <c r="ECU68" s="1"/>
      <c r="ECV68" s="1"/>
      <c r="ECW68" s="1"/>
      <c r="ECX68" s="1"/>
      <c r="ECY68" s="1"/>
      <c r="ECZ68" s="1"/>
      <c r="EDA68" s="1"/>
      <c r="EDB68" s="1"/>
      <c r="EDC68" s="1"/>
      <c r="EDD68" s="1"/>
      <c r="EDE68" s="1"/>
      <c r="EDF68" s="1"/>
      <c r="EDG68" s="1"/>
      <c r="EDH68" s="1"/>
      <c r="EDI68" s="1"/>
      <c r="EDJ68" s="1"/>
      <c r="EDK68" s="1"/>
      <c r="EDL68" s="1"/>
      <c r="EDM68" s="1"/>
      <c r="EDN68" s="1"/>
      <c r="EDO68" s="1"/>
      <c r="EDP68" s="1"/>
      <c r="EDQ68" s="1"/>
      <c r="EDR68" s="1"/>
      <c r="EDS68" s="1"/>
      <c r="EDT68" s="1"/>
      <c r="EDU68" s="1"/>
      <c r="EDV68" s="1"/>
      <c r="EDW68" s="1"/>
      <c r="EDX68" s="1"/>
      <c r="EDY68" s="1"/>
      <c r="EDZ68" s="1"/>
      <c r="EEA68" s="1"/>
      <c r="EEB68" s="1"/>
      <c r="EEC68" s="1"/>
      <c r="EED68" s="1"/>
      <c r="EEE68" s="1"/>
      <c r="EEF68" s="1"/>
      <c r="EEG68" s="1"/>
      <c r="EEH68" s="1"/>
      <c r="EEI68" s="1"/>
      <c r="EEJ68" s="1"/>
      <c r="EEK68" s="1"/>
      <c r="EEL68" s="1"/>
      <c r="EEM68" s="1"/>
      <c r="EEN68" s="1"/>
      <c r="EEO68" s="1"/>
      <c r="EEP68" s="1"/>
      <c r="EEQ68" s="1"/>
      <c r="EER68" s="1"/>
      <c r="EES68" s="1"/>
      <c r="EET68" s="1"/>
      <c r="EEU68" s="1"/>
      <c r="EEV68" s="1"/>
      <c r="EEW68" s="1"/>
      <c r="EEX68" s="1"/>
      <c r="EEY68" s="1"/>
      <c r="EEZ68" s="1"/>
      <c r="EFA68" s="1"/>
      <c r="EFB68" s="1"/>
      <c r="EFC68" s="1"/>
      <c r="EFD68" s="1"/>
      <c r="EFE68" s="1"/>
      <c r="EFF68" s="1"/>
      <c r="EFG68" s="1"/>
      <c r="EFH68" s="1"/>
      <c r="EFI68" s="1"/>
      <c r="EFJ68" s="1"/>
      <c r="EFK68" s="1"/>
      <c r="EFL68" s="1"/>
      <c r="EFM68" s="1"/>
      <c r="EFN68" s="1"/>
      <c r="EFO68" s="1"/>
      <c r="EFP68" s="1"/>
      <c r="EFQ68" s="1"/>
      <c r="EFR68" s="1"/>
      <c r="EFS68" s="1"/>
      <c r="EFT68" s="1"/>
      <c r="EFU68" s="1"/>
      <c r="EFV68" s="1"/>
      <c r="EFW68" s="1"/>
      <c r="EFX68" s="1"/>
      <c r="EFY68" s="1"/>
      <c r="EFZ68" s="1"/>
      <c r="EGA68" s="1"/>
      <c r="EGB68" s="1"/>
      <c r="EGC68" s="1"/>
      <c r="EGD68" s="1"/>
      <c r="EGE68" s="1"/>
      <c r="EGF68" s="1"/>
      <c r="EGG68" s="1"/>
      <c r="EGH68" s="1"/>
      <c r="EGI68" s="1"/>
      <c r="EGJ68" s="1"/>
      <c r="EGK68" s="1"/>
      <c r="EGL68" s="1"/>
      <c r="EGM68" s="1"/>
      <c r="EGN68" s="1"/>
      <c r="EGO68" s="1"/>
      <c r="EGP68" s="1"/>
      <c r="EGQ68" s="1"/>
      <c r="EGR68" s="1"/>
      <c r="EGS68" s="1"/>
      <c r="EGT68" s="1"/>
      <c r="EGU68" s="1"/>
      <c r="EGV68" s="1"/>
      <c r="EGW68" s="1"/>
      <c r="EGX68" s="1"/>
      <c r="EGY68" s="1"/>
      <c r="EGZ68" s="1"/>
      <c r="EHA68" s="1"/>
      <c r="EHB68" s="1"/>
      <c r="EHC68" s="1"/>
      <c r="EHD68" s="1"/>
      <c r="EHE68" s="1"/>
      <c r="EHF68" s="1"/>
      <c r="EHG68" s="1"/>
      <c r="EHH68" s="1"/>
      <c r="EHI68" s="1"/>
      <c r="EHJ68" s="1"/>
      <c r="EHK68" s="1"/>
      <c r="EHL68" s="1"/>
      <c r="EHM68" s="1"/>
      <c r="EHN68" s="1"/>
      <c r="EHO68" s="1"/>
      <c r="EHP68" s="1"/>
      <c r="EHQ68" s="1"/>
      <c r="EHR68" s="1"/>
      <c r="EHS68" s="1"/>
      <c r="EHT68" s="1"/>
      <c r="EHU68" s="1"/>
      <c r="EHV68" s="1"/>
      <c r="EHW68" s="1"/>
      <c r="EHX68" s="1"/>
      <c r="EHY68" s="1"/>
      <c r="EHZ68" s="1"/>
      <c r="EIA68" s="1"/>
      <c r="EIB68" s="1"/>
      <c r="EIC68" s="1"/>
      <c r="EID68" s="1"/>
      <c r="EIE68" s="1"/>
      <c r="EIF68" s="1"/>
      <c r="EIG68" s="1"/>
      <c r="EIH68" s="1"/>
      <c r="EII68" s="1"/>
      <c r="EIJ68" s="1"/>
      <c r="EIK68" s="1"/>
      <c r="EIL68" s="1"/>
      <c r="EIM68" s="1"/>
      <c r="EIN68" s="1"/>
      <c r="EIO68" s="1"/>
      <c r="EIP68" s="1"/>
      <c r="EIQ68" s="1"/>
      <c r="EIR68" s="1"/>
      <c r="EIS68" s="1"/>
      <c r="EIT68" s="1"/>
      <c r="EIU68" s="1"/>
      <c r="EIV68" s="1"/>
      <c r="EIW68" s="1"/>
      <c r="EIX68" s="1"/>
      <c r="EIY68" s="1"/>
      <c r="EIZ68" s="1"/>
      <c r="EJA68" s="1"/>
      <c r="EJB68" s="1"/>
      <c r="EJC68" s="1"/>
      <c r="EJD68" s="1"/>
      <c r="EJE68" s="1"/>
      <c r="EJF68" s="1"/>
      <c r="EJG68" s="1"/>
      <c r="EJH68" s="1"/>
      <c r="EJI68" s="1"/>
      <c r="EJJ68" s="1"/>
      <c r="EJK68" s="1"/>
      <c r="EJL68" s="1"/>
      <c r="EJM68" s="1"/>
      <c r="EJN68" s="1"/>
      <c r="EJO68" s="1"/>
      <c r="EJP68" s="1"/>
      <c r="EJQ68" s="1"/>
      <c r="EJR68" s="1"/>
      <c r="EJS68" s="1"/>
      <c r="EJT68" s="1"/>
      <c r="EJU68" s="1"/>
      <c r="EJV68" s="1"/>
      <c r="EJW68" s="1"/>
      <c r="EJX68" s="1"/>
      <c r="EJY68" s="1"/>
      <c r="EJZ68" s="1"/>
      <c r="EKA68" s="1"/>
      <c r="EKB68" s="1"/>
      <c r="EKC68" s="1"/>
      <c r="EKD68" s="1"/>
      <c r="EKE68" s="1"/>
      <c r="EKF68" s="1"/>
      <c r="EKG68" s="1"/>
      <c r="EKH68" s="1"/>
      <c r="EKI68" s="1"/>
      <c r="EKJ68" s="1"/>
      <c r="EKK68" s="1"/>
      <c r="EKL68" s="1"/>
      <c r="EKM68" s="1"/>
      <c r="EKN68" s="1"/>
      <c r="EKO68" s="1"/>
      <c r="EKP68" s="1"/>
      <c r="EKQ68" s="1"/>
      <c r="EKR68" s="1"/>
      <c r="EKS68" s="1"/>
      <c r="EKT68" s="1"/>
      <c r="EKU68" s="1"/>
      <c r="EKV68" s="1"/>
      <c r="EKW68" s="1"/>
      <c r="EKX68" s="1"/>
      <c r="EKY68" s="1"/>
      <c r="EKZ68" s="1"/>
      <c r="ELA68" s="1"/>
      <c r="ELB68" s="1"/>
      <c r="ELC68" s="1"/>
      <c r="ELD68" s="1"/>
      <c r="ELE68" s="1"/>
      <c r="ELF68" s="1"/>
      <c r="ELG68" s="1"/>
      <c r="ELH68" s="1"/>
      <c r="ELI68" s="1"/>
      <c r="ELJ68" s="1"/>
      <c r="ELK68" s="1"/>
      <c r="ELL68" s="1"/>
      <c r="ELM68" s="1"/>
      <c r="ELN68" s="1"/>
      <c r="ELO68" s="1"/>
      <c r="ELP68" s="1"/>
      <c r="ELQ68" s="1"/>
      <c r="ELR68" s="1"/>
      <c r="ELS68" s="1"/>
      <c r="ELT68" s="1"/>
      <c r="ELU68" s="1"/>
      <c r="ELV68" s="1"/>
      <c r="ELW68" s="1"/>
      <c r="ELX68" s="1"/>
      <c r="ELY68" s="1"/>
      <c r="ELZ68" s="1"/>
      <c r="EMA68" s="1"/>
      <c r="EMB68" s="1"/>
      <c r="EMC68" s="1"/>
      <c r="EMD68" s="1"/>
      <c r="EME68" s="1"/>
      <c r="EMF68" s="1"/>
      <c r="EMG68" s="1"/>
      <c r="EMH68" s="1"/>
      <c r="EMI68" s="1"/>
      <c r="EMJ68" s="1"/>
      <c r="EMK68" s="1"/>
      <c r="EML68" s="1"/>
      <c r="EMM68" s="1"/>
      <c r="EMN68" s="1"/>
      <c r="EMO68" s="1"/>
      <c r="EMP68" s="1"/>
      <c r="EMQ68" s="1"/>
      <c r="EMR68" s="1"/>
      <c r="EMS68" s="1"/>
      <c r="EMT68" s="1"/>
      <c r="EMU68" s="1"/>
      <c r="EMV68" s="1"/>
      <c r="EMW68" s="1"/>
      <c r="EMX68" s="1"/>
      <c r="EMY68" s="1"/>
      <c r="EMZ68" s="1"/>
      <c r="ENA68" s="1"/>
      <c r="ENB68" s="1"/>
      <c r="ENC68" s="1"/>
      <c r="END68" s="1"/>
      <c r="ENE68" s="1"/>
      <c r="ENF68" s="1"/>
      <c r="ENG68" s="1"/>
      <c r="ENH68" s="1"/>
      <c r="ENI68" s="1"/>
      <c r="ENJ68" s="1"/>
      <c r="ENK68" s="1"/>
      <c r="ENL68" s="1"/>
      <c r="ENM68" s="1"/>
      <c r="ENN68" s="1"/>
      <c r="ENO68" s="1"/>
      <c r="ENP68" s="1"/>
      <c r="ENQ68" s="1"/>
      <c r="ENR68" s="1"/>
      <c r="ENS68" s="1"/>
      <c r="ENT68" s="1"/>
      <c r="ENU68" s="1"/>
      <c r="ENV68" s="1"/>
      <c r="ENW68" s="1"/>
      <c r="ENX68" s="1"/>
      <c r="ENY68" s="1"/>
      <c r="ENZ68" s="1"/>
      <c r="EOA68" s="1"/>
      <c r="EOB68" s="1"/>
      <c r="EOC68" s="1"/>
      <c r="EOD68" s="1"/>
      <c r="EOE68" s="1"/>
      <c r="EOF68" s="1"/>
      <c r="EOG68" s="1"/>
      <c r="EOH68" s="1"/>
      <c r="EOI68" s="1"/>
      <c r="EOJ68" s="1"/>
      <c r="EOK68" s="1"/>
      <c r="EOL68" s="1"/>
      <c r="EOM68" s="1"/>
      <c r="EON68" s="1"/>
      <c r="EOO68" s="1"/>
      <c r="EOP68" s="1"/>
      <c r="EOQ68" s="1"/>
      <c r="EOR68" s="1"/>
      <c r="EOS68" s="1"/>
      <c r="EOT68" s="1"/>
      <c r="EOU68" s="1"/>
      <c r="EOV68" s="1"/>
      <c r="EOW68" s="1"/>
      <c r="EOX68" s="1"/>
      <c r="EOY68" s="1"/>
      <c r="EOZ68" s="1"/>
      <c r="EPA68" s="1"/>
      <c r="EPB68" s="1"/>
      <c r="EPC68" s="1"/>
      <c r="EPD68" s="1"/>
      <c r="EPE68" s="1"/>
      <c r="EPF68" s="1"/>
      <c r="EPG68" s="1"/>
      <c r="EPH68" s="1"/>
      <c r="EPI68" s="1"/>
      <c r="EPJ68" s="1"/>
      <c r="EPK68" s="1"/>
      <c r="EPL68" s="1"/>
      <c r="EPM68" s="1"/>
      <c r="EPN68" s="1"/>
      <c r="EPO68" s="1"/>
      <c r="EPP68" s="1"/>
      <c r="EPQ68" s="1"/>
      <c r="EPR68" s="1"/>
      <c r="EPS68" s="1"/>
      <c r="EPT68" s="1"/>
      <c r="EPU68" s="1"/>
      <c r="EPV68" s="1"/>
      <c r="EPW68" s="1"/>
      <c r="EPX68" s="1"/>
      <c r="EPY68" s="1"/>
      <c r="EPZ68" s="1"/>
      <c r="EQA68" s="1"/>
      <c r="EQB68" s="1"/>
      <c r="EQC68" s="1"/>
      <c r="EQD68" s="1"/>
      <c r="EQE68" s="1"/>
      <c r="EQF68" s="1"/>
      <c r="EQG68" s="1"/>
      <c r="EQH68" s="1"/>
      <c r="EQI68" s="1"/>
      <c r="EQJ68" s="1"/>
      <c r="EQK68" s="1"/>
      <c r="EQL68" s="1"/>
      <c r="EQM68" s="1"/>
      <c r="EQN68" s="1"/>
      <c r="EQO68" s="1"/>
      <c r="EQP68" s="1"/>
      <c r="EQQ68" s="1"/>
      <c r="EQR68" s="1"/>
      <c r="EQS68" s="1"/>
      <c r="EQT68" s="1"/>
      <c r="EQU68" s="1"/>
      <c r="EQV68" s="1"/>
      <c r="EQW68" s="1"/>
      <c r="EQX68" s="1"/>
      <c r="EQY68" s="1"/>
      <c r="EQZ68" s="1"/>
      <c r="ERA68" s="1"/>
      <c r="ERB68" s="1"/>
      <c r="ERC68" s="1"/>
      <c r="ERD68" s="1"/>
      <c r="ERE68" s="1"/>
      <c r="ERF68" s="1"/>
      <c r="ERG68" s="1"/>
      <c r="ERH68" s="1"/>
      <c r="ERI68" s="1"/>
      <c r="ERJ68" s="1"/>
      <c r="ERK68" s="1"/>
      <c r="ERL68" s="1"/>
      <c r="ERM68" s="1"/>
      <c r="ERN68" s="1"/>
      <c r="ERO68" s="1"/>
      <c r="ERP68" s="1"/>
      <c r="ERQ68" s="1"/>
      <c r="ERR68" s="1"/>
      <c r="ERS68" s="1"/>
      <c r="ERT68" s="1"/>
      <c r="ERU68" s="1"/>
      <c r="ERV68" s="1"/>
      <c r="ERW68" s="1"/>
      <c r="ERX68" s="1"/>
      <c r="ERY68" s="1"/>
      <c r="ERZ68" s="1"/>
      <c r="ESA68" s="1"/>
      <c r="ESB68" s="1"/>
      <c r="ESC68" s="1"/>
      <c r="ESD68" s="1"/>
      <c r="ESE68" s="1"/>
      <c r="ESF68" s="1"/>
      <c r="ESG68" s="1"/>
      <c r="ESH68" s="1"/>
      <c r="ESI68" s="1"/>
      <c r="ESJ68" s="1"/>
      <c r="ESK68" s="1"/>
      <c r="ESL68" s="1"/>
      <c r="ESM68" s="1"/>
      <c r="ESN68" s="1"/>
      <c r="ESO68" s="1"/>
      <c r="ESP68" s="1"/>
      <c r="ESQ68" s="1"/>
      <c r="ESR68" s="1"/>
      <c r="ESS68" s="1"/>
      <c r="EST68" s="1"/>
      <c r="ESU68" s="1"/>
      <c r="ESV68" s="1"/>
      <c r="ESW68" s="1"/>
      <c r="ESX68" s="1"/>
      <c r="ESY68" s="1"/>
      <c r="ESZ68" s="1"/>
      <c r="ETA68" s="1"/>
      <c r="ETB68" s="1"/>
      <c r="ETC68" s="1"/>
      <c r="ETD68" s="1"/>
      <c r="ETE68" s="1"/>
      <c r="ETF68" s="1"/>
      <c r="ETG68" s="1"/>
      <c r="ETH68" s="1"/>
      <c r="ETI68" s="1"/>
      <c r="ETJ68" s="1"/>
      <c r="ETK68" s="1"/>
      <c r="ETL68" s="1"/>
      <c r="ETM68" s="1"/>
      <c r="ETN68" s="1"/>
      <c r="ETO68" s="1"/>
      <c r="ETP68" s="1"/>
      <c r="ETQ68" s="1"/>
      <c r="ETR68" s="1"/>
      <c r="ETS68" s="1"/>
      <c r="ETT68" s="1"/>
      <c r="ETU68" s="1"/>
      <c r="ETV68" s="1"/>
      <c r="ETW68" s="1"/>
      <c r="ETX68" s="1"/>
      <c r="ETY68" s="1"/>
      <c r="ETZ68" s="1"/>
      <c r="EUA68" s="1"/>
      <c r="EUB68" s="1"/>
      <c r="EUC68" s="1"/>
      <c r="EUD68" s="1"/>
      <c r="EUE68" s="1"/>
      <c r="EUF68" s="1"/>
      <c r="EUG68" s="1"/>
      <c r="EUH68" s="1"/>
      <c r="EUI68" s="1"/>
      <c r="EUJ68" s="1"/>
      <c r="EUK68" s="1"/>
      <c r="EUL68" s="1"/>
      <c r="EUM68" s="1"/>
      <c r="EUN68" s="1"/>
      <c r="EUO68" s="1"/>
      <c r="EUP68" s="1"/>
      <c r="EUQ68" s="1"/>
      <c r="EUR68" s="1"/>
      <c r="EUS68" s="1"/>
      <c r="EUT68" s="1"/>
      <c r="EUU68" s="1"/>
      <c r="EUV68" s="1"/>
      <c r="EUW68" s="1"/>
      <c r="EUX68" s="1"/>
      <c r="EUY68" s="1"/>
      <c r="EUZ68" s="1"/>
      <c r="EVA68" s="1"/>
      <c r="EVB68" s="1"/>
      <c r="EVC68" s="1"/>
      <c r="EVD68" s="1"/>
      <c r="EVE68" s="1"/>
      <c r="EVF68" s="1"/>
      <c r="EVG68" s="1"/>
      <c r="EVH68" s="1"/>
      <c r="EVI68" s="1"/>
      <c r="EVJ68" s="1"/>
      <c r="EVK68" s="1"/>
      <c r="EVL68" s="1"/>
      <c r="EVM68" s="1"/>
      <c r="EVN68" s="1"/>
      <c r="EVO68" s="1"/>
      <c r="EVP68" s="1"/>
      <c r="EVQ68" s="1"/>
      <c r="EVR68" s="1"/>
      <c r="EVS68" s="1"/>
      <c r="EVT68" s="1"/>
      <c r="EVU68" s="1"/>
      <c r="EVV68" s="1"/>
      <c r="EVW68" s="1"/>
      <c r="EVX68" s="1"/>
      <c r="EVY68" s="1"/>
      <c r="EVZ68" s="1"/>
      <c r="EWA68" s="1"/>
      <c r="EWB68" s="1"/>
      <c r="EWC68" s="1"/>
      <c r="EWD68" s="1"/>
      <c r="EWE68" s="1"/>
      <c r="EWF68" s="1"/>
      <c r="EWG68" s="1"/>
      <c r="EWH68" s="1"/>
      <c r="EWI68" s="1"/>
      <c r="EWJ68" s="1"/>
      <c r="EWK68" s="1"/>
      <c r="EWL68" s="1"/>
      <c r="EWM68" s="1"/>
      <c r="EWN68" s="1"/>
      <c r="EWO68" s="1"/>
      <c r="EWP68" s="1"/>
      <c r="EWQ68" s="1"/>
      <c r="EWR68" s="1"/>
      <c r="EWS68" s="1"/>
      <c r="EWT68" s="1"/>
      <c r="EWU68" s="1"/>
      <c r="EWV68" s="1"/>
      <c r="EWW68" s="1"/>
      <c r="EWX68" s="1"/>
      <c r="EWY68" s="1"/>
      <c r="EWZ68" s="1"/>
      <c r="EXA68" s="1"/>
      <c r="EXB68" s="1"/>
      <c r="EXC68" s="1"/>
      <c r="EXD68" s="1"/>
      <c r="EXE68" s="1"/>
      <c r="EXF68" s="1"/>
      <c r="EXG68" s="1"/>
      <c r="EXH68" s="1"/>
      <c r="EXI68" s="1"/>
      <c r="EXJ68" s="1"/>
      <c r="EXK68" s="1"/>
      <c r="EXL68" s="1"/>
      <c r="EXM68" s="1"/>
      <c r="EXN68" s="1"/>
      <c r="EXO68" s="1"/>
      <c r="EXP68" s="1"/>
      <c r="EXQ68" s="1"/>
      <c r="EXR68" s="1"/>
      <c r="EXS68" s="1"/>
      <c r="EXT68" s="1"/>
      <c r="EXU68" s="1"/>
      <c r="EXV68" s="1"/>
      <c r="EXW68" s="1"/>
      <c r="EXX68" s="1"/>
      <c r="EXY68" s="1"/>
      <c r="EXZ68" s="1"/>
      <c r="EYA68" s="1"/>
      <c r="EYB68" s="1"/>
      <c r="EYC68" s="1"/>
      <c r="EYD68" s="1"/>
      <c r="EYE68" s="1"/>
      <c r="EYF68" s="1"/>
      <c r="EYG68" s="1"/>
      <c r="EYH68" s="1"/>
      <c r="EYI68" s="1"/>
      <c r="EYJ68" s="1"/>
      <c r="EYK68" s="1"/>
      <c r="EYL68" s="1"/>
      <c r="EYM68" s="1"/>
      <c r="EYN68" s="1"/>
      <c r="EYO68" s="1"/>
      <c r="EYP68" s="1"/>
      <c r="EYQ68" s="1"/>
      <c r="EYR68" s="1"/>
      <c r="EYS68" s="1"/>
      <c r="EYT68" s="1"/>
      <c r="EYU68" s="1"/>
      <c r="EYV68" s="1"/>
      <c r="EYW68" s="1"/>
      <c r="EYX68" s="1"/>
      <c r="EYY68" s="1"/>
      <c r="EYZ68" s="1"/>
      <c r="EZA68" s="1"/>
      <c r="EZB68" s="1"/>
      <c r="EZC68" s="1"/>
      <c r="EZD68" s="1"/>
      <c r="EZE68" s="1"/>
      <c r="EZF68" s="1"/>
      <c r="EZG68" s="1"/>
      <c r="EZH68" s="1"/>
      <c r="EZI68" s="1"/>
      <c r="EZJ68" s="1"/>
      <c r="EZK68" s="1"/>
      <c r="EZL68" s="1"/>
      <c r="EZM68" s="1"/>
      <c r="EZN68" s="1"/>
      <c r="EZO68" s="1"/>
      <c r="EZP68" s="1"/>
      <c r="EZQ68" s="1"/>
      <c r="EZR68" s="1"/>
      <c r="EZS68" s="1"/>
      <c r="EZT68" s="1"/>
      <c r="EZU68" s="1"/>
      <c r="EZV68" s="1"/>
      <c r="EZW68" s="1"/>
      <c r="EZX68" s="1"/>
      <c r="EZY68" s="1"/>
      <c r="EZZ68" s="1"/>
      <c r="FAA68" s="1"/>
      <c r="FAB68" s="1"/>
      <c r="FAC68" s="1"/>
      <c r="FAD68" s="1"/>
      <c r="FAE68" s="1"/>
      <c r="FAF68" s="1"/>
      <c r="FAG68" s="1"/>
      <c r="FAH68" s="1"/>
      <c r="FAI68" s="1"/>
      <c r="FAJ68" s="1"/>
      <c r="FAK68" s="1"/>
      <c r="FAL68" s="1"/>
      <c r="FAM68" s="1"/>
      <c r="FAN68" s="1"/>
      <c r="FAO68" s="1"/>
      <c r="FAP68" s="1"/>
      <c r="FAQ68" s="1"/>
      <c r="FAR68" s="1"/>
      <c r="FAS68" s="1"/>
      <c r="FAT68" s="1"/>
      <c r="FAU68" s="1"/>
      <c r="FAV68" s="1"/>
      <c r="FAW68" s="1"/>
      <c r="FAX68" s="1"/>
      <c r="FAY68" s="1"/>
      <c r="FAZ68" s="1"/>
      <c r="FBA68" s="1"/>
      <c r="FBB68" s="1"/>
      <c r="FBC68" s="1"/>
      <c r="FBD68" s="1"/>
      <c r="FBE68" s="1"/>
      <c r="FBF68" s="1"/>
      <c r="FBG68" s="1"/>
      <c r="FBH68" s="1"/>
      <c r="FBI68" s="1"/>
      <c r="FBJ68" s="1"/>
      <c r="FBK68" s="1"/>
      <c r="FBL68" s="1"/>
      <c r="FBM68" s="1"/>
      <c r="FBN68" s="1"/>
      <c r="FBO68" s="1"/>
      <c r="FBP68" s="1"/>
      <c r="FBQ68" s="1"/>
      <c r="FBR68" s="1"/>
      <c r="FBS68" s="1"/>
      <c r="FBT68" s="1"/>
      <c r="FBU68" s="1"/>
      <c r="FBV68" s="1"/>
      <c r="FBW68" s="1"/>
      <c r="FBX68" s="1"/>
      <c r="FBY68" s="1"/>
      <c r="FBZ68" s="1"/>
      <c r="FCA68" s="1"/>
      <c r="FCB68" s="1"/>
      <c r="FCC68" s="1"/>
      <c r="FCD68" s="1"/>
      <c r="FCE68" s="1"/>
      <c r="FCF68" s="1"/>
      <c r="FCG68" s="1"/>
      <c r="FCH68" s="1"/>
      <c r="FCI68" s="1"/>
      <c r="FCJ68" s="1"/>
      <c r="FCK68" s="1"/>
      <c r="FCL68" s="1"/>
      <c r="FCM68" s="1"/>
      <c r="FCN68" s="1"/>
      <c r="FCO68" s="1"/>
      <c r="FCP68" s="1"/>
      <c r="FCQ68" s="1"/>
      <c r="FCR68" s="1"/>
      <c r="FCS68" s="1"/>
      <c r="FCT68" s="1"/>
      <c r="FCU68" s="1"/>
      <c r="FCV68" s="1"/>
      <c r="FCW68" s="1"/>
      <c r="FCX68" s="1"/>
      <c r="FCY68" s="1"/>
      <c r="FCZ68" s="1"/>
      <c r="FDA68" s="1"/>
      <c r="FDB68" s="1"/>
      <c r="FDC68" s="1"/>
      <c r="FDD68" s="1"/>
      <c r="FDE68" s="1"/>
      <c r="FDF68" s="1"/>
      <c r="FDG68" s="1"/>
      <c r="FDH68" s="1"/>
      <c r="FDI68" s="1"/>
      <c r="FDJ68" s="1"/>
      <c r="FDK68" s="1"/>
      <c r="FDL68" s="1"/>
      <c r="FDM68" s="1"/>
      <c r="FDN68" s="1"/>
      <c r="FDO68" s="1"/>
      <c r="FDP68" s="1"/>
      <c r="FDQ68" s="1"/>
      <c r="FDR68" s="1"/>
      <c r="FDS68" s="1"/>
      <c r="FDT68" s="1"/>
      <c r="FDU68" s="1"/>
      <c r="FDV68" s="1"/>
      <c r="FDW68" s="1"/>
      <c r="FDX68" s="1"/>
      <c r="FDY68" s="1"/>
      <c r="FDZ68" s="1"/>
      <c r="FEA68" s="1"/>
      <c r="FEB68" s="1"/>
      <c r="FEC68" s="1"/>
      <c r="FED68" s="1"/>
      <c r="FEE68" s="1"/>
      <c r="FEF68" s="1"/>
      <c r="FEG68" s="1"/>
      <c r="FEH68" s="1"/>
      <c r="FEI68" s="1"/>
      <c r="FEJ68" s="1"/>
      <c r="FEK68" s="1"/>
      <c r="FEL68" s="1"/>
      <c r="FEM68" s="1"/>
      <c r="FEN68" s="1"/>
      <c r="FEO68" s="1"/>
      <c r="FEP68" s="1"/>
      <c r="FEQ68" s="1"/>
      <c r="FER68" s="1"/>
      <c r="FES68" s="1"/>
      <c r="FET68" s="1"/>
      <c r="FEU68" s="1"/>
      <c r="FEV68" s="1"/>
      <c r="FEW68" s="1"/>
      <c r="FEX68" s="1"/>
      <c r="FEY68" s="1"/>
      <c r="FEZ68" s="1"/>
      <c r="FFA68" s="1"/>
      <c r="FFB68" s="1"/>
      <c r="FFC68" s="1"/>
      <c r="FFD68" s="1"/>
      <c r="FFE68" s="1"/>
      <c r="FFF68" s="1"/>
      <c r="FFG68" s="1"/>
      <c r="FFH68" s="1"/>
      <c r="FFI68" s="1"/>
      <c r="FFJ68" s="1"/>
      <c r="FFK68" s="1"/>
      <c r="FFL68" s="1"/>
      <c r="FFM68" s="1"/>
      <c r="FFN68" s="1"/>
      <c r="FFO68" s="1"/>
      <c r="FFP68" s="1"/>
      <c r="FFQ68" s="1"/>
      <c r="FFR68" s="1"/>
      <c r="FFS68" s="1"/>
      <c r="FFT68" s="1"/>
      <c r="FFU68" s="1"/>
      <c r="FFV68" s="1"/>
      <c r="FFW68" s="1"/>
      <c r="FFX68" s="1"/>
      <c r="FFY68" s="1"/>
      <c r="FFZ68" s="1"/>
      <c r="FGA68" s="1"/>
      <c r="FGB68" s="1"/>
      <c r="FGC68" s="1"/>
      <c r="FGD68" s="1"/>
      <c r="FGE68" s="1"/>
      <c r="FGF68" s="1"/>
      <c r="FGG68" s="1"/>
      <c r="FGH68" s="1"/>
      <c r="FGI68" s="1"/>
      <c r="FGJ68" s="1"/>
      <c r="FGK68" s="1"/>
      <c r="FGL68" s="1"/>
      <c r="FGM68" s="1"/>
      <c r="FGN68" s="1"/>
      <c r="FGO68" s="1"/>
      <c r="FGP68" s="1"/>
      <c r="FGQ68" s="1"/>
      <c r="FGR68" s="1"/>
      <c r="FGS68" s="1"/>
      <c r="FGT68" s="1"/>
      <c r="FGU68" s="1"/>
      <c r="FGV68" s="1"/>
      <c r="FGW68" s="1"/>
      <c r="FGX68" s="1"/>
      <c r="FGY68" s="1"/>
      <c r="FGZ68" s="1"/>
      <c r="FHA68" s="1"/>
      <c r="FHB68" s="1"/>
      <c r="FHC68" s="1"/>
      <c r="FHD68" s="1"/>
      <c r="FHE68" s="1"/>
      <c r="FHF68" s="1"/>
      <c r="FHG68" s="1"/>
      <c r="FHH68" s="1"/>
      <c r="FHI68" s="1"/>
      <c r="FHJ68" s="1"/>
      <c r="FHK68" s="1"/>
      <c r="FHL68" s="1"/>
      <c r="FHM68" s="1"/>
      <c r="FHN68" s="1"/>
      <c r="FHO68" s="1"/>
      <c r="FHP68" s="1"/>
      <c r="FHQ68" s="1"/>
      <c r="FHR68" s="1"/>
      <c r="FHS68" s="1"/>
      <c r="FHT68" s="1"/>
      <c r="FHU68" s="1"/>
      <c r="FHV68" s="1"/>
      <c r="FHW68" s="1"/>
      <c r="FHX68" s="1"/>
      <c r="FHY68" s="1"/>
      <c r="FHZ68" s="1"/>
      <c r="FIA68" s="1"/>
      <c r="FIB68" s="1"/>
      <c r="FIC68" s="1"/>
      <c r="FID68" s="1"/>
      <c r="FIE68" s="1"/>
      <c r="FIF68" s="1"/>
      <c r="FIG68" s="1"/>
      <c r="FIH68" s="1"/>
      <c r="FII68" s="1"/>
      <c r="FIJ68" s="1"/>
      <c r="FIK68" s="1"/>
      <c r="FIL68" s="1"/>
      <c r="FIM68" s="1"/>
      <c r="FIN68" s="1"/>
      <c r="FIO68" s="1"/>
      <c r="FIP68" s="1"/>
      <c r="FIQ68" s="1"/>
      <c r="FIR68" s="1"/>
      <c r="FIS68" s="1"/>
      <c r="FIT68" s="1"/>
      <c r="FIU68" s="1"/>
      <c r="FIV68" s="1"/>
      <c r="FIW68" s="1"/>
      <c r="FIX68" s="1"/>
      <c r="FIY68" s="1"/>
      <c r="FIZ68" s="1"/>
      <c r="FJA68" s="1"/>
      <c r="FJB68" s="1"/>
      <c r="FJC68" s="1"/>
      <c r="FJD68" s="1"/>
      <c r="FJE68" s="1"/>
      <c r="FJF68" s="1"/>
      <c r="FJG68" s="1"/>
      <c r="FJH68" s="1"/>
      <c r="FJI68" s="1"/>
      <c r="FJJ68" s="1"/>
      <c r="FJK68" s="1"/>
      <c r="FJL68" s="1"/>
      <c r="FJM68" s="1"/>
      <c r="FJN68" s="1"/>
      <c r="FJO68" s="1"/>
      <c r="FJP68" s="1"/>
      <c r="FJQ68" s="1"/>
      <c r="FJR68" s="1"/>
      <c r="FJS68" s="1"/>
      <c r="FJT68" s="1"/>
      <c r="FJU68" s="1"/>
      <c r="FJV68" s="1"/>
      <c r="FJW68" s="1"/>
      <c r="FJX68" s="1"/>
      <c r="FJY68" s="1"/>
      <c r="FJZ68" s="1"/>
      <c r="FKA68" s="1"/>
      <c r="FKB68" s="1"/>
      <c r="FKC68" s="1"/>
      <c r="FKD68" s="1"/>
      <c r="FKE68" s="1"/>
      <c r="FKF68" s="1"/>
      <c r="FKG68" s="1"/>
      <c r="FKH68" s="1"/>
      <c r="FKI68" s="1"/>
      <c r="FKJ68" s="1"/>
      <c r="FKK68" s="1"/>
      <c r="FKL68" s="1"/>
      <c r="FKM68" s="1"/>
      <c r="FKN68" s="1"/>
      <c r="FKO68" s="1"/>
      <c r="FKP68" s="1"/>
      <c r="FKQ68" s="1"/>
      <c r="FKR68" s="1"/>
      <c r="FKS68" s="1"/>
      <c r="FKT68" s="1"/>
      <c r="FKU68" s="1"/>
      <c r="FKV68" s="1"/>
      <c r="FKW68" s="1"/>
      <c r="FKX68" s="1"/>
      <c r="FKY68" s="1"/>
      <c r="FKZ68" s="1"/>
      <c r="FLA68" s="1"/>
      <c r="FLB68" s="1"/>
      <c r="FLC68" s="1"/>
      <c r="FLD68" s="1"/>
      <c r="FLE68" s="1"/>
      <c r="FLF68" s="1"/>
      <c r="FLG68" s="1"/>
      <c r="FLH68" s="1"/>
      <c r="FLI68" s="1"/>
      <c r="FLJ68" s="1"/>
      <c r="FLK68" s="1"/>
      <c r="FLL68" s="1"/>
      <c r="FLM68" s="1"/>
      <c r="FLN68" s="1"/>
      <c r="FLO68" s="1"/>
      <c r="FLP68" s="1"/>
      <c r="FLQ68" s="1"/>
      <c r="FLR68" s="1"/>
      <c r="FLS68" s="1"/>
      <c r="FLT68" s="1"/>
      <c r="FLU68" s="1"/>
      <c r="FLV68" s="1"/>
      <c r="FLW68" s="1"/>
      <c r="FLX68" s="1"/>
      <c r="FLY68" s="1"/>
      <c r="FLZ68" s="1"/>
      <c r="FMA68" s="1"/>
      <c r="FMB68" s="1"/>
      <c r="FMC68" s="1"/>
      <c r="FMD68" s="1"/>
      <c r="FME68" s="1"/>
      <c r="FMF68" s="1"/>
      <c r="FMG68" s="1"/>
      <c r="FMH68" s="1"/>
      <c r="FMI68" s="1"/>
      <c r="FMJ68" s="1"/>
      <c r="FMK68" s="1"/>
      <c r="FML68" s="1"/>
      <c r="FMM68" s="1"/>
      <c r="FMN68" s="1"/>
      <c r="FMO68" s="1"/>
      <c r="FMP68" s="1"/>
      <c r="FMQ68" s="1"/>
      <c r="FMR68" s="1"/>
      <c r="FMS68" s="1"/>
      <c r="FMT68" s="1"/>
      <c r="FMU68" s="1"/>
      <c r="FMV68" s="1"/>
      <c r="FMW68" s="1"/>
      <c r="FMX68" s="1"/>
      <c r="FMY68" s="1"/>
      <c r="FMZ68" s="1"/>
      <c r="FNA68" s="1"/>
      <c r="FNB68" s="1"/>
      <c r="FNC68" s="1"/>
      <c r="FND68" s="1"/>
      <c r="FNE68" s="1"/>
      <c r="FNF68" s="1"/>
      <c r="FNG68" s="1"/>
      <c r="FNH68" s="1"/>
      <c r="FNI68" s="1"/>
      <c r="FNJ68" s="1"/>
      <c r="FNK68" s="1"/>
      <c r="FNL68" s="1"/>
      <c r="FNM68" s="1"/>
      <c r="FNN68" s="1"/>
      <c r="FNO68" s="1"/>
      <c r="FNP68" s="1"/>
      <c r="FNQ68" s="1"/>
      <c r="FNR68" s="1"/>
      <c r="FNS68" s="1"/>
      <c r="FNT68" s="1"/>
      <c r="FNU68" s="1"/>
      <c r="FNV68" s="1"/>
      <c r="FNW68" s="1"/>
      <c r="FNX68" s="1"/>
      <c r="FNY68" s="1"/>
      <c r="FNZ68" s="1"/>
      <c r="FOA68" s="1"/>
      <c r="FOB68" s="1"/>
      <c r="FOC68" s="1"/>
      <c r="FOD68" s="1"/>
      <c r="FOE68" s="1"/>
      <c r="FOF68" s="1"/>
      <c r="FOG68" s="1"/>
      <c r="FOH68" s="1"/>
      <c r="FOI68" s="1"/>
      <c r="FOJ68" s="1"/>
      <c r="FOK68" s="1"/>
      <c r="FOL68" s="1"/>
      <c r="FOM68" s="1"/>
      <c r="FON68" s="1"/>
      <c r="FOO68" s="1"/>
      <c r="FOP68" s="1"/>
      <c r="FOQ68" s="1"/>
      <c r="FOR68" s="1"/>
      <c r="FOS68" s="1"/>
      <c r="FOT68" s="1"/>
      <c r="FOU68" s="1"/>
      <c r="FOV68" s="1"/>
      <c r="FOW68" s="1"/>
      <c r="FOX68" s="1"/>
      <c r="FOY68" s="1"/>
      <c r="FOZ68" s="1"/>
      <c r="FPA68" s="1"/>
      <c r="FPB68" s="1"/>
      <c r="FPC68" s="1"/>
      <c r="FPD68" s="1"/>
      <c r="FPE68" s="1"/>
      <c r="FPF68" s="1"/>
      <c r="FPG68" s="1"/>
      <c r="FPH68" s="1"/>
      <c r="FPI68" s="1"/>
      <c r="FPJ68" s="1"/>
      <c r="FPK68" s="1"/>
      <c r="FPL68" s="1"/>
      <c r="FPM68" s="1"/>
      <c r="FPN68" s="1"/>
      <c r="FPO68" s="1"/>
      <c r="FPP68" s="1"/>
      <c r="FPQ68" s="1"/>
      <c r="FPR68" s="1"/>
      <c r="FPS68" s="1"/>
      <c r="FPT68" s="1"/>
      <c r="FPU68" s="1"/>
      <c r="FPV68" s="1"/>
      <c r="FPW68" s="1"/>
      <c r="FPX68" s="1"/>
      <c r="FPY68" s="1"/>
      <c r="FPZ68" s="1"/>
      <c r="FQA68" s="1"/>
      <c r="FQB68" s="1"/>
      <c r="FQC68" s="1"/>
      <c r="FQD68" s="1"/>
      <c r="FQE68" s="1"/>
      <c r="FQF68" s="1"/>
      <c r="FQG68" s="1"/>
      <c r="FQH68" s="1"/>
      <c r="FQI68" s="1"/>
      <c r="FQJ68" s="1"/>
      <c r="FQK68" s="1"/>
      <c r="FQL68" s="1"/>
      <c r="FQM68" s="1"/>
      <c r="FQN68" s="1"/>
      <c r="FQO68" s="1"/>
      <c r="FQP68" s="1"/>
      <c r="FQQ68" s="1"/>
      <c r="FQR68" s="1"/>
      <c r="FQS68" s="1"/>
      <c r="FQT68" s="1"/>
      <c r="FQU68" s="1"/>
      <c r="FQV68" s="1"/>
      <c r="FQW68" s="1"/>
      <c r="FQX68" s="1"/>
      <c r="FQY68" s="1"/>
      <c r="FQZ68" s="1"/>
      <c r="FRA68" s="1"/>
      <c r="FRB68" s="1"/>
      <c r="FRC68" s="1"/>
      <c r="FRD68" s="1"/>
      <c r="FRE68" s="1"/>
      <c r="FRF68" s="1"/>
      <c r="FRG68" s="1"/>
      <c r="FRH68" s="1"/>
      <c r="FRI68" s="1"/>
      <c r="FRJ68" s="1"/>
      <c r="FRK68" s="1"/>
      <c r="FRL68" s="1"/>
      <c r="FRM68" s="1"/>
      <c r="FRN68" s="1"/>
      <c r="FRO68" s="1"/>
      <c r="FRP68" s="1"/>
      <c r="FRQ68" s="1"/>
      <c r="FRR68" s="1"/>
      <c r="FRS68" s="1"/>
      <c r="FRT68" s="1"/>
      <c r="FRU68" s="1"/>
      <c r="FRV68" s="1"/>
      <c r="FRW68" s="1"/>
      <c r="FRX68" s="1"/>
      <c r="FRY68" s="1"/>
      <c r="FRZ68" s="1"/>
      <c r="FSA68" s="1"/>
      <c r="FSB68" s="1"/>
      <c r="FSC68" s="1"/>
      <c r="FSD68" s="1"/>
      <c r="FSE68" s="1"/>
      <c r="FSF68" s="1"/>
      <c r="FSG68" s="1"/>
      <c r="FSH68" s="1"/>
      <c r="FSI68" s="1"/>
      <c r="FSJ68" s="1"/>
      <c r="FSK68" s="1"/>
      <c r="FSL68" s="1"/>
      <c r="FSM68" s="1"/>
      <c r="FSN68" s="1"/>
      <c r="FSO68" s="1"/>
      <c r="FSP68" s="1"/>
      <c r="FSQ68" s="1"/>
      <c r="FSR68" s="1"/>
      <c r="FSS68" s="1"/>
      <c r="FST68" s="1"/>
      <c r="FSU68" s="1"/>
      <c r="FSV68" s="1"/>
      <c r="FSW68" s="1"/>
      <c r="FSX68" s="1"/>
      <c r="FSY68" s="1"/>
      <c r="FSZ68" s="1"/>
      <c r="FTA68" s="1"/>
      <c r="FTB68" s="1"/>
      <c r="FTC68" s="1"/>
      <c r="FTD68" s="1"/>
      <c r="FTE68" s="1"/>
      <c r="FTF68" s="1"/>
      <c r="FTG68" s="1"/>
      <c r="FTH68" s="1"/>
      <c r="FTI68" s="1"/>
      <c r="FTJ68" s="1"/>
      <c r="FTK68" s="1"/>
      <c r="FTL68" s="1"/>
      <c r="FTM68" s="1"/>
      <c r="FTN68" s="1"/>
      <c r="FTO68" s="1"/>
      <c r="FTP68" s="1"/>
      <c r="FTQ68" s="1"/>
      <c r="FTR68" s="1"/>
      <c r="FTS68" s="1"/>
      <c r="FTT68" s="1"/>
      <c r="FTU68" s="1"/>
      <c r="FTV68" s="1"/>
      <c r="FTW68" s="1"/>
      <c r="FTX68" s="1"/>
      <c r="FTY68" s="1"/>
      <c r="FTZ68" s="1"/>
      <c r="FUA68" s="1"/>
      <c r="FUB68" s="1"/>
      <c r="FUC68" s="1"/>
      <c r="FUD68" s="1"/>
      <c r="FUE68" s="1"/>
      <c r="FUF68" s="1"/>
      <c r="FUG68" s="1"/>
      <c r="FUH68" s="1"/>
      <c r="FUI68" s="1"/>
      <c r="FUJ68" s="1"/>
      <c r="FUK68" s="1"/>
      <c r="FUL68" s="1"/>
      <c r="FUM68" s="1"/>
      <c r="FUN68" s="1"/>
      <c r="FUO68" s="1"/>
      <c r="FUP68" s="1"/>
      <c r="FUQ68" s="1"/>
      <c r="FUR68" s="1"/>
      <c r="FUS68" s="1"/>
      <c r="FUT68" s="1"/>
      <c r="FUU68" s="1"/>
      <c r="FUV68" s="1"/>
      <c r="FUW68" s="1"/>
      <c r="FUX68" s="1"/>
      <c r="FUY68" s="1"/>
      <c r="FUZ68" s="1"/>
      <c r="FVA68" s="1"/>
      <c r="FVB68" s="1"/>
      <c r="FVC68" s="1"/>
      <c r="FVD68" s="1"/>
      <c r="FVE68" s="1"/>
      <c r="FVF68" s="1"/>
      <c r="FVG68" s="1"/>
      <c r="FVH68" s="1"/>
      <c r="FVI68" s="1"/>
      <c r="FVJ68" s="1"/>
      <c r="FVK68" s="1"/>
      <c r="FVL68" s="1"/>
      <c r="FVM68" s="1"/>
      <c r="FVN68" s="1"/>
      <c r="FVO68" s="1"/>
      <c r="FVP68" s="1"/>
      <c r="FVQ68" s="1"/>
      <c r="FVR68" s="1"/>
      <c r="FVS68" s="1"/>
      <c r="FVT68" s="1"/>
      <c r="FVU68" s="1"/>
      <c r="FVV68" s="1"/>
      <c r="FVW68" s="1"/>
      <c r="FVX68" s="1"/>
      <c r="FVY68" s="1"/>
      <c r="FVZ68" s="1"/>
      <c r="FWA68" s="1"/>
      <c r="FWB68" s="1"/>
      <c r="FWC68" s="1"/>
      <c r="FWD68" s="1"/>
      <c r="FWE68" s="1"/>
      <c r="FWF68" s="1"/>
      <c r="FWG68" s="1"/>
      <c r="FWH68" s="1"/>
      <c r="FWI68" s="1"/>
      <c r="FWJ68" s="1"/>
      <c r="FWK68" s="1"/>
      <c r="FWL68" s="1"/>
      <c r="FWM68" s="1"/>
      <c r="FWN68" s="1"/>
      <c r="FWO68" s="1"/>
      <c r="FWP68" s="1"/>
      <c r="FWQ68" s="1"/>
      <c r="FWR68" s="1"/>
      <c r="FWS68" s="1"/>
      <c r="FWT68" s="1"/>
      <c r="FWU68" s="1"/>
      <c r="FWV68" s="1"/>
      <c r="FWW68" s="1"/>
      <c r="FWX68" s="1"/>
      <c r="FWY68" s="1"/>
      <c r="FWZ68" s="1"/>
      <c r="FXA68" s="1"/>
      <c r="FXB68" s="1"/>
      <c r="FXC68" s="1"/>
      <c r="FXD68" s="1"/>
      <c r="FXE68" s="1"/>
      <c r="FXF68" s="1"/>
      <c r="FXG68" s="1"/>
      <c r="FXH68" s="1"/>
      <c r="FXI68" s="1"/>
      <c r="FXJ68" s="1"/>
      <c r="FXK68" s="1"/>
      <c r="FXL68" s="1"/>
      <c r="FXM68" s="1"/>
      <c r="FXN68" s="1"/>
      <c r="FXO68" s="1"/>
      <c r="FXP68" s="1"/>
      <c r="FXQ68" s="1"/>
      <c r="FXR68" s="1"/>
      <c r="FXS68" s="1"/>
      <c r="FXT68" s="1"/>
      <c r="FXU68" s="1"/>
      <c r="FXV68" s="1"/>
      <c r="FXW68" s="1"/>
      <c r="FXX68" s="1"/>
      <c r="FXY68" s="1"/>
      <c r="FXZ68" s="1"/>
      <c r="FYA68" s="1"/>
      <c r="FYB68" s="1"/>
      <c r="FYC68" s="1"/>
      <c r="FYD68" s="1"/>
      <c r="FYE68" s="1"/>
      <c r="FYF68" s="1"/>
      <c r="FYG68" s="1"/>
      <c r="FYH68" s="1"/>
      <c r="FYI68" s="1"/>
      <c r="FYJ68" s="1"/>
      <c r="FYK68" s="1"/>
      <c r="FYL68" s="1"/>
      <c r="FYM68" s="1"/>
      <c r="FYN68" s="1"/>
      <c r="FYO68" s="1"/>
      <c r="FYP68" s="1"/>
      <c r="FYQ68" s="1"/>
      <c r="FYR68" s="1"/>
      <c r="FYS68" s="1"/>
      <c r="FYT68" s="1"/>
      <c r="FYU68" s="1"/>
      <c r="FYV68" s="1"/>
      <c r="FYW68" s="1"/>
      <c r="FYX68" s="1"/>
      <c r="FYY68" s="1"/>
      <c r="FYZ68" s="1"/>
      <c r="FZA68" s="1"/>
      <c r="FZB68" s="1"/>
      <c r="FZC68" s="1"/>
      <c r="FZD68" s="1"/>
      <c r="FZE68" s="1"/>
      <c r="FZF68" s="1"/>
      <c r="FZG68" s="1"/>
      <c r="FZH68" s="1"/>
      <c r="FZI68" s="1"/>
      <c r="FZJ68" s="1"/>
      <c r="FZK68" s="1"/>
      <c r="FZL68" s="1"/>
      <c r="FZM68" s="1"/>
      <c r="FZN68" s="1"/>
      <c r="FZO68" s="1"/>
      <c r="FZP68" s="1"/>
      <c r="FZQ68" s="1"/>
      <c r="FZR68" s="1"/>
      <c r="FZS68" s="1"/>
      <c r="FZT68" s="1"/>
      <c r="FZU68" s="1"/>
      <c r="FZV68" s="1"/>
      <c r="FZW68" s="1"/>
      <c r="FZX68" s="1"/>
      <c r="FZY68" s="1"/>
      <c r="FZZ68" s="1"/>
      <c r="GAA68" s="1"/>
      <c r="GAB68" s="1"/>
      <c r="GAC68" s="1"/>
      <c r="GAD68" s="1"/>
      <c r="GAE68" s="1"/>
      <c r="GAF68" s="1"/>
      <c r="GAG68" s="1"/>
      <c r="GAH68" s="1"/>
      <c r="GAI68" s="1"/>
      <c r="GAJ68" s="1"/>
      <c r="GAK68" s="1"/>
      <c r="GAL68" s="1"/>
      <c r="GAM68" s="1"/>
      <c r="GAN68" s="1"/>
      <c r="GAO68" s="1"/>
      <c r="GAP68" s="1"/>
      <c r="GAQ68" s="1"/>
      <c r="GAR68" s="1"/>
      <c r="GAS68" s="1"/>
      <c r="GAT68" s="1"/>
      <c r="GAU68" s="1"/>
      <c r="GAV68" s="1"/>
      <c r="GAW68" s="1"/>
      <c r="GAX68" s="1"/>
      <c r="GAY68" s="1"/>
      <c r="GAZ68" s="1"/>
      <c r="GBA68" s="1"/>
      <c r="GBB68" s="1"/>
      <c r="GBC68" s="1"/>
      <c r="GBD68" s="1"/>
      <c r="GBE68" s="1"/>
      <c r="GBF68" s="1"/>
      <c r="GBG68" s="1"/>
      <c r="GBH68" s="1"/>
      <c r="GBI68" s="1"/>
      <c r="GBJ68" s="1"/>
      <c r="GBK68" s="1"/>
      <c r="GBL68" s="1"/>
      <c r="GBM68" s="1"/>
      <c r="GBN68" s="1"/>
      <c r="GBO68" s="1"/>
      <c r="GBP68" s="1"/>
      <c r="GBQ68" s="1"/>
      <c r="GBR68" s="1"/>
      <c r="GBS68" s="1"/>
      <c r="GBT68" s="1"/>
      <c r="GBU68" s="1"/>
      <c r="GBV68" s="1"/>
      <c r="GBW68" s="1"/>
      <c r="GBX68" s="1"/>
      <c r="GBY68" s="1"/>
      <c r="GBZ68" s="1"/>
      <c r="GCA68" s="1"/>
      <c r="GCB68" s="1"/>
      <c r="GCC68" s="1"/>
      <c r="GCD68" s="1"/>
      <c r="GCE68" s="1"/>
      <c r="GCF68" s="1"/>
      <c r="GCG68" s="1"/>
      <c r="GCH68" s="1"/>
      <c r="GCI68" s="1"/>
      <c r="GCJ68" s="1"/>
      <c r="GCK68" s="1"/>
      <c r="GCL68" s="1"/>
      <c r="GCM68" s="1"/>
      <c r="GCN68" s="1"/>
      <c r="GCO68" s="1"/>
      <c r="GCP68" s="1"/>
      <c r="GCQ68" s="1"/>
      <c r="GCR68" s="1"/>
      <c r="GCS68" s="1"/>
      <c r="GCT68" s="1"/>
      <c r="GCU68" s="1"/>
      <c r="GCV68" s="1"/>
      <c r="GCW68" s="1"/>
      <c r="GCX68" s="1"/>
      <c r="GCY68" s="1"/>
      <c r="GCZ68" s="1"/>
      <c r="GDA68" s="1"/>
      <c r="GDB68" s="1"/>
      <c r="GDC68" s="1"/>
      <c r="GDD68" s="1"/>
      <c r="GDE68" s="1"/>
      <c r="GDF68" s="1"/>
      <c r="GDG68" s="1"/>
      <c r="GDH68" s="1"/>
      <c r="GDI68" s="1"/>
      <c r="GDJ68" s="1"/>
      <c r="GDK68" s="1"/>
      <c r="GDL68" s="1"/>
      <c r="GDM68" s="1"/>
      <c r="GDN68" s="1"/>
      <c r="GDO68" s="1"/>
      <c r="GDP68" s="1"/>
      <c r="GDQ68" s="1"/>
      <c r="GDR68" s="1"/>
      <c r="GDS68" s="1"/>
      <c r="GDT68" s="1"/>
      <c r="GDU68" s="1"/>
      <c r="GDV68" s="1"/>
      <c r="GDW68" s="1"/>
      <c r="GDX68" s="1"/>
      <c r="GDY68" s="1"/>
      <c r="GDZ68" s="1"/>
      <c r="GEA68" s="1"/>
      <c r="GEB68" s="1"/>
      <c r="GEC68" s="1"/>
      <c r="GED68" s="1"/>
      <c r="GEE68" s="1"/>
      <c r="GEF68" s="1"/>
      <c r="GEG68" s="1"/>
      <c r="GEH68" s="1"/>
      <c r="GEI68" s="1"/>
      <c r="GEJ68" s="1"/>
      <c r="GEK68" s="1"/>
      <c r="GEL68" s="1"/>
      <c r="GEM68" s="1"/>
      <c r="GEN68" s="1"/>
      <c r="GEO68" s="1"/>
      <c r="GEP68" s="1"/>
      <c r="GEQ68" s="1"/>
      <c r="GER68" s="1"/>
      <c r="GES68" s="1"/>
      <c r="GET68" s="1"/>
      <c r="GEU68" s="1"/>
      <c r="GEV68" s="1"/>
      <c r="GEW68" s="1"/>
      <c r="GEX68" s="1"/>
      <c r="GEY68" s="1"/>
      <c r="GEZ68" s="1"/>
      <c r="GFA68" s="1"/>
      <c r="GFB68" s="1"/>
      <c r="GFC68" s="1"/>
      <c r="GFD68" s="1"/>
      <c r="GFE68" s="1"/>
      <c r="GFF68" s="1"/>
      <c r="GFG68" s="1"/>
      <c r="GFH68" s="1"/>
      <c r="GFI68" s="1"/>
      <c r="GFJ68" s="1"/>
      <c r="GFK68" s="1"/>
      <c r="GFL68" s="1"/>
      <c r="GFM68" s="1"/>
      <c r="GFN68" s="1"/>
      <c r="GFO68" s="1"/>
      <c r="GFP68" s="1"/>
      <c r="GFQ68" s="1"/>
      <c r="GFR68" s="1"/>
      <c r="GFS68" s="1"/>
      <c r="GFT68" s="1"/>
      <c r="GFU68" s="1"/>
      <c r="GFV68" s="1"/>
      <c r="GFW68" s="1"/>
      <c r="GFX68" s="1"/>
      <c r="GFY68" s="1"/>
      <c r="GFZ68" s="1"/>
      <c r="GGA68" s="1"/>
      <c r="GGB68" s="1"/>
      <c r="GGC68" s="1"/>
      <c r="GGD68" s="1"/>
      <c r="GGE68" s="1"/>
      <c r="GGF68" s="1"/>
      <c r="GGG68" s="1"/>
      <c r="GGH68" s="1"/>
      <c r="GGI68" s="1"/>
      <c r="GGJ68" s="1"/>
      <c r="GGK68" s="1"/>
      <c r="GGL68" s="1"/>
      <c r="GGM68" s="1"/>
      <c r="GGN68" s="1"/>
      <c r="GGO68" s="1"/>
      <c r="GGP68" s="1"/>
      <c r="GGQ68" s="1"/>
      <c r="GGR68" s="1"/>
      <c r="GGS68" s="1"/>
      <c r="GGT68" s="1"/>
      <c r="GGU68" s="1"/>
      <c r="GGV68" s="1"/>
      <c r="GGW68" s="1"/>
      <c r="GGX68" s="1"/>
      <c r="GGY68" s="1"/>
      <c r="GGZ68" s="1"/>
      <c r="GHA68" s="1"/>
      <c r="GHB68" s="1"/>
      <c r="GHC68" s="1"/>
      <c r="GHD68" s="1"/>
      <c r="GHE68" s="1"/>
      <c r="GHF68" s="1"/>
      <c r="GHG68" s="1"/>
      <c r="GHH68" s="1"/>
      <c r="GHI68" s="1"/>
      <c r="GHJ68" s="1"/>
      <c r="GHK68" s="1"/>
      <c r="GHL68" s="1"/>
      <c r="GHM68" s="1"/>
      <c r="GHN68" s="1"/>
      <c r="GHO68" s="1"/>
      <c r="GHP68" s="1"/>
      <c r="GHQ68" s="1"/>
      <c r="GHR68" s="1"/>
      <c r="GHS68" s="1"/>
      <c r="GHT68" s="1"/>
      <c r="GHU68" s="1"/>
      <c r="GHV68" s="1"/>
      <c r="GHW68" s="1"/>
      <c r="GHX68" s="1"/>
      <c r="GHY68" s="1"/>
      <c r="GHZ68" s="1"/>
      <c r="GIA68" s="1"/>
      <c r="GIB68" s="1"/>
      <c r="GIC68" s="1"/>
      <c r="GID68" s="1"/>
      <c r="GIE68" s="1"/>
      <c r="GIF68" s="1"/>
      <c r="GIG68" s="1"/>
      <c r="GIH68" s="1"/>
      <c r="GII68" s="1"/>
      <c r="GIJ68" s="1"/>
      <c r="GIK68" s="1"/>
      <c r="GIL68" s="1"/>
      <c r="GIM68" s="1"/>
      <c r="GIN68" s="1"/>
      <c r="GIO68" s="1"/>
      <c r="GIP68" s="1"/>
      <c r="GIQ68" s="1"/>
      <c r="GIR68" s="1"/>
      <c r="GIS68" s="1"/>
      <c r="GIT68" s="1"/>
      <c r="GIU68" s="1"/>
      <c r="GIV68" s="1"/>
      <c r="GIW68" s="1"/>
      <c r="GIX68" s="1"/>
      <c r="GIY68" s="1"/>
      <c r="GIZ68" s="1"/>
      <c r="GJA68" s="1"/>
      <c r="GJB68" s="1"/>
      <c r="GJC68" s="1"/>
      <c r="GJD68" s="1"/>
      <c r="GJE68" s="1"/>
      <c r="GJF68" s="1"/>
      <c r="GJG68" s="1"/>
      <c r="GJH68" s="1"/>
      <c r="GJI68" s="1"/>
      <c r="GJJ68" s="1"/>
      <c r="GJK68" s="1"/>
      <c r="GJL68" s="1"/>
      <c r="GJM68" s="1"/>
      <c r="GJN68" s="1"/>
      <c r="GJO68" s="1"/>
      <c r="GJP68" s="1"/>
      <c r="GJQ68" s="1"/>
      <c r="GJR68" s="1"/>
      <c r="GJS68" s="1"/>
      <c r="GJT68" s="1"/>
      <c r="GJU68" s="1"/>
      <c r="GJV68" s="1"/>
      <c r="GJW68" s="1"/>
      <c r="GJX68" s="1"/>
      <c r="GJY68" s="1"/>
      <c r="GJZ68" s="1"/>
      <c r="GKA68" s="1"/>
      <c r="GKB68" s="1"/>
      <c r="GKC68" s="1"/>
      <c r="GKD68" s="1"/>
      <c r="GKE68" s="1"/>
      <c r="GKF68" s="1"/>
      <c r="GKG68" s="1"/>
      <c r="GKH68" s="1"/>
      <c r="GKI68" s="1"/>
      <c r="GKJ68" s="1"/>
      <c r="GKK68" s="1"/>
      <c r="GKL68" s="1"/>
      <c r="GKM68" s="1"/>
      <c r="GKN68" s="1"/>
      <c r="GKO68" s="1"/>
      <c r="GKP68" s="1"/>
      <c r="GKQ68" s="1"/>
      <c r="GKR68" s="1"/>
      <c r="GKS68" s="1"/>
      <c r="GKT68" s="1"/>
      <c r="GKU68" s="1"/>
      <c r="GKV68" s="1"/>
      <c r="GKW68" s="1"/>
      <c r="GKX68" s="1"/>
      <c r="GKY68" s="1"/>
      <c r="GKZ68" s="1"/>
      <c r="GLA68" s="1"/>
      <c r="GLB68" s="1"/>
      <c r="GLC68" s="1"/>
      <c r="GLD68" s="1"/>
      <c r="GLE68" s="1"/>
      <c r="GLF68" s="1"/>
      <c r="GLG68" s="1"/>
      <c r="GLH68" s="1"/>
      <c r="GLI68" s="1"/>
      <c r="GLJ68" s="1"/>
      <c r="GLK68" s="1"/>
      <c r="GLL68" s="1"/>
      <c r="GLM68" s="1"/>
      <c r="GLN68" s="1"/>
      <c r="GLO68" s="1"/>
      <c r="GLP68" s="1"/>
      <c r="GLQ68" s="1"/>
      <c r="GLR68" s="1"/>
      <c r="GLS68" s="1"/>
      <c r="GLT68" s="1"/>
      <c r="GLU68" s="1"/>
      <c r="GLV68" s="1"/>
      <c r="GLW68" s="1"/>
      <c r="GLX68" s="1"/>
      <c r="GLY68" s="1"/>
      <c r="GLZ68" s="1"/>
      <c r="GMA68" s="1"/>
      <c r="GMB68" s="1"/>
      <c r="GMC68" s="1"/>
      <c r="GMD68" s="1"/>
      <c r="GME68" s="1"/>
      <c r="GMF68" s="1"/>
      <c r="GMG68" s="1"/>
      <c r="GMH68" s="1"/>
      <c r="GMI68" s="1"/>
      <c r="GMJ68" s="1"/>
      <c r="GMK68" s="1"/>
      <c r="GML68" s="1"/>
      <c r="GMM68" s="1"/>
      <c r="GMN68" s="1"/>
      <c r="GMO68" s="1"/>
      <c r="GMP68" s="1"/>
      <c r="GMQ68" s="1"/>
      <c r="GMR68" s="1"/>
      <c r="GMS68" s="1"/>
      <c r="GMT68" s="1"/>
      <c r="GMU68" s="1"/>
      <c r="GMV68" s="1"/>
      <c r="GMW68" s="1"/>
      <c r="GMX68" s="1"/>
      <c r="GMY68" s="1"/>
      <c r="GMZ68" s="1"/>
      <c r="GNA68" s="1"/>
      <c r="GNB68" s="1"/>
      <c r="GNC68" s="1"/>
      <c r="GND68" s="1"/>
      <c r="GNE68" s="1"/>
      <c r="GNF68" s="1"/>
      <c r="GNG68" s="1"/>
      <c r="GNH68" s="1"/>
      <c r="GNI68" s="1"/>
      <c r="GNJ68" s="1"/>
      <c r="GNK68" s="1"/>
      <c r="GNL68" s="1"/>
      <c r="GNM68" s="1"/>
      <c r="GNN68" s="1"/>
      <c r="GNO68" s="1"/>
      <c r="GNP68" s="1"/>
      <c r="GNQ68" s="1"/>
      <c r="GNR68" s="1"/>
      <c r="GNS68" s="1"/>
      <c r="GNT68" s="1"/>
      <c r="GNU68" s="1"/>
      <c r="GNV68" s="1"/>
      <c r="GNW68" s="1"/>
      <c r="GNX68" s="1"/>
      <c r="GNY68" s="1"/>
      <c r="GNZ68" s="1"/>
      <c r="GOA68" s="1"/>
      <c r="GOB68" s="1"/>
      <c r="GOC68" s="1"/>
      <c r="GOD68" s="1"/>
      <c r="GOE68" s="1"/>
      <c r="GOF68" s="1"/>
      <c r="GOG68" s="1"/>
      <c r="GOH68" s="1"/>
      <c r="GOI68" s="1"/>
      <c r="GOJ68" s="1"/>
      <c r="GOK68" s="1"/>
      <c r="GOL68" s="1"/>
      <c r="GOM68" s="1"/>
      <c r="GON68" s="1"/>
      <c r="GOO68" s="1"/>
      <c r="GOP68" s="1"/>
      <c r="GOQ68" s="1"/>
      <c r="GOR68" s="1"/>
      <c r="GOS68" s="1"/>
      <c r="GOT68" s="1"/>
      <c r="GOU68" s="1"/>
      <c r="GOV68" s="1"/>
      <c r="GOW68" s="1"/>
      <c r="GOX68" s="1"/>
      <c r="GOY68" s="1"/>
      <c r="GOZ68" s="1"/>
      <c r="GPA68" s="1"/>
      <c r="GPB68" s="1"/>
      <c r="GPC68" s="1"/>
      <c r="GPD68" s="1"/>
      <c r="GPE68" s="1"/>
      <c r="GPF68" s="1"/>
      <c r="GPG68" s="1"/>
      <c r="GPH68" s="1"/>
      <c r="GPI68" s="1"/>
      <c r="GPJ68" s="1"/>
      <c r="GPK68" s="1"/>
      <c r="GPL68" s="1"/>
      <c r="GPM68" s="1"/>
      <c r="GPN68" s="1"/>
      <c r="GPO68" s="1"/>
      <c r="GPP68" s="1"/>
      <c r="GPQ68" s="1"/>
      <c r="GPR68" s="1"/>
      <c r="GPS68" s="1"/>
      <c r="GPT68" s="1"/>
      <c r="GPU68" s="1"/>
      <c r="GPV68" s="1"/>
      <c r="GPW68" s="1"/>
      <c r="GPX68" s="1"/>
      <c r="GPY68" s="1"/>
      <c r="GPZ68" s="1"/>
      <c r="GQA68" s="1"/>
      <c r="GQB68" s="1"/>
      <c r="GQC68" s="1"/>
      <c r="GQD68" s="1"/>
      <c r="GQE68" s="1"/>
      <c r="GQF68" s="1"/>
      <c r="GQG68" s="1"/>
      <c r="GQH68" s="1"/>
      <c r="GQI68" s="1"/>
      <c r="GQJ68" s="1"/>
      <c r="GQK68" s="1"/>
      <c r="GQL68" s="1"/>
      <c r="GQM68" s="1"/>
      <c r="GQN68" s="1"/>
      <c r="GQO68" s="1"/>
      <c r="GQP68" s="1"/>
      <c r="GQQ68" s="1"/>
      <c r="GQR68" s="1"/>
      <c r="GQS68" s="1"/>
      <c r="GQT68" s="1"/>
      <c r="GQU68" s="1"/>
      <c r="GQV68" s="1"/>
      <c r="GQW68" s="1"/>
      <c r="GQX68" s="1"/>
      <c r="GQY68" s="1"/>
      <c r="GQZ68" s="1"/>
      <c r="GRA68" s="1"/>
      <c r="GRB68" s="1"/>
      <c r="GRC68" s="1"/>
      <c r="GRD68" s="1"/>
      <c r="GRE68" s="1"/>
      <c r="GRF68" s="1"/>
      <c r="GRG68" s="1"/>
      <c r="GRH68" s="1"/>
      <c r="GRI68" s="1"/>
      <c r="GRJ68" s="1"/>
      <c r="GRK68" s="1"/>
      <c r="GRL68" s="1"/>
      <c r="GRM68" s="1"/>
      <c r="GRN68" s="1"/>
      <c r="GRO68" s="1"/>
      <c r="GRP68" s="1"/>
      <c r="GRQ68" s="1"/>
      <c r="GRR68" s="1"/>
      <c r="GRS68" s="1"/>
      <c r="GRT68" s="1"/>
      <c r="GRU68" s="1"/>
      <c r="GRV68" s="1"/>
      <c r="GRW68" s="1"/>
      <c r="GRX68" s="1"/>
      <c r="GRY68" s="1"/>
      <c r="GRZ68" s="1"/>
      <c r="GSA68" s="1"/>
      <c r="GSB68" s="1"/>
      <c r="GSC68" s="1"/>
      <c r="GSD68" s="1"/>
      <c r="GSE68" s="1"/>
      <c r="GSF68" s="1"/>
      <c r="GSG68" s="1"/>
      <c r="GSH68" s="1"/>
      <c r="GSI68" s="1"/>
      <c r="GSJ68" s="1"/>
      <c r="GSK68" s="1"/>
      <c r="GSL68" s="1"/>
      <c r="GSM68" s="1"/>
      <c r="GSN68" s="1"/>
      <c r="GSO68" s="1"/>
      <c r="GSP68" s="1"/>
      <c r="GSQ68" s="1"/>
      <c r="GSR68" s="1"/>
      <c r="GSS68" s="1"/>
      <c r="GST68" s="1"/>
      <c r="GSU68" s="1"/>
      <c r="GSV68" s="1"/>
      <c r="GSW68" s="1"/>
      <c r="GSX68" s="1"/>
      <c r="GSY68" s="1"/>
      <c r="GSZ68" s="1"/>
      <c r="GTA68" s="1"/>
      <c r="GTB68" s="1"/>
      <c r="GTC68" s="1"/>
      <c r="GTD68" s="1"/>
      <c r="GTE68" s="1"/>
      <c r="GTF68" s="1"/>
      <c r="GTG68" s="1"/>
      <c r="GTH68" s="1"/>
      <c r="GTI68" s="1"/>
      <c r="GTJ68" s="1"/>
      <c r="GTK68" s="1"/>
      <c r="GTL68" s="1"/>
      <c r="GTM68" s="1"/>
      <c r="GTN68" s="1"/>
      <c r="GTO68" s="1"/>
      <c r="GTP68" s="1"/>
      <c r="GTQ68" s="1"/>
      <c r="GTR68" s="1"/>
      <c r="GTS68" s="1"/>
      <c r="GTT68" s="1"/>
      <c r="GTU68" s="1"/>
      <c r="GTV68" s="1"/>
      <c r="GTW68" s="1"/>
      <c r="GTX68" s="1"/>
      <c r="GTY68" s="1"/>
      <c r="GTZ68" s="1"/>
      <c r="GUA68" s="1"/>
      <c r="GUB68" s="1"/>
      <c r="GUC68" s="1"/>
      <c r="GUD68" s="1"/>
      <c r="GUE68" s="1"/>
      <c r="GUF68" s="1"/>
      <c r="GUG68" s="1"/>
      <c r="GUH68" s="1"/>
      <c r="GUI68" s="1"/>
      <c r="GUJ68" s="1"/>
      <c r="GUK68" s="1"/>
      <c r="GUL68" s="1"/>
      <c r="GUM68" s="1"/>
      <c r="GUN68" s="1"/>
      <c r="GUO68" s="1"/>
      <c r="GUP68" s="1"/>
      <c r="GUQ68" s="1"/>
      <c r="GUR68" s="1"/>
      <c r="GUS68" s="1"/>
      <c r="GUT68" s="1"/>
      <c r="GUU68" s="1"/>
      <c r="GUV68" s="1"/>
      <c r="GUW68" s="1"/>
      <c r="GUX68" s="1"/>
      <c r="GUY68" s="1"/>
      <c r="GUZ68" s="1"/>
      <c r="GVA68" s="1"/>
      <c r="GVB68" s="1"/>
      <c r="GVC68" s="1"/>
      <c r="GVD68" s="1"/>
      <c r="GVE68" s="1"/>
      <c r="GVF68" s="1"/>
      <c r="GVG68" s="1"/>
      <c r="GVH68" s="1"/>
      <c r="GVI68" s="1"/>
      <c r="GVJ68" s="1"/>
      <c r="GVK68" s="1"/>
      <c r="GVL68" s="1"/>
      <c r="GVM68" s="1"/>
      <c r="GVN68" s="1"/>
      <c r="GVO68" s="1"/>
      <c r="GVP68" s="1"/>
      <c r="GVQ68" s="1"/>
      <c r="GVR68" s="1"/>
      <c r="GVS68" s="1"/>
      <c r="GVT68" s="1"/>
      <c r="GVU68" s="1"/>
      <c r="GVV68" s="1"/>
      <c r="GVW68" s="1"/>
      <c r="GVX68" s="1"/>
      <c r="GVY68" s="1"/>
      <c r="GVZ68" s="1"/>
      <c r="GWA68" s="1"/>
      <c r="GWB68" s="1"/>
      <c r="GWC68" s="1"/>
      <c r="GWD68" s="1"/>
      <c r="GWE68" s="1"/>
      <c r="GWF68" s="1"/>
      <c r="GWG68" s="1"/>
      <c r="GWH68" s="1"/>
      <c r="GWI68" s="1"/>
      <c r="GWJ68" s="1"/>
      <c r="GWK68" s="1"/>
      <c r="GWL68" s="1"/>
      <c r="GWM68" s="1"/>
      <c r="GWN68" s="1"/>
      <c r="GWO68" s="1"/>
      <c r="GWP68" s="1"/>
      <c r="GWQ68" s="1"/>
      <c r="GWR68" s="1"/>
      <c r="GWS68" s="1"/>
      <c r="GWT68" s="1"/>
      <c r="GWU68" s="1"/>
      <c r="GWV68" s="1"/>
      <c r="GWW68" s="1"/>
      <c r="GWX68" s="1"/>
      <c r="GWY68" s="1"/>
      <c r="GWZ68" s="1"/>
      <c r="GXA68" s="1"/>
      <c r="GXB68" s="1"/>
      <c r="GXC68" s="1"/>
      <c r="GXD68" s="1"/>
      <c r="GXE68" s="1"/>
      <c r="GXF68" s="1"/>
      <c r="GXG68" s="1"/>
      <c r="GXH68" s="1"/>
      <c r="GXI68" s="1"/>
      <c r="GXJ68" s="1"/>
      <c r="GXK68" s="1"/>
      <c r="GXL68" s="1"/>
      <c r="GXM68" s="1"/>
      <c r="GXN68" s="1"/>
      <c r="GXO68" s="1"/>
      <c r="GXP68" s="1"/>
      <c r="GXQ68" s="1"/>
      <c r="GXR68" s="1"/>
      <c r="GXS68" s="1"/>
      <c r="GXT68" s="1"/>
      <c r="GXU68" s="1"/>
      <c r="GXV68" s="1"/>
      <c r="GXW68" s="1"/>
      <c r="GXX68" s="1"/>
      <c r="GXY68" s="1"/>
      <c r="GXZ68" s="1"/>
      <c r="GYA68" s="1"/>
      <c r="GYB68" s="1"/>
      <c r="GYC68" s="1"/>
      <c r="GYD68" s="1"/>
      <c r="GYE68" s="1"/>
      <c r="GYF68" s="1"/>
      <c r="GYG68" s="1"/>
      <c r="GYH68" s="1"/>
      <c r="GYI68" s="1"/>
      <c r="GYJ68" s="1"/>
      <c r="GYK68" s="1"/>
      <c r="GYL68" s="1"/>
      <c r="GYM68" s="1"/>
      <c r="GYN68" s="1"/>
      <c r="GYO68" s="1"/>
      <c r="GYP68" s="1"/>
      <c r="GYQ68" s="1"/>
      <c r="GYR68" s="1"/>
      <c r="GYS68" s="1"/>
      <c r="GYT68" s="1"/>
      <c r="GYU68" s="1"/>
      <c r="GYV68" s="1"/>
      <c r="GYW68" s="1"/>
      <c r="GYX68" s="1"/>
      <c r="GYY68" s="1"/>
      <c r="GYZ68" s="1"/>
      <c r="GZA68" s="1"/>
      <c r="GZB68" s="1"/>
      <c r="GZC68" s="1"/>
      <c r="GZD68" s="1"/>
      <c r="GZE68" s="1"/>
      <c r="GZF68" s="1"/>
      <c r="GZG68" s="1"/>
      <c r="GZH68" s="1"/>
      <c r="GZI68" s="1"/>
      <c r="GZJ68" s="1"/>
      <c r="GZK68" s="1"/>
      <c r="GZL68" s="1"/>
      <c r="GZM68" s="1"/>
      <c r="GZN68" s="1"/>
      <c r="GZO68" s="1"/>
      <c r="GZP68" s="1"/>
      <c r="GZQ68" s="1"/>
      <c r="GZR68" s="1"/>
      <c r="GZS68" s="1"/>
      <c r="GZT68" s="1"/>
      <c r="GZU68" s="1"/>
      <c r="GZV68" s="1"/>
      <c r="GZW68" s="1"/>
      <c r="GZX68" s="1"/>
      <c r="GZY68" s="1"/>
      <c r="GZZ68" s="1"/>
      <c r="HAA68" s="1"/>
      <c r="HAB68" s="1"/>
      <c r="HAC68" s="1"/>
      <c r="HAD68" s="1"/>
      <c r="HAE68" s="1"/>
      <c r="HAF68" s="1"/>
      <c r="HAG68" s="1"/>
      <c r="HAH68" s="1"/>
      <c r="HAI68" s="1"/>
      <c r="HAJ68" s="1"/>
      <c r="HAK68" s="1"/>
      <c r="HAL68" s="1"/>
      <c r="HAM68" s="1"/>
      <c r="HAN68" s="1"/>
      <c r="HAO68" s="1"/>
      <c r="HAP68" s="1"/>
      <c r="HAQ68" s="1"/>
      <c r="HAR68" s="1"/>
      <c r="HAS68" s="1"/>
      <c r="HAT68" s="1"/>
      <c r="HAU68" s="1"/>
      <c r="HAV68" s="1"/>
      <c r="HAW68" s="1"/>
      <c r="HAX68" s="1"/>
      <c r="HAY68" s="1"/>
      <c r="HAZ68" s="1"/>
      <c r="HBA68" s="1"/>
      <c r="HBB68" s="1"/>
      <c r="HBC68" s="1"/>
      <c r="HBD68" s="1"/>
      <c r="HBE68" s="1"/>
      <c r="HBF68" s="1"/>
      <c r="HBG68" s="1"/>
      <c r="HBH68" s="1"/>
      <c r="HBI68" s="1"/>
      <c r="HBJ68" s="1"/>
      <c r="HBK68" s="1"/>
      <c r="HBL68" s="1"/>
      <c r="HBM68" s="1"/>
      <c r="HBN68" s="1"/>
      <c r="HBO68" s="1"/>
      <c r="HBP68" s="1"/>
      <c r="HBQ68" s="1"/>
      <c r="HBR68" s="1"/>
      <c r="HBS68" s="1"/>
      <c r="HBT68" s="1"/>
      <c r="HBU68" s="1"/>
      <c r="HBV68" s="1"/>
      <c r="HBW68" s="1"/>
      <c r="HBX68" s="1"/>
      <c r="HBY68" s="1"/>
      <c r="HBZ68" s="1"/>
      <c r="HCA68" s="1"/>
      <c r="HCB68" s="1"/>
      <c r="HCC68" s="1"/>
      <c r="HCD68" s="1"/>
      <c r="HCE68" s="1"/>
      <c r="HCF68" s="1"/>
      <c r="HCG68" s="1"/>
      <c r="HCH68" s="1"/>
      <c r="HCI68" s="1"/>
      <c r="HCJ68" s="1"/>
      <c r="HCK68" s="1"/>
      <c r="HCL68" s="1"/>
      <c r="HCM68" s="1"/>
      <c r="HCN68" s="1"/>
      <c r="HCO68" s="1"/>
      <c r="HCP68" s="1"/>
      <c r="HCQ68" s="1"/>
      <c r="HCR68" s="1"/>
      <c r="HCS68" s="1"/>
      <c r="HCT68" s="1"/>
      <c r="HCU68" s="1"/>
      <c r="HCV68" s="1"/>
      <c r="HCW68" s="1"/>
      <c r="HCX68" s="1"/>
      <c r="HCY68" s="1"/>
      <c r="HCZ68" s="1"/>
      <c r="HDA68" s="1"/>
      <c r="HDB68" s="1"/>
      <c r="HDC68" s="1"/>
      <c r="HDD68" s="1"/>
      <c r="HDE68" s="1"/>
      <c r="HDF68" s="1"/>
      <c r="HDG68" s="1"/>
      <c r="HDH68" s="1"/>
      <c r="HDI68" s="1"/>
      <c r="HDJ68" s="1"/>
      <c r="HDK68" s="1"/>
      <c r="HDL68" s="1"/>
      <c r="HDM68" s="1"/>
      <c r="HDN68" s="1"/>
      <c r="HDO68" s="1"/>
      <c r="HDP68" s="1"/>
      <c r="HDQ68" s="1"/>
      <c r="HDR68" s="1"/>
      <c r="HDS68" s="1"/>
      <c r="HDT68" s="1"/>
      <c r="HDU68" s="1"/>
      <c r="HDV68" s="1"/>
      <c r="HDW68" s="1"/>
      <c r="HDX68" s="1"/>
      <c r="HDY68" s="1"/>
      <c r="HDZ68" s="1"/>
      <c r="HEA68" s="1"/>
      <c r="HEB68" s="1"/>
      <c r="HEC68" s="1"/>
      <c r="HED68" s="1"/>
      <c r="HEE68" s="1"/>
      <c r="HEF68" s="1"/>
      <c r="HEG68" s="1"/>
      <c r="HEH68" s="1"/>
      <c r="HEI68" s="1"/>
      <c r="HEJ68" s="1"/>
      <c r="HEK68" s="1"/>
      <c r="HEL68" s="1"/>
      <c r="HEM68" s="1"/>
      <c r="HEN68" s="1"/>
      <c r="HEO68" s="1"/>
      <c r="HEP68" s="1"/>
      <c r="HEQ68" s="1"/>
      <c r="HER68" s="1"/>
      <c r="HES68" s="1"/>
      <c r="HET68" s="1"/>
      <c r="HEU68" s="1"/>
      <c r="HEV68" s="1"/>
      <c r="HEW68" s="1"/>
      <c r="HEX68" s="1"/>
      <c r="HEY68" s="1"/>
      <c r="HEZ68" s="1"/>
      <c r="HFA68" s="1"/>
      <c r="HFB68" s="1"/>
      <c r="HFC68" s="1"/>
      <c r="HFD68" s="1"/>
      <c r="HFE68" s="1"/>
      <c r="HFF68" s="1"/>
      <c r="HFG68" s="1"/>
      <c r="HFH68" s="1"/>
      <c r="HFI68" s="1"/>
      <c r="HFJ68" s="1"/>
      <c r="HFK68" s="1"/>
      <c r="HFL68" s="1"/>
      <c r="HFM68" s="1"/>
      <c r="HFN68" s="1"/>
      <c r="HFO68" s="1"/>
      <c r="HFP68" s="1"/>
      <c r="HFQ68" s="1"/>
      <c r="HFR68" s="1"/>
      <c r="HFS68" s="1"/>
      <c r="HFT68" s="1"/>
      <c r="HFU68" s="1"/>
      <c r="HFV68" s="1"/>
      <c r="HFW68" s="1"/>
      <c r="HFX68" s="1"/>
      <c r="HFY68" s="1"/>
      <c r="HFZ68" s="1"/>
      <c r="HGA68" s="1"/>
      <c r="HGB68" s="1"/>
      <c r="HGC68" s="1"/>
      <c r="HGD68" s="1"/>
      <c r="HGE68" s="1"/>
      <c r="HGF68" s="1"/>
      <c r="HGG68" s="1"/>
      <c r="HGH68" s="1"/>
      <c r="HGI68" s="1"/>
      <c r="HGJ68" s="1"/>
      <c r="HGK68" s="1"/>
      <c r="HGL68" s="1"/>
      <c r="HGM68" s="1"/>
      <c r="HGN68" s="1"/>
      <c r="HGO68" s="1"/>
      <c r="HGP68" s="1"/>
      <c r="HGQ68" s="1"/>
      <c r="HGR68" s="1"/>
      <c r="HGS68" s="1"/>
      <c r="HGT68" s="1"/>
      <c r="HGU68" s="1"/>
      <c r="HGV68" s="1"/>
      <c r="HGW68" s="1"/>
      <c r="HGX68" s="1"/>
      <c r="HGY68" s="1"/>
      <c r="HGZ68" s="1"/>
      <c r="HHA68" s="1"/>
      <c r="HHB68" s="1"/>
      <c r="HHC68" s="1"/>
      <c r="HHD68" s="1"/>
      <c r="HHE68" s="1"/>
      <c r="HHF68" s="1"/>
      <c r="HHG68" s="1"/>
      <c r="HHH68" s="1"/>
      <c r="HHI68" s="1"/>
      <c r="HHJ68" s="1"/>
      <c r="HHK68" s="1"/>
      <c r="HHL68" s="1"/>
      <c r="HHM68" s="1"/>
      <c r="HHN68" s="1"/>
      <c r="HHO68" s="1"/>
      <c r="HHP68" s="1"/>
      <c r="HHQ68" s="1"/>
      <c r="HHR68" s="1"/>
      <c r="HHS68" s="1"/>
      <c r="HHT68" s="1"/>
      <c r="HHU68" s="1"/>
      <c r="HHV68" s="1"/>
      <c r="HHW68" s="1"/>
      <c r="HHX68" s="1"/>
      <c r="HHY68" s="1"/>
      <c r="HHZ68" s="1"/>
      <c r="HIA68" s="1"/>
      <c r="HIB68" s="1"/>
      <c r="HIC68" s="1"/>
      <c r="HID68" s="1"/>
      <c r="HIE68" s="1"/>
      <c r="HIF68" s="1"/>
      <c r="HIG68" s="1"/>
      <c r="HIH68" s="1"/>
      <c r="HII68" s="1"/>
      <c r="HIJ68" s="1"/>
      <c r="HIK68" s="1"/>
      <c r="HIL68" s="1"/>
      <c r="HIM68" s="1"/>
      <c r="HIN68" s="1"/>
      <c r="HIO68" s="1"/>
      <c r="HIP68" s="1"/>
      <c r="HIQ68" s="1"/>
      <c r="HIR68" s="1"/>
      <c r="HIS68" s="1"/>
      <c r="HIT68" s="1"/>
      <c r="HIU68" s="1"/>
      <c r="HIV68" s="1"/>
      <c r="HIW68" s="1"/>
      <c r="HIX68" s="1"/>
      <c r="HIY68" s="1"/>
      <c r="HIZ68" s="1"/>
      <c r="HJA68" s="1"/>
      <c r="HJB68" s="1"/>
      <c r="HJC68" s="1"/>
      <c r="HJD68" s="1"/>
      <c r="HJE68" s="1"/>
      <c r="HJF68" s="1"/>
      <c r="HJG68" s="1"/>
      <c r="HJH68" s="1"/>
      <c r="HJI68" s="1"/>
      <c r="HJJ68" s="1"/>
      <c r="HJK68" s="1"/>
      <c r="HJL68" s="1"/>
      <c r="HJM68" s="1"/>
      <c r="HJN68" s="1"/>
      <c r="HJO68" s="1"/>
      <c r="HJP68" s="1"/>
      <c r="HJQ68" s="1"/>
      <c r="HJR68" s="1"/>
      <c r="HJS68" s="1"/>
      <c r="HJT68" s="1"/>
      <c r="HJU68" s="1"/>
      <c r="HJV68" s="1"/>
      <c r="HJW68" s="1"/>
      <c r="HJX68" s="1"/>
      <c r="HJY68" s="1"/>
      <c r="HJZ68" s="1"/>
      <c r="HKA68" s="1"/>
      <c r="HKB68" s="1"/>
      <c r="HKC68" s="1"/>
      <c r="HKD68" s="1"/>
      <c r="HKE68" s="1"/>
      <c r="HKF68" s="1"/>
      <c r="HKG68" s="1"/>
      <c r="HKH68" s="1"/>
      <c r="HKI68" s="1"/>
      <c r="HKJ68" s="1"/>
      <c r="HKK68" s="1"/>
      <c r="HKL68" s="1"/>
      <c r="HKM68" s="1"/>
      <c r="HKN68" s="1"/>
      <c r="HKO68" s="1"/>
      <c r="HKP68" s="1"/>
      <c r="HKQ68" s="1"/>
      <c r="HKR68" s="1"/>
      <c r="HKS68" s="1"/>
      <c r="HKT68" s="1"/>
      <c r="HKU68" s="1"/>
      <c r="HKV68" s="1"/>
      <c r="HKW68" s="1"/>
      <c r="HKX68" s="1"/>
      <c r="HKY68" s="1"/>
      <c r="HKZ68" s="1"/>
      <c r="HLA68" s="1"/>
      <c r="HLB68" s="1"/>
      <c r="HLC68" s="1"/>
      <c r="HLD68" s="1"/>
      <c r="HLE68" s="1"/>
      <c r="HLF68" s="1"/>
      <c r="HLG68" s="1"/>
      <c r="HLH68" s="1"/>
      <c r="HLI68" s="1"/>
      <c r="HLJ68" s="1"/>
      <c r="HLK68" s="1"/>
      <c r="HLL68" s="1"/>
      <c r="HLM68" s="1"/>
      <c r="HLN68" s="1"/>
      <c r="HLO68" s="1"/>
      <c r="HLP68" s="1"/>
      <c r="HLQ68" s="1"/>
      <c r="HLR68" s="1"/>
      <c r="HLS68" s="1"/>
      <c r="HLT68" s="1"/>
      <c r="HLU68" s="1"/>
      <c r="HLV68" s="1"/>
      <c r="HLW68" s="1"/>
      <c r="HLX68" s="1"/>
      <c r="HLY68" s="1"/>
      <c r="HLZ68" s="1"/>
      <c r="HMA68" s="1"/>
      <c r="HMB68" s="1"/>
      <c r="HMC68" s="1"/>
      <c r="HMD68" s="1"/>
      <c r="HME68" s="1"/>
      <c r="HMF68" s="1"/>
      <c r="HMG68" s="1"/>
      <c r="HMH68" s="1"/>
      <c r="HMI68" s="1"/>
      <c r="HMJ68" s="1"/>
      <c r="HMK68" s="1"/>
      <c r="HML68" s="1"/>
      <c r="HMM68" s="1"/>
      <c r="HMN68" s="1"/>
      <c r="HMO68" s="1"/>
      <c r="HMP68" s="1"/>
      <c r="HMQ68" s="1"/>
      <c r="HMR68" s="1"/>
      <c r="HMS68" s="1"/>
      <c r="HMT68" s="1"/>
      <c r="HMU68" s="1"/>
      <c r="HMV68" s="1"/>
      <c r="HMW68" s="1"/>
      <c r="HMX68" s="1"/>
      <c r="HMY68" s="1"/>
      <c r="HMZ68" s="1"/>
      <c r="HNA68" s="1"/>
      <c r="HNB68" s="1"/>
      <c r="HNC68" s="1"/>
      <c r="HND68" s="1"/>
      <c r="HNE68" s="1"/>
      <c r="HNF68" s="1"/>
      <c r="HNG68" s="1"/>
      <c r="HNH68" s="1"/>
      <c r="HNI68" s="1"/>
      <c r="HNJ68" s="1"/>
      <c r="HNK68" s="1"/>
      <c r="HNL68" s="1"/>
      <c r="HNM68" s="1"/>
      <c r="HNN68" s="1"/>
      <c r="HNO68" s="1"/>
      <c r="HNP68" s="1"/>
      <c r="HNQ68" s="1"/>
      <c r="HNR68" s="1"/>
      <c r="HNS68" s="1"/>
      <c r="HNT68" s="1"/>
      <c r="HNU68" s="1"/>
      <c r="HNV68" s="1"/>
      <c r="HNW68" s="1"/>
      <c r="HNX68" s="1"/>
      <c r="HNY68" s="1"/>
      <c r="HNZ68" s="1"/>
      <c r="HOA68" s="1"/>
      <c r="HOB68" s="1"/>
      <c r="HOC68" s="1"/>
      <c r="HOD68" s="1"/>
      <c r="HOE68" s="1"/>
      <c r="HOF68" s="1"/>
      <c r="HOG68" s="1"/>
      <c r="HOH68" s="1"/>
      <c r="HOI68" s="1"/>
      <c r="HOJ68" s="1"/>
      <c r="HOK68" s="1"/>
      <c r="HOL68" s="1"/>
      <c r="HOM68" s="1"/>
      <c r="HON68" s="1"/>
      <c r="HOO68" s="1"/>
      <c r="HOP68" s="1"/>
      <c r="HOQ68" s="1"/>
      <c r="HOR68" s="1"/>
      <c r="HOS68" s="1"/>
      <c r="HOT68" s="1"/>
      <c r="HOU68" s="1"/>
      <c r="HOV68" s="1"/>
      <c r="HOW68" s="1"/>
      <c r="HOX68" s="1"/>
      <c r="HOY68" s="1"/>
      <c r="HOZ68" s="1"/>
      <c r="HPA68" s="1"/>
      <c r="HPB68" s="1"/>
      <c r="HPC68" s="1"/>
      <c r="HPD68" s="1"/>
      <c r="HPE68" s="1"/>
      <c r="HPF68" s="1"/>
      <c r="HPG68" s="1"/>
      <c r="HPH68" s="1"/>
      <c r="HPI68" s="1"/>
      <c r="HPJ68" s="1"/>
      <c r="HPK68" s="1"/>
      <c r="HPL68" s="1"/>
      <c r="HPM68" s="1"/>
      <c r="HPN68" s="1"/>
      <c r="HPO68" s="1"/>
      <c r="HPP68" s="1"/>
      <c r="HPQ68" s="1"/>
      <c r="HPR68" s="1"/>
      <c r="HPS68" s="1"/>
      <c r="HPT68" s="1"/>
      <c r="HPU68" s="1"/>
      <c r="HPV68" s="1"/>
      <c r="HPW68" s="1"/>
      <c r="HPX68" s="1"/>
      <c r="HPY68" s="1"/>
      <c r="HPZ68" s="1"/>
      <c r="HQA68" s="1"/>
      <c r="HQB68" s="1"/>
      <c r="HQC68" s="1"/>
      <c r="HQD68" s="1"/>
      <c r="HQE68" s="1"/>
      <c r="HQF68" s="1"/>
      <c r="HQG68" s="1"/>
      <c r="HQH68" s="1"/>
      <c r="HQI68" s="1"/>
      <c r="HQJ68" s="1"/>
      <c r="HQK68" s="1"/>
      <c r="HQL68" s="1"/>
      <c r="HQM68" s="1"/>
      <c r="HQN68" s="1"/>
      <c r="HQO68" s="1"/>
      <c r="HQP68" s="1"/>
      <c r="HQQ68" s="1"/>
      <c r="HQR68" s="1"/>
      <c r="HQS68" s="1"/>
      <c r="HQT68" s="1"/>
      <c r="HQU68" s="1"/>
      <c r="HQV68" s="1"/>
      <c r="HQW68" s="1"/>
      <c r="HQX68" s="1"/>
      <c r="HQY68" s="1"/>
      <c r="HQZ68" s="1"/>
      <c r="HRA68" s="1"/>
      <c r="HRB68" s="1"/>
      <c r="HRC68" s="1"/>
      <c r="HRD68" s="1"/>
      <c r="HRE68" s="1"/>
      <c r="HRF68" s="1"/>
      <c r="HRG68" s="1"/>
      <c r="HRH68" s="1"/>
      <c r="HRI68" s="1"/>
      <c r="HRJ68" s="1"/>
      <c r="HRK68" s="1"/>
      <c r="HRL68" s="1"/>
      <c r="HRM68" s="1"/>
      <c r="HRN68" s="1"/>
      <c r="HRO68" s="1"/>
      <c r="HRP68" s="1"/>
      <c r="HRQ68" s="1"/>
      <c r="HRR68" s="1"/>
      <c r="HRS68" s="1"/>
      <c r="HRT68" s="1"/>
      <c r="HRU68" s="1"/>
      <c r="HRV68" s="1"/>
      <c r="HRW68" s="1"/>
      <c r="HRX68" s="1"/>
      <c r="HRY68" s="1"/>
      <c r="HRZ68" s="1"/>
      <c r="HSA68" s="1"/>
      <c r="HSB68" s="1"/>
      <c r="HSC68" s="1"/>
      <c r="HSD68" s="1"/>
      <c r="HSE68" s="1"/>
      <c r="HSF68" s="1"/>
      <c r="HSG68" s="1"/>
      <c r="HSH68" s="1"/>
      <c r="HSI68" s="1"/>
      <c r="HSJ68" s="1"/>
      <c r="HSK68" s="1"/>
      <c r="HSL68" s="1"/>
      <c r="HSM68" s="1"/>
      <c r="HSN68" s="1"/>
      <c r="HSO68" s="1"/>
      <c r="HSP68" s="1"/>
      <c r="HSQ68" s="1"/>
      <c r="HSR68" s="1"/>
      <c r="HSS68" s="1"/>
      <c r="HST68" s="1"/>
      <c r="HSU68" s="1"/>
      <c r="HSV68" s="1"/>
      <c r="HSW68" s="1"/>
      <c r="HSX68" s="1"/>
      <c r="HSY68" s="1"/>
      <c r="HSZ68" s="1"/>
      <c r="HTA68" s="1"/>
      <c r="HTB68" s="1"/>
      <c r="HTC68" s="1"/>
      <c r="HTD68" s="1"/>
      <c r="HTE68" s="1"/>
      <c r="HTF68" s="1"/>
      <c r="HTG68" s="1"/>
      <c r="HTH68" s="1"/>
      <c r="HTI68" s="1"/>
      <c r="HTJ68" s="1"/>
      <c r="HTK68" s="1"/>
      <c r="HTL68" s="1"/>
      <c r="HTM68" s="1"/>
      <c r="HTN68" s="1"/>
      <c r="HTO68" s="1"/>
      <c r="HTP68" s="1"/>
      <c r="HTQ68" s="1"/>
      <c r="HTR68" s="1"/>
      <c r="HTS68" s="1"/>
      <c r="HTT68" s="1"/>
      <c r="HTU68" s="1"/>
      <c r="HTV68" s="1"/>
      <c r="HTW68" s="1"/>
      <c r="HTX68" s="1"/>
      <c r="HTY68" s="1"/>
      <c r="HTZ68" s="1"/>
      <c r="HUA68" s="1"/>
      <c r="HUB68" s="1"/>
      <c r="HUC68" s="1"/>
      <c r="HUD68" s="1"/>
      <c r="HUE68" s="1"/>
      <c r="HUF68" s="1"/>
      <c r="HUG68" s="1"/>
      <c r="HUH68" s="1"/>
      <c r="HUI68" s="1"/>
      <c r="HUJ68" s="1"/>
      <c r="HUK68" s="1"/>
      <c r="HUL68" s="1"/>
      <c r="HUM68" s="1"/>
      <c r="HUN68" s="1"/>
      <c r="HUO68" s="1"/>
      <c r="HUP68" s="1"/>
      <c r="HUQ68" s="1"/>
      <c r="HUR68" s="1"/>
      <c r="HUS68" s="1"/>
      <c r="HUT68" s="1"/>
      <c r="HUU68" s="1"/>
      <c r="HUV68" s="1"/>
      <c r="HUW68" s="1"/>
      <c r="HUX68" s="1"/>
      <c r="HUY68" s="1"/>
      <c r="HUZ68" s="1"/>
      <c r="HVA68" s="1"/>
      <c r="HVB68" s="1"/>
      <c r="HVC68" s="1"/>
      <c r="HVD68" s="1"/>
      <c r="HVE68" s="1"/>
      <c r="HVF68" s="1"/>
      <c r="HVG68" s="1"/>
      <c r="HVH68" s="1"/>
      <c r="HVI68" s="1"/>
      <c r="HVJ68" s="1"/>
      <c r="HVK68" s="1"/>
      <c r="HVL68" s="1"/>
      <c r="HVM68" s="1"/>
      <c r="HVN68" s="1"/>
      <c r="HVO68" s="1"/>
      <c r="HVP68" s="1"/>
      <c r="HVQ68" s="1"/>
      <c r="HVR68" s="1"/>
      <c r="HVS68" s="1"/>
      <c r="HVT68" s="1"/>
      <c r="HVU68" s="1"/>
      <c r="HVV68" s="1"/>
      <c r="HVW68" s="1"/>
      <c r="HVX68" s="1"/>
      <c r="HVY68" s="1"/>
      <c r="HVZ68" s="1"/>
      <c r="HWA68" s="1"/>
      <c r="HWB68" s="1"/>
      <c r="HWC68" s="1"/>
      <c r="HWD68" s="1"/>
      <c r="HWE68" s="1"/>
      <c r="HWF68" s="1"/>
      <c r="HWG68" s="1"/>
      <c r="HWH68" s="1"/>
      <c r="HWI68" s="1"/>
      <c r="HWJ68" s="1"/>
      <c r="HWK68" s="1"/>
      <c r="HWL68" s="1"/>
      <c r="HWM68" s="1"/>
      <c r="HWN68" s="1"/>
      <c r="HWO68" s="1"/>
      <c r="HWP68" s="1"/>
      <c r="HWQ68" s="1"/>
      <c r="HWR68" s="1"/>
      <c r="HWS68" s="1"/>
      <c r="HWT68" s="1"/>
      <c r="HWU68" s="1"/>
      <c r="HWV68" s="1"/>
      <c r="HWW68" s="1"/>
      <c r="HWX68" s="1"/>
      <c r="HWY68" s="1"/>
      <c r="HWZ68" s="1"/>
      <c r="HXA68" s="1"/>
      <c r="HXB68" s="1"/>
      <c r="HXC68" s="1"/>
      <c r="HXD68" s="1"/>
      <c r="HXE68" s="1"/>
      <c r="HXF68" s="1"/>
      <c r="HXG68" s="1"/>
      <c r="HXH68" s="1"/>
      <c r="HXI68" s="1"/>
      <c r="HXJ68" s="1"/>
      <c r="HXK68" s="1"/>
      <c r="HXL68" s="1"/>
      <c r="HXM68" s="1"/>
      <c r="HXN68" s="1"/>
      <c r="HXO68" s="1"/>
      <c r="HXP68" s="1"/>
      <c r="HXQ68" s="1"/>
      <c r="HXR68" s="1"/>
      <c r="HXS68" s="1"/>
      <c r="HXT68" s="1"/>
      <c r="HXU68" s="1"/>
      <c r="HXV68" s="1"/>
      <c r="HXW68" s="1"/>
      <c r="HXX68" s="1"/>
      <c r="HXY68" s="1"/>
      <c r="HXZ68" s="1"/>
      <c r="HYA68" s="1"/>
      <c r="HYB68" s="1"/>
      <c r="HYC68" s="1"/>
      <c r="HYD68" s="1"/>
      <c r="HYE68" s="1"/>
      <c r="HYF68" s="1"/>
      <c r="HYG68" s="1"/>
      <c r="HYH68" s="1"/>
      <c r="HYI68" s="1"/>
      <c r="HYJ68" s="1"/>
      <c r="HYK68" s="1"/>
      <c r="HYL68" s="1"/>
      <c r="HYM68" s="1"/>
      <c r="HYN68" s="1"/>
      <c r="HYO68" s="1"/>
      <c r="HYP68" s="1"/>
      <c r="HYQ68" s="1"/>
      <c r="HYR68" s="1"/>
      <c r="HYS68" s="1"/>
      <c r="HYT68" s="1"/>
      <c r="HYU68" s="1"/>
      <c r="HYV68" s="1"/>
      <c r="HYW68" s="1"/>
      <c r="HYX68" s="1"/>
      <c r="HYY68" s="1"/>
      <c r="HYZ68" s="1"/>
      <c r="HZA68" s="1"/>
      <c r="HZB68" s="1"/>
      <c r="HZC68" s="1"/>
      <c r="HZD68" s="1"/>
      <c r="HZE68" s="1"/>
      <c r="HZF68" s="1"/>
      <c r="HZG68" s="1"/>
      <c r="HZH68" s="1"/>
      <c r="HZI68" s="1"/>
      <c r="HZJ68" s="1"/>
      <c r="HZK68" s="1"/>
      <c r="HZL68" s="1"/>
      <c r="HZM68" s="1"/>
      <c r="HZN68" s="1"/>
      <c r="HZO68" s="1"/>
      <c r="HZP68" s="1"/>
      <c r="HZQ68" s="1"/>
      <c r="HZR68" s="1"/>
      <c r="HZS68" s="1"/>
      <c r="HZT68" s="1"/>
      <c r="HZU68" s="1"/>
      <c r="HZV68" s="1"/>
      <c r="HZW68" s="1"/>
      <c r="HZX68" s="1"/>
      <c r="HZY68" s="1"/>
      <c r="HZZ68" s="1"/>
      <c r="IAA68" s="1"/>
      <c r="IAB68" s="1"/>
      <c r="IAC68" s="1"/>
      <c r="IAD68" s="1"/>
      <c r="IAE68" s="1"/>
      <c r="IAF68" s="1"/>
      <c r="IAG68" s="1"/>
      <c r="IAH68" s="1"/>
      <c r="IAI68" s="1"/>
      <c r="IAJ68" s="1"/>
      <c r="IAK68" s="1"/>
      <c r="IAL68" s="1"/>
      <c r="IAM68" s="1"/>
      <c r="IAN68" s="1"/>
      <c r="IAO68" s="1"/>
      <c r="IAP68" s="1"/>
      <c r="IAQ68" s="1"/>
      <c r="IAR68" s="1"/>
      <c r="IAS68" s="1"/>
      <c r="IAT68" s="1"/>
      <c r="IAU68" s="1"/>
      <c r="IAV68" s="1"/>
      <c r="IAW68" s="1"/>
      <c r="IAX68" s="1"/>
      <c r="IAY68" s="1"/>
      <c r="IAZ68" s="1"/>
      <c r="IBA68" s="1"/>
      <c r="IBB68" s="1"/>
      <c r="IBC68" s="1"/>
      <c r="IBD68" s="1"/>
      <c r="IBE68" s="1"/>
      <c r="IBF68" s="1"/>
      <c r="IBG68" s="1"/>
      <c r="IBH68" s="1"/>
      <c r="IBI68" s="1"/>
      <c r="IBJ68" s="1"/>
      <c r="IBK68" s="1"/>
      <c r="IBL68" s="1"/>
      <c r="IBM68" s="1"/>
      <c r="IBN68" s="1"/>
      <c r="IBO68" s="1"/>
      <c r="IBP68" s="1"/>
      <c r="IBQ68" s="1"/>
      <c r="IBR68" s="1"/>
      <c r="IBS68" s="1"/>
      <c r="IBT68" s="1"/>
      <c r="IBU68" s="1"/>
      <c r="IBV68" s="1"/>
      <c r="IBW68" s="1"/>
      <c r="IBX68" s="1"/>
      <c r="IBY68" s="1"/>
      <c r="IBZ68" s="1"/>
      <c r="ICA68" s="1"/>
      <c r="ICB68" s="1"/>
      <c r="ICC68" s="1"/>
      <c r="ICD68" s="1"/>
      <c r="ICE68" s="1"/>
      <c r="ICF68" s="1"/>
      <c r="ICG68" s="1"/>
      <c r="ICH68" s="1"/>
      <c r="ICI68" s="1"/>
      <c r="ICJ68" s="1"/>
      <c r="ICK68" s="1"/>
      <c r="ICL68" s="1"/>
      <c r="ICM68" s="1"/>
      <c r="ICN68" s="1"/>
      <c r="ICO68" s="1"/>
      <c r="ICP68" s="1"/>
      <c r="ICQ68" s="1"/>
      <c r="ICR68" s="1"/>
      <c r="ICS68" s="1"/>
      <c r="ICT68" s="1"/>
      <c r="ICU68" s="1"/>
      <c r="ICV68" s="1"/>
      <c r="ICW68" s="1"/>
      <c r="ICX68" s="1"/>
      <c r="ICY68" s="1"/>
      <c r="ICZ68" s="1"/>
      <c r="IDA68" s="1"/>
      <c r="IDB68" s="1"/>
      <c r="IDC68" s="1"/>
      <c r="IDD68" s="1"/>
      <c r="IDE68" s="1"/>
      <c r="IDF68" s="1"/>
      <c r="IDG68" s="1"/>
      <c r="IDH68" s="1"/>
      <c r="IDI68" s="1"/>
      <c r="IDJ68" s="1"/>
      <c r="IDK68" s="1"/>
      <c r="IDL68" s="1"/>
      <c r="IDM68" s="1"/>
      <c r="IDN68" s="1"/>
      <c r="IDO68" s="1"/>
      <c r="IDP68" s="1"/>
      <c r="IDQ68" s="1"/>
      <c r="IDR68" s="1"/>
      <c r="IDS68" s="1"/>
      <c r="IDT68" s="1"/>
      <c r="IDU68" s="1"/>
      <c r="IDV68" s="1"/>
      <c r="IDW68" s="1"/>
      <c r="IDX68" s="1"/>
      <c r="IDY68" s="1"/>
      <c r="IDZ68" s="1"/>
      <c r="IEA68" s="1"/>
      <c r="IEB68" s="1"/>
      <c r="IEC68" s="1"/>
      <c r="IED68" s="1"/>
      <c r="IEE68" s="1"/>
      <c r="IEF68" s="1"/>
      <c r="IEG68" s="1"/>
      <c r="IEH68" s="1"/>
      <c r="IEI68" s="1"/>
      <c r="IEJ68" s="1"/>
      <c r="IEK68" s="1"/>
      <c r="IEL68" s="1"/>
      <c r="IEM68" s="1"/>
      <c r="IEN68" s="1"/>
      <c r="IEO68" s="1"/>
      <c r="IEP68" s="1"/>
      <c r="IEQ68" s="1"/>
      <c r="IER68" s="1"/>
      <c r="IES68" s="1"/>
      <c r="IET68" s="1"/>
      <c r="IEU68" s="1"/>
      <c r="IEV68" s="1"/>
      <c r="IEW68" s="1"/>
      <c r="IEX68" s="1"/>
      <c r="IEY68" s="1"/>
      <c r="IEZ68" s="1"/>
      <c r="IFA68" s="1"/>
      <c r="IFB68" s="1"/>
      <c r="IFC68" s="1"/>
      <c r="IFD68" s="1"/>
      <c r="IFE68" s="1"/>
      <c r="IFF68" s="1"/>
      <c r="IFG68" s="1"/>
      <c r="IFH68" s="1"/>
      <c r="IFI68" s="1"/>
      <c r="IFJ68" s="1"/>
      <c r="IFK68" s="1"/>
      <c r="IFL68" s="1"/>
      <c r="IFM68" s="1"/>
      <c r="IFN68" s="1"/>
      <c r="IFO68" s="1"/>
      <c r="IFP68" s="1"/>
      <c r="IFQ68" s="1"/>
      <c r="IFR68" s="1"/>
      <c r="IFS68" s="1"/>
      <c r="IFT68" s="1"/>
      <c r="IFU68" s="1"/>
      <c r="IFV68" s="1"/>
      <c r="IFW68" s="1"/>
      <c r="IFX68" s="1"/>
      <c r="IFY68" s="1"/>
      <c r="IFZ68" s="1"/>
      <c r="IGA68" s="1"/>
      <c r="IGB68" s="1"/>
      <c r="IGC68" s="1"/>
      <c r="IGD68" s="1"/>
      <c r="IGE68" s="1"/>
      <c r="IGF68" s="1"/>
      <c r="IGG68" s="1"/>
      <c r="IGH68" s="1"/>
      <c r="IGI68" s="1"/>
      <c r="IGJ68" s="1"/>
      <c r="IGK68" s="1"/>
      <c r="IGL68" s="1"/>
      <c r="IGM68" s="1"/>
      <c r="IGN68" s="1"/>
      <c r="IGO68" s="1"/>
      <c r="IGP68" s="1"/>
      <c r="IGQ68" s="1"/>
      <c r="IGR68" s="1"/>
      <c r="IGS68" s="1"/>
      <c r="IGT68" s="1"/>
      <c r="IGU68" s="1"/>
      <c r="IGV68" s="1"/>
      <c r="IGW68" s="1"/>
      <c r="IGX68" s="1"/>
      <c r="IGY68" s="1"/>
      <c r="IGZ68" s="1"/>
      <c r="IHA68" s="1"/>
      <c r="IHB68" s="1"/>
      <c r="IHC68" s="1"/>
      <c r="IHD68" s="1"/>
      <c r="IHE68" s="1"/>
      <c r="IHF68" s="1"/>
      <c r="IHG68" s="1"/>
      <c r="IHH68" s="1"/>
      <c r="IHI68" s="1"/>
      <c r="IHJ68" s="1"/>
      <c r="IHK68" s="1"/>
      <c r="IHL68" s="1"/>
      <c r="IHM68" s="1"/>
      <c r="IHN68" s="1"/>
      <c r="IHO68" s="1"/>
      <c r="IHP68" s="1"/>
      <c r="IHQ68" s="1"/>
      <c r="IHR68" s="1"/>
      <c r="IHS68" s="1"/>
      <c r="IHT68" s="1"/>
      <c r="IHU68" s="1"/>
      <c r="IHV68" s="1"/>
      <c r="IHW68" s="1"/>
      <c r="IHX68" s="1"/>
      <c r="IHY68" s="1"/>
      <c r="IHZ68" s="1"/>
      <c r="IIA68" s="1"/>
      <c r="IIB68" s="1"/>
      <c r="IIC68" s="1"/>
      <c r="IID68" s="1"/>
      <c r="IIE68" s="1"/>
      <c r="IIF68" s="1"/>
      <c r="IIG68" s="1"/>
      <c r="IIH68" s="1"/>
      <c r="III68" s="1"/>
      <c r="IIJ68" s="1"/>
      <c r="IIK68" s="1"/>
      <c r="IIL68" s="1"/>
      <c r="IIM68" s="1"/>
      <c r="IIN68" s="1"/>
      <c r="IIO68" s="1"/>
      <c r="IIP68" s="1"/>
      <c r="IIQ68" s="1"/>
      <c r="IIR68" s="1"/>
      <c r="IIS68" s="1"/>
      <c r="IIT68" s="1"/>
      <c r="IIU68" s="1"/>
      <c r="IIV68" s="1"/>
      <c r="IIW68" s="1"/>
      <c r="IIX68" s="1"/>
      <c r="IIY68" s="1"/>
      <c r="IIZ68" s="1"/>
      <c r="IJA68" s="1"/>
      <c r="IJB68" s="1"/>
      <c r="IJC68" s="1"/>
      <c r="IJD68" s="1"/>
      <c r="IJE68" s="1"/>
      <c r="IJF68" s="1"/>
      <c r="IJG68" s="1"/>
      <c r="IJH68" s="1"/>
      <c r="IJI68" s="1"/>
      <c r="IJJ68" s="1"/>
      <c r="IJK68" s="1"/>
      <c r="IJL68" s="1"/>
      <c r="IJM68" s="1"/>
      <c r="IJN68" s="1"/>
      <c r="IJO68" s="1"/>
      <c r="IJP68" s="1"/>
      <c r="IJQ68" s="1"/>
      <c r="IJR68" s="1"/>
      <c r="IJS68" s="1"/>
      <c r="IJT68" s="1"/>
      <c r="IJU68" s="1"/>
      <c r="IJV68" s="1"/>
      <c r="IJW68" s="1"/>
      <c r="IJX68" s="1"/>
      <c r="IJY68" s="1"/>
      <c r="IJZ68" s="1"/>
      <c r="IKA68" s="1"/>
      <c r="IKB68" s="1"/>
      <c r="IKC68" s="1"/>
      <c r="IKD68" s="1"/>
      <c r="IKE68" s="1"/>
      <c r="IKF68" s="1"/>
      <c r="IKG68" s="1"/>
      <c r="IKH68" s="1"/>
      <c r="IKI68" s="1"/>
      <c r="IKJ68" s="1"/>
      <c r="IKK68" s="1"/>
      <c r="IKL68" s="1"/>
      <c r="IKM68" s="1"/>
      <c r="IKN68" s="1"/>
      <c r="IKO68" s="1"/>
      <c r="IKP68" s="1"/>
      <c r="IKQ68" s="1"/>
      <c r="IKR68" s="1"/>
      <c r="IKS68" s="1"/>
      <c r="IKT68" s="1"/>
      <c r="IKU68" s="1"/>
      <c r="IKV68" s="1"/>
      <c r="IKW68" s="1"/>
      <c r="IKX68" s="1"/>
      <c r="IKY68" s="1"/>
      <c r="IKZ68" s="1"/>
      <c r="ILA68" s="1"/>
      <c r="ILB68" s="1"/>
      <c r="ILC68" s="1"/>
      <c r="ILD68" s="1"/>
      <c r="ILE68" s="1"/>
      <c r="ILF68" s="1"/>
      <c r="ILG68" s="1"/>
      <c r="ILH68" s="1"/>
      <c r="ILI68" s="1"/>
      <c r="ILJ68" s="1"/>
      <c r="ILK68" s="1"/>
      <c r="ILL68" s="1"/>
      <c r="ILM68" s="1"/>
      <c r="ILN68" s="1"/>
      <c r="ILO68" s="1"/>
      <c r="ILP68" s="1"/>
      <c r="ILQ68" s="1"/>
      <c r="ILR68" s="1"/>
      <c r="ILS68" s="1"/>
      <c r="ILT68" s="1"/>
      <c r="ILU68" s="1"/>
      <c r="ILV68" s="1"/>
      <c r="ILW68" s="1"/>
      <c r="ILX68" s="1"/>
      <c r="ILY68" s="1"/>
      <c r="ILZ68" s="1"/>
      <c r="IMA68" s="1"/>
      <c r="IMB68" s="1"/>
      <c r="IMC68" s="1"/>
      <c r="IMD68" s="1"/>
      <c r="IME68" s="1"/>
      <c r="IMF68" s="1"/>
      <c r="IMG68" s="1"/>
      <c r="IMH68" s="1"/>
      <c r="IMI68" s="1"/>
      <c r="IMJ68" s="1"/>
      <c r="IMK68" s="1"/>
      <c r="IML68" s="1"/>
      <c r="IMM68" s="1"/>
      <c r="IMN68" s="1"/>
      <c r="IMO68" s="1"/>
      <c r="IMP68" s="1"/>
      <c r="IMQ68" s="1"/>
      <c r="IMR68" s="1"/>
      <c r="IMS68" s="1"/>
      <c r="IMT68" s="1"/>
      <c r="IMU68" s="1"/>
      <c r="IMV68" s="1"/>
      <c r="IMW68" s="1"/>
      <c r="IMX68" s="1"/>
      <c r="IMY68" s="1"/>
      <c r="IMZ68" s="1"/>
      <c r="INA68" s="1"/>
      <c r="INB68" s="1"/>
      <c r="INC68" s="1"/>
      <c r="IND68" s="1"/>
      <c r="INE68" s="1"/>
      <c r="INF68" s="1"/>
      <c r="ING68" s="1"/>
      <c r="INH68" s="1"/>
      <c r="INI68" s="1"/>
      <c r="INJ68" s="1"/>
      <c r="INK68" s="1"/>
      <c r="INL68" s="1"/>
      <c r="INM68" s="1"/>
      <c r="INN68" s="1"/>
      <c r="INO68" s="1"/>
      <c r="INP68" s="1"/>
      <c r="INQ68" s="1"/>
      <c r="INR68" s="1"/>
      <c r="INS68" s="1"/>
      <c r="INT68" s="1"/>
      <c r="INU68" s="1"/>
      <c r="INV68" s="1"/>
      <c r="INW68" s="1"/>
      <c r="INX68" s="1"/>
      <c r="INY68" s="1"/>
      <c r="INZ68" s="1"/>
      <c r="IOA68" s="1"/>
      <c r="IOB68" s="1"/>
      <c r="IOC68" s="1"/>
      <c r="IOD68" s="1"/>
      <c r="IOE68" s="1"/>
      <c r="IOF68" s="1"/>
      <c r="IOG68" s="1"/>
      <c r="IOH68" s="1"/>
      <c r="IOI68" s="1"/>
      <c r="IOJ68" s="1"/>
      <c r="IOK68" s="1"/>
      <c r="IOL68" s="1"/>
      <c r="IOM68" s="1"/>
      <c r="ION68" s="1"/>
      <c r="IOO68" s="1"/>
      <c r="IOP68" s="1"/>
      <c r="IOQ68" s="1"/>
      <c r="IOR68" s="1"/>
      <c r="IOS68" s="1"/>
      <c r="IOT68" s="1"/>
      <c r="IOU68" s="1"/>
      <c r="IOV68" s="1"/>
      <c r="IOW68" s="1"/>
      <c r="IOX68" s="1"/>
      <c r="IOY68" s="1"/>
      <c r="IOZ68" s="1"/>
      <c r="IPA68" s="1"/>
      <c r="IPB68" s="1"/>
      <c r="IPC68" s="1"/>
      <c r="IPD68" s="1"/>
      <c r="IPE68" s="1"/>
      <c r="IPF68" s="1"/>
      <c r="IPG68" s="1"/>
      <c r="IPH68" s="1"/>
      <c r="IPI68" s="1"/>
      <c r="IPJ68" s="1"/>
      <c r="IPK68" s="1"/>
      <c r="IPL68" s="1"/>
      <c r="IPM68" s="1"/>
      <c r="IPN68" s="1"/>
      <c r="IPO68" s="1"/>
      <c r="IPP68" s="1"/>
      <c r="IPQ68" s="1"/>
      <c r="IPR68" s="1"/>
      <c r="IPS68" s="1"/>
      <c r="IPT68" s="1"/>
      <c r="IPU68" s="1"/>
      <c r="IPV68" s="1"/>
      <c r="IPW68" s="1"/>
      <c r="IPX68" s="1"/>
      <c r="IPY68" s="1"/>
      <c r="IPZ68" s="1"/>
      <c r="IQA68" s="1"/>
      <c r="IQB68" s="1"/>
      <c r="IQC68" s="1"/>
      <c r="IQD68" s="1"/>
      <c r="IQE68" s="1"/>
      <c r="IQF68" s="1"/>
      <c r="IQG68" s="1"/>
      <c r="IQH68" s="1"/>
      <c r="IQI68" s="1"/>
      <c r="IQJ68" s="1"/>
      <c r="IQK68" s="1"/>
      <c r="IQL68" s="1"/>
      <c r="IQM68" s="1"/>
      <c r="IQN68" s="1"/>
      <c r="IQO68" s="1"/>
      <c r="IQP68" s="1"/>
      <c r="IQQ68" s="1"/>
      <c r="IQR68" s="1"/>
      <c r="IQS68" s="1"/>
      <c r="IQT68" s="1"/>
      <c r="IQU68" s="1"/>
      <c r="IQV68" s="1"/>
      <c r="IQW68" s="1"/>
      <c r="IQX68" s="1"/>
      <c r="IQY68" s="1"/>
      <c r="IQZ68" s="1"/>
      <c r="IRA68" s="1"/>
      <c r="IRB68" s="1"/>
      <c r="IRC68" s="1"/>
      <c r="IRD68" s="1"/>
      <c r="IRE68" s="1"/>
      <c r="IRF68" s="1"/>
      <c r="IRG68" s="1"/>
      <c r="IRH68" s="1"/>
      <c r="IRI68" s="1"/>
      <c r="IRJ68" s="1"/>
      <c r="IRK68" s="1"/>
      <c r="IRL68" s="1"/>
      <c r="IRM68" s="1"/>
      <c r="IRN68" s="1"/>
      <c r="IRO68" s="1"/>
      <c r="IRP68" s="1"/>
      <c r="IRQ68" s="1"/>
      <c r="IRR68" s="1"/>
      <c r="IRS68" s="1"/>
      <c r="IRT68" s="1"/>
      <c r="IRU68" s="1"/>
      <c r="IRV68" s="1"/>
      <c r="IRW68" s="1"/>
      <c r="IRX68" s="1"/>
      <c r="IRY68" s="1"/>
      <c r="IRZ68" s="1"/>
      <c r="ISA68" s="1"/>
      <c r="ISB68" s="1"/>
      <c r="ISC68" s="1"/>
      <c r="ISD68" s="1"/>
      <c r="ISE68" s="1"/>
      <c r="ISF68" s="1"/>
      <c r="ISG68" s="1"/>
      <c r="ISH68" s="1"/>
      <c r="ISI68" s="1"/>
      <c r="ISJ68" s="1"/>
      <c r="ISK68" s="1"/>
      <c r="ISL68" s="1"/>
      <c r="ISM68" s="1"/>
      <c r="ISN68" s="1"/>
      <c r="ISO68" s="1"/>
      <c r="ISP68" s="1"/>
      <c r="ISQ68" s="1"/>
      <c r="ISR68" s="1"/>
      <c r="ISS68" s="1"/>
      <c r="IST68" s="1"/>
      <c r="ISU68" s="1"/>
      <c r="ISV68" s="1"/>
      <c r="ISW68" s="1"/>
      <c r="ISX68" s="1"/>
      <c r="ISY68" s="1"/>
      <c r="ISZ68" s="1"/>
      <c r="ITA68" s="1"/>
      <c r="ITB68" s="1"/>
      <c r="ITC68" s="1"/>
      <c r="ITD68" s="1"/>
      <c r="ITE68" s="1"/>
      <c r="ITF68" s="1"/>
      <c r="ITG68" s="1"/>
      <c r="ITH68" s="1"/>
      <c r="ITI68" s="1"/>
      <c r="ITJ68" s="1"/>
      <c r="ITK68" s="1"/>
      <c r="ITL68" s="1"/>
      <c r="ITM68" s="1"/>
      <c r="ITN68" s="1"/>
      <c r="ITO68" s="1"/>
      <c r="ITP68" s="1"/>
      <c r="ITQ68" s="1"/>
      <c r="ITR68" s="1"/>
      <c r="ITS68" s="1"/>
      <c r="ITT68" s="1"/>
      <c r="ITU68" s="1"/>
      <c r="ITV68" s="1"/>
      <c r="ITW68" s="1"/>
      <c r="ITX68" s="1"/>
      <c r="ITY68" s="1"/>
      <c r="ITZ68" s="1"/>
      <c r="IUA68" s="1"/>
      <c r="IUB68" s="1"/>
      <c r="IUC68" s="1"/>
      <c r="IUD68" s="1"/>
      <c r="IUE68" s="1"/>
      <c r="IUF68" s="1"/>
      <c r="IUG68" s="1"/>
      <c r="IUH68" s="1"/>
      <c r="IUI68" s="1"/>
      <c r="IUJ68" s="1"/>
      <c r="IUK68" s="1"/>
      <c r="IUL68" s="1"/>
      <c r="IUM68" s="1"/>
      <c r="IUN68" s="1"/>
      <c r="IUO68" s="1"/>
      <c r="IUP68" s="1"/>
      <c r="IUQ68" s="1"/>
      <c r="IUR68" s="1"/>
      <c r="IUS68" s="1"/>
      <c r="IUT68" s="1"/>
      <c r="IUU68" s="1"/>
      <c r="IUV68" s="1"/>
      <c r="IUW68" s="1"/>
      <c r="IUX68" s="1"/>
      <c r="IUY68" s="1"/>
      <c r="IUZ68" s="1"/>
      <c r="IVA68" s="1"/>
      <c r="IVB68" s="1"/>
      <c r="IVC68" s="1"/>
      <c r="IVD68" s="1"/>
      <c r="IVE68" s="1"/>
      <c r="IVF68" s="1"/>
      <c r="IVG68" s="1"/>
      <c r="IVH68" s="1"/>
      <c r="IVI68" s="1"/>
      <c r="IVJ68" s="1"/>
      <c r="IVK68" s="1"/>
      <c r="IVL68" s="1"/>
      <c r="IVM68" s="1"/>
      <c r="IVN68" s="1"/>
      <c r="IVO68" s="1"/>
      <c r="IVP68" s="1"/>
      <c r="IVQ68" s="1"/>
      <c r="IVR68" s="1"/>
      <c r="IVS68" s="1"/>
      <c r="IVT68" s="1"/>
      <c r="IVU68" s="1"/>
      <c r="IVV68" s="1"/>
      <c r="IVW68" s="1"/>
      <c r="IVX68" s="1"/>
      <c r="IVY68" s="1"/>
      <c r="IVZ68" s="1"/>
      <c r="IWA68" s="1"/>
      <c r="IWB68" s="1"/>
      <c r="IWC68" s="1"/>
      <c r="IWD68" s="1"/>
      <c r="IWE68" s="1"/>
      <c r="IWF68" s="1"/>
      <c r="IWG68" s="1"/>
      <c r="IWH68" s="1"/>
      <c r="IWI68" s="1"/>
      <c r="IWJ68" s="1"/>
      <c r="IWK68" s="1"/>
      <c r="IWL68" s="1"/>
      <c r="IWM68" s="1"/>
      <c r="IWN68" s="1"/>
      <c r="IWO68" s="1"/>
      <c r="IWP68" s="1"/>
      <c r="IWQ68" s="1"/>
      <c r="IWR68" s="1"/>
      <c r="IWS68" s="1"/>
      <c r="IWT68" s="1"/>
      <c r="IWU68" s="1"/>
      <c r="IWV68" s="1"/>
      <c r="IWW68" s="1"/>
      <c r="IWX68" s="1"/>
      <c r="IWY68" s="1"/>
      <c r="IWZ68" s="1"/>
      <c r="IXA68" s="1"/>
      <c r="IXB68" s="1"/>
      <c r="IXC68" s="1"/>
      <c r="IXD68" s="1"/>
      <c r="IXE68" s="1"/>
      <c r="IXF68" s="1"/>
      <c r="IXG68" s="1"/>
      <c r="IXH68" s="1"/>
      <c r="IXI68" s="1"/>
      <c r="IXJ68" s="1"/>
      <c r="IXK68" s="1"/>
      <c r="IXL68" s="1"/>
      <c r="IXM68" s="1"/>
      <c r="IXN68" s="1"/>
      <c r="IXO68" s="1"/>
      <c r="IXP68" s="1"/>
      <c r="IXQ68" s="1"/>
      <c r="IXR68" s="1"/>
      <c r="IXS68" s="1"/>
      <c r="IXT68" s="1"/>
      <c r="IXU68" s="1"/>
      <c r="IXV68" s="1"/>
      <c r="IXW68" s="1"/>
      <c r="IXX68" s="1"/>
      <c r="IXY68" s="1"/>
      <c r="IXZ68" s="1"/>
      <c r="IYA68" s="1"/>
      <c r="IYB68" s="1"/>
      <c r="IYC68" s="1"/>
      <c r="IYD68" s="1"/>
      <c r="IYE68" s="1"/>
      <c r="IYF68" s="1"/>
      <c r="IYG68" s="1"/>
      <c r="IYH68" s="1"/>
      <c r="IYI68" s="1"/>
      <c r="IYJ68" s="1"/>
      <c r="IYK68" s="1"/>
      <c r="IYL68" s="1"/>
      <c r="IYM68" s="1"/>
      <c r="IYN68" s="1"/>
      <c r="IYO68" s="1"/>
      <c r="IYP68" s="1"/>
      <c r="IYQ68" s="1"/>
      <c r="IYR68" s="1"/>
      <c r="IYS68" s="1"/>
      <c r="IYT68" s="1"/>
      <c r="IYU68" s="1"/>
      <c r="IYV68" s="1"/>
      <c r="IYW68" s="1"/>
      <c r="IYX68" s="1"/>
      <c r="IYY68" s="1"/>
      <c r="IYZ68" s="1"/>
      <c r="IZA68" s="1"/>
      <c r="IZB68" s="1"/>
      <c r="IZC68" s="1"/>
      <c r="IZD68" s="1"/>
      <c r="IZE68" s="1"/>
      <c r="IZF68" s="1"/>
      <c r="IZG68" s="1"/>
      <c r="IZH68" s="1"/>
      <c r="IZI68" s="1"/>
      <c r="IZJ68" s="1"/>
      <c r="IZK68" s="1"/>
      <c r="IZL68" s="1"/>
      <c r="IZM68" s="1"/>
      <c r="IZN68" s="1"/>
      <c r="IZO68" s="1"/>
      <c r="IZP68" s="1"/>
      <c r="IZQ68" s="1"/>
      <c r="IZR68" s="1"/>
      <c r="IZS68" s="1"/>
      <c r="IZT68" s="1"/>
      <c r="IZU68" s="1"/>
      <c r="IZV68" s="1"/>
      <c r="IZW68" s="1"/>
      <c r="IZX68" s="1"/>
      <c r="IZY68" s="1"/>
      <c r="IZZ68" s="1"/>
      <c r="JAA68" s="1"/>
      <c r="JAB68" s="1"/>
      <c r="JAC68" s="1"/>
      <c r="JAD68" s="1"/>
      <c r="JAE68" s="1"/>
      <c r="JAF68" s="1"/>
      <c r="JAG68" s="1"/>
      <c r="JAH68" s="1"/>
      <c r="JAI68" s="1"/>
      <c r="JAJ68" s="1"/>
      <c r="JAK68" s="1"/>
      <c r="JAL68" s="1"/>
      <c r="JAM68" s="1"/>
      <c r="JAN68" s="1"/>
      <c r="JAO68" s="1"/>
      <c r="JAP68" s="1"/>
      <c r="JAQ68" s="1"/>
      <c r="JAR68" s="1"/>
      <c r="JAS68" s="1"/>
      <c r="JAT68" s="1"/>
      <c r="JAU68" s="1"/>
      <c r="JAV68" s="1"/>
      <c r="JAW68" s="1"/>
      <c r="JAX68" s="1"/>
      <c r="JAY68" s="1"/>
      <c r="JAZ68" s="1"/>
      <c r="JBA68" s="1"/>
      <c r="JBB68" s="1"/>
      <c r="JBC68" s="1"/>
      <c r="JBD68" s="1"/>
      <c r="JBE68" s="1"/>
      <c r="JBF68" s="1"/>
      <c r="JBG68" s="1"/>
      <c r="JBH68" s="1"/>
      <c r="JBI68" s="1"/>
      <c r="JBJ68" s="1"/>
      <c r="JBK68" s="1"/>
      <c r="JBL68" s="1"/>
      <c r="JBM68" s="1"/>
      <c r="JBN68" s="1"/>
      <c r="JBO68" s="1"/>
      <c r="JBP68" s="1"/>
      <c r="JBQ68" s="1"/>
      <c r="JBR68" s="1"/>
      <c r="JBS68" s="1"/>
      <c r="JBT68" s="1"/>
      <c r="JBU68" s="1"/>
      <c r="JBV68" s="1"/>
      <c r="JBW68" s="1"/>
      <c r="JBX68" s="1"/>
      <c r="JBY68" s="1"/>
      <c r="JBZ68" s="1"/>
      <c r="JCA68" s="1"/>
      <c r="JCB68" s="1"/>
      <c r="JCC68" s="1"/>
      <c r="JCD68" s="1"/>
      <c r="JCE68" s="1"/>
      <c r="JCF68" s="1"/>
      <c r="JCG68" s="1"/>
      <c r="JCH68" s="1"/>
      <c r="JCI68" s="1"/>
      <c r="JCJ68" s="1"/>
      <c r="JCK68" s="1"/>
      <c r="JCL68" s="1"/>
      <c r="JCM68" s="1"/>
      <c r="JCN68" s="1"/>
      <c r="JCO68" s="1"/>
      <c r="JCP68" s="1"/>
      <c r="JCQ68" s="1"/>
      <c r="JCR68" s="1"/>
      <c r="JCS68" s="1"/>
      <c r="JCT68" s="1"/>
      <c r="JCU68" s="1"/>
      <c r="JCV68" s="1"/>
      <c r="JCW68" s="1"/>
      <c r="JCX68" s="1"/>
      <c r="JCY68" s="1"/>
      <c r="JCZ68" s="1"/>
      <c r="JDA68" s="1"/>
      <c r="JDB68" s="1"/>
      <c r="JDC68" s="1"/>
      <c r="JDD68" s="1"/>
      <c r="JDE68" s="1"/>
      <c r="JDF68" s="1"/>
      <c r="JDG68" s="1"/>
      <c r="JDH68" s="1"/>
      <c r="JDI68" s="1"/>
      <c r="JDJ68" s="1"/>
      <c r="JDK68" s="1"/>
      <c r="JDL68" s="1"/>
      <c r="JDM68" s="1"/>
      <c r="JDN68" s="1"/>
      <c r="JDO68" s="1"/>
      <c r="JDP68" s="1"/>
      <c r="JDQ68" s="1"/>
      <c r="JDR68" s="1"/>
      <c r="JDS68" s="1"/>
      <c r="JDT68" s="1"/>
      <c r="JDU68" s="1"/>
      <c r="JDV68" s="1"/>
      <c r="JDW68" s="1"/>
      <c r="JDX68" s="1"/>
      <c r="JDY68" s="1"/>
      <c r="JDZ68" s="1"/>
      <c r="JEA68" s="1"/>
      <c r="JEB68" s="1"/>
      <c r="JEC68" s="1"/>
      <c r="JED68" s="1"/>
      <c r="JEE68" s="1"/>
      <c r="JEF68" s="1"/>
      <c r="JEG68" s="1"/>
      <c r="JEH68" s="1"/>
      <c r="JEI68" s="1"/>
      <c r="JEJ68" s="1"/>
      <c r="JEK68" s="1"/>
      <c r="JEL68" s="1"/>
      <c r="JEM68" s="1"/>
      <c r="JEN68" s="1"/>
      <c r="JEO68" s="1"/>
      <c r="JEP68" s="1"/>
      <c r="JEQ68" s="1"/>
      <c r="JER68" s="1"/>
      <c r="JES68" s="1"/>
      <c r="JET68" s="1"/>
      <c r="JEU68" s="1"/>
      <c r="JEV68" s="1"/>
      <c r="JEW68" s="1"/>
      <c r="JEX68" s="1"/>
      <c r="JEY68" s="1"/>
      <c r="JEZ68" s="1"/>
      <c r="JFA68" s="1"/>
      <c r="JFB68" s="1"/>
      <c r="JFC68" s="1"/>
      <c r="JFD68" s="1"/>
      <c r="JFE68" s="1"/>
      <c r="JFF68" s="1"/>
      <c r="JFG68" s="1"/>
      <c r="JFH68" s="1"/>
      <c r="JFI68" s="1"/>
      <c r="JFJ68" s="1"/>
      <c r="JFK68" s="1"/>
      <c r="JFL68" s="1"/>
      <c r="JFM68" s="1"/>
      <c r="JFN68" s="1"/>
      <c r="JFO68" s="1"/>
      <c r="JFP68" s="1"/>
      <c r="JFQ68" s="1"/>
      <c r="JFR68" s="1"/>
      <c r="JFS68" s="1"/>
      <c r="JFT68" s="1"/>
      <c r="JFU68" s="1"/>
      <c r="JFV68" s="1"/>
      <c r="JFW68" s="1"/>
      <c r="JFX68" s="1"/>
      <c r="JFY68" s="1"/>
      <c r="JFZ68" s="1"/>
      <c r="JGA68" s="1"/>
      <c r="JGB68" s="1"/>
      <c r="JGC68" s="1"/>
      <c r="JGD68" s="1"/>
      <c r="JGE68" s="1"/>
      <c r="JGF68" s="1"/>
      <c r="JGG68" s="1"/>
      <c r="JGH68" s="1"/>
      <c r="JGI68" s="1"/>
      <c r="JGJ68" s="1"/>
      <c r="JGK68" s="1"/>
      <c r="JGL68" s="1"/>
      <c r="JGM68" s="1"/>
      <c r="JGN68" s="1"/>
      <c r="JGO68" s="1"/>
      <c r="JGP68" s="1"/>
      <c r="JGQ68" s="1"/>
      <c r="JGR68" s="1"/>
      <c r="JGS68" s="1"/>
      <c r="JGT68" s="1"/>
      <c r="JGU68" s="1"/>
      <c r="JGV68" s="1"/>
      <c r="JGW68" s="1"/>
      <c r="JGX68" s="1"/>
      <c r="JGY68" s="1"/>
      <c r="JGZ68" s="1"/>
      <c r="JHA68" s="1"/>
      <c r="JHB68" s="1"/>
      <c r="JHC68" s="1"/>
      <c r="JHD68" s="1"/>
      <c r="JHE68" s="1"/>
      <c r="JHF68" s="1"/>
      <c r="JHG68" s="1"/>
      <c r="JHH68" s="1"/>
      <c r="JHI68" s="1"/>
      <c r="JHJ68" s="1"/>
      <c r="JHK68" s="1"/>
      <c r="JHL68" s="1"/>
      <c r="JHM68" s="1"/>
      <c r="JHN68" s="1"/>
      <c r="JHO68" s="1"/>
      <c r="JHP68" s="1"/>
      <c r="JHQ68" s="1"/>
      <c r="JHR68" s="1"/>
      <c r="JHS68" s="1"/>
      <c r="JHT68" s="1"/>
      <c r="JHU68" s="1"/>
      <c r="JHV68" s="1"/>
      <c r="JHW68" s="1"/>
      <c r="JHX68" s="1"/>
      <c r="JHY68" s="1"/>
      <c r="JHZ68" s="1"/>
      <c r="JIA68" s="1"/>
      <c r="JIB68" s="1"/>
      <c r="JIC68" s="1"/>
      <c r="JID68" s="1"/>
      <c r="JIE68" s="1"/>
      <c r="JIF68" s="1"/>
      <c r="JIG68" s="1"/>
      <c r="JIH68" s="1"/>
      <c r="JII68" s="1"/>
      <c r="JIJ68" s="1"/>
      <c r="JIK68" s="1"/>
      <c r="JIL68" s="1"/>
      <c r="JIM68" s="1"/>
      <c r="JIN68" s="1"/>
      <c r="JIO68" s="1"/>
      <c r="JIP68" s="1"/>
      <c r="JIQ68" s="1"/>
      <c r="JIR68" s="1"/>
      <c r="JIS68" s="1"/>
      <c r="JIT68" s="1"/>
      <c r="JIU68" s="1"/>
      <c r="JIV68" s="1"/>
      <c r="JIW68" s="1"/>
      <c r="JIX68" s="1"/>
      <c r="JIY68" s="1"/>
      <c r="JIZ68" s="1"/>
      <c r="JJA68" s="1"/>
      <c r="JJB68" s="1"/>
      <c r="JJC68" s="1"/>
      <c r="JJD68" s="1"/>
      <c r="JJE68" s="1"/>
      <c r="JJF68" s="1"/>
      <c r="JJG68" s="1"/>
      <c r="JJH68" s="1"/>
      <c r="JJI68" s="1"/>
      <c r="JJJ68" s="1"/>
      <c r="JJK68" s="1"/>
      <c r="JJL68" s="1"/>
      <c r="JJM68" s="1"/>
      <c r="JJN68" s="1"/>
      <c r="JJO68" s="1"/>
      <c r="JJP68" s="1"/>
      <c r="JJQ68" s="1"/>
      <c r="JJR68" s="1"/>
      <c r="JJS68" s="1"/>
      <c r="JJT68" s="1"/>
      <c r="JJU68" s="1"/>
      <c r="JJV68" s="1"/>
      <c r="JJW68" s="1"/>
      <c r="JJX68" s="1"/>
      <c r="JJY68" s="1"/>
      <c r="JJZ68" s="1"/>
      <c r="JKA68" s="1"/>
      <c r="JKB68" s="1"/>
      <c r="JKC68" s="1"/>
      <c r="JKD68" s="1"/>
      <c r="JKE68" s="1"/>
      <c r="JKF68" s="1"/>
      <c r="JKG68" s="1"/>
      <c r="JKH68" s="1"/>
      <c r="JKI68" s="1"/>
      <c r="JKJ68" s="1"/>
      <c r="JKK68" s="1"/>
      <c r="JKL68" s="1"/>
      <c r="JKM68" s="1"/>
      <c r="JKN68" s="1"/>
      <c r="JKO68" s="1"/>
      <c r="JKP68" s="1"/>
      <c r="JKQ68" s="1"/>
      <c r="JKR68" s="1"/>
      <c r="JKS68" s="1"/>
      <c r="JKT68" s="1"/>
      <c r="JKU68" s="1"/>
      <c r="JKV68" s="1"/>
      <c r="JKW68" s="1"/>
      <c r="JKX68" s="1"/>
      <c r="JKY68" s="1"/>
      <c r="JKZ68" s="1"/>
      <c r="JLA68" s="1"/>
      <c r="JLB68" s="1"/>
      <c r="JLC68" s="1"/>
      <c r="JLD68" s="1"/>
      <c r="JLE68" s="1"/>
      <c r="JLF68" s="1"/>
      <c r="JLG68" s="1"/>
      <c r="JLH68" s="1"/>
      <c r="JLI68" s="1"/>
      <c r="JLJ68" s="1"/>
      <c r="JLK68" s="1"/>
      <c r="JLL68" s="1"/>
      <c r="JLM68" s="1"/>
      <c r="JLN68" s="1"/>
      <c r="JLO68" s="1"/>
      <c r="JLP68" s="1"/>
      <c r="JLQ68" s="1"/>
      <c r="JLR68" s="1"/>
      <c r="JLS68" s="1"/>
      <c r="JLT68" s="1"/>
      <c r="JLU68" s="1"/>
      <c r="JLV68" s="1"/>
      <c r="JLW68" s="1"/>
      <c r="JLX68" s="1"/>
      <c r="JLY68" s="1"/>
      <c r="JLZ68" s="1"/>
      <c r="JMA68" s="1"/>
      <c r="JMB68" s="1"/>
      <c r="JMC68" s="1"/>
      <c r="JMD68" s="1"/>
      <c r="JME68" s="1"/>
      <c r="JMF68" s="1"/>
      <c r="JMG68" s="1"/>
      <c r="JMH68" s="1"/>
      <c r="JMI68" s="1"/>
      <c r="JMJ68" s="1"/>
      <c r="JMK68" s="1"/>
      <c r="JML68" s="1"/>
      <c r="JMM68" s="1"/>
      <c r="JMN68" s="1"/>
      <c r="JMO68" s="1"/>
      <c r="JMP68" s="1"/>
      <c r="JMQ68" s="1"/>
      <c r="JMR68" s="1"/>
      <c r="JMS68" s="1"/>
      <c r="JMT68" s="1"/>
      <c r="JMU68" s="1"/>
      <c r="JMV68" s="1"/>
      <c r="JMW68" s="1"/>
      <c r="JMX68" s="1"/>
      <c r="JMY68" s="1"/>
      <c r="JMZ68" s="1"/>
      <c r="JNA68" s="1"/>
      <c r="JNB68" s="1"/>
      <c r="JNC68" s="1"/>
      <c r="JND68" s="1"/>
      <c r="JNE68" s="1"/>
      <c r="JNF68" s="1"/>
      <c r="JNG68" s="1"/>
      <c r="JNH68" s="1"/>
      <c r="JNI68" s="1"/>
      <c r="JNJ68" s="1"/>
      <c r="JNK68" s="1"/>
      <c r="JNL68" s="1"/>
      <c r="JNM68" s="1"/>
      <c r="JNN68" s="1"/>
      <c r="JNO68" s="1"/>
      <c r="JNP68" s="1"/>
      <c r="JNQ68" s="1"/>
      <c r="JNR68" s="1"/>
      <c r="JNS68" s="1"/>
      <c r="JNT68" s="1"/>
      <c r="JNU68" s="1"/>
      <c r="JNV68" s="1"/>
      <c r="JNW68" s="1"/>
      <c r="JNX68" s="1"/>
      <c r="JNY68" s="1"/>
      <c r="JNZ68" s="1"/>
      <c r="JOA68" s="1"/>
      <c r="JOB68" s="1"/>
      <c r="JOC68" s="1"/>
      <c r="JOD68" s="1"/>
      <c r="JOE68" s="1"/>
      <c r="JOF68" s="1"/>
      <c r="JOG68" s="1"/>
      <c r="JOH68" s="1"/>
      <c r="JOI68" s="1"/>
      <c r="JOJ68" s="1"/>
      <c r="JOK68" s="1"/>
      <c r="JOL68" s="1"/>
      <c r="JOM68" s="1"/>
      <c r="JON68" s="1"/>
      <c r="JOO68" s="1"/>
      <c r="JOP68" s="1"/>
      <c r="JOQ68" s="1"/>
      <c r="JOR68" s="1"/>
      <c r="JOS68" s="1"/>
      <c r="JOT68" s="1"/>
      <c r="JOU68" s="1"/>
      <c r="JOV68" s="1"/>
      <c r="JOW68" s="1"/>
      <c r="JOX68" s="1"/>
      <c r="JOY68" s="1"/>
      <c r="JOZ68" s="1"/>
      <c r="JPA68" s="1"/>
      <c r="JPB68" s="1"/>
      <c r="JPC68" s="1"/>
      <c r="JPD68" s="1"/>
      <c r="JPE68" s="1"/>
      <c r="JPF68" s="1"/>
      <c r="JPG68" s="1"/>
      <c r="JPH68" s="1"/>
      <c r="JPI68" s="1"/>
      <c r="JPJ68" s="1"/>
      <c r="JPK68" s="1"/>
      <c r="JPL68" s="1"/>
      <c r="JPM68" s="1"/>
      <c r="JPN68" s="1"/>
      <c r="JPO68" s="1"/>
      <c r="JPP68" s="1"/>
      <c r="JPQ68" s="1"/>
      <c r="JPR68" s="1"/>
      <c r="JPS68" s="1"/>
      <c r="JPT68" s="1"/>
      <c r="JPU68" s="1"/>
      <c r="JPV68" s="1"/>
      <c r="JPW68" s="1"/>
      <c r="JPX68" s="1"/>
      <c r="JPY68" s="1"/>
      <c r="JPZ68" s="1"/>
      <c r="JQA68" s="1"/>
      <c r="JQB68" s="1"/>
      <c r="JQC68" s="1"/>
      <c r="JQD68" s="1"/>
      <c r="JQE68" s="1"/>
      <c r="JQF68" s="1"/>
      <c r="JQG68" s="1"/>
      <c r="JQH68" s="1"/>
      <c r="JQI68" s="1"/>
      <c r="JQJ68" s="1"/>
      <c r="JQK68" s="1"/>
      <c r="JQL68" s="1"/>
      <c r="JQM68" s="1"/>
      <c r="JQN68" s="1"/>
      <c r="JQO68" s="1"/>
      <c r="JQP68" s="1"/>
      <c r="JQQ68" s="1"/>
      <c r="JQR68" s="1"/>
      <c r="JQS68" s="1"/>
      <c r="JQT68" s="1"/>
      <c r="JQU68" s="1"/>
      <c r="JQV68" s="1"/>
      <c r="JQW68" s="1"/>
      <c r="JQX68" s="1"/>
      <c r="JQY68" s="1"/>
      <c r="JQZ68" s="1"/>
      <c r="JRA68" s="1"/>
      <c r="JRB68" s="1"/>
      <c r="JRC68" s="1"/>
      <c r="JRD68" s="1"/>
      <c r="JRE68" s="1"/>
      <c r="JRF68" s="1"/>
      <c r="JRG68" s="1"/>
      <c r="JRH68" s="1"/>
      <c r="JRI68" s="1"/>
      <c r="JRJ68" s="1"/>
      <c r="JRK68" s="1"/>
      <c r="JRL68" s="1"/>
      <c r="JRM68" s="1"/>
      <c r="JRN68" s="1"/>
      <c r="JRO68" s="1"/>
      <c r="JRP68" s="1"/>
      <c r="JRQ68" s="1"/>
      <c r="JRR68" s="1"/>
      <c r="JRS68" s="1"/>
      <c r="JRT68" s="1"/>
      <c r="JRU68" s="1"/>
      <c r="JRV68" s="1"/>
      <c r="JRW68" s="1"/>
      <c r="JRX68" s="1"/>
      <c r="JRY68" s="1"/>
      <c r="JRZ68" s="1"/>
      <c r="JSA68" s="1"/>
      <c r="JSB68" s="1"/>
      <c r="JSC68" s="1"/>
      <c r="JSD68" s="1"/>
      <c r="JSE68" s="1"/>
      <c r="JSF68" s="1"/>
      <c r="JSG68" s="1"/>
      <c r="JSH68" s="1"/>
      <c r="JSI68" s="1"/>
      <c r="JSJ68" s="1"/>
      <c r="JSK68" s="1"/>
      <c r="JSL68" s="1"/>
      <c r="JSM68" s="1"/>
      <c r="JSN68" s="1"/>
      <c r="JSO68" s="1"/>
      <c r="JSP68" s="1"/>
      <c r="JSQ68" s="1"/>
      <c r="JSR68" s="1"/>
      <c r="JSS68" s="1"/>
      <c r="JST68" s="1"/>
      <c r="JSU68" s="1"/>
      <c r="JSV68" s="1"/>
      <c r="JSW68" s="1"/>
      <c r="JSX68" s="1"/>
      <c r="JSY68" s="1"/>
      <c r="JSZ68" s="1"/>
      <c r="JTA68" s="1"/>
      <c r="JTB68" s="1"/>
      <c r="JTC68" s="1"/>
      <c r="JTD68" s="1"/>
      <c r="JTE68" s="1"/>
      <c r="JTF68" s="1"/>
      <c r="JTG68" s="1"/>
      <c r="JTH68" s="1"/>
      <c r="JTI68" s="1"/>
      <c r="JTJ68" s="1"/>
      <c r="JTK68" s="1"/>
      <c r="JTL68" s="1"/>
      <c r="JTM68" s="1"/>
      <c r="JTN68" s="1"/>
      <c r="JTO68" s="1"/>
      <c r="JTP68" s="1"/>
      <c r="JTQ68" s="1"/>
      <c r="JTR68" s="1"/>
      <c r="JTS68" s="1"/>
      <c r="JTT68" s="1"/>
      <c r="JTU68" s="1"/>
      <c r="JTV68" s="1"/>
      <c r="JTW68" s="1"/>
      <c r="JTX68" s="1"/>
      <c r="JTY68" s="1"/>
      <c r="JTZ68" s="1"/>
      <c r="JUA68" s="1"/>
      <c r="JUB68" s="1"/>
      <c r="JUC68" s="1"/>
      <c r="JUD68" s="1"/>
      <c r="JUE68" s="1"/>
      <c r="JUF68" s="1"/>
      <c r="JUG68" s="1"/>
      <c r="JUH68" s="1"/>
      <c r="JUI68" s="1"/>
      <c r="JUJ68" s="1"/>
      <c r="JUK68" s="1"/>
      <c r="JUL68" s="1"/>
      <c r="JUM68" s="1"/>
      <c r="JUN68" s="1"/>
      <c r="JUO68" s="1"/>
      <c r="JUP68" s="1"/>
      <c r="JUQ68" s="1"/>
      <c r="JUR68" s="1"/>
      <c r="JUS68" s="1"/>
      <c r="JUT68" s="1"/>
      <c r="JUU68" s="1"/>
      <c r="JUV68" s="1"/>
      <c r="JUW68" s="1"/>
      <c r="JUX68" s="1"/>
      <c r="JUY68" s="1"/>
      <c r="JUZ68" s="1"/>
      <c r="JVA68" s="1"/>
      <c r="JVB68" s="1"/>
      <c r="JVC68" s="1"/>
      <c r="JVD68" s="1"/>
      <c r="JVE68" s="1"/>
      <c r="JVF68" s="1"/>
      <c r="JVG68" s="1"/>
      <c r="JVH68" s="1"/>
      <c r="JVI68" s="1"/>
      <c r="JVJ68" s="1"/>
      <c r="JVK68" s="1"/>
      <c r="JVL68" s="1"/>
      <c r="JVM68" s="1"/>
      <c r="JVN68" s="1"/>
      <c r="JVO68" s="1"/>
      <c r="JVP68" s="1"/>
      <c r="JVQ68" s="1"/>
      <c r="JVR68" s="1"/>
      <c r="JVS68" s="1"/>
      <c r="JVT68" s="1"/>
      <c r="JVU68" s="1"/>
      <c r="JVV68" s="1"/>
      <c r="JVW68" s="1"/>
      <c r="JVX68" s="1"/>
      <c r="JVY68" s="1"/>
      <c r="JVZ68" s="1"/>
      <c r="JWA68" s="1"/>
      <c r="JWB68" s="1"/>
      <c r="JWC68" s="1"/>
      <c r="JWD68" s="1"/>
      <c r="JWE68" s="1"/>
      <c r="JWF68" s="1"/>
      <c r="JWG68" s="1"/>
      <c r="JWH68" s="1"/>
      <c r="JWI68" s="1"/>
      <c r="JWJ68" s="1"/>
      <c r="JWK68" s="1"/>
      <c r="JWL68" s="1"/>
      <c r="JWM68" s="1"/>
      <c r="JWN68" s="1"/>
      <c r="JWO68" s="1"/>
      <c r="JWP68" s="1"/>
      <c r="JWQ68" s="1"/>
      <c r="JWR68" s="1"/>
      <c r="JWS68" s="1"/>
      <c r="JWT68" s="1"/>
      <c r="JWU68" s="1"/>
      <c r="JWV68" s="1"/>
      <c r="JWW68" s="1"/>
      <c r="JWX68" s="1"/>
      <c r="JWY68" s="1"/>
      <c r="JWZ68" s="1"/>
      <c r="JXA68" s="1"/>
      <c r="JXB68" s="1"/>
      <c r="JXC68" s="1"/>
      <c r="JXD68" s="1"/>
      <c r="JXE68" s="1"/>
      <c r="JXF68" s="1"/>
      <c r="JXG68" s="1"/>
      <c r="JXH68" s="1"/>
      <c r="JXI68" s="1"/>
      <c r="JXJ68" s="1"/>
      <c r="JXK68" s="1"/>
      <c r="JXL68" s="1"/>
      <c r="JXM68" s="1"/>
      <c r="JXN68" s="1"/>
      <c r="JXO68" s="1"/>
      <c r="JXP68" s="1"/>
      <c r="JXQ68" s="1"/>
      <c r="JXR68" s="1"/>
      <c r="JXS68" s="1"/>
      <c r="JXT68" s="1"/>
      <c r="JXU68" s="1"/>
      <c r="JXV68" s="1"/>
      <c r="JXW68" s="1"/>
      <c r="JXX68" s="1"/>
      <c r="JXY68" s="1"/>
      <c r="JXZ68" s="1"/>
      <c r="JYA68" s="1"/>
      <c r="JYB68" s="1"/>
      <c r="JYC68" s="1"/>
      <c r="JYD68" s="1"/>
      <c r="JYE68" s="1"/>
      <c r="JYF68" s="1"/>
      <c r="JYG68" s="1"/>
      <c r="JYH68" s="1"/>
      <c r="JYI68" s="1"/>
      <c r="JYJ68" s="1"/>
      <c r="JYK68" s="1"/>
      <c r="JYL68" s="1"/>
      <c r="JYM68" s="1"/>
      <c r="JYN68" s="1"/>
      <c r="JYO68" s="1"/>
      <c r="JYP68" s="1"/>
      <c r="JYQ68" s="1"/>
      <c r="JYR68" s="1"/>
      <c r="JYS68" s="1"/>
      <c r="JYT68" s="1"/>
      <c r="JYU68" s="1"/>
      <c r="JYV68" s="1"/>
      <c r="JYW68" s="1"/>
      <c r="JYX68" s="1"/>
      <c r="JYY68" s="1"/>
      <c r="JYZ68" s="1"/>
      <c r="JZA68" s="1"/>
      <c r="JZB68" s="1"/>
      <c r="JZC68" s="1"/>
      <c r="JZD68" s="1"/>
      <c r="JZE68" s="1"/>
      <c r="JZF68" s="1"/>
      <c r="JZG68" s="1"/>
      <c r="JZH68" s="1"/>
      <c r="JZI68" s="1"/>
      <c r="JZJ68" s="1"/>
      <c r="JZK68" s="1"/>
      <c r="JZL68" s="1"/>
      <c r="JZM68" s="1"/>
      <c r="JZN68" s="1"/>
      <c r="JZO68" s="1"/>
      <c r="JZP68" s="1"/>
      <c r="JZQ68" s="1"/>
      <c r="JZR68" s="1"/>
      <c r="JZS68" s="1"/>
      <c r="JZT68" s="1"/>
      <c r="JZU68" s="1"/>
      <c r="JZV68" s="1"/>
      <c r="JZW68" s="1"/>
      <c r="JZX68" s="1"/>
      <c r="JZY68" s="1"/>
      <c r="JZZ68" s="1"/>
      <c r="KAA68" s="1"/>
      <c r="KAB68" s="1"/>
      <c r="KAC68" s="1"/>
      <c r="KAD68" s="1"/>
      <c r="KAE68" s="1"/>
      <c r="KAF68" s="1"/>
      <c r="KAG68" s="1"/>
      <c r="KAH68" s="1"/>
      <c r="KAI68" s="1"/>
      <c r="KAJ68" s="1"/>
      <c r="KAK68" s="1"/>
      <c r="KAL68" s="1"/>
      <c r="KAM68" s="1"/>
      <c r="KAN68" s="1"/>
      <c r="KAO68" s="1"/>
      <c r="KAP68" s="1"/>
      <c r="KAQ68" s="1"/>
      <c r="KAR68" s="1"/>
      <c r="KAS68" s="1"/>
      <c r="KAT68" s="1"/>
      <c r="KAU68" s="1"/>
      <c r="KAV68" s="1"/>
      <c r="KAW68" s="1"/>
      <c r="KAX68" s="1"/>
      <c r="KAY68" s="1"/>
      <c r="KAZ68" s="1"/>
      <c r="KBA68" s="1"/>
      <c r="KBB68" s="1"/>
      <c r="KBC68" s="1"/>
      <c r="KBD68" s="1"/>
      <c r="KBE68" s="1"/>
      <c r="KBF68" s="1"/>
      <c r="KBG68" s="1"/>
      <c r="KBH68" s="1"/>
      <c r="KBI68" s="1"/>
      <c r="KBJ68" s="1"/>
      <c r="KBK68" s="1"/>
      <c r="KBL68" s="1"/>
      <c r="KBM68" s="1"/>
      <c r="KBN68" s="1"/>
      <c r="KBO68" s="1"/>
      <c r="KBP68" s="1"/>
      <c r="KBQ68" s="1"/>
      <c r="KBR68" s="1"/>
      <c r="KBS68" s="1"/>
      <c r="KBT68" s="1"/>
      <c r="KBU68" s="1"/>
      <c r="KBV68" s="1"/>
      <c r="KBW68" s="1"/>
      <c r="KBX68" s="1"/>
      <c r="KBY68" s="1"/>
      <c r="KBZ68" s="1"/>
      <c r="KCA68" s="1"/>
      <c r="KCB68" s="1"/>
      <c r="KCC68" s="1"/>
      <c r="KCD68" s="1"/>
      <c r="KCE68" s="1"/>
      <c r="KCF68" s="1"/>
      <c r="KCG68" s="1"/>
      <c r="KCH68" s="1"/>
      <c r="KCI68" s="1"/>
      <c r="KCJ68" s="1"/>
      <c r="KCK68" s="1"/>
      <c r="KCL68" s="1"/>
      <c r="KCM68" s="1"/>
      <c r="KCN68" s="1"/>
      <c r="KCO68" s="1"/>
      <c r="KCP68" s="1"/>
      <c r="KCQ68" s="1"/>
      <c r="KCR68" s="1"/>
      <c r="KCS68" s="1"/>
      <c r="KCT68" s="1"/>
      <c r="KCU68" s="1"/>
      <c r="KCV68" s="1"/>
      <c r="KCW68" s="1"/>
      <c r="KCX68" s="1"/>
      <c r="KCY68" s="1"/>
      <c r="KCZ68" s="1"/>
      <c r="KDA68" s="1"/>
      <c r="KDB68" s="1"/>
      <c r="KDC68" s="1"/>
      <c r="KDD68" s="1"/>
      <c r="KDE68" s="1"/>
      <c r="KDF68" s="1"/>
      <c r="KDG68" s="1"/>
      <c r="KDH68" s="1"/>
      <c r="KDI68" s="1"/>
      <c r="KDJ68" s="1"/>
      <c r="KDK68" s="1"/>
      <c r="KDL68" s="1"/>
      <c r="KDM68" s="1"/>
      <c r="KDN68" s="1"/>
      <c r="KDO68" s="1"/>
      <c r="KDP68" s="1"/>
      <c r="KDQ68" s="1"/>
      <c r="KDR68" s="1"/>
      <c r="KDS68" s="1"/>
      <c r="KDT68" s="1"/>
      <c r="KDU68" s="1"/>
      <c r="KDV68" s="1"/>
      <c r="KDW68" s="1"/>
      <c r="KDX68" s="1"/>
      <c r="KDY68" s="1"/>
      <c r="KDZ68" s="1"/>
      <c r="KEA68" s="1"/>
      <c r="KEB68" s="1"/>
      <c r="KEC68" s="1"/>
      <c r="KED68" s="1"/>
      <c r="KEE68" s="1"/>
      <c r="KEF68" s="1"/>
      <c r="KEG68" s="1"/>
      <c r="KEH68" s="1"/>
      <c r="KEI68" s="1"/>
      <c r="KEJ68" s="1"/>
      <c r="KEK68" s="1"/>
      <c r="KEL68" s="1"/>
      <c r="KEM68" s="1"/>
      <c r="KEN68" s="1"/>
      <c r="KEO68" s="1"/>
      <c r="KEP68" s="1"/>
      <c r="KEQ68" s="1"/>
      <c r="KER68" s="1"/>
      <c r="KES68" s="1"/>
      <c r="KET68" s="1"/>
      <c r="KEU68" s="1"/>
      <c r="KEV68" s="1"/>
      <c r="KEW68" s="1"/>
      <c r="KEX68" s="1"/>
      <c r="KEY68" s="1"/>
      <c r="KEZ68" s="1"/>
      <c r="KFA68" s="1"/>
      <c r="KFB68" s="1"/>
      <c r="KFC68" s="1"/>
      <c r="KFD68" s="1"/>
      <c r="KFE68" s="1"/>
      <c r="KFF68" s="1"/>
      <c r="KFG68" s="1"/>
      <c r="KFH68" s="1"/>
      <c r="KFI68" s="1"/>
      <c r="KFJ68" s="1"/>
      <c r="KFK68" s="1"/>
      <c r="KFL68" s="1"/>
      <c r="KFM68" s="1"/>
      <c r="KFN68" s="1"/>
      <c r="KFO68" s="1"/>
      <c r="KFP68" s="1"/>
      <c r="KFQ68" s="1"/>
      <c r="KFR68" s="1"/>
      <c r="KFS68" s="1"/>
      <c r="KFT68" s="1"/>
      <c r="KFU68" s="1"/>
      <c r="KFV68" s="1"/>
      <c r="KFW68" s="1"/>
      <c r="KFX68" s="1"/>
      <c r="KFY68" s="1"/>
      <c r="KFZ68" s="1"/>
      <c r="KGA68" s="1"/>
      <c r="KGB68" s="1"/>
      <c r="KGC68" s="1"/>
      <c r="KGD68" s="1"/>
      <c r="KGE68" s="1"/>
      <c r="KGF68" s="1"/>
      <c r="KGG68" s="1"/>
      <c r="KGH68" s="1"/>
      <c r="KGI68" s="1"/>
      <c r="KGJ68" s="1"/>
      <c r="KGK68" s="1"/>
      <c r="KGL68" s="1"/>
      <c r="KGM68" s="1"/>
      <c r="KGN68" s="1"/>
      <c r="KGO68" s="1"/>
      <c r="KGP68" s="1"/>
      <c r="KGQ68" s="1"/>
      <c r="KGR68" s="1"/>
      <c r="KGS68" s="1"/>
      <c r="KGT68" s="1"/>
      <c r="KGU68" s="1"/>
      <c r="KGV68" s="1"/>
      <c r="KGW68" s="1"/>
      <c r="KGX68" s="1"/>
      <c r="KGY68" s="1"/>
      <c r="KGZ68" s="1"/>
      <c r="KHA68" s="1"/>
      <c r="KHB68" s="1"/>
      <c r="KHC68" s="1"/>
      <c r="KHD68" s="1"/>
      <c r="KHE68" s="1"/>
      <c r="KHF68" s="1"/>
      <c r="KHG68" s="1"/>
      <c r="KHH68" s="1"/>
      <c r="KHI68" s="1"/>
      <c r="KHJ68" s="1"/>
      <c r="KHK68" s="1"/>
      <c r="KHL68" s="1"/>
      <c r="KHM68" s="1"/>
      <c r="KHN68" s="1"/>
      <c r="KHO68" s="1"/>
      <c r="KHP68" s="1"/>
      <c r="KHQ68" s="1"/>
      <c r="KHR68" s="1"/>
      <c r="KHS68" s="1"/>
      <c r="KHT68" s="1"/>
      <c r="KHU68" s="1"/>
      <c r="KHV68" s="1"/>
      <c r="KHW68" s="1"/>
      <c r="KHX68" s="1"/>
      <c r="KHY68" s="1"/>
      <c r="KHZ68" s="1"/>
      <c r="KIA68" s="1"/>
      <c r="KIB68" s="1"/>
      <c r="KIC68" s="1"/>
      <c r="KID68" s="1"/>
      <c r="KIE68" s="1"/>
      <c r="KIF68" s="1"/>
      <c r="KIG68" s="1"/>
      <c r="KIH68" s="1"/>
      <c r="KII68" s="1"/>
      <c r="KIJ68" s="1"/>
      <c r="KIK68" s="1"/>
      <c r="KIL68" s="1"/>
      <c r="KIM68" s="1"/>
      <c r="KIN68" s="1"/>
      <c r="KIO68" s="1"/>
      <c r="KIP68" s="1"/>
      <c r="KIQ68" s="1"/>
      <c r="KIR68" s="1"/>
      <c r="KIS68" s="1"/>
      <c r="KIT68" s="1"/>
      <c r="KIU68" s="1"/>
      <c r="KIV68" s="1"/>
      <c r="KIW68" s="1"/>
      <c r="KIX68" s="1"/>
      <c r="KIY68" s="1"/>
      <c r="KIZ68" s="1"/>
      <c r="KJA68" s="1"/>
      <c r="KJB68" s="1"/>
      <c r="KJC68" s="1"/>
      <c r="KJD68" s="1"/>
      <c r="KJE68" s="1"/>
      <c r="KJF68" s="1"/>
      <c r="KJG68" s="1"/>
      <c r="KJH68" s="1"/>
      <c r="KJI68" s="1"/>
      <c r="KJJ68" s="1"/>
      <c r="KJK68" s="1"/>
      <c r="KJL68" s="1"/>
      <c r="KJM68" s="1"/>
      <c r="KJN68" s="1"/>
      <c r="KJO68" s="1"/>
      <c r="KJP68" s="1"/>
      <c r="KJQ68" s="1"/>
      <c r="KJR68" s="1"/>
      <c r="KJS68" s="1"/>
      <c r="KJT68" s="1"/>
      <c r="KJU68" s="1"/>
      <c r="KJV68" s="1"/>
      <c r="KJW68" s="1"/>
      <c r="KJX68" s="1"/>
      <c r="KJY68" s="1"/>
      <c r="KJZ68" s="1"/>
      <c r="KKA68" s="1"/>
      <c r="KKB68" s="1"/>
      <c r="KKC68" s="1"/>
      <c r="KKD68" s="1"/>
      <c r="KKE68" s="1"/>
      <c r="KKF68" s="1"/>
      <c r="KKG68" s="1"/>
      <c r="KKH68" s="1"/>
      <c r="KKI68" s="1"/>
      <c r="KKJ68" s="1"/>
      <c r="KKK68" s="1"/>
      <c r="KKL68" s="1"/>
      <c r="KKM68" s="1"/>
      <c r="KKN68" s="1"/>
      <c r="KKO68" s="1"/>
      <c r="KKP68" s="1"/>
      <c r="KKQ68" s="1"/>
      <c r="KKR68" s="1"/>
      <c r="KKS68" s="1"/>
      <c r="KKT68" s="1"/>
      <c r="KKU68" s="1"/>
      <c r="KKV68" s="1"/>
      <c r="KKW68" s="1"/>
      <c r="KKX68" s="1"/>
      <c r="KKY68" s="1"/>
      <c r="KKZ68" s="1"/>
      <c r="KLA68" s="1"/>
      <c r="KLB68" s="1"/>
      <c r="KLC68" s="1"/>
      <c r="KLD68" s="1"/>
      <c r="KLE68" s="1"/>
      <c r="KLF68" s="1"/>
      <c r="KLG68" s="1"/>
      <c r="KLH68" s="1"/>
      <c r="KLI68" s="1"/>
      <c r="KLJ68" s="1"/>
      <c r="KLK68" s="1"/>
      <c r="KLL68" s="1"/>
      <c r="KLM68" s="1"/>
      <c r="KLN68" s="1"/>
      <c r="KLO68" s="1"/>
      <c r="KLP68" s="1"/>
      <c r="KLQ68" s="1"/>
      <c r="KLR68" s="1"/>
      <c r="KLS68" s="1"/>
      <c r="KLT68" s="1"/>
      <c r="KLU68" s="1"/>
      <c r="KLV68" s="1"/>
      <c r="KLW68" s="1"/>
      <c r="KLX68" s="1"/>
      <c r="KLY68" s="1"/>
      <c r="KLZ68" s="1"/>
      <c r="KMA68" s="1"/>
      <c r="KMB68" s="1"/>
      <c r="KMC68" s="1"/>
      <c r="KMD68" s="1"/>
      <c r="KME68" s="1"/>
      <c r="KMF68" s="1"/>
      <c r="KMG68" s="1"/>
      <c r="KMH68" s="1"/>
      <c r="KMI68" s="1"/>
      <c r="KMJ68" s="1"/>
      <c r="KMK68" s="1"/>
      <c r="KML68" s="1"/>
      <c r="KMM68" s="1"/>
      <c r="KMN68" s="1"/>
      <c r="KMO68" s="1"/>
      <c r="KMP68" s="1"/>
      <c r="KMQ68" s="1"/>
      <c r="KMR68" s="1"/>
      <c r="KMS68" s="1"/>
      <c r="KMT68" s="1"/>
      <c r="KMU68" s="1"/>
      <c r="KMV68" s="1"/>
      <c r="KMW68" s="1"/>
      <c r="KMX68" s="1"/>
      <c r="KMY68" s="1"/>
      <c r="KMZ68" s="1"/>
      <c r="KNA68" s="1"/>
      <c r="KNB68" s="1"/>
      <c r="KNC68" s="1"/>
      <c r="KND68" s="1"/>
      <c r="KNE68" s="1"/>
      <c r="KNF68" s="1"/>
      <c r="KNG68" s="1"/>
      <c r="KNH68" s="1"/>
      <c r="KNI68" s="1"/>
      <c r="KNJ68" s="1"/>
      <c r="KNK68" s="1"/>
      <c r="KNL68" s="1"/>
      <c r="KNM68" s="1"/>
      <c r="KNN68" s="1"/>
      <c r="KNO68" s="1"/>
      <c r="KNP68" s="1"/>
      <c r="KNQ68" s="1"/>
      <c r="KNR68" s="1"/>
      <c r="KNS68" s="1"/>
      <c r="KNT68" s="1"/>
      <c r="KNU68" s="1"/>
      <c r="KNV68" s="1"/>
      <c r="KNW68" s="1"/>
      <c r="KNX68" s="1"/>
      <c r="KNY68" s="1"/>
      <c r="KNZ68" s="1"/>
      <c r="KOA68" s="1"/>
      <c r="KOB68" s="1"/>
      <c r="KOC68" s="1"/>
      <c r="KOD68" s="1"/>
      <c r="KOE68" s="1"/>
      <c r="KOF68" s="1"/>
      <c r="KOG68" s="1"/>
      <c r="KOH68" s="1"/>
      <c r="KOI68" s="1"/>
      <c r="KOJ68" s="1"/>
      <c r="KOK68" s="1"/>
      <c r="KOL68" s="1"/>
      <c r="KOM68" s="1"/>
      <c r="KON68" s="1"/>
      <c r="KOO68" s="1"/>
      <c r="KOP68" s="1"/>
      <c r="KOQ68" s="1"/>
      <c r="KOR68" s="1"/>
      <c r="KOS68" s="1"/>
      <c r="KOT68" s="1"/>
      <c r="KOU68" s="1"/>
      <c r="KOV68" s="1"/>
      <c r="KOW68" s="1"/>
      <c r="KOX68" s="1"/>
      <c r="KOY68" s="1"/>
      <c r="KOZ68" s="1"/>
      <c r="KPA68" s="1"/>
      <c r="KPB68" s="1"/>
      <c r="KPC68" s="1"/>
      <c r="KPD68" s="1"/>
      <c r="KPE68" s="1"/>
      <c r="KPF68" s="1"/>
      <c r="KPG68" s="1"/>
      <c r="KPH68" s="1"/>
      <c r="KPI68" s="1"/>
      <c r="KPJ68" s="1"/>
      <c r="KPK68" s="1"/>
      <c r="KPL68" s="1"/>
      <c r="KPM68" s="1"/>
      <c r="KPN68" s="1"/>
      <c r="KPO68" s="1"/>
      <c r="KPP68" s="1"/>
      <c r="KPQ68" s="1"/>
      <c r="KPR68" s="1"/>
      <c r="KPS68" s="1"/>
      <c r="KPT68" s="1"/>
      <c r="KPU68" s="1"/>
      <c r="KPV68" s="1"/>
      <c r="KPW68" s="1"/>
      <c r="KPX68" s="1"/>
      <c r="KPY68" s="1"/>
      <c r="KPZ68" s="1"/>
      <c r="KQA68" s="1"/>
      <c r="KQB68" s="1"/>
      <c r="KQC68" s="1"/>
      <c r="KQD68" s="1"/>
      <c r="KQE68" s="1"/>
      <c r="KQF68" s="1"/>
      <c r="KQG68" s="1"/>
      <c r="KQH68" s="1"/>
      <c r="KQI68" s="1"/>
      <c r="KQJ68" s="1"/>
      <c r="KQK68" s="1"/>
      <c r="KQL68" s="1"/>
      <c r="KQM68" s="1"/>
      <c r="KQN68" s="1"/>
      <c r="KQO68" s="1"/>
      <c r="KQP68" s="1"/>
      <c r="KQQ68" s="1"/>
      <c r="KQR68" s="1"/>
      <c r="KQS68" s="1"/>
      <c r="KQT68" s="1"/>
      <c r="KQU68" s="1"/>
      <c r="KQV68" s="1"/>
      <c r="KQW68" s="1"/>
      <c r="KQX68" s="1"/>
      <c r="KQY68" s="1"/>
      <c r="KQZ68" s="1"/>
      <c r="KRA68" s="1"/>
      <c r="KRB68" s="1"/>
      <c r="KRC68" s="1"/>
      <c r="KRD68" s="1"/>
      <c r="KRE68" s="1"/>
      <c r="KRF68" s="1"/>
      <c r="KRG68" s="1"/>
      <c r="KRH68" s="1"/>
      <c r="KRI68" s="1"/>
      <c r="KRJ68" s="1"/>
      <c r="KRK68" s="1"/>
      <c r="KRL68" s="1"/>
      <c r="KRM68" s="1"/>
      <c r="KRN68" s="1"/>
      <c r="KRO68" s="1"/>
      <c r="KRP68" s="1"/>
      <c r="KRQ68" s="1"/>
      <c r="KRR68" s="1"/>
      <c r="KRS68" s="1"/>
      <c r="KRT68" s="1"/>
      <c r="KRU68" s="1"/>
      <c r="KRV68" s="1"/>
      <c r="KRW68" s="1"/>
      <c r="KRX68" s="1"/>
      <c r="KRY68" s="1"/>
      <c r="KRZ68" s="1"/>
      <c r="KSA68" s="1"/>
      <c r="KSB68" s="1"/>
      <c r="KSC68" s="1"/>
      <c r="KSD68" s="1"/>
      <c r="KSE68" s="1"/>
      <c r="KSF68" s="1"/>
      <c r="KSG68" s="1"/>
      <c r="KSH68" s="1"/>
      <c r="KSI68" s="1"/>
      <c r="KSJ68" s="1"/>
      <c r="KSK68" s="1"/>
      <c r="KSL68" s="1"/>
      <c r="KSM68" s="1"/>
      <c r="KSN68" s="1"/>
      <c r="KSO68" s="1"/>
      <c r="KSP68" s="1"/>
      <c r="KSQ68" s="1"/>
      <c r="KSR68" s="1"/>
      <c r="KSS68" s="1"/>
      <c r="KST68" s="1"/>
      <c r="KSU68" s="1"/>
      <c r="KSV68" s="1"/>
      <c r="KSW68" s="1"/>
      <c r="KSX68" s="1"/>
      <c r="KSY68" s="1"/>
      <c r="KSZ68" s="1"/>
      <c r="KTA68" s="1"/>
      <c r="KTB68" s="1"/>
      <c r="KTC68" s="1"/>
      <c r="KTD68" s="1"/>
      <c r="KTE68" s="1"/>
      <c r="KTF68" s="1"/>
      <c r="KTG68" s="1"/>
      <c r="KTH68" s="1"/>
      <c r="KTI68" s="1"/>
      <c r="KTJ68" s="1"/>
      <c r="KTK68" s="1"/>
      <c r="KTL68" s="1"/>
      <c r="KTM68" s="1"/>
      <c r="KTN68" s="1"/>
      <c r="KTO68" s="1"/>
      <c r="KTP68" s="1"/>
      <c r="KTQ68" s="1"/>
      <c r="KTR68" s="1"/>
      <c r="KTS68" s="1"/>
      <c r="KTT68" s="1"/>
      <c r="KTU68" s="1"/>
      <c r="KTV68" s="1"/>
      <c r="KTW68" s="1"/>
      <c r="KTX68" s="1"/>
      <c r="KTY68" s="1"/>
      <c r="KTZ68" s="1"/>
      <c r="KUA68" s="1"/>
      <c r="KUB68" s="1"/>
      <c r="KUC68" s="1"/>
      <c r="KUD68" s="1"/>
      <c r="KUE68" s="1"/>
      <c r="KUF68" s="1"/>
      <c r="KUG68" s="1"/>
      <c r="KUH68" s="1"/>
      <c r="KUI68" s="1"/>
      <c r="KUJ68" s="1"/>
      <c r="KUK68" s="1"/>
      <c r="KUL68" s="1"/>
      <c r="KUM68" s="1"/>
      <c r="KUN68" s="1"/>
      <c r="KUO68" s="1"/>
      <c r="KUP68" s="1"/>
      <c r="KUQ68" s="1"/>
      <c r="KUR68" s="1"/>
      <c r="KUS68" s="1"/>
      <c r="KUT68" s="1"/>
      <c r="KUU68" s="1"/>
      <c r="KUV68" s="1"/>
      <c r="KUW68" s="1"/>
      <c r="KUX68" s="1"/>
      <c r="KUY68" s="1"/>
      <c r="KUZ68" s="1"/>
      <c r="KVA68" s="1"/>
      <c r="KVB68" s="1"/>
      <c r="KVC68" s="1"/>
      <c r="KVD68" s="1"/>
      <c r="KVE68" s="1"/>
      <c r="KVF68" s="1"/>
      <c r="KVG68" s="1"/>
      <c r="KVH68" s="1"/>
      <c r="KVI68" s="1"/>
      <c r="KVJ68" s="1"/>
      <c r="KVK68" s="1"/>
      <c r="KVL68" s="1"/>
      <c r="KVM68" s="1"/>
      <c r="KVN68" s="1"/>
      <c r="KVO68" s="1"/>
      <c r="KVP68" s="1"/>
      <c r="KVQ68" s="1"/>
      <c r="KVR68" s="1"/>
      <c r="KVS68" s="1"/>
      <c r="KVT68" s="1"/>
      <c r="KVU68" s="1"/>
      <c r="KVV68" s="1"/>
      <c r="KVW68" s="1"/>
      <c r="KVX68" s="1"/>
      <c r="KVY68" s="1"/>
      <c r="KVZ68" s="1"/>
      <c r="KWA68" s="1"/>
      <c r="KWB68" s="1"/>
      <c r="KWC68" s="1"/>
      <c r="KWD68" s="1"/>
      <c r="KWE68" s="1"/>
      <c r="KWF68" s="1"/>
      <c r="KWG68" s="1"/>
      <c r="KWH68" s="1"/>
      <c r="KWI68" s="1"/>
      <c r="KWJ68" s="1"/>
      <c r="KWK68" s="1"/>
      <c r="KWL68" s="1"/>
      <c r="KWM68" s="1"/>
      <c r="KWN68" s="1"/>
      <c r="KWO68" s="1"/>
      <c r="KWP68" s="1"/>
      <c r="KWQ68" s="1"/>
      <c r="KWR68" s="1"/>
      <c r="KWS68" s="1"/>
      <c r="KWT68" s="1"/>
      <c r="KWU68" s="1"/>
      <c r="KWV68" s="1"/>
      <c r="KWW68" s="1"/>
      <c r="KWX68" s="1"/>
      <c r="KWY68" s="1"/>
      <c r="KWZ68" s="1"/>
      <c r="KXA68" s="1"/>
      <c r="KXB68" s="1"/>
      <c r="KXC68" s="1"/>
      <c r="KXD68" s="1"/>
      <c r="KXE68" s="1"/>
      <c r="KXF68" s="1"/>
      <c r="KXG68" s="1"/>
      <c r="KXH68" s="1"/>
      <c r="KXI68" s="1"/>
      <c r="KXJ68" s="1"/>
      <c r="KXK68" s="1"/>
      <c r="KXL68" s="1"/>
      <c r="KXM68" s="1"/>
      <c r="KXN68" s="1"/>
      <c r="KXO68" s="1"/>
      <c r="KXP68" s="1"/>
      <c r="KXQ68" s="1"/>
      <c r="KXR68" s="1"/>
      <c r="KXS68" s="1"/>
      <c r="KXT68" s="1"/>
      <c r="KXU68" s="1"/>
      <c r="KXV68" s="1"/>
      <c r="KXW68" s="1"/>
      <c r="KXX68" s="1"/>
      <c r="KXY68" s="1"/>
      <c r="KXZ68" s="1"/>
      <c r="KYA68" s="1"/>
      <c r="KYB68" s="1"/>
      <c r="KYC68" s="1"/>
      <c r="KYD68" s="1"/>
      <c r="KYE68" s="1"/>
      <c r="KYF68" s="1"/>
      <c r="KYG68" s="1"/>
      <c r="KYH68" s="1"/>
      <c r="KYI68" s="1"/>
      <c r="KYJ68" s="1"/>
      <c r="KYK68" s="1"/>
      <c r="KYL68" s="1"/>
      <c r="KYM68" s="1"/>
      <c r="KYN68" s="1"/>
      <c r="KYO68" s="1"/>
      <c r="KYP68" s="1"/>
      <c r="KYQ68" s="1"/>
      <c r="KYR68" s="1"/>
      <c r="KYS68" s="1"/>
      <c r="KYT68" s="1"/>
      <c r="KYU68" s="1"/>
      <c r="KYV68" s="1"/>
      <c r="KYW68" s="1"/>
      <c r="KYX68" s="1"/>
      <c r="KYY68" s="1"/>
      <c r="KYZ68" s="1"/>
      <c r="KZA68" s="1"/>
      <c r="KZB68" s="1"/>
      <c r="KZC68" s="1"/>
      <c r="KZD68" s="1"/>
      <c r="KZE68" s="1"/>
      <c r="KZF68" s="1"/>
      <c r="KZG68" s="1"/>
      <c r="KZH68" s="1"/>
      <c r="KZI68" s="1"/>
      <c r="KZJ68" s="1"/>
      <c r="KZK68" s="1"/>
      <c r="KZL68" s="1"/>
      <c r="KZM68" s="1"/>
      <c r="KZN68" s="1"/>
      <c r="KZO68" s="1"/>
      <c r="KZP68" s="1"/>
      <c r="KZQ68" s="1"/>
      <c r="KZR68" s="1"/>
      <c r="KZS68" s="1"/>
      <c r="KZT68" s="1"/>
      <c r="KZU68" s="1"/>
      <c r="KZV68" s="1"/>
      <c r="KZW68" s="1"/>
      <c r="KZX68" s="1"/>
      <c r="KZY68" s="1"/>
      <c r="KZZ68" s="1"/>
      <c r="LAA68" s="1"/>
      <c r="LAB68" s="1"/>
      <c r="LAC68" s="1"/>
      <c r="LAD68" s="1"/>
      <c r="LAE68" s="1"/>
      <c r="LAF68" s="1"/>
      <c r="LAG68" s="1"/>
      <c r="LAH68" s="1"/>
      <c r="LAI68" s="1"/>
      <c r="LAJ68" s="1"/>
      <c r="LAK68" s="1"/>
      <c r="LAL68" s="1"/>
      <c r="LAM68" s="1"/>
      <c r="LAN68" s="1"/>
      <c r="LAO68" s="1"/>
      <c r="LAP68" s="1"/>
      <c r="LAQ68" s="1"/>
      <c r="LAR68" s="1"/>
      <c r="LAS68" s="1"/>
      <c r="LAT68" s="1"/>
      <c r="LAU68" s="1"/>
      <c r="LAV68" s="1"/>
      <c r="LAW68" s="1"/>
      <c r="LAX68" s="1"/>
      <c r="LAY68" s="1"/>
      <c r="LAZ68" s="1"/>
      <c r="LBA68" s="1"/>
      <c r="LBB68" s="1"/>
      <c r="LBC68" s="1"/>
      <c r="LBD68" s="1"/>
      <c r="LBE68" s="1"/>
      <c r="LBF68" s="1"/>
      <c r="LBG68" s="1"/>
      <c r="LBH68" s="1"/>
      <c r="LBI68" s="1"/>
      <c r="LBJ68" s="1"/>
      <c r="LBK68" s="1"/>
      <c r="LBL68" s="1"/>
      <c r="LBM68" s="1"/>
      <c r="LBN68" s="1"/>
      <c r="LBO68" s="1"/>
      <c r="LBP68" s="1"/>
      <c r="LBQ68" s="1"/>
      <c r="LBR68" s="1"/>
      <c r="LBS68" s="1"/>
      <c r="LBT68" s="1"/>
      <c r="LBU68" s="1"/>
      <c r="LBV68" s="1"/>
      <c r="LBW68" s="1"/>
      <c r="LBX68" s="1"/>
      <c r="LBY68" s="1"/>
      <c r="LBZ68" s="1"/>
      <c r="LCA68" s="1"/>
      <c r="LCB68" s="1"/>
      <c r="LCC68" s="1"/>
      <c r="LCD68" s="1"/>
      <c r="LCE68" s="1"/>
      <c r="LCF68" s="1"/>
      <c r="LCG68" s="1"/>
      <c r="LCH68" s="1"/>
      <c r="LCI68" s="1"/>
      <c r="LCJ68" s="1"/>
      <c r="LCK68" s="1"/>
      <c r="LCL68" s="1"/>
      <c r="LCM68" s="1"/>
      <c r="LCN68" s="1"/>
      <c r="LCO68" s="1"/>
      <c r="LCP68" s="1"/>
      <c r="LCQ68" s="1"/>
      <c r="LCR68" s="1"/>
      <c r="LCS68" s="1"/>
      <c r="LCT68" s="1"/>
      <c r="LCU68" s="1"/>
      <c r="LCV68" s="1"/>
      <c r="LCW68" s="1"/>
      <c r="LCX68" s="1"/>
      <c r="LCY68" s="1"/>
      <c r="LCZ68" s="1"/>
      <c r="LDA68" s="1"/>
      <c r="LDB68" s="1"/>
      <c r="LDC68" s="1"/>
      <c r="LDD68" s="1"/>
      <c r="LDE68" s="1"/>
      <c r="LDF68" s="1"/>
      <c r="LDG68" s="1"/>
      <c r="LDH68" s="1"/>
      <c r="LDI68" s="1"/>
      <c r="LDJ68" s="1"/>
      <c r="LDK68" s="1"/>
      <c r="LDL68" s="1"/>
      <c r="LDM68" s="1"/>
      <c r="LDN68" s="1"/>
      <c r="LDO68" s="1"/>
      <c r="LDP68" s="1"/>
      <c r="LDQ68" s="1"/>
      <c r="LDR68" s="1"/>
      <c r="LDS68" s="1"/>
      <c r="LDT68" s="1"/>
      <c r="LDU68" s="1"/>
      <c r="LDV68" s="1"/>
      <c r="LDW68" s="1"/>
      <c r="LDX68" s="1"/>
      <c r="LDY68" s="1"/>
      <c r="LDZ68" s="1"/>
      <c r="LEA68" s="1"/>
      <c r="LEB68" s="1"/>
      <c r="LEC68" s="1"/>
      <c r="LED68" s="1"/>
      <c r="LEE68" s="1"/>
      <c r="LEF68" s="1"/>
      <c r="LEG68" s="1"/>
      <c r="LEH68" s="1"/>
      <c r="LEI68" s="1"/>
      <c r="LEJ68" s="1"/>
      <c r="LEK68" s="1"/>
      <c r="LEL68" s="1"/>
      <c r="LEM68" s="1"/>
      <c r="LEN68" s="1"/>
      <c r="LEO68" s="1"/>
      <c r="LEP68" s="1"/>
      <c r="LEQ68" s="1"/>
      <c r="LER68" s="1"/>
      <c r="LES68" s="1"/>
      <c r="LET68" s="1"/>
      <c r="LEU68" s="1"/>
      <c r="LEV68" s="1"/>
      <c r="LEW68" s="1"/>
      <c r="LEX68" s="1"/>
      <c r="LEY68" s="1"/>
      <c r="LEZ68" s="1"/>
      <c r="LFA68" s="1"/>
      <c r="LFB68" s="1"/>
      <c r="LFC68" s="1"/>
      <c r="LFD68" s="1"/>
      <c r="LFE68" s="1"/>
      <c r="LFF68" s="1"/>
      <c r="LFG68" s="1"/>
      <c r="LFH68" s="1"/>
      <c r="LFI68" s="1"/>
      <c r="LFJ68" s="1"/>
      <c r="LFK68" s="1"/>
      <c r="LFL68" s="1"/>
      <c r="LFM68" s="1"/>
      <c r="LFN68" s="1"/>
      <c r="LFO68" s="1"/>
      <c r="LFP68" s="1"/>
      <c r="LFQ68" s="1"/>
      <c r="LFR68" s="1"/>
      <c r="LFS68" s="1"/>
      <c r="LFT68" s="1"/>
      <c r="LFU68" s="1"/>
      <c r="LFV68" s="1"/>
      <c r="LFW68" s="1"/>
      <c r="LFX68" s="1"/>
      <c r="LFY68" s="1"/>
      <c r="LFZ68" s="1"/>
      <c r="LGA68" s="1"/>
      <c r="LGB68" s="1"/>
      <c r="LGC68" s="1"/>
      <c r="LGD68" s="1"/>
      <c r="LGE68" s="1"/>
      <c r="LGF68" s="1"/>
      <c r="LGG68" s="1"/>
      <c r="LGH68" s="1"/>
      <c r="LGI68" s="1"/>
      <c r="LGJ68" s="1"/>
      <c r="LGK68" s="1"/>
      <c r="LGL68" s="1"/>
      <c r="LGM68" s="1"/>
      <c r="LGN68" s="1"/>
      <c r="LGO68" s="1"/>
      <c r="LGP68" s="1"/>
      <c r="LGQ68" s="1"/>
      <c r="LGR68" s="1"/>
      <c r="LGS68" s="1"/>
      <c r="LGT68" s="1"/>
      <c r="LGU68" s="1"/>
      <c r="LGV68" s="1"/>
      <c r="LGW68" s="1"/>
      <c r="LGX68" s="1"/>
      <c r="LGY68" s="1"/>
      <c r="LGZ68" s="1"/>
      <c r="LHA68" s="1"/>
      <c r="LHB68" s="1"/>
      <c r="LHC68" s="1"/>
      <c r="LHD68" s="1"/>
      <c r="LHE68" s="1"/>
      <c r="LHF68" s="1"/>
      <c r="LHG68" s="1"/>
      <c r="LHH68" s="1"/>
      <c r="LHI68" s="1"/>
      <c r="LHJ68" s="1"/>
      <c r="LHK68" s="1"/>
      <c r="LHL68" s="1"/>
      <c r="LHM68" s="1"/>
      <c r="LHN68" s="1"/>
      <c r="LHO68" s="1"/>
      <c r="LHP68" s="1"/>
      <c r="LHQ68" s="1"/>
      <c r="LHR68" s="1"/>
      <c r="LHS68" s="1"/>
      <c r="LHT68" s="1"/>
      <c r="LHU68" s="1"/>
      <c r="LHV68" s="1"/>
      <c r="LHW68" s="1"/>
      <c r="LHX68" s="1"/>
      <c r="LHY68" s="1"/>
      <c r="LHZ68" s="1"/>
      <c r="LIA68" s="1"/>
      <c r="LIB68" s="1"/>
      <c r="LIC68" s="1"/>
      <c r="LID68" s="1"/>
      <c r="LIE68" s="1"/>
      <c r="LIF68" s="1"/>
      <c r="LIG68" s="1"/>
      <c r="LIH68" s="1"/>
      <c r="LII68" s="1"/>
      <c r="LIJ68" s="1"/>
      <c r="LIK68" s="1"/>
      <c r="LIL68" s="1"/>
      <c r="LIM68" s="1"/>
      <c r="LIN68" s="1"/>
      <c r="LIO68" s="1"/>
      <c r="LIP68" s="1"/>
      <c r="LIQ68" s="1"/>
      <c r="LIR68" s="1"/>
      <c r="LIS68" s="1"/>
      <c r="LIT68" s="1"/>
      <c r="LIU68" s="1"/>
      <c r="LIV68" s="1"/>
      <c r="LIW68" s="1"/>
      <c r="LIX68" s="1"/>
      <c r="LIY68" s="1"/>
      <c r="LIZ68" s="1"/>
      <c r="LJA68" s="1"/>
      <c r="LJB68" s="1"/>
      <c r="LJC68" s="1"/>
      <c r="LJD68" s="1"/>
      <c r="LJE68" s="1"/>
      <c r="LJF68" s="1"/>
      <c r="LJG68" s="1"/>
      <c r="LJH68" s="1"/>
      <c r="LJI68" s="1"/>
      <c r="LJJ68" s="1"/>
      <c r="LJK68" s="1"/>
      <c r="LJL68" s="1"/>
      <c r="LJM68" s="1"/>
      <c r="LJN68" s="1"/>
      <c r="LJO68" s="1"/>
      <c r="LJP68" s="1"/>
      <c r="LJQ68" s="1"/>
      <c r="LJR68" s="1"/>
      <c r="LJS68" s="1"/>
      <c r="LJT68" s="1"/>
      <c r="LJU68" s="1"/>
      <c r="LJV68" s="1"/>
      <c r="LJW68" s="1"/>
      <c r="LJX68" s="1"/>
      <c r="LJY68" s="1"/>
      <c r="LJZ68" s="1"/>
      <c r="LKA68" s="1"/>
      <c r="LKB68" s="1"/>
      <c r="LKC68" s="1"/>
      <c r="LKD68" s="1"/>
      <c r="LKE68" s="1"/>
      <c r="LKF68" s="1"/>
      <c r="LKG68" s="1"/>
      <c r="LKH68" s="1"/>
      <c r="LKI68" s="1"/>
      <c r="LKJ68" s="1"/>
      <c r="LKK68" s="1"/>
      <c r="LKL68" s="1"/>
      <c r="LKM68" s="1"/>
      <c r="LKN68" s="1"/>
      <c r="LKO68" s="1"/>
      <c r="LKP68" s="1"/>
      <c r="LKQ68" s="1"/>
      <c r="LKR68" s="1"/>
      <c r="LKS68" s="1"/>
      <c r="LKT68" s="1"/>
      <c r="LKU68" s="1"/>
      <c r="LKV68" s="1"/>
      <c r="LKW68" s="1"/>
      <c r="LKX68" s="1"/>
      <c r="LKY68" s="1"/>
      <c r="LKZ68" s="1"/>
      <c r="LLA68" s="1"/>
      <c r="LLB68" s="1"/>
      <c r="LLC68" s="1"/>
      <c r="LLD68" s="1"/>
      <c r="LLE68" s="1"/>
      <c r="LLF68" s="1"/>
      <c r="LLG68" s="1"/>
      <c r="LLH68" s="1"/>
      <c r="LLI68" s="1"/>
      <c r="LLJ68" s="1"/>
      <c r="LLK68" s="1"/>
      <c r="LLL68" s="1"/>
      <c r="LLM68" s="1"/>
      <c r="LLN68" s="1"/>
      <c r="LLO68" s="1"/>
      <c r="LLP68" s="1"/>
      <c r="LLQ68" s="1"/>
      <c r="LLR68" s="1"/>
      <c r="LLS68" s="1"/>
      <c r="LLT68" s="1"/>
      <c r="LLU68" s="1"/>
      <c r="LLV68" s="1"/>
      <c r="LLW68" s="1"/>
      <c r="LLX68" s="1"/>
      <c r="LLY68" s="1"/>
      <c r="LLZ68" s="1"/>
      <c r="LMA68" s="1"/>
      <c r="LMB68" s="1"/>
      <c r="LMC68" s="1"/>
      <c r="LMD68" s="1"/>
      <c r="LME68" s="1"/>
      <c r="LMF68" s="1"/>
      <c r="LMG68" s="1"/>
      <c r="LMH68" s="1"/>
      <c r="LMI68" s="1"/>
      <c r="LMJ68" s="1"/>
      <c r="LMK68" s="1"/>
      <c r="LML68" s="1"/>
      <c r="LMM68" s="1"/>
      <c r="LMN68" s="1"/>
      <c r="LMO68" s="1"/>
      <c r="LMP68" s="1"/>
      <c r="LMQ68" s="1"/>
      <c r="LMR68" s="1"/>
      <c r="LMS68" s="1"/>
      <c r="LMT68" s="1"/>
      <c r="LMU68" s="1"/>
      <c r="LMV68" s="1"/>
      <c r="LMW68" s="1"/>
      <c r="LMX68" s="1"/>
      <c r="LMY68" s="1"/>
      <c r="LMZ68" s="1"/>
      <c r="LNA68" s="1"/>
      <c r="LNB68" s="1"/>
      <c r="LNC68" s="1"/>
      <c r="LND68" s="1"/>
      <c r="LNE68" s="1"/>
      <c r="LNF68" s="1"/>
      <c r="LNG68" s="1"/>
      <c r="LNH68" s="1"/>
      <c r="LNI68" s="1"/>
      <c r="LNJ68" s="1"/>
      <c r="LNK68" s="1"/>
      <c r="LNL68" s="1"/>
      <c r="LNM68" s="1"/>
      <c r="LNN68" s="1"/>
      <c r="LNO68" s="1"/>
      <c r="LNP68" s="1"/>
      <c r="LNQ68" s="1"/>
      <c r="LNR68" s="1"/>
      <c r="LNS68" s="1"/>
      <c r="LNT68" s="1"/>
      <c r="LNU68" s="1"/>
      <c r="LNV68" s="1"/>
      <c r="LNW68" s="1"/>
      <c r="LNX68" s="1"/>
      <c r="LNY68" s="1"/>
      <c r="LNZ68" s="1"/>
      <c r="LOA68" s="1"/>
      <c r="LOB68" s="1"/>
      <c r="LOC68" s="1"/>
      <c r="LOD68" s="1"/>
      <c r="LOE68" s="1"/>
      <c r="LOF68" s="1"/>
      <c r="LOG68" s="1"/>
      <c r="LOH68" s="1"/>
      <c r="LOI68" s="1"/>
      <c r="LOJ68" s="1"/>
      <c r="LOK68" s="1"/>
      <c r="LOL68" s="1"/>
      <c r="LOM68" s="1"/>
      <c r="LON68" s="1"/>
      <c r="LOO68" s="1"/>
      <c r="LOP68" s="1"/>
      <c r="LOQ68" s="1"/>
      <c r="LOR68" s="1"/>
      <c r="LOS68" s="1"/>
      <c r="LOT68" s="1"/>
      <c r="LOU68" s="1"/>
      <c r="LOV68" s="1"/>
      <c r="LOW68" s="1"/>
      <c r="LOX68" s="1"/>
      <c r="LOY68" s="1"/>
      <c r="LOZ68" s="1"/>
      <c r="LPA68" s="1"/>
      <c r="LPB68" s="1"/>
      <c r="LPC68" s="1"/>
      <c r="LPD68" s="1"/>
      <c r="LPE68" s="1"/>
      <c r="LPF68" s="1"/>
      <c r="LPG68" s="1"/>
      <c r="LPH68" s="1"/>
      <c r="LPI68" s="1"/>
      <c r="LPJ68" s="1"/>
      <c r="LPK68" s="1"/>
      <c r="LPL68" s="1"/>
      <c r="LPM68" s="1"/>
      <c r="LPN68" s="1"/>
      <c r="LPO68" s="1"/>
      <c r="LPP68" s="1"/>
      <c r="LPQ68" s="1"/>
      <c r="LPR68" s="1"/>
      <c r="LPS68" s="1"/>
      <c r="LPT68" s="1"/>
      <c r="LPU68" s="1"/>
      <c r="LPV68" s="1"/>
      <c r="LPW68" s="1"/>
      <c r="LPX68" s="1"/>
      <c r="LPY68" s="1"/>
      <c r="LPZ68" s="1"/>
      <c r="LQA68" s="1"/>
      <c r="LQB68" s="1"/>
      <c r="LQC68" s="1"/>
      <c r="LQD68" s="1"/>
      <c r="LQE68" s="1"/>
      <c r="LQF68" s="1"/>
      <c r="LQG68" s="1"/>
      <c r="LQH68" s="1"/>
      <c r="LQI68" s="1"/>
      <c r="LQJ68" s="1"/>
      <c r="LQK68" s="1"/>
      <c r="LQL68" s="1"/>
      <c r="LQM68" s="1"/>
      <c r="LQN68" s="1"/>
      <c r="LQO68" s="1"/>
      <c r="LQP68" s="1"/>
      <c r="LQQ68" s="1"/>
      <c r="LQR68" s="1"/>
      <c r="LQS68" s="1"/>
      <c r="LQT68" s="1"/>
      <c r="LQU68" s="1"/>
      <c r="LQV68" s="1"/>
      <c r="LQW68" s="1"/>
      <c r="LQX68" s="1"/>
      <c r="LQY68" s="1"/>
      <c r="LQZ68" s="1"/>
      <c r="LRA68" s="1"/>
      <c r="LRB68" s="1"/>
      <c r="LRC68" s="1"/>
      <c r="LRD68" s="1"/>
      <c r="LRE68" s="1"/>
      <c r="LRF68" s="1"/>
      <c r="LRG68" s="1"/>
      <c r="LRH68" s="1"/>
      <c r="LRI68" s="1"/>
      <c r="LRJ68" s="1"/>
      <c r="LRK68" s="1"/>
      <c r="LRL68" s="1"/>
      <c r="LRM68" s="1"/>
      <c r="LRN68" s="1"/>
      <c r="LRO68" s="1"/>
      <c r="LRP68" s="1"/>
      <c r="LRQ68" s="1"/>
      <c r="LRR68" s="1"/>
      <c r="LRS68" s="1"/>
      <c r="LRT68" s="1"/>
      <c r="LRU68" s="1"/>
      <c r="LRV68" s="1"/>
      <c r="LRW68" s="1"/>
      <c r="LRX68" s="1"/>
      <c r="LRY68" s="1"/>
      <c r="LRZ68" s="1"/>
      <c r="LSA68" s="1"/>
      <c r="LSB68" s="1"/>
      <c r="LSC68" s="1"/>
      <c r="LSD68" s="1"/>
      <c r="LSE68" s="1"/>
      <c r="LSF68" s="1"/>
      <c r="LSG68" s="1"/>
      <c r="LSH68" s="1"/>
      <c r="LSI68" s="1"/>
      <c r="LSJ68" s="1"/>
      <c r="LSK68" s="1"/>
      <c r="LSL68" s="1"/>
      <c r="LSM68" s="1"/>
      <c r="LSN68" s="1"/>
      <c r="LSO68" s="1"/>
      <c r="LSP68" s="1"/>
      <c r="LSQ68" s="1"/>
      <c r="LSR68" s="1"/>
      <c r="LSS68" s="1"/>
      <c r="LST68" s="1"/>
      <c r="LSU68" s="1"/>
      <c r="LSV68" s="1"/>
      <c r="LSW68" s="1"/>
      <c r="LSX68" s="1"/>
      <c r="LSY68" s="1"/>
      <c r="LSZ68" s="1"/>
      <c r="LTA68" s="1"/>
      <c r="LTB68" s="1"/>
      <c r="LTC68" s="1"/>
      <c r="LTD68" s="1"/>
      <c r="LTE68" s="1"/>
      <c r="LTF68" s="1"/>
      <c r="LTG68" s="1"/>
      <c r="LTH68" s="1"/>
      <c r="LTI68" s="1"/>
      <c r="LTJ68" s="1"/>
      <c r="LTK68" s="1"/>
      <c r="LTL68" s="1"/>
      <c r="LTM68" s="1"/>
      <c r="LTN68" s="1"/>
      <c r="LTO68" s="1"/>
      <c r="LTP68" s="1"/>
      <c r="LTQ68" s="1"/>
      <c r="LTR68" s="1"/>
      <c r="LTS68" s="1"/>
      <c r="LTT68" s="1"/>
      <c r="LTU68" s="1"/>
      <c r="LTV68" s="1"/>
      <c r="LTW68" s="1"/>
      <c r="LTX68" s="1"/>
      <c r="LTY68" s="1"/>
      <c r="LTZ68" s="1"/>
      <c r="LUA68" s="1"/>
      <c r="LUB68" s="1"/>
      <c r="LUC68" s="1"/>
      <c r="LUD68" s="1"/>
      <c r="LUE68" s="1"/>
      <c r="LUF68" s="1"/>
      <c r="LUG68" s="1"/>
      <c r="LUH68" s="1"/>
      <c r="LUI68" s="1"/>
      <c r="LUJ68" s="1"/>
      <c r="LUK68" s="1"/>
      <c r="LUL68" s="1"/>
      <c r="LUM68" s="1"/>
      <c r="LUN68" s="1"/>
      <c r="LUO68" s="1"/>
      <c r="LUP68" s="1"/>
      <c r="LUQ68" s="1"/>
      <c r="LUR68" s="1"/>
      <c r="LUS68" s="1"/>
      <c r="LUT68" s="1"/>
      <c r="LUU68" s="1"/>
      <c r="LUV68" s="1"/>
      <c r="LUW68" s="1"/>
      <c r="LUX68" s="1"/>
      <c r="LUY68" s="1"/>
      <c r="LUZ68" s="1"/>
      <c r="LVA68" s="1"/>
      <c r="LVB68" s="1"/>
      <c r="LVC68" s="1"/>
      <c r="LVD68" s="1"/>
      <c r="LVE68" s="1"/>
      <c r="LVF68" s="1"/>
      <c r="LVG68" s="1"/>
      <c r="LVH68" s="1"/>
      <c r="LVI68" s="1"/>
      <c r="LVJ68" s="1"/>
      <c r="LVK68" s="1"/>
      <c r="LVL68" s="1"/>
      <c r="LVM68" s="1"/>
      <c r="LVN68" s="1"/>
      <c r="LVO68" s="1"/>
      <c r="LVP68" s="1"/>
      <c r="LVQ68" s="1"/>
      <c r="LVR68" s="1"/>
      <c r="LVS68" s="1"/>
      <c r="LVT68" s="1"/>
      <c r="LVU68" s="1"/>
      <c r="LVV68" s="1"/>
      <c r="LVW68" s="1"/>
      <c r="LVX68" s="1"/>
      <c r="LVY68" s="1"/>
      <c r="LVZ68" s="1"/>
      <c r="LWA68" s="1"/>
      <c r="LWB68" s="1"/>
      <c r="LWC68" s="1"/>
      <c r="LWD68" s="1"/>
      <c r="LWE68" s="1"/>
      <c r="LWF68" s="1"/>
      <c r="LWG68" s="1"/>
      <c r="LWH68" s="1"/>
      <c r="LWI68" s="1"/>
      <c r="LWJ68" s="1"/>
      <c r="LWK68" s="1"/>
      <c r="LWL68" s="1"/>
      <c r="LWM68" s="1"/>
      <c r="LWN68" s="1"/>
      <c r="LWO68" s="1"/>
      <c r="LWP68" s="1"/>
      <c r="LWQ68" s="1"/>
      <c r="LWR68" s="1"/>
      <c r="LWS68" s="1"/>
      <c r="LWT68" s="1"/>
      <c r="LWU68" s="1"/>
      <c r="LWV68" s="1"/>
      <c r="LWW68" s="1"/>
      <c r="LWX68" s="1"/>
      <c r="LWY68" s="1"/>
      <c r="LWZ68" s="1"/>
      <c r="LXA68" s="1"/>
      <c r="LXB68" s="1"/>
      <c r="LXC68" s="1"/>
      <c r="LXD68" s="1"/>
      <c r="LXE68" s="1"/>
      <c r="LXF68" s="1"/>
      <c r="LXG68" s="1"/>
      <c r="LXH68" s="1"/>
      <c r="LXI68" s="1"/>
      <c r="LXJ68" s="1"/>
      <c r="LXK68" s="1"/>
      <c r="LXL68" s="1"/>
      <c r="LXM68" s="1"/>
      <c r="LXN68" s="1"/>
      <c r="LXO68" s="1"/>
      <c r="LXP68" s="1"/>
      <c r="LXQ68" s="1"/>
      <c r="LXR68" s="1"/>
      <c r="LXS68" s="1"/>
      <c r="LXT68" s="1"/>
      <c r="LXU68" s="1"/>
      <c r="LXV68" s="1"/>
      <c r="LXW68" s="1"/>
      <c r="LXX68" s="1"/>
      <c r="LXY68" s="1"/>
      <c r="LXZ68" s="1"/>
      <c r="LYA68" s="1"/>
      <c r="LYB68" s="1"/>
      <c r="LYC68" s="1"/>
      <c r="LYD68" s="1"/>
      <c r="LYE68" s="1"/>
      <c r="LYF68" s="1"/>
      <c r="LYG68" s="1"/>
      <c r="LYH68" s="1"/>
      <c r="LYI68" s="1"/>
      <c r="LYJ68" s="1"/>
      <c r="LYK68" s="1"/>
      <c r="LYL68" s="1"/>
      <c r="LYM68" s="1"/>
      <c r="LYN68" s="1"/>
      <c r="LYO68" s="1"/>
      <c r="LYP68" s="1"/>
      <c r="LYQ68" s="1"/>
      <c r="LYR68" s="1"/>
      <c r="LYS68" s="1"/>
      <c r="LYT68" s="1"/>
      <c r="LYU68" s="1"/>
      <c r="LYV68" s="1"/>
      <c r="LYW68" s="1"/>
      <c r="LYX68" s="1"/>
      <c r="LYY68" s="1"/>
      <c r="LYZ68" s="1"/>
      <c r="LZA68" s="1"/>
      <c r="LZB68" s="1"/>
      <c r="LZC68" s="1"/>
      <c r="LZD68" s="1"/>
      <c r="LZE68" s="1"/>
      <c r="LZF68" s="1"/>
      <c r="LZG68" s="1"/>
      <c r="LZH68" s="1"/>
      <c r="LZI68" s="1"/>
      <c r="LZJ68" s="1"/>
      <c r="LZK68" s="1"/>
      <c r="LZL68" s="1"/>
      <c r="LZM68" s="1"/>
      <c r="LZN68" s="1"/>
      <c r="LZO68" s="1"/>
      <c r="LZP68" s="1"/>
      <c r="LZQ68" s="1"/>
      <c r="LZR68" s="1"/>
      <c r="LZS68" s="1"/>
      <c r="LZT68" s="1"/>
      <c r="LZU68" s="1"/>
      <c r="LZV68" s="1"/>
      <c r="LZW68" s="1"/>
      <c r="LZX68" s="1"/>
      <c r="LZY68" s="1"/>
      <c r="LZZ68" s="1"/>
      <c r="MAA68" s="1"/>
      <c r="MAB68" s="1"/>
      <c r="MAC68" s="1"/>
      <c r="MAD68" s="1"/>
      <c r="MAE68" s="1"/>
      <c r="MAF68" s="1"/>
      <c r="MAG68" s="1"/>
      <c r="MAH68" s="1"/>
      <c r="MAI68" s="1"/>
      <c r="MAJ68" s="1"/>
      <c r="MAK68" s="1"/>
      <c r="MAL68" s="1"/>
      <c r="MAM68" s="1"/>
      <c r="MAN68" s="1"/>
      <c r="MAO68" s="1"/>
      <c r="MAP68" s="1"/>
      <c r="MAQ68" s="1"/>
      <c r="MAR68" s="1"/>
      <c r="MAS68" s="1"/>
      <c r="MAT68" s="1"/>
      <c r="MAU68" s="1"/>
      <c r="MAV68" s="1"/>
      <c r="MAW68" s="1"/>
      <c r="MAX68" s="1"/>
      <c r="MAY68" s="1"/>
      <c r="MAZ68" s="1"/>
      <c r="MBA68" s="1"/>
      <c r="MBB68" s="1"/>
      <c r="MBC68" s="1"/>
      <c r="MBD68" s="1"/>
      <c r="MBE68" s="1"/>
      <c r="MBF68" s="1"/>
      <c r="MBG68" s="1"/>
      <c r="MBH68" s="1"/>
      <c r="MBI68" s="1"/>
      <c r="MBJ68" s="1"/>
      <c r="MBK68" s="1"/>
      <c r="MBL68" s="1"/>
      <c r="MBM68" s="1"/>
      <c r="MBN68" s="1"/>
      <c r="MBO68" s="1"/>
      <c r="MBP68" s="1"/>
      <c r="MBQ68" s="1"/>
      <c r="MBR68" s="1"/>
      <c r="MBS68" s="1"/>
      <c r="MBT68" s="1"/>
      <c r="MBU68" s="1"/>
      <c r="MBV68" s="1"/>
      <c r="MBW68" s="1"/>
      <c r="MBX68" s="1"/>
      <c r="MBY68" s="1"/>
      <c r="MBZ68" s="1"/>
      <c r="MCA68" s="1"/>
      <c r="MCB68" s="1"/>
      <c r="MCC68" s="1"/>
      <c r="MCD68" s="1"/>
      <c r="MCE68" s="1"/>
      <c r="MCF68" s="1"/>
      <c r="MCG68" s="1"/>
      <c r="MCH68" s="1"/>
      <c r="MCI68" s="1"/>
      <c r="MCJ68" s="1"/>
      <c r="MCK68" s="1"/>
      <c r="MCL68" s="1"/>
      <c r="MCM68" s="1"/>
      <c r="MCN68" s="1"/>
      <c r="MCO68" s="1"/>
      <c r="MCP68" s="1"/>
      <c r="MCQ68" s="1"/>
      <c r="MCR68" s="1"/>
      <c r="MCS68" s="1"/>
      <c r="MCT68" s="1"/>
      <c r="MCU68" s="1"/>
      <c r="MCV68" s="1"/>
      <c r="MCW68" s="1"/>
      <c r="MCX68" s="1"/>
      <c r="MCY68" s="1"/>
      <c r="MCZ68" s="1"/>
      <c r="MDA68" s="1"/>
      <c r="MDB68" s="1"/>
      <c r="MDC68" s="1"/>
      <c r="MDD68" s="1"/>
      <c r="MDE68" s="1"/>
      <c r="MDF68" s="1"/>
      <c r="MDG68" s="1"/>
      <c r="MDH68" s="1"/>
      <c r="MDI68" s="1"/>
      <c r="MDJ68" s="1"/>
      <c r="MDK68" s="1"/>
      <c r="MDL68" s="1"/>
      <c r="MDM68" s="1"/>
      <c r="MDN68" s="1"/>
      <c r="MDO68" s="1"/>
      <c r="MDP68" s="1"/>
      <c r="MDQ68" s="1"/>
      <c r="MDR68" s="1"/>
      <c r="MDS68" s="1"/>
      <c r="MDT68" s="1"/>
      <c r="MDU68" s="1"/>
      <c r="MDV68" s="1"/>
      <c r="MDW68" s="1"/>
      <c r="MDX68" s="1"/>
      <c r="MDY68" s="1"/>
      <c r="MDZ68" s="1"/>
      <c r="MEA68" s="1"/>
      <c r="MEB68" s="1"/>
      <c r="MEC68" s="1"/>
      <c r="MED68" s="1"/>
      <c r="MEE68" s="1"/>
      <c r="MEF68" s="1"/>
      <c r="MEG68" s="1"/>
      <c r="MEH68" s="1"/>
      <c r="MEI68" s="1"/>
      <c r="MEJ68" s="1"/>
      <c r="MEK68" s="1"/>
      <c r="MEL68" s="1"/>
      <c r="MEM68" s="1"/>
      <c r="MEN68" s="1"/>
      <c r="MEO68" s="1"/>
      <c r="MEP68" s="1"/>
      <c r="MEQ68" s="1"/>
      <c r="MER68" s="1"/>
      <c r="MES68" s="1"/>
      <c r="MET68" s="1"/>
      <c r="MEU68" s="1"/>
      <c r="MEV68" s="1"/>
      <c r="MEW68" s="1"/>
      <c r="MEX68" s="1"/>
      <c r="MEY68" s="1"/>
      <c r="MEZ68" s="1"/>
      <c r="MFA68" s="1"/>
      <c r="MFB68" s="1"/>
      <c r="MFC68" s="1"/>
      <c r="MFD68" s="1"/>
      <c r="MFE68" s="1"/>
      <c r="MFF68" s="1"/>
      <c r="MFG68" s="1"/>
      <c r="MFH68" s="1"/>
      <c r="MFI68" s="1"/>
      <c r="MFJ68" s="1"/>
      <c r="MFK68" s="1"/>
      <c r="MFL68" s="1"/>
      <c r="MFM68" s="1"/>
      <c r="MFN68" s="1"/>
      <c r="MFO68" s="1"/>
      <c r="MFP68" s="1"/>
      <c r="MFQ68" s="1"/>
      <c r="MFR68" s="1"/>
      <c r="MFS68" s="1"/>
      <c r="MFT68" s="1"/>
      <c r="MFU68" s="1"/>
      <c r="MFV68" s="1"/>
      <c r="MFW68" s="1"/>
      <c r="MFX68" s="1"/>
      <c r="MFY68" s="1"/>
      <c r="MFZ68" s="1"/>
      <c r="MGA68" s="1"/>
      <c r="MGB68" s="1"/>
      <c r="MGC68" s="1"/>
      <c r="MGD68" s="1"/>
      <c r="MGE68" s="1"/>
      <c r="MGF68" s="1"/>
      <c r="MGG68" s="1"/>
      <c r="MGH68" s="1"/>
      <c r="MGI68" s="1"/>
      <c r="MGJ68" s="1"/>
      <c r="MGK68" s="1"/>
      <c r="MGL68" s="1"/>
      <c r="MGM68" s="1"/>
      <c r="MGN68" s="1"/>
      <c r="MGO68" s="1"/>
      <c r="MGP68" s="1"/>
      <c r="MGQ68" s="1"/>
      <c r="MGR68" s="1"/>
      <c r="MGS68" s="1"/>
      <c r="MGT68" s="1"/>
      <c r="MGU68" s="1"/>
      <c r="MGV68" s="1"/>
      <c r="MGW68" s="1"/>
      <c r="MGX68" s="1"/>
      <c r="MGY68" s="1"/>
      <c r="MGZ68" s="1"/>
      <c r="MHA68" s="1"/>
      <c r="MHB68" s="1"/>
      <c r="MHC68" s="1"/>
      <c r="MHD68" s="1"/>
      <c r="MHE68" s="1"/>
      <c r="MHF68" s="1"/>
      <c r="MHG68" s="1"/>
      <c r="MHH68" s="1"/>
      <c r="MHI68" s="1"/>
      <c r="MHJ68" s="1"/>
      <c r="MHK68" s="1"/>
      <c r="MHL68" s="1"/>
      <c r="MHM68" s="1"/>
      <c r="MHN68" s="1"/>
      <c r="MHO68" s="1"/>
      <c r="MHP68" s="1"/>
      <c r="MHQ68" s="1"/>
      <c r="MHR68" s="1"/>
      <c r="MHS68" s="1"/>
      <c r="MHT68" s="1"/>
      <c r="MHU68" s="1"/>
      <c r="MHV68" s="1"/>
      <c r="MHW68" s="1"/>
      <c r="MHX68" s="1"/>
      <c r="MHY68" s="1"/>
      <c r="MHZ68" s="1"/>
      <c r="MIA68" s="1"/>
      <c r="MIB68" s="1"/>
      <c r="MIC68" s="1"/>
      <c r="MID68" s="1"/>
      <c r="MIE68" s="1"/>
      <c r="MIF68" s="1"/>
      <c r="MIG68" s="1"/>
      <c r="MIH68" s="1"/>
      <c r="MII68" s="1"/>
      <c r="MIJ68" s="1"/>
      <c r="MIK68" s="1"/>
      <c r="MIL68" s="1"/>
      <c r="MIM68" s="1"/>
      <c r="MIN68" s="1"/>
      <c r="MIO68" s="1"/>
      <c r="MIP68" s="1"/>
      <c r="MIQ68" s="1"/>
      <c r="MIR68" s="1"/>
      <c r="MIS68" s="1"/>
      <c r="MIT68" s="1"/>
      <c r="MIU68" s="1"/>
      <c r="MIV68" s="1"/>
      <c r="MIW68" s="1"/>
      <c r="MIX68" s="1"/>
      <c r="MIY68" s="1"/>
      <c r="MIZ68" s="1"/>
      <c r="MJA68" s="1"/>
      <c r="MJB68" s="1"/>
      <c r="MJC68" s="1"/>
      <c r="MJD68" s="1"/>
      <c r="MJE68" s="1"/>
      <c r="MJF68" s="1"/>
      <c r="MJG68" s="1"/>
      <c r="MJH68" s="1"/>
      <c r="MJI68" s="1"/>
      <c r="MJJ68" s="1"/>
      <c r="MJK68" s="1"/>
      <c r="MJL68" s="1"/>
      <c r="MJM68" s="1"/>
      <c r="MJN68" s="1"/>
      <c r="MJO68" s="1"/>
      <c r="MJP68" s="1"/>
      <c r="MJQ68" s="1"/>
      <c r="MJR68" s="1"/>
      <c r="MJS68" s="1"/>
      <c r="MJT68" s="1"/>
      <c r="MJU68" s="1"/>
      <c r="MJV68" s="1"/>
      <c r="MJW68" s="1"/>
      <c r="MJX68" s="1"/>
      <c r="MJY68" s="1"/>
      <c r="MJZ68" s="1"/>
      <c r="MKA68" s="1"/>
      <c r="MKB68" s="1"/>
      <c r="MKC68" s="1"/>
      <c r="MKD68" s="1"/>
      <c r="MKE68" s="1"/>
      <c r="MKF68" s="1"/>
      <c r="MKG68" s="1"/>
      <c r="MKH68" s="1"/>
      <c r="MKI68" s="1"/>
      <c r="MKJ68" s="1"/>
      <c r="MKK68" s="1"/>
      <c r="MKL68" s="1"/>
      <c r="MKM68" s="1"/>
      <c r="MKN68" s="1"/>
      <c r="MKO68" s="1"/>
      <c r="MKP68" s="1"/>
      <c r="MKQ68" s="1"/>
      <c r="MKR68" s="1"/>
      <c r="MKS68" s="1"/>
      <c r="MKT68" s="1"/>
      <c r="MKU68" s="1"/>
      <c r="MKV68" s="1"/>
      <c r="MKW68" s="1"/>
      <c r="MKX68" s="1"/>
      <c r="MKY68" s="1"/>
      <c r="MKZ68" s="1"/>
      <c r="MLA68" s="1"/>
      <c r="MLB68" s="1"/>
      <c r="MLC68" s="1"/>
      <c r="MLD68" s="1"/>
      <c r="MLE68" s="1"/>
      <c r="MLF68" s="1"/>
      <c r="MLG68" s="1"/>
      <c r="MLH68" s="1"/>
      <c r="MLI68" s="1"/>
      <c r="MLJ68" s="1"/>
      <c r="MLK68" s="1"/>
      <c r="MLL68" s="1"/>
      <c r="MLM68" s="1"/>
      <c r="MLN68" s="1"/>
      <c r="MLO68" s="1"/>
      <c r="MLP68" s="1"/>
      <c r="MLQ68" s="1"/>
      <c r="MLR68" s="1"/>
      <c r="MLS68" s="1"/>
      <c r="MLT68" s="1"/>
      <c r="MLU68" s="1"/>
      <c r="MLV68" s="1"/>
      <c r="MLW68" s="1"/>
      <c r="MLX68" s="1"/>
      <c r="MLY68" s="1"/>
      <c r="MLZ68" s="1"/>
      <c r="MMA68" s="1"/>
      <c r="MMB68" s="1"/>
      <c r="MMC68" s="1"/>
      <c r="MMD68" s="1"/>
      <c r="MME68" s="1"/>
      <c r="MMF68" s="1"/>
      <c r="MMG68" s="1"/>
      <c r="MMH68" s="1"/>
      <c r="MMI68" s="1"/>
      <c r="MMJ68" s="1"/>
      <c r="MMK68" s="1"/>
      <c r="MML68" s="1"/>
      <c r="MMM68" s="1"/>
      <c r="MMN68" s="1"/>
      <c r="MMO68" s="1"/>
      <c r="MMP68" s="1"/>
      <c r="MMQ68" s="1"/>
      <c r="MMR68" s="1"/>
      <c r="MMS68" s="1"/>
      <c r="MMT68" s="1"/>
      <c r="MMU68" s="1"/>
      <c r="MMV68" s="1"/>
      <c r="MMW68" s="1"/>
      <c r="MMX68" s="1"/>
      <c r="MMY68" s="1"/>
      <c r="MMZ68" s="1"/>
      <c r="MNA68" s="1"/>
      <c r="MNB68" s="1"/>
      <c r="MNC68" s="1"/>
      <c r="MND68" s="1"/>
      <c r="MNE68" s="1"/>
      <c r="MNF68" s="1"/>
      <c r="MNG68" s="1"/>
      <c r="MNH68" s="1"/>
      <c r="MNI68" s="1"/>
      <c r="MNJ68" s="1"/>
      <c r="MNK68" s="1"/>
      <c r="MNL68" s="1"/>
      <c r="MNM68" s="1"/>
      <c r="MNN68" s="1"/>
      <c r="MNO68" s="1"/>
      <c r="MNP68" s="1"/>
      <c r="MNQ68" s="1"/>
      <c r="MNR68" s="1"/>
      <c r="MNS68" s="1"/>
      <c r="MNT68" s="1"/>
      <c r="MNU68" s="1"/>
      <c r="MNV68" s="1"/>
      <c r="MNW68" s="1"/>
      <c r="MNX68" s="1"/>
      <c r="MNY68" s="1"/>
      <c r="MNZ68" s="1"/>
      <c r="MOA68" s="1"/>
      <c r="MOB68" s="1"/>
      <c r="MOC68" s="1"/>
      <c r="MOD68" s="1"/>
      <c r="MOE68" s="1"/>
      <c r="MOF68" s="1"/>
      <c r="MOG68" s="1"/>
      <c r="MOH68" s="1"/>
      <c r="MOI68" s="1"/>
      <c r="MOJ68" s="1"/>
      <c r="MOK68" s="1"/>
      <c r="MOL68" s="1"/>
      <c r="MOM68" s="1"/>
      <c r="MON68" s="1"/>
      <c r="MOO68" s="1"/>
      <c r="MOP68" s="1"/>
      <c r="MOQ68" s="1"/>
      <c r="MOR68" s="1"/>
      <c r="MOS68" s="1"/>
      <c r="MOT68" s="1"/>
      <c r="MOU68" s="1"/>
      <c r="MOV68" s="1"/>
      <c r="MOW68" s="1"/>
      <c r="MOX68" s="1"/>
      <c r="MOY68" s="1"/>
      <c r="MOZ68" s="1"/>
      <c r="MPA68" s="1"/>
      <c r="MPB68" s="1"/>
      <c r="MPC68" s="1"/>
      <c r="MPD68" s="1"/>
      <c r="MPE68" s="1"/>
      <c r="MPF68" s="1"/>
      <c r="MPG68" s="1"/>
      <c r="MPH68" s="1"/>
      <c r="MPI68" s="1"/>
      <c r="MPJ68" s="1"/>
      <c r="MPK68" s="1"/>
      <c r="MPL68" s="1"/>
      <c r="MPM68" s="1"/>
      <c r="MPN68" s="1"/>
      <c r="MPO68" s="1"/>
      <c r="MPP68" s="1"/>
      <c r="MPQ68" s="1"/>
      <c r="MPR68" s="1"/>
      <c r="MPS68" s="1"/>
      <c r="MPT68" s="1"/>
      <c r="MPU68" s="1"/>
      <c r="MPV68" s="1"/>
      <c r="MPW68" s="1"/>
      <c r="MPX68" s="1"/>
      <c r="MPY68" s="1"/>
      <c r="MPZ68" s="1"/>
      <c r="MQA68" s="1"/>
      <c r="MQB68" s="1"/>
      <c r="MQC68" s="1"/>
      <c r="MQD68" s="1"/>
      <c r="MQE68" s="1"/>
      <c r="MQF68" s="1"/>
      <c r="MQG68" s="1"/>
      <c r="MQH68" s="1"/>
      <c r="MQI68" s="1"/>
      <c r="MQJ68" s="1"/>
      <c r="MQK68" s="1"/>
      <c r="MQL68" s="1"/>
      <c r="MQM68" s="1"/>
      <c r="MQN68" s="1"/>
      <c r="MQO68" s="1"/>
      <c r="MQP68" s="1"/>
      <c r="MQQ68" s="1"/>
      <c r="MQR68" s="1"/>
      <c r="MQS68" s="1"/>
      <c r="MQT68" s="1"/>
      <c r="MQU68" s="1"/>
      <c r="MQV68" s="1"/>
      <c r="MQW68" s="1"/>
      <c r="MQX68" s="1"/>
      <c r="MQY68" s="1"/>
      <c r="MQZ68" s="1"/>
      <c r="MRA68" s="1"/>
      <c r="MRB68" s="1"/>
      <c r="MRC68" s="1"/>
      <c r="MRD68" s="1"/>
      <c r="MRE68" s="1"/>
      <c r="MRF68" s="1"/>
      <c r="MRG68" s="1"/>
      <c r="MRH68" s="1"/>
      <c r="MRI68" s="1"/>
      <c r="MRJ68" s="1"/>
      <c r="MRK68" s="1"/>
      <c r="MRL68" s="1"/>
      <c r="MRM68" s="1"/>
      <c r="MRN68" s="1"/>
      <c r="MRO68" s="1"/>
      <c r="MRP68" s="1"/>
      <c r="MRQ68" s="1"/>
      <c r="MRR68" s="1"/>
      <c r="MRS68" s="1"/>
      <c r="MRT68" s="1"/>
      <c r="MRU68" s="1"/>
      <c r="MRV68" s="1"/>
      <c r="MRW68" s="1"/>
      <c r="MRX68" s="1"/>
      <c r="MRY68" s="1"/>
      <c r="MRZ68" s="1"/>
      <c r="MSA68" s="1"/>
      <c r="MSB68" s="1"/>
      <c r="MSC68" s="1"/>
      <c r="MSD68" s="1"/>
      <c r="MSE68" s="1"/>
      <c r="MSF68" s="1"/>
      <c r="MSG68" s="1"/>
      <c r="MSH68" s="1"/>
      <c r="MSI68" s="1"/>
      <c r="MSJ68" s="1"/>
      <c r="MSK68" s="1"/>
      <c r="MSL68" s="1"/>
      <c r="MSM68" s="1"/>
      <c r="MSN68" s="1"/>
      <c r="MSO68" s="1"/>
      <c r="MSP68" s="1"/>
      <c r="MSQ68" s="1"/>
      <c r="MSR68" s="1"/>
      <c r="MSS68" s="1"/>
      <c r="MST68" s="1"/>
      <c r="MSU68" s="1"/>
      <c r="MSV68" s="1"/>
      <c r="MSW68" s="1"/>
      <c r="MSX68" s="1"/>
      <c r="MSY68" s="1"/>
      <c r="MSZ68" s="1"/>
      <c r="MTA68" s="1"/>
      <c r="MTB68" s="1"/>
      <c r="MTC68" s="1"/>
      <c r="MTD68" s="1"/>
      <c r="MTE68" s="1"/>
      <c r="MTF68" s="1"/>
      <c r="MTG68" s="1"/>
      <c r="MTH68" s="1"/>
      <c r="MTI68" s="1"/>
      <c r="MTJ68" s="1"/>
      <c r="MTK68" s="1"/>
      <c r="MTL68" s="1"/>
      <c r="MTM68" s="1"/>
      <c r="MTN68" s="1"/>
      <c r="MTO68" s="1"/>
      <c r="MTP68" s="1"/>
      <c r="MTQ68" s="1"/>
      <c r="MTR68" s="1"/>
      <c r="MTS68" s="1"/>
      <c r="MTT68" s="1"/>
      <c r="MTU68" s="1"/>
      <c r="MTV68" s="1"/>
      <c r="MTW68" s="1"/>
      <c r="MTX68" s="1"/>
      <c r="MTY68" s="1"/>
      <c r="MTZ68" s="1"/>
      <c r="MUA68" s="1"/>
      <c r="MUB68" s="1"/>
      <c r="MUC68" s="1"/>
      <c r="MUD68" s="1"/>
      <c r="MUE68" s="1"/>
      <c r="MUF68" s="1"/>
      <c r="MUG68" s="1"/>
      <c r="MUH68" s="1"/>
      <c r="MUI68" s="1"/>
      <c r="MUJ68" s="1"/>
      <c r="MUK68" s="1"/>
      <c r="MUL68" s="1"/>
      <c r="MUM68" s="1"/>
      <c r="MUN68" s="1"/>
      <c r="MUO68" s="1"/>
      <c r="MUP68" s="1"/>
      <c r="MUQ68" s="1"/>
      <c r="MUR68" s="1"/>
      <c r="MUS68" s="1"/>
      <c r="MUT68" s="1"/>
      <c r="MUU68" s="1"/>
      <c r="MUV68" s="1"/>
      <c r="MUW68" s="1"/>
      <c r="MUX68" s="1"/>
      <c r="MUY68" s="1"/>
      <c r="MUZ68" s="1"/>
      <c r="MVA68" s="1"/>
      <c r="MVB68" s="1"/>
      <c r="MVC68" s="1"/>
      <c r="MVD68" s="1"/>
      <c r="MVE68" s="1"/>
      <c r="MVF68" s="1"/>
      <c r="MVG68" s="1"/>
      <c r="MVH68" s="1"/>
      <c r="MVI68" s="1"/>
      <c r="MVJ68" s="1"/>
      <c r="MVK68" s="1"/>
      <c r="MVL68" s="1"/>
      <c r="MVM68" s="1"/>
      <c r="MVN68" s="1"/>
      <c r="MVO68" s="1"/>
      <c r="MVP68" s="1"/>
      <c r="MVQ68" s="1"/>
      <c r="MVR68" s="1"/>
      <c r="MVS68" s="1"/>
      <c r="MVT68" s="1"/>
      <c r="MVU68" s="1"/>
      <c r="MVV68" s="1"/>
      <c r="MVW68" s="1"/>
      <c r="MVX68" s="1"/>
      <c r="MVY68" s="1"/>
      <c r="MVZ68" s="1"/>
      <c r="MWA68" s="1"/>
      <c r="MWB68" s="1"/>
      <c r="MWC68" s="1"/>
      <c r="MWD68" s="1"/>
      <c r="MWE68" s="1"/>
      <c r="MWF68" s="1"/>
      <c r="MWG68" s="1"/>
      <c r="MWH68" s="1"/>
      <c r="MWI68" s="1"/>
      <c r="MWJ68" s="1"/>
      <c r="MWK68" s="1"/>
      <c r="MWL68" s="1"/>
      <c r="MWM68" s="1"/>
      <c r="MWN68" s="1"/>
      <c r="MWO68" s="1"/>
      <c r="MWP68" s="1"/>
      <c r="MWQ68" s="1"/>
      <c r="MWR68" s="1"/>
      <c r="MWS68" s="1"/>
      <c r="MWT68" s="1"/>
      <c r="MWU68" s="1"/>
      <c r="MWV68" s="1"/>
      <c r="MWW68" s="1"/>
      <c r="MWX68" s="1"/>
      <c r="MWY68" s="1"/>
      <c r="MWZ68" s="1"/>
      <c r="MXA68" s="1"/>
      <c r="MXB68" s="1"/>
      <c r="MXC68" s="1"/>
      <c r="MXD68" s="1"/>
      <c r="MXE68" s="1"/>
      <c r="MXF68" s="1"/>
      <c r="MXG68" s="1"/>
      <c r="MXH68" s="1"/>
      <c r="MXI68" s="1"/>
      <c r="MXJ68" s="1"/>
      <c r="MXK68" s="1"/>
      <c r="MXL68" s="1"/>
      <c r="MXM68" s="1"/>
      <c r="MXN68" s="1"/>
      <c r="MXO68" s="1"/>
      <c r="MXP68" s="1"/>
      <c r="MXQ68" s="1"/>
      <c r="MXR68" s="1"/>
      <c r="MXS68" s="1"/>
      <c r="MXT68" s="1"/>
      <c r="MXU68" s="1"/>
      <c r="MXV68" s="1"/>
      <c r="MXW68" s="1"/>
      <c r="MXX68" s="1"/>
      <c r="MXY68" s="1"/>
      <c r="MXZ68" s="1"/>
      <c r="MYA68" s="1"/>
      <c r="MYB68" s="1"/>
      <c r="MYC68" s="1"/>
      <c r="MYD68" s="1"/>
      <c r="MYE68" s="1"/>
      <c r="MYF68" s="1"/>
      <c r="MYG68" s="1"/>
      <c r="MYH68" s="1"/>
      <c r="MYI68" s="1"/>
      <c r="MYJ68" s="1"/>
      <c r="MYK68" s="1"/>
      <c r="MYL68" s="1"/>
      <c r="MYM68" s="1"/>
      <c r="MYN68" s="1"/>
      <c r="MYO68" s="1"/>
      <c r="MYP68" s="1"/>
      <c r="MYQ68" s="1"/>
      <c r="MYR68" s="1"/>
      <c r="MYS68" s="1"/>
      <c r="MYT68" s="1"/>
      <c r="MYU68" s="1"/>
      <c r="MYV68" s="1"/>
      <c r="MYW68" s="1"/>
      <c r="MYX68" s="1"/>
      <c r="MYY68" s="1"/>
      <c r="MYZ68" s="1"/>
      <c r="MZA68" s="1"/>
      <c r="MZB68" s="1"/>
      <c r="MZC68" s="1"/>
      <c r="MZD68" s="1"/>
      <c r="MZE68" s="1"/>
      <c r="MZF68" s="1"/>
      <c r="MZG68" s="1"/>
      <c r="MZH68" s="1"/>
      <c r="MZI68" s="1"/>
      <c r="MZJ68" s="1"/>
      <c r="MZK68" s="1"/>
      <c r="MZL68" s="1"/>
      <c r="MZM68" s="1"/>
      <c r="MZN68" s="1"/>
      <c r="MZO68" s="1"/>
      <c r="MZP68" s="1"/>
      <c r="MZQ68" s="1"/>
      <c r="MZR68" s="1"/>
      <c r="MZS68" s="1"/>
      <c r="MZT68" s="1"/>
      <c r="MZU68" s="1"/>
      <c r="MZV68" s="1"/>
      <c r="MZW68" s="1"/>
      <c r="MZX68" s="1"/>
      <c r="MZY68" s="1"/>
      <c r="MZZ68" s="1"/>
      <c r="NAA68" s="1"/>
      <c r="NAB68" s="1"/>
      <c r="NAC68" s="1"/>
      <c r="NAD68" s="1"/>
      <c r="NAE68" s="1"/>
      <c r="NAF68" s="1"/>
      <c r="NAG68" s="1"/>
      <c r="NAH68" s="1"/>
      <c r="NAI68" s="1"/>
      <c r="NAJ68" s="1"/>
      <c r="NAK68" s="1"/>
      <c r="NAL68" s="1"/>
      <c r="NAM68" s="1"/>
      <c r="NAN68" s="1"/>
      <c r="NAO68" s="1"/>
      <c r="NAP68" s="1"/>
      <c r="NAQ68" s="1"/>
      <c r="NAR68" s="1"/>
      <c r="NAS68" s="1"/>
      <c r="NAT68" s="1"/>
      <c r="NAU68" s="1"/>
      <c r="NAV68" s="1"/>
      <c r="NAW68" s="1"/>
      <c r="NAX68" s="1"/>
      <c r="NAY68" s="1"/>
      <c r="NAZ68" s="1"/>
      <c r="NBA68" s="1"/>
      <c r="NBB68" s="1"/>
      <c r="NBC68" s="1"/>
      <c r="NBD68" s="1"/>
      <c r="NBE68" s="1"/>
      <c r="NBF68" s="1"/>
      <c r="NBG68" s="1"/>
      <c r="NBH68" s="1"/>
      <c r="NBI68" s="1"/>
      <c r="NBJ68" s="1"/>
      <c r="NBK68" s="1"/>
      <c r="NBL68" s="1"/>
      <c r="NBM68" s="1"/>
      <c r="NBN68" s="1"/>
      <c r="NBO68" s="1"/>
      <c r="NBP68" s="1"/>
      <c r="NBQ68" s="1"/>
      <c r="NBR68" s="1"/>
      <c r="NBS68" s="1"/>
      <c r="NBT68" s="1"/>
      <c r="NBU68" s="1"/>
      <c r="NBV68" s="1"/>
      <c r="NBW68" s="1"/>
      <c r="NBX68" s="1"/>
      <c r="NBY68" s="1"/>
      <c r="NBZ68" s="1"/>
      <c r="NCA68" s="1"/>
      <c r="NCB68" s="1"/>
      <c r="NCC68" s="1"/>
      <c r="NCD68" s="1"/>
      <c r="NCE68" s="1"/>
      <c r="NCF68" s="1"/>
      <c r="NCG68" s="1"/>
      <c r="NCH68" s="1"/>
      <c r="NCI68" s="1"/>
      <c r="NCJ68" s="1"/>
      <c r="NCK68" s="1"/>
      <c r="NCL68" s="1"/>
      <c r="NCM68" s="1"/>
      <c r="NCN68" s="1"/>
      <c r="NCO68" s="1"/>
      <c r="NCP68" s="1"/>
      <c r="NCQ68" s="1"/>
      <c r="NCR68" s="1"/>
      <c r="NCS68" s="1"/>
      <c r="NCT68" s="1"/>
      <c r="NCU68" s="1"/>
      <c r="NCV68" s="1"/>
      <c r="NCW68" s="1"/>
      <c r="NCX68" s="1"/>
      <c r="NCY68" s="1"/>
      <c r="NCZ68" s="1"/>
      <c r="NDA68" s="1"/>
      <c r="NDB68" s="1"/>
      <c r="NDC68" s="1"/>
      <c r="NDD68" s="1"/>
      <c r="NDE68" s="1"/>
      <c r="NDF68" s="1"/>
      <c r="NDG68" s="1"/>
      <c r="NDH68" s="1"/>
      <c r="NDI68" s="1"/>
      <c r="NDJ68" s="1"/>
      <c r="NDK68" s="1"/>
      <c r="NDL68" s="1"/>
      <c r="NDM68" s="1"/>
      <c r="NDN68" s="1"/>
      <c r="NDO68" s="1"/>
      <c r="NDP68" s="1"/>
      <c r="NDQ68" s="1"/>
      <c r="NDR68" s="1"/>
      <c r="NDS68" s="1"/>
      <c r="NDT68" s="1"/>
      <c r="NDU68" s="1"/>
      <c r="NDV68" s="1"/>
      <c r="NDW68" s="1"/>
      <c r="NDX68" s="1"/>
      <c r="NDY68" s="1"/>
      <c r="NDZ68" s="1"/>
      <c r="NEA68" s="1"/>
      <c r="NEB68" s="1"/>
      <c r="NEC68" s="1"/>
      <c r="NED68" s="1"/>
      <c r="NEE68" s="1"/>
      <c r="NEF68" s="1"/>
      <c r="NEG68" s="1"/>
      <c r="NEH68" s="1"/>
      <c r="NEI68" s="1"/>
      <c r="NEJ68" s="1"/>
      <c r="NEK68" s="1"/>
      <c r="NEL68" s="1"/>
      <c r="NEM68" s="1"/>
      <c r="NEN68" s="1"/>
      <c r="NEO68" s="1"/>
      <c r="NEP68" s="1"/>
      <c r="NEQ68" s="1"/>
      <c r="NER68" s="1"/>
      <c r="NES68" s="1"/>
      <c r="NET68" s="1"/>
      <c r="NEU68" s="1"/>
      <c r="NEV68" s="1"/>
      <c r="NEW68" s="1"/>
      <c r="NEX68" s="1"/>
      <c r="NEY68" s="1"/>
      <c r="NEZ68" s="1"/>
      <c r="NFA68" s="1"/>
      <c r="NFB68" s="1"/>
      <c r="NFC68" s="1"/>
      <c r="NFD68" s="1"/>
      <c r="NFE68" s="1"/>
      <c r="NFF68" s="1"/>
      <c r="NFG68" s="1"/>
      <c r="NFH68" s="1"/>
      <c r="NFI68" s="1"/>
      <c r="NFJ68" s="1"/>
      <c r="NFK68" s="1"/>
      <c r="NFL68" s="1"/>
      <c r="NFM68" s="1"/>
      <c r="NFN68" s="1"/>
      <c r="NFO68" s="1"/>
      <c r="NFP68" s="1"/>
      <c r="NFQ68" s="1"/>
      <c r="NFR68" s="1"/>
      <c r="NFS68" s="1"/>
      <c r="NFT68" s="1"/>
      <c r="NFU68" s="1"/>
      <c r="NFV68" s="1"/>
      <c r="NFW68" s="1"/>
      <c r="NFX68" s="1"/>
      <c r="NFY68" s="1"/>
      <c r="NFZ68" s="1"/>
      <c r="NGA68" s="1"/>
      <c r="NGB68" s="1"/>
      <c r="NGC68" s="1"/>
      <c r="NGD68" s="1"/>
      <c r="NGE68" s="1"/>
      <c r="NGF68" s="1"/>
      <c r="NGG68" s="1"/>
      <c r="NGH68" s="1"/>
      <c r="NGI68" s="1"/>
      <c r="NGJ68" s="1"/>
      <c r="NGK68" s="1"/>
      <c r="NGL68" s="1"/>
      <c r="NGM68" s="1"/>
      <c r="NGN68" s="1"/>
      <c r="NGO68" s="1"/>
      <c r="NGP68" s="1"/>
      <c r="NGQ68" s="1"/>
      <c r="NGR68" s="1"/>
      <c r="NGS68" s="1"/>
      <c r="NGT68" s="1"/>
      <c r="NGU68" s="1"/>
      <c r="NGV68" s="1"/>
      <c r="NGW68" s="1"/>
      <c r="NGX68" s="1"/>
      <c r="NGY68" s="1"/>
      <c r="NGZ68" s="1"/>
      <c r="NHA68" s="1"/>
      <c r="NHB68" s="1"/>
      <c r="NHC68" s="1"/>
      <c r="NHD68" s="1"/>
      <c r="NHE68" s="1"/>
      <c r="NHF68" s="1"/>
      <c r="NHG68" s="1"/>
      <c r="NHH68" s="1"/>
      <c r="NHI68" s="1"/>
      <c r="NHJ68" s="1"/>
      <c r="NHK68" s="1"/>
      <c r="NHL68" s="1"/>
      <c r="NHM68" s="1"/>
      <c r="NHN68" s="1"/>
      <c r="NHO68" s="1"/>
      <c r="NHP68" s="1"/>
      <c r="NHQ68" s="1"/>
      <c r="NHR68" s="1"/>
      <c r="NHS68" s="1"/>
      <c r="NHT68" s="1"/>
      <c r="NHU68" s="1"/>
      <c r="NHV68" s="1"/>
      <c r="NHW68" s="1"/>
      <c r="NHX68" s="1"/>
      <c r="NHY68" s="1"/>
      <c r="NHZ68" s="1"/>
      <c r="NIA68" s="1"/>
      <c r="NIB68" s="1"/>
      <c r="NIC68" s="1"/>
      <c r="NID68" s="1"/>
      <c r="NIE68" s="1"/>
      <c r="NIF68" s="1"/>
      <c r="NIG68" s="1"/>
      <c r="NIH68" s="1"/>
      <c r="NII68" s="1"/>
      <c r="NIJ68" s="1"/>
      <c r="NIK68" s="1"/>
      <c r="NIL68" s="1"/>
      <c r="NIM68" s="1"/>
      <c r="NIN68" s="1"/>
      <c r="NIO68" s="1"/>
      <c r="NIP68" s="1"/>
      <c r="NIQ68" s="1"/>
      <c r="NIR68" s="1"/>
      <c r="NIS68" s="1"/>
      <c r="NIT68" s="1"/>
      <c r="NIU68" s="1"/>
      <c r="NIV68" s="1"/>
      <c r="NIW68" s="1"/>
      <c r="NIX68" s="1"/>
      <c r="NIY68" s="1"/>
      <c r="NIZ68" s="1"/>
      <c r="NJA68" s="1"/>
      <c r="NJB68" s="1"/>
      <c r="NJC68" s="1"/>
      <c r="NJD68" s="1"/>
      <c r="NJE68" s="1"/>
      <c r="NJF68" s="1"/>
      <c r="NJG68" s="1"/>
      <c r="NJH68" s="1"/>
      <c r="NJI68" s="1"/>
      <c r="NJJ68" s="1"/>
      <c r="NJK68" s="1"/>
      <c r="NJL68" s="1"/>
      <c r="NJM68" s="1"/>
      <c r="NJN68" s="1"/>
      <c r="NJO68" s="1"/>
      <c r="NJP68" s="1"/>
      <c r="NJQ68" s="1"/>
      <c r="NJR68" s="1"/>
      <c r="NJS68" s="1"/>
      <c r="NJT68" s="1"/>
      <c r="NJU68" s="1"/>
      <c r="NJV68" s="1"/>
      <c r="NJW68" s="1"/>
      <c r="NJX68" s="1"/>
      <c r="NJY68" s="1"/>
      <c r="NJZ68" s="1"/>
      <c r="NKA68" s="1"/>
      <c r="NKB68" s="1"/>
      <c r="NKC68" s="1"/>
      <c r="NKD68" s="1"/>
      <c r="NKE68" s="1"/>
      <c r="NKF68" s="1"/>
      <c r="NKG68" s="1"/>
      <c r="NKH68" s="1"/>
      <c r="NKI68" s="1"/>
      <c r="NKJ68" s="1"/>
      <c r="NKK68" s="1"/>
      <c r="NKL68" s="1"/>
      <c r="NKM68" s="1"/>
      <c r="NKN68" s="1"/>
      <c r="NKO68" s="1"/>
      <c r="NKP68" s="1"/>
      <c r="NKQ68" s="1"/>
      <c r="NKR68" s="1"/>
      <c r="NKS68" s="1"/>
      <c r="NKT68" s="1"/>
      <c r="NKU68" s="1"/>
      <c r="NKV68" s="1"/>
      <c r="NKW68" s="1"/>
      <c r="NKX68" s="1"/>
      <c r="NKY68" s="1"/>
      <c r="NKZ68" s="1"/>
      <c r="NLA68" s="1"/>
      <c r="NLB68" s="1"/>
      <c r="NLC68" s="1"/>
      <c r="NLD68" s="1"/>
      <c r="NLE68" s="1"/>
      <c r="NLF68" s="1"/>
      <c r="NLG68" s="1"/>
      <c r="NLH68" s="1"/>
      <c r="NLI68" s="1"/>
      <c r="NLJ68" s="1"/>
      <c r="NLK68" s="1"/>
      <c r="NLL68" s="1"/>
      <c r="NLM68" s="1"/>
      <c r="NLN68" s="1"/>
      <c r="NLO68" s="1"/>
      <c r="NLP68" s="1"/>
      <c r="NLQ68" s="1"/>
      <c r="NLR68" s="1"/>
      <c r="NLS68" s="1"/>
      <c r="NLT68" s="1"/>
      <c r="NLU68" s="1"/>
      <c r="NLV68" s="1"/>
      <c r="NLW68" s="1"/>
      <c r="NLX68" s="1"/>
      <c r="NLY68" s="1"/>
      <c r="NLZ68" s="1"/>
      <c r="NMA68" s="1"/>
      <c r="NMB68" s="1"/>
      <c r="NMC68" s="1"/>
      <c r="NMD68" s="1"/>
      <c r="NME68" s="1"/>
      <c r="NMF68" s="1"/>
      <c r="NMG68" s="1"/>
      <c r="NMH68" s="1"/>
      <c r="NMI68" s="1"/>
      <c r="NMJ68" s="1"/>
      <c r="NMK68" s="1"/>
      <c r="NML68" s="1"/>
      <c r="NMM68" s="1"/>
      <c r="NMN68" s="1"/>
      <c r="NMO68" s="1"/>
      <c r="NMP68" s="1"/>
      <c r="NMQ68" s="1"/>
      <c r="NMR68" s="1"/>
      <c r="NMS68" s="1"/>
      <c r="NMT68" s="1"/>
      <c r="NMU68" s="1"/>
      <c r="NMV68" s="1"/>
      <c r="NMW68" s="1"/>
      <c r="NMX68" s="1"/>
      <c r="NMY68" s="1"/>
      <c r="NMZ68" s="1"/>
      <c r="NNA68" s="1"/>
      <c r="NNB68" s="1"/>
      <c r="NNC68" s="1"/>
      <c r="NND68" s="1"/>
      <c r="NNE68" s="1"/>
      <c r="NNF68" s="1"/>
      <c r="NNG68" s="1"/>
      <c r="NNH68" s="1"/>
      <c r="NNI68" s="1"/>
      <c r="NNJ68" s="1"/>
      <c r="NNK68" s="1"/>
      <c r="NNL68" s="1"/>
      <c r="NNM68" s="1"/>
      <c r="NNN68" s="1"/>
      <c r="NNO68" s="1"/>
      <c r="NNP68" s="1"/>
      <c r="NNQ68" s="1"/>
      <c r="NNR68" s="1"/>
      <c r="NNS68" s="1"/>
      <c r="NNT68" s="1"/>
      <c r="NNU68" s="1"/>
      <c r="NNV68" s="1"/>
      <c r="NNW68" s="1"/>
      <c r="NNX68" s="1"/>
      <c r="NNY68" s="1"/>
      <c r="NNZ68" s="1"/>
      <c r="NOA68" s="1"/>
      <c r="NOB68" s="1"/>
      <c r="NOC68" s="1"/>
      <c r="NOD68" s="1"/>
      <c r="NOE68" s="1"/>
      <c r="NOF68" s="1"/>
      <c r="NOG68" s="1"/>
      <c r="NOH68" s="1"/>
      <c r="NOI68" s="1"/>
      <c r="NOJ68" s="1"/>
      <c r="NOK68" s="1"/>
      <c r="NOL68" s="1"/>
      <c r="NOM68" s="1"/>
      <c r="NON68" s="1"/>
      <c r="NOO68" s="1"/>
      <c r="NOP68" s="1"/>
      <c r="NOQ68" s="1"/>
      <c r="NOR68" s="1"/>
      <c r="NOS68" s="1"/>
      <c r="NOT68" s="1"/>
      <c r="NOU68" s="1"/>
      <c r="NOV68" s="1"/>
      <c r="NOW68" s="1"/>
      <c r="NOX68" s="1"/>
      <c r="NOY68" s="1"/>
      <c r="NOZ68" s="1"/>
      <c r="NPA68" s="1"/>
      <c r="NPB68" s="1"/>
      <c r="NPC68" s="1"/>
      <c r="NPD68" s="1"/>
      <c r="NPE68" s="1"/>
      <c r="NPF68" s="1"/>
      <c r="NPG68" s="1"/>
      <c r="NPH68" s="1"/>
      <c r="NPI68" s="1"/>
      <c r="NPJ68" s="1"/>
      <c r="NPK68" s="1"/>
      <c r="NPL68" s="1"/>
      <c r="NPM68" s="1"/>
      <c r="NPN68" s="1"/>
      <c r="NPO68" s="1"/>
      <c r="NPP68" s="1"/>
      <c r="NPQ68" s="1"/>
      <c r="NPR68" s="1"/>
      <c r="NPS68" s="1"/>
      <c r="NPT68" s="1"/>
      <c r="NPU68" s="1"/>
      <c r="NPV68" s="1"/>
      <c r="NPW68" s="1"/>
      <c r="NPX68" s="1"/>
      <c r="NPY68" s="1"/>
      <c r="NPZ68" s="1"/>
      <c r="NQA68" s="1"/>
      <c r="NQB68" s="1"/>
      <c r="NQC68" s="1"/>
      <c r="NQD68" s="1"/>
      <c r="NQE68" s="1"/>
      <c r="NQF68" s="1"/>
      <c r="NQG68" s="1"/>
      <c r="NQH68" s="1"/>
      <c r="NQI68" s="1"/>
      <c r="NQJ68" s="1"/>
      <c r="NQK68" s="1"/>
      <c r="NQL68" s="1"/>
      <c r="NQM68" s="1"/>
      <c r="NQN68" s="1"/>
      <c r="NQO68" s="1"/>
      <c r="NQP68" s="1"/>
      <c r="NQQ68" s="1"/>
      <c r="NQR68" s="1"/>
      <c r="NQS68" s="1"/>
      <c r="NQT68" s="1"/>
      <c r="NQU68" s="1"/>
      <c r="NQV68" s="1"/>
      <c r="NQW68" s="1"/>
      <c r="NQX68" s="1"/>
      <c r="NQY68" s="1"/>
      <c r="NQZ68" s="1"/>
      <c r="NRA68" s="1"/>
      <c r="NRB68" s="1"/>
      <c r="NRC68" s="1"/>
      <c r="NRD68" s="1"/>
      <c r="NRE68" s="1"/>
      <c r="NRF68" s="1"/>
      <c r="NRG68" s="1"/>
      <c r="NRH68" s="1"/>
      <c r="NRI68" s="1"/>
      <c r="NRJ68" s="1"/>
      <c r="NRK68" s="1"/>
      <c r="NRL68" s="1"/>
      <c r="NRM68" s="1"/>
      <c r="NRN68" s="1"/>
      <c r="NRO68" s="1"/>
      <c r="NRP68" s="1"/>
      <c r="NRQ68" s="1"/>
      <c r="NRR68" s="1"/>
      <c r="NRS68" s="1"/>
      <c r="NRT68" s="1"/>
      <c r="NRU68" s="1"/>
      <c r="NRV68" s="1"/>
      <c r="NRW68" s="1"/>
      <c r="NRX68" s="1"/>
      <c r="NRY68" s="1"/>
      <c r="NRZ68" s="1"/>
      <c r="NSA68" s="1"/>
      <c r="NSB68" s="1"/>
      <c r="NSC68" s="1"/>
      <c r="NSD68" s="1"/>
      <c r="NSE68" s="1"/>
      <c r="NSF68" s="1"/>
      <c r="NSG68" s="1"/>
      <c r="NSH68" s="1"/>
      <c r="NSI68" s="1"/>
      <c r="NSJ68" s="1"/>
      <c r="NSK68" s="1"/>
      <c r="NSL68" s="1"/>
      <c r="NSM68" s="1"/>
      <c r="NSN68" s="1"/>
      <c r="NSO68" s="1"/>
      <c r="NSP68" s="1"/>
      <c r="NSQ68" s="1"/>
      <c r="NSR68" s="1"/>
      <c r="NSS68" s="1"/>
      <c r="NST68" s="1"/>
      <c r="NSU68" s="1"/>
      <c r="NSV68" s="1"/>
      <c r="NSW68" s="1"/>
      <c r="NSX68" s="1"/>
      <c r="NSY68" s="1"/>
      <c r="NSZ68" s="1"/>
      <c r="NTA68" s="1"/>
      <c r="NTB68" s="1"/>
      <c r="NTC68" s="1"/>
      <c r="NTD68" s="1"/>
      <c r="NTE68" s="1"/>
      <c r="NTF68" s="1"/>
      <c r="NTG68" s="1"/>
      <c r="NTH68" s="1"/>
      <c r="NTI68" s="1"/>
      <c r="NTJ68" s="1"/>
      <c r="NTK68" s="1"/>
      <c r="NTL68" s="1"/>
      <c r="NTM68" s="1"/>
      <c r="NTN68" s="1"/>
      <c r="NTO68" s="1"/>
      <c r="NTP68" s="1"/>
      <c r="NTQ68" s="1"/>
      <c r="NTR68" s="1"/>
      <c r="NTS68" s="1"/>
      <c r="NTT68" s="1"/>
      <c r="NTU68" s="1"/>
      <c r="NTV68" s="1"/>
      <c r="NTW68" s="1"/>
      <c r="NTX68" s="1"/>
      <c r="NTY68" s="1"/>
      <c r="NTZ68" s="1"/>
      <c r="NUA68" s="1"/>
      <c r="NUB68" s="1"/>
      <c r="NUC68" s="1"/>
      <c r="NUD68" s="1"/>
      <c r="NUE68" s="1"/>
      <c r="NUF68" s="1"/>
      <c r="NUG68" s="1"/>
      <c r="NUH68" s="1"/>
      <c r="NUI68" s="1"/>
      <c r="NUJ68" s="1"/>
      <c r="NUK68" s="1"/>
      <c r="NUL68" s="1"/>
      <c r="NUM68" s="1"/>
      <c r="NUN68" s="1"/>
      <c r="NUO68" s="1"/>
      <c r="NUP68" s="1"/>
      <c r="NUQ68" s="1"/>
      <c r="NUR68" s="1"/>
      <c r="NUS68" s="1"/>
      <c r="NUT68" s="1"/>
      <c r="NUU68" s="1"/>
      <c r="NUV68" s="1"/>
      <c r="NUW68" s="1"/>
      <c r="NUX68" s="1"/>
      <c r="NUY68" s="1"/>
      <c r="NUZ68" s="1"/>
      <c r="NVA68" s="1"/>
      <c r="NVB68" s="1"/>
      <c r="NVC68" s="1"/>
      <c r="NVD68" s="1"/>
      <c r="NVE68" s="1"/>
      <c r="NVF68" s="1"/>
      <c r="NVG68" s="1"/>
      <c r="NVH68" s="1"/>
      <c r="NVI68" s="1"/>
      <c r="NVJ68" s="1"/>
      <c r="NVK68" s="1"/>
      <c r="NVL68" s="1"/>
      <c r="NVM68" s="1"/>
      <c r="NVN68" s="1"/>
      <c r="NVO68" s="1"/>
      <c r="NVP68" s="1"/>
      <c r="NVQ68" s="1"/>
      <c r="NVR68" s="1"/>
      <c r="NVS68" s="1"/>
      <c r="NVT68" s="1"/>
      <c r="NVU68" s="1"/>
      <c r="NVV68" s="1"/>
      <c r="NVW68" s="1"/>
      <c r="NVX68" s="1"/>
      <c r="NVY68" s="1"/>
      <c r="NVZ68" s="1"/>
      <c r="NWA68" s="1"/>
      <c r="NWB68" s="1"/>
      <c r="NWC68" s="1"/>
      <c r="NWD68" s="1"/>
      <c r="NWE68" s="1"/>
      <c r="NWF68" s="1"/>
      <c r="NWG68" s="1"/>
      <c r="NWH68" s="1"/>
      <c r="NWI68" s="1"/>
      <c r="NWJ68" s="1"/>
      <c r="NWK68" s="1"/>
      <c r="NWL68" s="1"/>
      <c r="NWM68" s="1"/>
      <c r="NWN68" s="1"/>
      <c r="NWO68" s="1"/>
      <c r="NWP68" s="1"/>
      <c r="NWQ68" s="1"/>
      <c r="NWR68" s="1"/>
      <c r="NWS68" s="1"/>
      <c r="NWT68" s="1"/>
      <c r="NWU68" s="1"/>
      <c r="NWV68" s="1"/>
      <c r="NWW68" s="1"/>
      <c r="NWX68" s="1"/>
      <c r="NWY68" s="1"/>
      <c r="NWZ68" s="1"/>
      <c r="NXA68" s="1"/>
      <c r="NXB68" s="1"/>
      <c r="NXC68" s="1"/>
      <c r="NXD68" s="1"/>
      <c r="NXE68" s="1"/>
      <c r="NXF68" s="1"/>
      <c r="NXG68" s="1"/>
      <c r="NXH68" s="1"/>
      <c r="NXI68" s="1"/>
      <c r="NXJ68" s="1"/>
      <c r="NXK68" s="1"/>
      <c r="NXL68" s="1"/>
      <c r="NXM68" s="1"/>
      <c r="NXN68" s="1"/>
      <c r="NXO68" s="1"/>
      <c r="NXP68" s="1"/>
      <c r="NXQ68" s="1"/>
      <c r="NXR68" s="1"/>
      <c r="NXS68" s="1"/>
      <c r="NXT68" s="1"/>
      <c r="NXU68" s="1"/>
      <c r="NXV68" s="1"/>
      <c r="NXW68" s="1"/>
      <c r="NXX68" s="1"/>
      <c r="NXY68" s="1"/>
      <c r="NXZ68" s="1"/>
      <c r="NYA68" s="1"/>
      <c r="NYB68" s="1"/>
      <c r="NYC68" s="1"/>
      <c r="NYD68" s="1"/>
      <c r="NYE68" s="1"/>
      <c r="NYF68" s="1"/>
      <c r="NYG68" s="1"/>
      <c r="NYH68" s="1"/>
      <c r="NYI68" s="1"/>
      <c r="NYJ68" s="1"/>
      <c r="NYK68" s="1"/>
      <c r="NYL68" s="1"/>
      <c r="NYM68" s="1"/>
      <c r="NYN68" s="1"/>
      <c r="NYO68" s="1"/>
      <c r="NYP68" s="1"/>
      <c r="NYQ68" s="1"/>
      <c r="NYR68" s="1"/>
      <c r="NYS68" s="1"/>
      <c r="NYT68" s="1"/>
      <c r="NYU68" s="1"/>
      <c r="NYV68" s="1"/>
      <c r="NYW68" s="1"/>
      <c r="NYX68" s="1"/>
      <c r="NYY68" s="1"/>
      <c r="NYZ68" s="1"/>
      <c r="NZA68" s="1"/>
      <c r="NZB68" s="1"/>
      <c r="NZC68" s="1"/>
      <c r="NZD68" s="1"/>
      <c r="NZE68" s="1"/>
      <c r="NZF68" s="1"/>
      <c r="NZG68" s="1"/>
      <c r="NZH68" s="1"/>
      <c r="NZI68" s="1"/>
      <c r="NZJ68" s="1"/>
      <c r="NZK68" s="1"/>
      <c r="NZL68" s="1"/>
      <c r="NZM68" s="1"/>
      <c r="NZN68" s="1"/>
      <c r="NZO68" s="1"/>
      <c r="NZP68" s="1"/>
      <c r="NZQ68" s="1"/>
      <c r="NZR68" s="1"/>
      <c r="NZS68" s="1"/>
      <c r="NZT68" s="1"/>
      <c r="NZU68" s="1"/>
      <c r="NZV68" s="1"/>
      <c r="NZW68" s="1"/>
      <c r="NZX68" s="1"/>
      <c r="NZY68" s="1"/>
      <c r="NZZ68" s="1"/>
      <c r="OAA68" s="1"/>
      <c r="OAB68" s="1"/>
      <c r="OAC68" s="1"/>
      <c r="OAD68" s="1"/>
      <c r="OAE68" s="1"/>
      <c r="OAF68" s="1"/>
      <c r="OAG68" s="1"/>
      <c r="OAH68" s="1"/>
      <c r="OAI68" s="1"/>
      <c r="OAJ68" s="1"/>
      <c r="OAK68" s="1"/>
      <c r="OAL68" s="1"/>
      <c r="OAM68" s="1"/>
      <c r="OAN68" s="1"/>
      <c r="OAO68" s="1"/>
      <c r="OAP68" s="1"/>
      <c r="OAQ68" s="1"/>
      <c r="OAR68" s="1"/>
      <c r="OAS68" s="1"/>
      <c r="OAT68" s="1"/>
      <c r="OAU68" s="1"/>
      <c r="OAV68" s="1"/>
      <c r="OAW68" s="1"/>
      <c r="OAX68" s="1"/>
      <c r="OAY68" s="1"/>
      <c r="OAZ68" s="1"/>
      <c r="OBA68" s="1"/>
      <c r="OBB68" s="1"/>
      <c r="OBC68" s="1"/>
      <c r="OBD68" s="1"/>
      <c r="OBE68" s="1"/>
      <c r="OBF68" s="1"/>
      <c r="OBG68" s="1"/>
      <c r="OBH68" s="1"/>
      <c r="OBI68" s="1"/>
      <c r="OBJ68" s="1"/>
      <c r="OBK68" s="1"/>
      <c r="OBL68" s="1"/>
      <c r="OBM68" s="1"/>
      <c r="OBN68" s="1"/>
      <c r="OBO68" s="1"/>
      <c r="OBP68" s="1"/>
      <c r="OBQ68" s="1"/>
      <c r="OBR68" s="1"/>
      <c r="OBS68" s="1"/>
      <c r="OBT68" s="1"/>
      <c r="OBU68" s="1"/>
      <c r="OBV68" s="1"/>
      <c r="OBW68" s="1"/>
      <c r="OBX68" s="1"/>
      <c r="OBY68" s="1"/>
      <c r="OBZ68" s="1"/>
      <c r="OCA68" s="1"/>
      <c r="OCB68" s="1"/>
      <c r="OCC68" s="1"/>
      <c r="OCD68" s="1"/>
      <c r="OCE68" s="1"/>
      <c r="OCF68" s="1"/>
      <c r="OCG68" s="1"/>
      <c r="OCH68" s="1"/>
      <c r="OCI68" s="1"/>
      <c r="OCJ68" s="1"/>
      <c r="OCK68" s="1"/>
      <c r="OCL68" s="1"/>
      <c r="OCM68" s="1"/>
      <c r="OCN68" s="1"/>
      <c r="OCO68" s="1"/>
      <c r="OCP68" s="1"/>
      <c r="OCQ68" s="1"/>
      <c r="OCR68" s="1"/>
      <c r="OCS68" s="1"/>
      <c r="OCT68" s="1"/>
      <c r="OCU68" s="1"/>
      <c r="OCV68" s="1"/>
      <c r="OCW68" s="1"/>
      <c r="OCX68" s="1"/>
      <c r="OCY68" s="1"/>
      <c r="OCZ68" s="1"/>
      <c r="ODA68" s="1"/>
      <c r="ODB68" s="1"/>
      <c r="ODC68" s="1"/>
      <c r="ODD68" s="1"/>
      <c r="ODE68" s="1"/>
      <c r="ODF68" s="1"/>
      <c r="ODG68" s="1"/>
      <c r="ODH68" s="1"/>
      <c r="ODI68" s="1"/>
      <c r="ODJ68" s="1"/>
      <c r="ODK68" s="1"/>
      <c r="ODL68" s="1"/>
      <c r="ODM68" s="1"/>
      <c r="ODN68" s="1"/>
      <c r="ODO68" s="1"/>
      <c r="ODP68" s="1"/>
      <c r="ODQ68" s="1"/>
      <c r="ODR68" s="1"/>
      <c r="ODS68" s="1"/>
      <c r="ODT68" s="1"/>
      <c r="ODU68" s="1"/>
      <c r="ODV68" s="1"/>
      <c r="ODW68" s="1"/>
      <c r="ODX68" s="1"/>
      <c r="ODY68" s="1"/>
      <c r="ODZ68" s="1"/>
      <c r="OEA68" s="1"/>
      <c r="OEB68" s="1"/>
      <c r="OEC68" s="1"/>
      <c r="OED68" s="1"/>
      <c r="OEE68" s="1"/>
      <c r="OEF68" s="1"/>
      <c r="OEG68" s="1"/>
      <c r="OEH68" s="1"/>
      <c r="OEI68" s="1"/>
      <c r="OEJ68" s="1"/>
      <c r="OEK68" s="1"/>
      <c r="OEL68" s="1"/>
      <c r="OEM68" s="1"/>
      <c r="OEN68" s="1"/>
      <c r="OEO68" s="1"/>
      <c r="OEP68" s="1"/>
      <c r="OEQ68" s="1"/>
      <c r="OER68" s="1"/>
      <c r="OES68" s="1"/>
      <c r="OET68" s="1"/>
      <c r="OEU68" s="1"/>
      <c r="OEV68" s="1"/>
      <c r="OEW68" s="1"/>
      <c r="OEX68" s="1"/>
      <c r="OEY68" s="1"/>
      <c r="OEZ68" s="1"/>
      <c r="OFA68" s="1"/>
      <c r="OFB68" s="1"/>
      <c r="OFC68" s="1"/>
      <c r="OFD68" s="1"/>
      <c r="OFE68" s="1"/>
      <c r="OFF68" s="1"/>
      <c r="OFG68" s="1"/>
      <c r="OFH68" s="1"/>
      <c r="OFI68" s="1"/>
      <c r="OFJ68" s="1"/>
      <c r="OFK68" s="1"/>
      <c r="OFL68" s="1"/>
      <c r="OFM68" s="1"/>
      <c r="OFN68" s="1"/>
      <c r="OFO68" s="1"/>
      <c r="OFP68" s="1"/>
      <c r="OFQ68" s="1"/>
      <c r="OFR68" s="1"/>
      <c r="OFS68" s="1"/>
      <c r="OFT68" s="1"/>
      <c r="OFU68" s="1"/>
      <c r="OFV68" s="1"/>
      <c r="OFW68" s="1"/>
      <c r="OFX68" s="1"/>
      <c r="OFY68" s="1"/>
      <c r="OFZ68" s="1"/>
      <c r="OGA68" s="1"/>
      <c r="OGB68" s="1"/>
      <c r="OGC68" s="1"/>
      <c r="OGD68" s="1"/>
      <c r="OGE68" s="1"/>
      <c r="OGF68" s="1"/>
      <c r="OGG68" s="1"/>
      <c r="OGH68" s="1"/>
      <c r="OGI68" s="1"/>
      <c r="OGJ68" s="1"/>
      <c r="OGK68" s="1"/>
      <c r="OGL68" s="1"/>
      <c r="OGM68" s="1"/>
      <c r="OGN68" s="1"/>
      <c r="OGO68" s="1"/>
      <c r="OGP68" s="1"/>
      <c r="OGQ68" s="1"/>
      <c r="OGR68" s="1"/>
      <c r="OGS68" s="1"/>
      <c r="OGT68" s="1"/>
      <c r="OGU68" s="1"/>
      <c r="OGV68" s="1"/>
      <c r="OGW68" s="1"/>
      <c r="OGX68" s="1"/>
      <c r="OGY68" s="1"/>
      <c r="OGZ68" s="1"/>
      <c r="OHA68" s="1"/>
      <c r="OHB68" s="1"/>
      <c r="OHC68" s="1"/>
      <c r="OHD68" s="1"/>
      <c r="OHE68" s="1"/>
      <c r="OHF68" s="1"/>
      <c r="OHG68" s="1"/>
      <c r="OHH68" s="1"/>
      <c r="OHI68" s="1"/>
      <c r="OHJ68" s="1"/>
      <c r="OHK68" s="1"/>
      <c r="OHL68" s="1"/>
      <c r="OHM68" s="1"/>
      <c r="OHN68" s="1"/>
      <c r="OHO68" s="1"/>
      <c r="OHP68" s="1"/>
      <c r="OHQ68" s="1"/>
      <c r="OHR68" s="1"/>
      <c r="OHS68" s="1"/>
      <c r="OHT68" s="1"/>
      <c r="OHU68" s="1"/>
      <c r="OHV68" s="1"/>
      <c r="OHW68" s="1"/>
      <c r="OHX68" s="1"/>
      <c r="OHY68" s="1"/>
      <c r="OHZ68" s="1"/>
      <c r="OIA68" s="1"/>
      <c r="OIB68" s="1"/>
      <c r="OIC68" s="1"/>
      <c r="OID68" s="1"/>
      <c r="OIE68" s="1"/>
      <c r="OIF68" s="1"/>
      <c r="OIG68" s="1"/>
      <c r="OIH68" s="1"/>
      <c r="OII68" s="1"/>
      <c r="OIJ68" s="1"/>
      <c r="OIK68" s="1"/>
      <c r="OIL68" s="1"/>
      <c r="OIM68" s="1"/>
      <c r="OIN68" s="1"/>
      <c r="OIO68" s="1"/>
      <c r="OIP68" s="1"/>
      <c r="OIQ68" s="1"/>
      <c r="OIR68" s="1"/>
      <c r="OIS68" s="1"/>
      <c r="OIT68" s="1"/>
      <c r="OIU68" s="1"/>
      <c r="OIV68" s="1"/>
      <c r="OIW68" s="1"/>
      <c r="OIX68" s="1"/>
      <c r="OIY68" s="1"/>
      <c r="OIZ68" s="1"/>
      <c r="OJA68" s="1"/>
      <c r="OJB68" s="1"/>
      <c r="OJC68" s="1"/>
      <c r="OJD68" s="1"/>
      <c r="OJE68" s="1"/>
      <c r="OJF68" s="1"/>
      <c r="OJG68" s="1"/>
      <c r="OJH68" s="1"/>
      <c r="OJI68" s="1"/>
      <c r="OJJ68" s="1"/>
      <c r="OJK68" s="1"/>
      <c r="OJL68" s="1"/>
      <c r="OJM68" s="1"/>
      <c r="OJN68" s="1"/>
      <c r="OJO68" s="1"/>
      <c r="OJP68" s="1"/>
      <c r="OJQ68" s="1"/>
      <c r="OJR68" s="1"/>
      <c r="OJS68" s="1"/>
      <c r="OJT68" s="1"/>
      <c r="OJU68" s="1"/>
      <c r="OJV68" s="1"/>
      <c r="OJW68" s="1"/>
      <c r="OJX68" s="1"/>
      <c r="OJY68" s="1"/>
      <c r="OJZ68" s="1"/>
      <c r="OKA68" s="1"/>
      <c r="OKB68" s="1"/>
      <c r="OKC68" s="1"/>
      <c r="OKD68" s="1"/>
      <c r="OKE68" s="1"/>
      <c r="OKF68" s="1"/>
      <c r="OKG68" s="1"/>
      <c r="OKH68" s="1"/>
      <c r="OKI68" s="1"/>
      <c r="OKJ68" s="1"/>
      <c r="OKK68" s="1"/>
      <c r="OKL68" s="1"/>
      <c r="OKM68" s="1"/>
      <c r="OKN68" s="1"/>
      <c r="OKO68" s="1"/>
      <c r="OKP68" s="1"/>
      <c r="OKQ68" s="1"/>
      <c r="OKR68" s="1"/>
      <c r="OKS68" s="1"/>
      <c r="OKT68" s="1"/>
      <c r="OKU68" s="1"/>
      <c r="OKV68" s="1"/>
      <c r="OKW68" s="1"/>
      <c r="OKX68" s="1"/>
      <c r="OKY68" s="1"/>
      <c r="OKZ68" s="1"/>
      <c r="OLA68" s="1"/>
      <c r="OLB68" s="1"/>
      <c r="OLC68" s="1"/>
      <c r="OLD68" s="1"/>
      <c r="OLE68" s="1"/>
      <c r="OLF68" s="1"/>
      <c r="OLG68" s="1"/>
      <c r="OLH68" s="1"/>
      <c r="OLI68" s="1"/>
      <c r="OLJ68" s="1"/>
      <c r="OLK68" s="1"/>
      <c r="OLL68" s="1"/>
      <c r="OLM68" s="1"/>
      <c r="OLN68" s="1"/>
      <c r="OLO68" s="1"/>
      <c r="OLP68" s="1"/>
      <c r="OLQ68" s="1"/>
      <c r="OLR68" s="1"/>
      <c r="OLS68" s="1"/>
      <c r="OLT68" s="1"/>
      <c r="OLU68" s="1"/>
      <c r="OLV68" s="1"/>
      <c r="OLW68" s="1"/>
      <c r="OLX68" s="1"/>
      <c r="OLY68" s="1"/>
      <c r="OLZ68" s="1"/>
      <c r="OMA68" s="1"/>
      <c r="OMB68" s="1"/>
      <c r="OMC68" s="1"/>
      <c r="OMD68" s="1"/>
      <c r="OME68" s="1"/>
      <c r="OMF68" s="1"/>
      <c r="OMG68" s="1"/>
      <c r="OMH68" s="1"/>
      <c r="OMI68" s="1"/>
      <c r="OMJ68" s="1"/>
      <c r="OMK68" s="1"/>
      <c r="OML68" s="1"/>
      <c r="OMM68" s="1"/>
      <c r="OMN68" s="1"/>
      <c r="OMO68" s="1"/>
      <c r="OMP68" s="1"/>
      <c r="OMQ68" s="1"/>
      <c r="OMR68" s="1"/>
      <c r="OMS68" s="1"/>
      <c r="OMT68" s="1"/>
      <c r="OMU68" s="1"/>
      <c r="OMV68" s="1"/>
      <c r="OMW68" s="1"/>
      <c r="OMX68" s="1"/>
      <c r="OMY68" s="1"/>
      <c r="OMZ68" s="1"/>
      <c r="ONA68" s="1"/>
      <c r="ONB68" s="1"/>
      <c r="ONC68" s="1"/>
      <c r="OND68" s="1"/>
      <c r="ONE68" s="1"/>
      <c r="ONF68" s="1"/>
      <c r="ONG68" s="1"/>
      <c r="ONH68" s="1"/>
      <c r="ONI68" s="1"/>
      <c r="ONJ68" s="1"/>
      <c r="ONK68" s="1"/>
      <c r="ONL68" s="1"/>
      <c r="ONM68" s="1"/>
      <c r="ONN68" s="1"/>
      <c r="ONO68" s="1"/>
      <c r="ONP68" s="1"/>
      <c r="ONQ68" s="1"/>
      <c r="ONR68" s="1"/>
      <c r="ONS68" s="1"/>
      <c r="ONT68" s="1"/>
      <c r="ONU68" s="1"/>
      <c r="ONV68" s="1"/>
      <c r="ONW68" s="1"/>
      <c r="ONX68" s="1"/>
      <c r="ONY68" s="1"/>
      <c r="ONZ68" s="1"/>
      <c r="OOA68" s="1"/>
      <c r="OOB68" s="1"/>
      <c r="OOC68" s="1"/>
      <c r="OOD68" s="1"/>
      <c r="OOE68" s="1"/>
      <c r="OOF68" s="1"/>
      <c r="OOG68" s="1"/>
      <c r="OOH68" s="1"/>
      <c r="OOI68" s="1"/>
      <c r="OOJ68" s="1"/>
      <c r="OOK68" s="1"/>
      <c r="OOL68" s="1"/>
      <c r="OOM68" s="1"/>
      <c r="OON68" s="1"/>
      <c r="OOO68" s="1"/>
      <c r="OOP68" s="1"/>
      <c r="OOQ68" s="1"/>
      <c r="OOR68" s="1"/>
      <c r="OOS68" s="1"/>
      <c r="OOT68" s="1"/>
      <c r="OOU68" s="1"/>
      <c r="OOV68" s="1"/>
      <c r="OOW68" s="1"/>
      <c r="OOX68" s="1"/>
      <c r="OOY68" s="1"/>
      <c r="OOZ68" s="1"/>
      <c r="OPA68" s="1"/>
      <c r="OPB68" s="1"/>
      <c r="OPC68" s="1"/>
      <c r="OPD68" s="1"/>
      <c r="OPE68" s="1"/>
      <c r="OPF68" s="1"/>
      <c r="OPG68" s="1"/>
      <c r="OPH68" s="1"/>
      <c r="OPI68" s="1"/>
      <c r="OPJ68" s="1"/>
      <c r="OPK68" s="1"/>
      <c r="OPL68" s="1"/>
      <c r="OPM68" s="1"/>
      <c r="OPN68" s="1"/>
      <c r="OPO68" s="1"/>
      <c r="OPP68" s="1"/>
      <c r="OPQ68" s="1"/>
      <c r="OPR68" s="1"/>
      <c r="OPS68" s="1"/>
      <c r="OPT68" s="1"/>
      <c r="OPU68" s="1"/>
      <c r="OPV68" s="1"/>
      <c r="OPW68" s="1"/>
      <c r="OPX68" s="1"/>
      <c r="OPY68" s="1"/>
      <c r="OPZ68" s="1"/>
      <c r="OQA68" s="1"/>
      <c r="OQB68" s="1"/>
      <c r="OQC68" s="1"/>
      <c r="OQD68" s="1"/>
      <c r="OQE68" s="1"/>
      <c r="OQF68" s="1"/>
      <c r="OQG68" s="1"/>
      <c r="OQH68" s="1"/>
      <c r="OQI68" s="1"/>
      <c r="OQJ68" s="1"/>
      <c r="OQK68" s="1"/>
      <c r="OQL68" s="1"/>
      <c r="OQM68" s="1"/>
      <c r="OQN68" s="1"/>
      <c r="OQO68" s="1"/>
      <c r="OQP68" s="1"/>
      <c r="OQQ68" s="1"/>
      <c r="OQR68" s="1"/>
      <c r="OQS68" s="1"/>
      <c r="OQT68" s="1"/>
      <c r="OQU68" s="1"/>
      <c r="OQV68" s="1"/>
      <c r="OQW68" s="1"/>
      <c r="OQX68" s="1"/>
      <c r="OQY68" s="1"/>
      <c r="OQZ68" s="1"/>
      <c r="ORA68" s="1"/>
      <c r="ORB68" s="1"/>
      <c r="ORC68" s="1"/>
      <c r="ORD68" s="1"/>
      <c r="ORE68" s="1"/>
      <c r="ORF68" s="1"/>
      <c r="ORG68" s="1"/>
      <c r="ORH68" s="1"/>
      <c r="ORI68" s="1"/>
      <c r="ORJ68" s="1"/>
      <c r="ORK68" s="1"/>
      <c r="ORL68" s="1"/>
      <c r="ORM68" s="1"/>
      <c r="ORN68" s="1"/>
      <c r="ORO68" s="1"/>
      <c r="ORP68" s="1"/>
      <c r="ORQ68" s="1"/>
      <c r="ORR68" s="1"/>
      <c r="ORS68" s="1"/>
      <c r="ORT68" s="1"/>
      <c r="ORU68" s="1"/>
      <c r="ORV68" s="1"/>
      <c r="ORW68" s="1"/>
      <c r="ORX68" s="1"/>
      <c r="ORY68" s="1"/>
      <c r="ORZ68" s="1"/>
      <c r="OSA68" s="1"/>
      <c r="OSB68" s="1"/>
      <c r="OSC68" s="1"/>
      <c r="OSD68" s="1"/>
      <c r="OSE68" s="1"/>
      <c r="OSF68" s="1"/>
      <c r="OSG68" s="1"/>
      <c r="OSH68" s="1"/>
      <c r="OSI68" s="1"/>
      <c r="OSJ68" s="1"/>
      <c r="OSK68" s="1"/>
      <c r="OSL68" s="1"/>
      <c r="OSM68" s="1"/>
      <c r="OSN68" s="1"/>
      <c r="OSO68" s="1"/>
      <c r="OSP68" s="1"/>
      <c r="OSQ68" s="1"/>
      <c r="OSR68" s="1"/>
      <c r="OSS68" s="1"/>
      <c r="OST68" s="1"/>
      <c r="OSU68" s="1"/>
      <c r="OSV68" s="1"/>
      <c r="OSW68" s="1"/>
      <c r="OSX68" s="1"/>
      <c r="OSY68" s="1"/>
      <c r="OSZ68" s="1"/>
      <c r="OTA68" s="1"/>
      <c r="OTB68" s="1"/>
      <c r="OTC68" s="1"/>
      <c r="OTD68" s="1"/>
      <c r="OTE68" s="1"/>
      <c r="OTF68" s="1"/>
      <c r="OTG68" s="1"/>
      <c r="OTH68" s="1"/>
      <c r="OTI68" s="1"/>
      <c r="OTJ68" s="1"/>
      <c r="OTK68" s="1"/>
      <c r="OTL68" s="1"/>
      <c r="OTM68" s="1"/>
      <c r="OTN68" s="1"/>
      <c r="OTO68" s="1"/>
      <c r="OTP68" s="1"/>
      <c r="OTQ68" s="1"/>
      <c r="OTR68" s="1"/>
      <c r="OTS68" s="1"/>
      <c r="OTT68" s="1"/>
      <c r="OTU68" s="1"/>
      <c r="OTV68" s="1"/>
      <c r="OTW68" s="1"/>
      <c r="OTX68" s="1"/>
      <c r="OTY68" s="1"/>
      <c r="OTZ68" s="1"/>
      <c r="OUA68" s="1"/>
      <c r="OUB68" s="1"/>
      <c r="OUC68" s="1"/>
      <c r="OUD68" s="1"/>
      <c r="OUE68" s="1"/>
      <c r="OUF68" s="1"/>
      <c r="OUG68" s="1"/>
      <c r="OUH68" s="1"/>
      <c r="OUI68" s="1"/>
      <c r="OUJ68" s="1"/>
      <c r="OUK68" s="1"/>
      <c r="OUL68" s="1"/>
      <c r="OUM68" s="1"/>
      <c r="OUN68" s="1"/>
      <c r="OUO68" s="1"/>
      <c r="OUP68" s="1"/>
      <c r="OUQ68" s="1"/>
      <c r="OUR68" s="1"/>
      <c r="OUS68" s="1"/>
      <c r="OUT68" s="1"/>
      <c r="OUU68" s="1"/>
      <c r="OUV68" s="1"/>
      <c r="OUW68" s="1"/>
      <c r="OUX68" s="1"/>
      <c r="OUY68" s="1"/>
      <c r="OUZ68" s="1"/>
      <c r="OVA68" s="1"/>
      <c r="OVB68" s="1"/>
      <c r="OVC68" s="1"/>
      <c r="OVD68" s="1"/>
      <c r="OVE68" s="1"/>
      <c r="OVF68" s="1"/>
      <c r="OVG68" s="1"/>
      <c r="OVH68" s="1"/>
      <c r="OVI68" s="1"/>
      <c r="OVJ68" s="1"/>
      <c r="OVK68" s="1"/>
      <c r="OVL68" s="1"/>
      <c r="OVM68" s="1"/>
      <c r="OVN68" s="1"/>
      <c r="OVO68" s="1"/>
      <c r="OVP68" s="1"/>
      <c r="OVQ68" s="1"/>
      <c r="OVR68" s="1"/>
      <c r="OVS68" s="1"/>
      <c r="OVT68" s="1"/>
      <c r="OVU68" s="1"/>
      <c r="OVV68" s="1"/>
      <c r="OVW68" s="1"/>
      <c r="OVX68" s="1"/>
      <c r="OVY68" s="1"/>
      <c r="OVZ68" s="1"/>
      <c r="OWA68" s="1"/>
      <c r="OWB68" s="1"/>
      <c r="OWC68" s="1"/>
      <c r="OWD68" s="1"/>
      <c r="OWE68" s="1"/>
      <c r="OWF68" s="1"/>
      <c r="OWG68" s="1"/>
      <c r="OWH68" s="1"/>
      <c r="OWI68" s="1"/>
      <c r="OWJ68" s="1"/>
      <c r="OWK68" s="1"/>
      <c r="OWL68" s="1"/>
      <c r="OWM68" s="1"/>
      <c r="OWN68" s="1"/>
      <c r="OWO68" s="1"/>
      <c r="OWP68" s="1"/>
      <c r="OWQ68" s="1"/>
      <c r="OWR68" s="1"/>
      <c r="OWS68" s="1"/>
      <c r="OWT68" s="1"/>
      <c r="OWU68" s="1"/>
      <c r="OWV68" s="1"/>
      <c r="OWW68" s="1"/>
      <c r="OWX68" s="1"/>
      <c r="OWY68" s="1"/>
      <c r="OWZ68" s="1"/>
      <c r="OXA68" s="1"/>
      <c r="OXB68" s="1"/>
      <c r="OXC68" s="1"/>
      <c r="OXD68" s="1"/>
      <c r="OXE68" s="1"/>
      <c r="OXF68" s="1"/>
      <c r="OXG68" s="1"/>
      <c r="OXH68" s="1"/>
      <c r="OXI68" s="1"/>
      <c r="OXJ68" s="1"/>
      <c r="OXK68" s="1"/>
      <c r="OXL68" s="1"/>
      <c r="OXM68" s="1"/>
      <c r="OXN68" s="1"/>
      <c r="OXO68" s="1"/>
      <c r="OXP68" s="1"/>
      <c r="OXQ68" s="1"/>
      <c r="OXR68" s="1"/>
      <c r="OXS68" s="1"/>
      <c r="OXT68" s="1"/>
      <c r="OXU68" s="1"/>
      <c r="OXV68" s="1"/>
      <c r="OXW68" s="1"/>
      <c r="OXX68" s="1"/>
      <c r="OXY68" s="1"/>
      <c r="OXZ68" s="1"/>
      <c r="OYA68" s="1"/>
      <c r="OYB68" s="1"/>
      <c r="OYC68" s="1"/>
      <c r="OYD68" s="1"/>
      <c r="OYE68" s="1"/>
      <c r="OYF68" s="1"/>
      <c r="OYG68" s="1"/>
      <c r="OYH68" s="1"/>
      <c r="OYI68" s="1"/>
      <c r="OYJ68" s="1"/>
      <c r="OYK68" s="1"/>
      <c r="OYL68" s="1"/>
      <c r="OYM68" s="1"/>
      <c r="OYN68" s="1"/>
      <c r="OYO68" s="1"/>
      <c r="OYP68" s="1"/>
      <c r="OYQ68" s="1"/>
      <c r="OYR68" s="1"/>
      <c r="OYS68" s="1"/>
      <c r="OYT68" s="1"/>
      <c r="OYU68" s="1"/>
      <c r="OYV68" s="1"/>
      <c r="OYW68" s="1"/>
      <c r="OYX68" s="1"/>
      <c r="OYY68" s="1"/>
      <c r="OYZ68" s="1"/>
      <c r="OZA68" s="1"/>
      <c r="OZB68" s="1"/>
      <c r="OZC68" s="1"/>
      <c r="OZD68" s="1"/>
      <c r="OZE68" s="1"/>
      <c r="OZF68" s="1"/>
      <c r="OZG68" s="1"/>
      <c r="OZH68" s="1"/>
      <c r="OZI68" s="1"/>
      <c r="OZJ68" s="1"/>
      <c r="OZK68" s="1"/>
      <c r="OZL68" s="1"/>
      <c r="OZM68" s="1"/>
      <c r="OZN68" s="1"/>
      <c r="OZO68" s="1"/>
      <c r="OZP68" s="1"/>
      <c r="OZQ68" s="1"/>
      <c r="OZR68" s="1"/>
      <c r="OZS68" s="1"/>
      <c r="OZT68" s="1"/>
      <c r="OZU68" s="1"/>
      <c r="OZV68" s="1"/>
      <c r="OZW68" s="1"/>
      <c r="OZX68" s="1"/>
      <c r="OZY68" s="1"/>
      <c r="OZZ68" s="1"/>
      <c r="PAA68" s="1"/>
      <c r="PAB68" s="1"/>
      <c r="PAC68" s="1"/>
      <c r="PAD68" s="1"/>
      <c r="PAE68" s="1"/>
      <c r="PAF68" s="1"/>
      <c r="PAG68" s="1"/>
      <c r="PAH68" s="1"/>
      <c r="PAI68" s="1"/>
      <c r="PAJ68" s="1"/>
      <c r="PAK68" s="1"/>
      <c r="PAL68" s="1"/>
      <c r="PAM68" s="1"/>
      <c r="PAN68" s="1"/>
      <c r="PAO68" s="1"/>
      <c r="PAP68" s="1"/>
      <c r="PAQ68" s="1"/>
      <c r="PAR68" s="1"/>
      <c r="PAS68" s="1"/>
      <c r="PAT68" s="1"/>
      <c r="PAU68" s="1"/>
      <c r="PAV68" s="1"/>
      <c r="PAW68" s="1"/>
      <c r="PAX68" s="1"/>
      <c r="PAY68" s="1"/>
      <c r="PAZ68" s="1"/>
      <c r="PBA68" s="1"/>
      <c r="PBB68" s="1"/>
      <c r="PBC68" s="1"/>
      <c r="PBD68" s="1"/>
      <c r="PBE68" s="1"/>
      <c r="PBF68" s="1"/>
      <c r="PBG68" s="1"/>
      <c r="PBH68" s="1"/>
      <c r="PBI68" s="1"/>
      <c r="PBJ68" s="1"/>
      <c r="PBK68" s="1"/>
      <c r="PBL68" s="1"/>
      <c r="PBM68" s="1"/>
      <c r="PBN68" s="1"/>
      <c r="PBO68" s="1"/>
      <c r="PBP68" s="1"/>
      <c r="PBQ68" s="1"/>
      <c r="PBR68" s="1"/>
      <c r="PBS68" s="1"/>
      <c r="PBT68" s="1"/>
      <c r="PBU68" s="1"/>
      <c r="PBV68" s="1"/>
      <c r="PBW68" s="1"/>
      <c r="PBX68" s="1"/>
      <c r="PBY68" s="1"/>
      <c r="PBZ68" s="1"/>
      <c r="PCA68" s="1"/>
      <c r="PCB68" s="1"/>
      <c r="PCC68" s="1"/>
      <c r="PCD68" s="1"/>
      <c r="PCE68" s="1"/>
      <c r="PCF68" s="1"/>
      <c r="PCG68" s="1"/>
      <c r="PCH68" s="1"/>
      <c r="PCI68" s="1"/>
      <c r="PCJ68" s="1"/>
      <c r="PCK68" s="1"/>
      <c r="PCL68" s="1"/>
      <c r="PCM68" s="1"/>
      <c r="PCN68" s="1"/>
      <c r="PCO68" s="1"/>
      <c r="PCP68" s="1"/>
      <c r="PCQ68" s="1"/>
      <c r="PCR68" s="1"/>
      <c r="PCS68" s="1"/>
      <c r="PCT68" s="1"/>
      <c r="PCU68" s="1"/>
      <c r="PCV68" s="1"/>
      <c r="PCW68" s="1"/>
      <c r="PCX68" s="1"/>
      <c r="PCY68" s="1"/>
      <c r="PCZ68" s="1"/>
      <c r="PDA68" s="1"/>
      <c r="PDB68" s="1"/>
      <c r="PDC68" s="1"/>
      <c r="PDD68" s="1"/>
      <c r="PDE68" s="1"/>
      <c r="PDF68" s="1"/>
      <c r="PDG68" s="1"/>
      <c r="PDH68" s="1"/>
      <c r="PDI68" s="1"/>
      <c r="PDJ68" s="1"/>
      <c r="PDK68" s="1"/>
      <c r="PDL68" s="1"/>
      <c r="PDM68" s="1"/>
      <c r="PDN68" s="1"/>
      <c r="PDO68" s="1"/>
      <c r="PDP68" s="1"/>
      <c r="PDQ68" s="1"/>
      <c r="PDR68" s="1"/>
      <c r="PDS68" s="1"/>
      <c r="PDT68" s="1"/>
      <c r="PDU68" s="1"/>
      <c r="PDV68" s="1"/>
      <c r="PDW68" s="1"/>
      <c r="PDX68" s="1"/>
      <c r="PDY68" s="1"/>
      <c r="PDZ68" s="1"/>
      <c r="PEA68" s="1"/>
      <c r="PEB68" s="1"/>
      <c r="PEC68" s="1"/>
      <c r="PED68" s="1"/>
      <c r="PEE68" s="1"/>
      <c r="PEF68" s="1"/>
      <c r="PEG68" s="1"/>
      <c r="PEH68" s="1"/>
      <c r="PEI68" s="1"/>
      <c r="PEJ68" s="1"/>
      <c r="PEK68" s="1"/>
      <c r="PEL68" s="1"/>
      <c r="PEM68" s="1"/>
      <c r="PEN68" s="1"/>
      <c r="PEO68" s="1"/>
      <c r="PEP68" s="1"/>
      <c r="PEQ68" s="1"/>
      <c r="PER68" s="1"/>
      <c r="PES68" s="1"/>
      <c r="PET68" s="1"/>
      <c r="PEU68" s="1"/>
      <c r="PEV68" s="1"/>
      <c r="PEW68" s="1"/>
      <c r="PEX68" s="1"/>
      <c r="PEY68" s="1"/>
      <c r="PEZ68" s="1"/>
      <c r="PFA68" s="1"/>
      <c r="PFB68" s="1"/>
      <c r="PFC68" s="1"/>
      <c r="PFD68" s="1"/>
      <c r="PFE68" s="1"/>
      <c r="PFF68" s="1"/>
      <c r="PFG68" s="1"/>
      <c r="PFH68" s="1"/>
      <c r="PFI68" s="1"/>
      <c r="PFJ68" s="1"/>
      <c r="PFK68" s="1"/>
      <c r="PFL68" s="1"/>
      <c r="PFM68" s="1"/>
      <c r="PFN68" s="1"/>
      <c r="PFO68" s="1"/>
      <c r="PFP68" s="1"/>
      <c r="PFQ68" s="1"/>
      <c r="PFR68" s="1"/>
      <c r="PFS68" s="1"/>
      <c r="PFT68" s="1"/>
      <c r="PFU68" s="1"/>
      <c r="PFV68" s="1"/>
      <c r="PFW68" s="1"/>
      <c r="PFX68" s="1"/>
      <c r="PFY68" s="1"/>
      <c r="PFZ68" s="1"/>
      <c r="PGA68" s="1"/>
      <c r="PGB68" s="1"/>
      <c r="PGC68" s="1"/>
      <c r="PGD68" s="1"/>
      <c r="PGE68" s="1"/>
      <c r="PGF68" s="1"/>
      <c r="PGG68" s="1"/>
      <c r="PGH68" s="1"/>
      <c r="PGI68" s="1"/>
      <c r="PGJ68" s="1"/>
      <c r="PGK68" s="1"/>
      <c r="PGL68" s="1"/>
      <c r="PGM68" s="1"/>
      <c r="PGN68" s="1"/>
      <c r="PGO68" s="1"/>
      <c r="PGP68" s="1"/>
      <c r="PGQ68" s="1"/>
      <c r="PGR68" s="1"/>
      <c r="PGS68" s="1"/>
      <c r="PGT68" s="1"/>
      <c r="PGU68" s="1"/>
      <c r="PGV68" s="1"/>
      <c r="PGW68" s="1"/>
      <c r="PGX68" s="1"/>
      <c r="PGY68" s="1"/>
      <c r="PGZ68" s="1"/>
      <c r="PHA68" s="1"/>
      <c r="PHB68" s="1"/>
      <c r="PHC68" s="1"/>
      <c r="PHD68" s="1"/>
      <c r="PHE68" s="1"/>
      <c r="PHF68" s="1"/>
      <c r="PHG68" s="1"/>
      <c r="PHH68" s="1"/>
      <c r="PHI68" s="1"/>
      <c r="PHJ68" s="1"/>
      <c r="PHK68" s="1"/>
      <c r="PHL68" s="1"/>
      <c r="PHM68" s="1"/>
      <c r="PHN68" s="1"/>
      <c r="PHO68" s="1"/>
      <c r="PHP68" s="1"/>
      <c r="PHQ68" s="1"/>
      <c r="PHR68" s="1"/>
      <c r="PHS68" s="1"/>
      <c r="PHT68" s="1"/>
      <c r="PHU68" s="1"/>
      <c r="PHV68" s="1"/>
      <c r="PHW68" s="1"/>
      <c r="PHX68" s="1"/>
      <c r="PHY68" s="1"/>
      <c r="PHZ68" s="1"/>
      <c r="PIA68" s="1"/>
      <c r="PIB68" s="1"/>
      <c r="PIC68" s="1"/>
      <c r="PID68" s="1"/>
      <c r="PIE68" s="1"/>
      <c r="PIF68" s="1"/>
      <c r="PIG68" s="1"/>
      <c r="PIH68" s="1"/>
      <c r="PII68" s="1"/>
      <c r="PIJ68" s="1"/>
      <c r="PIK68" s="1"/>
      <c r="PIL68" s="1"/>
      <c r="PIM68" s="1"/>
      <c r="PIN68" s="1"/>
      <c r="PIO68" s="1"/>
      <c r="PIP68" s="1"/>
      <c r="PIQ68" s="1"/>
      <c r="PIR68" s="1"/>
      <c r="PIS68" s="1"/>
      <c r="PIT68" s="1"/>
      <c r="PIU68" s="1"/>
      <c r="PIV68" s="1"/>
      <c r="PIW68" s="1"/>
      <c r="PIX68" s="1"/>
      <c r="PIY68" s="1"/>
      <c r="PIZ68" s="1"/>
      <c r="PJA68" s="1"/>
      <c r="PJB68" s="1"/>
      <c r="PJC68" s="1"/>
      <c r="PJD68" s="1"/>
      <c r="PJE68" s="1"/>
      <c r="PJF68" s="1"/>
      <c r="PJG68" s="1"/>
      <c r="PJH68" s="1"/>
      <c r="PJI68" s="1"/>
      <c r="PJJ68" s="1"/>
      <c r="PJK68" s="1"/>
      <c r="PJL68" s="1"/>
      <c r="PJM68" s="1"/>
      <c r="PJN68" s="1"/>
      <c r="PJO68" s="1"/>
      <c r="PJP68" s="1"/>
      <c r="PJQ68" s="1"/>
      <c r="PJR68" s="1"/>
      <c r="PJS68" s="1"/>
      <c r="PJT68" s="1"/>
      <c r="PJU68" s="1"/>
      <c r="PJV68" s="1"/>
      <c r="PJW68" s="1"/>
      <c r="PJX68" s="1"/>
      <c r="PJY68" s="1"/>
      <c r="PJZ68" s="1"/>
      <c r="PKA68" s="1"/>
      <c r="PKB68" s="1"/>
      <c r="PKC68" s="1"/>
      <c r="PKD68" s="1"/>
      <c r="PKE68" s="1"/>
      <c r="PKF68" s="1"/>
      <c r="PKG68" s="1"/>
      <c r="PKH68" s="1"/>
      <c r="PKI68" s="1"/>
      <c r="PKJ68" s="1"/>
      <c r="PKK68" s="1"/>
      <c r="PKL68" s="1"/>
      <c r="PKM68" s="1"/>
      <c r="PKN68" s="1"/>
      <c r="PKO68" s="1"/>
      <c r="PKP68" s="1"/>
      <c r="PKQ68" s="1"/>
      <c r="PKR68" s="1"/>
      <c r="PKS68" s="1"/>
      <c r="PKT68" s="1"/>
      <c r="PKU68" s="1"/>
      <c r="PKV68" s="1"/>
      <c r="PKW68" s="1"/>
      <c r="PKX68" s="1"/>
      <c r="PKY68" s="1"/>
      <c r="PKZ68" s="1"/>
      <c r="PLA68" s="1"/>
      <c r="PLB68" s="1"/>
      <c r="PLC68" s="1"/>
      <c r="PLD68" s="1"/>
      <c r="PLE68" s="1"/>
      <c r="PLF68" s="1"/>
      <c r="PLG68" s="1"/>
      <c r="PLH68" s="1"/>
      <c r="PLI68" s="1"/>
      <c r="PLJ68" s="1"/>
      <c r="PLK68" s="1"/>
      <c r="PLL68" s="1"/>
      <c r="PLM68" s="1"/>
      <c r="PLN68" s="1"/>
      <c r="PLO68" s="1"/>
      <c r="PLP68" s="1"/>
      <c r="PLQ68" s="1"/>
      <c r="PLR68" s="1"/>
      <c r="PLS68" s="1"/>
      <c r="PLT68" s="1"/>
      <c r="PLU68" s="1"/>
      <c r="PLV68" s="1"/>
      <c r="PLW68" s="1"/>
      <c r="PLX68" s="1"/>
      <c r="PLY68" s="1"/>
      <c r="PLZ68" s="1"/>
      <c r="PMA68" s="1"/>
      <c r="PMB68" s="1"/>
      <c r="PMC68" s="1"/>
      <c r="PMD68" s="1"/>
      <c r="PME68" s="1"/>
      <c r="PMF68" s="1"/>
      <c r="PMG68" s="1"/>
      <c r="PMH68" s="1"/>
      <c r="PMI68" s="1"/>
      <c r="PMJ68" s="1"/>
      <c r="PMK68" s="1"/>
      <c r="PML68" s="1"/>
      <c r="PMM68" s="1"/>
      <c r="PMN68" s="1"/>
      <c r="PMO68" s="1"/>
      <c r="PMP68" s="1"/>
      <c r="PMQ68" s="1"/>
      <c r="PMR68" s="1"/>
      <c r="PMS68" s="1"/>
      <c r="PMT68" s="1"/>
      <c r="PMU68" s="1"/>
      <c r="PMV68" s="1"/>
      <c r="PMW68" s="1"/>
      <c r="PMX68" s="1"/>
      <c r="PMY68" s="1"/>
      <c r="PMZ68" s="1"/>
      <c r="PNA68" s="1"/>
      <c r="PNB68" s="1"/>
      <c r="PNC68" s="1"/>
      <c r="PND68" s="1"/>
      <c r="PNE68" s="1"/>
      <c r="PNF68" s="1"/>
      <c r="PNG68" s="1"/>
      <c r="PNH68" s="1"/>
      <c r="PNI68" s="1"/>
      <c r="PNJ68" s="1"/>
      <c r="PNK68" s="1"/>
      <c r="PNL68" s="1"/>
      <c r="PNM68" s="1"/>
      <c r="PNN68" s="1"/>
      <c r="PNO68" s="1"/>
      <c r="PNP68" s="1"/>
      <c r="PNQ68" s="1"/>
      <c r="PNR68" s="1"/>
      <c r="PNS68" s="1"/>
      <c r="PNT68" s="1"/>
      <c r="PNU68" s="1"/>
      <c r="PNV68" s="1"/>
      <c r="PNW68" s="1"/>
      <c r="PNX68" s="1"/>
      <c r="PNY68" s="1"/>
      <c r="PNZ68" s="1"/>
      <c r="POA68" s="1"/>
      <c r="POB68" s="1"/>
      <c r="POC68" s="1"/>
      <c r="POD68" s="1"/>
      <c r="POE68" s="1"/>
      <c r="POF68" s="1"/>
      <c r="POG68" s="1"/>
      <c r="POH68" s="1"/>
      <c r="POI68" s="1"/>
      <c r="POJ68" s="1"/>
      <c r="POK68" s="1"/>
      <c r="POL68" s="1"/>
      <c r="POM68" s="1"/>
      <c r="PON68" s="1"/>
      <c r="POO68" s="1"/>
      <c r="POP68" s="1"/>
      <c r="POQ68" s="1"/>
      <c r="POR68" s="1"/>
      <c r="POS68" s="1"/>
      <c r="POT68" s="1"/>
      <c r="POU68" s="1"/>
      <c r="POV68" s="1"/>
      <c r="POW68" s="1"/>
      <c r="POX68" s="1"/>
      <c r="POY68" s="1"/>
      <c r="POZ68" s="1"/>
      <c r="PPA68" s="1"/>
      <c r="PPB68" s="1"/>
      <c r="PPC68" s="1"/>
      <c r="PPD68" s="1"/>
      <c r="PPE68" s="1"/>
      <c r="PPF68" s="1"/>
      <c r="PPG68" s="1"/>
      <c r="PPH68" s="1"/>
      <c r="PPI68" s="1"/>
      <c r="PPJ68" s="1"/>
      <c r="PPK68" s="1"/>
      <c r="PPL68" s="1"/>
      <c r="PPM68" s="1"/>
      <c r="PPN68" s="1"/>
      <c r="PPO68" s="1"/>
      <c r="PPP68" s="1"/>
      <c r="PPQ68" s="1"/>
      <c r="PPR68" s="1"/>
      <c r="PPS68" s="1"/>
      <c r="PPT68" s="1"/>
      <c r="PPU68" s="1"/>
      <c r="PPV68" s="1"/>
      <c r="PPW68" s="1"/>
      <c r="PPX68" s="1"/>
      <c r="PPY68" s="1"/>
      <c r="PPZ68" s="1"/>
      <c r="PQA68" s="1"/>
      <c r="PQB68" s="1"/>
      <c r="PQC68" s="1"/>
      <c r="PQD68" s="1"/>
      <c r="PQE68" s="1"/>
      <c r="PQF68" s="1"/>
      <c r="PQG68" s="1"/>
      <c r="PQH68" s="1"/>
      <c r="PQI68" s="1"/>
      <c r="PQJ68" s="1"/>
      <c r="PQK68" s="1"/>
      <c r="PQL68" s="1"/>
      <c r="PQM68" s="1"/>
      <c r="PQN68" s="1"/>
      <c r="PQO68" s="1"/>
      <c r="PQP68" s="1"/>
      <c r="PQQ68" s="1"/>
      <c r="PQR68" s="1"/>
      <c r="PQS68" s="1"/>
      <c r="PQT68" s="1"/>
      <c r="PQU68" s="1"/>
      <c r="PQV68" s="1"/>
      <c r="PQW68" s="1"/>
      <c r="PQX68" s="1"/>
      <c r="PQY68" s="1"/>
      <c r="PQZ68" s="1"/>
      <c r="PRA68" s="1"/>
      <c r="PRB68" s="1"/>
      <c r="PRC68" s="1"/>
      <c r="PRD68" s="1"/>
      <c r="PRE68" s="1"/>
      <c r="PRF68" s="1"/>
      <c r="PRG68" s="1"/>
      <c r="PRH68" s="1"/>
      <c r="PRI68" s="1"/>
      <c r="PRJ68" s="1"/>
      <c r="PRK68" s="1"/>
      <c r="PRL68" s="1"/>
      <c r="PRM68" s="1"/>
      <c r="PRN68" s="1"/>
      <c r="PRO68" s="1"/>
      <c r="PRP68" s="1"/>
      <c r="PRQ68" s="1"/>
      <c r="PRR68" s="1"/>
      <c r="PRS68" s="1"/>
      <c r="PRT68" s="1"/>
      <c r="PRU68" s="1"/>
      <c r="PRV68" s="1"/>
      <c r="PRW68" s="1"/>
      <c r="PRX68" s="1"/>
      <c r="PRY68" s="1"/>
      <c r="PRZ68" s="1"/>
      <c r="PSA68" s="1"/>
      <c r="PSB68" s="1"/>
      <c r="PSC68" s="1"/>
      <c r="PSD68" s="1"/>
      <c r="PSE68" s="1"/>
      <c r="PSF68" s="1"/>
      <c r="PSG68" s="1"/>
      <c r="PSH68" s="1"/>
      <c r="PSI68" s="1"/>
      <c r="PSJ68" s="1"/>
      <c r="PSK68" s="1"/>
      <c r="PSL68" s="1"/>
      <c r="PSM68" s="1"/>
      <c r="PSN68" s="1"/>
      <c r="PSO68" s="1"/>
      <c r="PSP68" s="1"/>
      <c r="PSQ68" s="1"/>
      <c r="PSR68" s="1"/>
      <c r="PSS68" s="1"/>
      <c r="PST68" s="1"/>
      <c r="PSU68" s="1"/>
      <c r="PSV68" s="1"/>
      <c r="PSW68" s="1"/>
      <c r="PSX68" s="1"/>
      <c r="PSY68" s="1"/>
      <c r="PSZ68" s="1"/>
      <c r="PTA68" s="1"/>
      <c r="PTB68" s="1"/>
      <c r="PTC68" s="1"/>
      <c r="PTD68" s="1"/>
      <c r="PTE68" s="1"/>
      <c r="PTF68" s="1"/>
      <c r="PTG68" s="1"/>
      <c r="PTH68" s="1"/>
      <c r="PTI68" s="1"/>
      <c r="PTJ68" s="1"/>
      <c r="PTK68" s="1"/>
      <c r="PTL68" s="1"/>
      <c r="PTM68" s="1"/>
      <c r="PTN68" s="1"/>
      <c r="PTO68" s="1"/>
      <c r="PTP68" s="1"/>
      <c r="PTQ68" s="1"/>
      <c r="PTR68" s="1"/>
      <c r="PTS68" s="1"/>
      <c r="PTT68" s="1"/>
      <c r="PTU68" s="1"/>
      <c r="PTV68" s="1"/>
      <c r="PTW68" s="1"/>
      <c r="PTX68" s="1"/>
      <c r="PTY68" s="1"/>
      <c r="PTZ68" s="1"/>
      <c r="PUA68" s="1"/>
      <c r="PUB68" s="1"/>
      <c r="PUC68" s="1"/>
      <c r="PUD68" s="1"/>
      <c r="PUE68" s="1"/>
      <c r="PUF68" s="1"/>
      <c r="PUG68" s="1"/>
      <c r="PUH68" s="1"/>
      <c r="PUI68" s="1"/>
      <c r="PUJ68" s="1"/>
      <c r="PUK68" s="1"/>
      <c r="PUL68" s="1"/>
      <c r="PUM68" s="1"/>
      <c r="PUN68" s="1"/>
      <c r="PUO68" s="1"/>
      <c r="PUP68" s="1"/>
      <c r="PUQ68" s="1"/>
      <c r="PUR68" s="1"/>
      <c r="PUS68" s="1"/>
      <c r="PUT68" s="1"/>
      <c r="PUU68" s="1"/>
      <c r="PUV68" s="1"/>
      <c r="PUW68" s="1"/>
      <c r="PUX68" s="1"/>
      <c r="PUY68" s="1"/>
      <c r="PUZ68" s="1"/>
      <c r="PVA68" s="1"/>
      <c r="PVB68" s="1"/>
      <c r="PVC68" s="1"/>
      <c r="PVD68" s="1"/>
      <c r="PVE68" s="1"/>
      <c r="PVF68" s="1"/>
      <c r="PVG68" s="1"/>
      <c r="PVH68" s="1"/>
      <c r="PVI68" s="1"/>
      <c r="PVJ68" s="1"/>
      <c r="PVK68" s="1"/>
      <c r="PVL68" s="1"/>
      <c r="PVM68" s="1"/>
      <c r="PVN68" s="1"/>
      <c r="PVO68" s="1"/>
      <c r="PVP68" s="1"/>
      <c r="PVQ68" s="1"/>
      <c r="PVR68" s="1"/>
      <c r="PVS68" s="1"/>
      <c r="PVT68" s="1"/>
      <c r="PVU68" s="1"/>
      <c r="PVV68" s="1"/>
      <c r="PVW68" s="1"/>
      <c r="PVX68" s="1"/>
      <c r="PVY68" s="1"/>
      <c r="PVZ68" s="1"/>
      <c r="PWA68" s="1"/>
      <c r="PWB68" s="1"/>
      <c r="PWC68" s="1"/>
      <c r="PWD68" s="1"/>
      <c r="PWE68" s="1"/>
      <c r="PWF68" s="1"/>
      <c r="PWG68" s="1"/>
      <c r="PWH68" s="1"/>
      <c r="PWI68" s="1"/>
      <c r="PWJ68" s="1"/>
      <c r="PWK68" s="1"/>
      <c r="PWL68" s="1"/>
      <c r="PWM68" s="1"/>
      <c r="PWN68" s="1"/>
      <c r="PWO68" s="1"/>
      <c r="PWP68" s="1"/>
      <c r="PWQ68" s="1"/>
      <c r="PWR68" s="1"/>
      <c r="PWS68" s="1"/>
      <c r="PWT68" s="1"/>
      <c r="PWU68" s="1"/>
      <c r="PWV68" s="1"/>
      <c r="PWW68" s="1"/>
      <c r="PWX68" s="1"/>
      <c r="PWY68" s="1"/>
      <c r="PWZ68" s="1"/>
      <c r="PXA68" s="1"/>
      <c r="PXB68" s="1"/>
      <c r="PXC68" s="1"/>
      <c r="PXD68" s="1"/>
      <c r="PXE68" s="1"/>
      <c r="PXF68" s="1"/>
      <c r="PXG68" s="1"/>
      <c r="PXH68" s="1"/>
      <c r="PXI68" s="1"/>
      <c r="PXJ68" s="1"/>
      <c r="PXK68" s="1"/>
      <c r="PXL68" s="1"/>
      <c r="PXM68" s="1"/>
      <c r="PXN68" s="1"/>
      <c r="PXO68" s="1"/>
      <c r="PXP68" s="1"/>
      <c r="PXQ68" s="1"/>
      <c r="PXR68" s="1"/>
      <c r="PXS68" s="1"/>
      <c r="PXT68" s="1"/>
      <c r="PXU68" s="1"/>
      <c r="PXV68" s="1"/>
      <c r="PXW68" s="1"/>
      <c r="PXX68" s="1"/>
      <c r="PXY68" s="1"/>
      <c r="PXZ68" s="1"/>
      <c r="PYA68" s="1"/>
      <c r="PYB68" s="1"/>
      <c r="PYC68" s="1"/>
      <c r="PYD68" s="1"/>
      <c r="PYE68" s="1"/>
      <c r="PYF68" s="1"/>
      <c r="PYG68" s="1"/>
      <c r="PYH68" s="1"/>
      <c r="PYI68" s="1"/>
      <c r="PYJ68" s="1"/>
      <c r="PYK68" s="1"/>
      <c r="PYL68" s="1"/>
      <c r="PYM68" s="1"/>
      <c r="PYN68" s="1"/>
      <c r="PYO68" s="1"/>
      <c r="PYP68" s="1"/>
      <c r="PYQ68" s="1"/>
      <c r="PYR68" s="1"/>
      <c r="PYS68" s="1"/>
      <c r="PYT68" s="1"/>
      <c r="PYU68" s="1"/>
      <c r="PYV68" s="1"/>
      <c r="PYW68" s="1"/>
      <c r="PYX68" s="1"/>
      <c r="PYY68" s="1"/>
      <c r="PYZ68" s="1"/>
      <c r="PZA68" s="1"/>
      <c r="PZB68" s="1"/>
      <c r="PZC68" s="1"/>
      <c r="PZD68" s="1"/>
      <c r="PZE68" s="1"/>
      <c r="PZF68" s="1"/>
      <c r="PZG68" s="1"/>
      <c r="PZH68" s="1"/>
      <c r="PZI68" s="1"/>
      <c r="PZJ68" s="1"/>
      <c r="PZK68" s="1"/>
      <c r="PZL68" s="1"/>
      <c r="PZM68" s="1"/>
      <c r="PZN68" s="1"/>
      <c r="PZO68" s="1"/>
      <c r="PZP68" s="1"/>
      <c r="PZQ68" s="1"/>
      <c r="PZR68" s="1"/>
      <c r="PZS68" s="1"/>
      <c r="PZT68" s="1"/>
      <c r="PZU68" s="1"/>
      <c r="PZV68" s="1"/>
      <c r="PZW68" s="1"/>
      <c r="PZX68" s="1"/>
      <c r="PZY68" s="1"/>
      <c r="PZZ68" s="1"/>
      <c r="QAA68" s="1"/>
      <c r="QAB68" s="1"/>
      <c r="QAC68" s="1"/>
      <c r="QAD68" s="1"/>
      <c r="QAE68" s="1"/>
      <c r="QAF68" s="1"/>
      <c r="QAG68" s="1"/>
      <c r="QAH68" s="1"/>
      <c r="QAI68" s="1"/>
      <c r="QAJ68" s="1"/>
      <c r="QAK68" s="1"/>
      <c r="QAL68" s="1"/>
      <c r="QAM68" s="1"/>
      <c r="QAN68" s="1"/>
      <c r="QAO68" s="1"/>
      <c r="QAP68" s="1"/>
      <c r="QAQ68" s="1"/>
      <c r="QAR68" s="1"/>
      <c r="QAS68" s="1"/>
      <c r="QAT68" s="1"/>
      <c r="QAU68" s="1"/>
      <c r="QAV68" s="1"/>
      <c r="QAW68" s="1"/>
      <c r="QAX68" s="1"/>
      <c r="QAY68" s="1"/>
      <c r="QAZ68" s="1"/>
      <c r="QBA68" s="1"/>
      <c r="QBB68" s="1"/>
      <c r="QBC68" s="1"/>
      <c r="QBD68" s="1"/>
      <c r="QBE68" s="1"/>
      <c r="QBF68" s="1"/>
      <c r="QBG68" s="1"/>
      <c r="QBH68" s="1"/>
      <c r="QBI68" s="1"/>
      <c r="QBJ68" s="1"/>
      <c r="QBK68" s="1"/>
      <c r="QBL68" s="1"/>
      <c r="QBM68" s="1"/>
      <c r="QBN68" s="1"/>
      <c r="QBO68" s="1"/>
      <c r="QBP68" s="1"/>
      <c r="QBQ68" s="1"/>
      <c r="QBR68" s="1"/>
      <c r="QBS68" s="1"/>
      <c r="QBT68" s="1"/>
      <c r="QBU68" s="1"/>
      <c r="QBV68" s="1"/>
      <c r="QBW68" s="1"/>
      <c r="QBX68" s="1"/>
      <c r="QBY68" s="1"/>
      <c r="QBZ68" s="1"/>
      <c r="QCA68" s="1"/>
      <c r="QCB68" s="1"/>
      <c r="QCC68" s="1"/>
      <c r="QCD68" s="1"/>
      <c r="QCE68" s="1"/>
      <c r="QCF68" s="1"/>
      <c r="QCG68" s="1"/>
      <c r="QCH68" s="1"/>
      <c r="QCI68" s="1"/>
      <c r="QCJ68" s="1"/>
      <c r="QCK68" s="1"/>
      <c r="QCL68" s="1"/>
      <c r="QCM68" s="1"/>
      <c r="QCN68" s="1"/>
      <c r="QCO68" s="1"/>
      <c r="QCP68" s="1"/>
      <c r="QCQ68" s="1"/>
      <c r="QCR68" s="1"/>
      <c r="QCS68" s="1"/>
      <c r="QCT68" s="1"/>
      <c r="QCU68" s="1"/>
      <c r="QCV68" s="1"/>
      <c r="QCW68" s="1"/>
      <c r="QCX68" s="1"/>
      <c r="QCY68" s="1"/>
      <c r="QCZ68" s="1"/>
      <c r="QDA68" s="1"/>
      <c r="QDB68" s="1"/>
      <c r="QDC68" s="1"/>
      <c r="QDD68" s="1"/>
      <c r="QDE68" s="1"/>
      <c r="QDF68" s="1"/>
      <c r="QDG68" s="1"/>
      <c r="QDH68" s="1"/>
      <c r="QDI68" s="1"/>
      <c r="QDJ68" s="1"/>
      <c r="QDK68" s="1"/>
      <c r="QDL68" s="1"/>
      <c r="QDM68" s="1"/>
      <c r="QDN68" s="1"/>
      <c r="QDO68" s="1"/>
      <c r="QDP68" s="1"/>
      <c r="QDQ68" s="1"/>
      <c r="QDR68" s="1"/>
      <c r="QDS68" s="1"/>
      <c r="QDT68" s="1"/>
      <c r="QDU68" s="1"/>
      <c r="QDV68" s="1"/>
      <c r="QDW68" s="1"/>
      <c r="QDX68" s="1"/>
      <c r="QDY68" s="1"/>
      <c r="QDZ68" s="1"/>
      <c r="QEA68" s="1"/>
      <c r="QEB68" s="1"/>
      <c r="QEC68" s="1"/>
      <c r="QED68" s="1"/>
      <c r="QEE68" s="1"/>
      <c r="QEF68" s="1"/>
      <c r="QEG68" s="1"/>
      <c r="QEH68" s="1"/>
      <c r="QEI68" s="1"/>
      <c r="QEJ68" s="1"/>
      <c r="QEK68" s="1"/>
      <c r="QEL68" s="1"/>
      <c r="QEM68" s="1"/>
      <c r="QEN68" s="1"/>
      <c r="QEO68" s="1"/>
      <c r="QEP68" s="1"/>
      <c r="QEQ68" s="1"/>
      <c r="QER68" s="1"/>
      <c r="QES68" s="1"/>
      <c r="QET68" s="1"/>
      <c r="QEU68" s="1"/>
      <c r="QEV68" s="1"/>
      <c r="QEW68" s="1"/>
      <c r="QEX68" s="1"/>
      <c r="QEY68" s="1"/>
      <c r="QEZ68" s="1"/>
      <c r="QFA68" s="1"/>
      <c r="QFB68" s="1"/>
      <c r="QFC68" s="1"/>
      <c r="QFD68" s="1"/>
      <c r="QFE68" s="1"/>
      <c r="QFF68" s="1"/>
      <c r="QFG68" s="1"/>
      <c r="QFH68" s="1"/>
      <c r="QFI68" s="1"/>
      <c r="QFJ68" s="1"/>
      <c r="QFK68" s="1"/>
      <c r="QFL68" s="1"/>
      <c r="QFM68" s="1"/>
      <c r="QFN68" s="1"/>
      <c r="QFO68" s="1"/>
      <c r="QFP68" s="1"/>
      <c r="QFQ68" s="1"/>
      <c r="QFR68" s="1"/>
      <c r="QFS68" s="1"/>
      <c r="QFT68" s="1"/>
      <c r="QFU68" s="1"/>
      <c r="QFV68" s="1"/>
      <c r="QFW68" s="1"/>
      <c r="QFX68" s="1"/>
      <c r="QFY68" s="1"/>
      <c r="QFZ68" s="1"/>
      <c r="QGA68" s="1"/>
      <c r="QGB68" s="1"/>
      <c r="QGC68" s="1"/>
      <c r="QGD68" s="1"/>
      <c r="QGE68" s="1"/>
      <c r="QGF68" s="1"/>
      <c r="QGG68" s="1"/>
      <c r="QGH68" s="1"/>
      <c r="QGI68" s="1"/>
      <c r="QGJ68" s="1"/>
      <c r="QGK68" s="1"/>
      <c r="QGL68" s="1"/>
      <c r="QGM68" s="1"/>
      <c r="QGN68" s="1"/>
      <c r="QGO68" s="1"/>
      <c r="QGP68" s="1"/>
      <c r="QGQ68" s="1"/>
      <c r="QGR68" s="1"/>
      <c r="QGS68" s="1"/>
      <c r="QGT68" s="1"/>
      <c r="QGU68" s="1"/>
      <c r="QGV68" s="1"/>
      <c r="QGW68" s="1"/>
      <c r="QGX68" s="1"/>
      <c r="QGY68" s="1"/>
      <c r="QGZ68" s="1"/>
      <c r="QHA68" s="1"/>
      <c r="QHB68" s="1"/>
      <c r="QHC68" s="1"/>
      <c r="QHD68" s="1"/>
      <c r="QHE68" s="1"/>
      <c r="QHF68" s="1"/>
      <c r="QHG68" s="1"/>
      <c r="QHH68" s="1"/>
      <c r="QHI68" s="1"/>
      <c r="QHJ68" s="1"/>
      <c r="QHK68" s="1"/>
      <c r="QHL68" s="1"/>
      <c r="QHM68" s="1"/>
      <c r="QHN68" s="1"/>
      <c r="QHO68" s="1"/>
      <c r="QHP68" s="1"/>
      <c r="QHQ68" s="1"/>
      <c r="QHR68" s="1"/>
      <c r="QHS68" s="1"/>
      <c r="QHT68" s="1"/>
      <c r="QHU68" s="1"/>
      <c r="QHV68" s="1"/>
      <c r="QHW68" s="1"/>
      <c r="QHX68" s="1"/>
      <c r="QHY68" s="1"/>
      <c r="QHZ68" s="1"/>
      <c r="QIA68" s="1"/>
      <c r="QIB68" s="1"/>
      <c r="QIC68" s="1"/>
      <c r="QID68" s="1"/>
      <c r="QIE68" s="1"/>
      <c r="QIF68" s="1"/>
      <c r="QIG68" s="1"/>
      <c r="QIH68" s="1"/>
      <c r="QII68" s="1"/>
      <c r="QIJ68" s="1"/>
      <c r="QIK68" s="1"/>
      <c r="QIL68" s="1"/>
      <c r="QIM68" s="1"/>
      <c r="QIN68" s="1"/>
      <c r="QIO68" s="1"/>
      <c r="QIP68" s="1"/>
      <c r="QIQ68" s="1"/>
      <c r="QIR68" s="1"/>
      <c r="QIS68" s="1"/>
      <c r="QIT68" s="1"/>
      <c r="QIU68" s="1"/>
      <c r="QIV68" s="1"/>
      <c r="QIW68" s="1"/>
      <c r="QIX68" s="1"/>
      <c r="QIY68" s="1"/>
      <c r="QIZ68" s="1"/>
      <c r="QJA68" s="1"/>
      <c r="QJB68" s="1"/>
      <c r="QJC68" s="1"/>
      <c r="QJD68" s="1"/>
      <c r="QJE68" s="1"/>
      <c r="QJF68" s="1"/>
      <c r="QJG68" s="1"/>
      <c r="QJH68" s="1"/>
      <c r="QJI68" s="1"/>
      <c r="QJJ68" s="1"/>
      <c r="QJK68" s="1"/>
      <c r="QJL68" s="1"/>
      <c r="QJM68" s="1"/>
      <c r="QJN68" s="1"/>
      <c r="QJO68" s="1"/>
      <c r="QJP68" s="1"/>
      <c r="QJQ68" s="1"/>
      <c r="QJR68" s="1"/>
      <c r="QJS68" s="1"/>
      <c r="QJT68" s="1"/>
      <c r="QJU68" s="1"/>
      <c r="QJV68" s="1"/>
      <c r="QJW68" s="1"/>
      <c r="QJX68" s="1"/>
      <c r="QJY68" s="1"/>
      <c r="QJZ68" s="1"/>
      <c r="QKA68" s="1"/>
      <c r="QKB68" s="1"/>
      <c r="QKC68" s="1"/>
      <c r="QKD68" s="1"/>
      <c r="QKE68" s="1"/>
      <c r="QKF68" s="1"/>
      <c r="QKG68" s="1"/>
      <c r="QKH68" s="1"/>
      <c r="QKI68" s="1"/>
      <c r="QKJ68" s="1"/>
      <c r="QKK68" s="1"/>
      <c r="QKL68" s="1"/>
      <c r="QKM68" s="1"/>
      <c r="QKN68" s="1"/>
      <c r="QKO68" s="1"/>
      <c r="QKP68" s="1"/>
      <c r="QKQ68" s="1"/>
      <c r="QKR68" s="1"/>
      <c r="QKS68" s="1"/>
      <c r="QKT68" s="1"/>
      <c r="QKU68" s="1"/>
      <c r="QKV68" s="1"/>
      <c r="QKW68" s="1"/>
      <c r="QKX68" s="1"/>
      <c r="QKY68" s="1"/>
      <c r="QKZ68" s="1"/>
      <c r="QLA68" s="1"/>
      <c r="QLB68" s="1"/>
      <c r="QLC68" s="1"/>
      <c r="QLD68" s="1"/>
      <c r="QLE68" s="1"/>
      <c r="QLF68" s="1"/>
      <c r="QLG68" s="1"/>
      <c r="QLH68" s="1"/>
      <c r="QLI68" s="1"/>
      <c r="QLJ68" s="1"/>
      <c r="QLK68" s="1"/>
      <c r="QLL68" s="1"/>
      <c r="QLM68" s="1"/>
      <c r="QLN68" s="1"/>
      <c r="QLO68" s="1"/>
      <c r="QLP68" s="1"/>
      <c r="QLQ68" s="1"/>
      <c r="QLR68" s="1"/>
      <c r="QLS68" s="1"/>
      <c r="QLT68" s="1"/>
      <c r="QLU68" s="1"/>
      <c r="QLV68" s="1"/>
      <c r="QLW68" s="1"/>
      <c r="QLX68" s="1"/>
      <c r="QLY68" s="1"/>
      <c r="QLZ68" s="1"/>
      <c r="QMA68" s="1"/>
      <c r="QMB68" s="1"/>
      <c r="QMC68" s="1"/>
      <c r="QMD68" s="1"/>
      <c r="QME68" s="1"/>
      <c r="QMF68" s="1"/>
      <c r="QMG68" s="1"/>
      <c r="QMH68" s="1"/>
      <c r="QMI68" s="1"/>
      <c r="QMJ68" s="1"/>
      <c r="QMK68" s="1"/>
      <c r="QML68" s="1"/>
      <c r="QMM68" s="1"/>
      <c r="QMN68" s="1"/>
      <c r="QMO68" s="1"/>
      <c r="QMP68" s="1"/>
      <c r="QMQ68" s="1"/>
      <c r="QMR68" s="1"/>
      <c r="QMS68" s="1"/>
      <c r="QMT68" s="1"/>
      <c r="QMU68" s="1"/>
      <c r="QMV68" s="1"/>
      <c r="QMW68" s="1"/>
      <c r="QMX68" s="1"/>
      <c r="QMY68" s="1"/>
      <c r="QMZ68" s="1"/>
      <c r="QNA68" s="1"/>
      <c r="QNB68" s="1"/>
      <c r="QNC68" s="1"/>
      <c r="QND68" s="1"/>
      <c r="QNE68" s="1"/>
      <c r="QNF68" s="1"/>
      <c r="QNG68" s="1"/>
      <c r="QNH68" s="1"/>
      <c r="QNI68" s="1"/>
      <c r="QNJ68" s="1"/>
      <c r="QNK68" s="1"/>
      <c r="QNL68" s="1"/>
      <c r="QNM68" s="1"/>
      <c r="QNN68" s="1"/>
      <c r="QNO68" s="1"/>
      <c r="QNP68" s="1"/>
      <c r="QNQ68" s="1"/>
      <c r="QNR68" s="1"/>
      <c r="QNS68" s="1"/>
      <c r="QNT68" s="1"/>
      <c r="QNU68" s="1"/>
      <c r="QNV68" s="1"/>
      <c r="QNW68" s="1"/>
      <c r="QNX68" s="1"/>
      <c r="QNY68" s="1"/>
      <c r="QNZ68" s="1"/>
      <c r="QOA68" s="1"/>
      <c r="QOB68" s="1"/>
      <c r="QOC68" s="1"/>
      <c r="QOD68" s="1"/>
      <c r="QOE68" s="1"/>
      <c r="QOF68" s="1"/>
      <c r="QOG68" s="1"/>
      <c r="QOH68" s="1"/>
      <c r="QOI68" s="1"/>
      <c r="QOJ68" s="1"/>
      <c r="QOK68" s="1"/>
      <c r="QOL68" s="1"/>
      <c r="QOM68" s="1"/>
      <c r="QON68" s="1"/>
      <c r="QOO68" s="1"/>
      <c r="QOP68" s="1"/>
      <c r="QOQ68" s="1"/>
      <c r="QOR68" s="1"/>
      <c r="QOS68" s="1"/>
      <c r="QOT68" s="1"/>
      <c r="QOU68" s="1"/>
      <c r="QOV68" s="1"/>
      <c r="QOW68" s="1"/>
      <c r="QOX68" s="1"/>
      <c r="QOY68" s="1"/>
      <c r="QOZ68" s="1"/>
      <c r="QPA68" s="1"/>
      <c r="QPB68" s="1"/>
      <c r="QPC68" s="1"/>
      <c r="QPD68" s="1"/>
      <c r="QPE68" s="1"/>
      <c r="QPF68" s="1"/>
      <c r="QPG68" s="1"/>
      <c r="QPH68" s="1"/>
      <c r="QPI68" s="1"/>
      <c r="QPJ68" s="1"/>
      <c r="QPK68" s="1"/>
      <c r="QPL68" s="1"/>
      <c r="QPM68" s="1"/>
      <c r="QPN68" s="1"/>
      <c r="QPO68" s="1"/>
      <c r="QPP68" s="1"/>
      <c r="QPQ68" s="1"/>
      <c r="QPR68" s="1"/>
      <c r="QPS68" s="1"/>
      <c r="QPT68" s="1"/>
      <c r="QPU68" s="1"/>
      <c r="QPV68" s="1"/>
      <c r="QPW68" s="1"/>
      <c r="QPX68" s="1"/>
      <c r="QPY68" s="1"/>
      <c r="QPZ68" s="1"/>
      <c r="QQA68" s="1"/>
      <c r="QQB68" s="1"/>
      <c r="QQC68" s="1"/>
      <c r="QQD68" s="1"/>
      <c r="QQE68" s="1"/>
      <c r="QQF68" s="1"/>
      <c r="QQG68" s="1"/>
      <c r="QQH68" s="1"/>
      <c r="QQI68" s="1"/>
      <c r="QQJ68" s="1"/>
      <c r="QQK68" s="1"/>
      <c r="QQL68" s="1"/>
      <c r="QQM68" s="1"/>
      <c r="QQN68" s="1"/>
      <c r="QQO68" s="1"/>
      <c r="QQP68" s="1"/>
      <c r="QQQ68" s="1"/>
      <c r="QQR68" s="1"/>
      <c r="QQS68" s="1"/>
      <c r="QQT68" s="1"/>
      <c r="QQU68" s="1"/>
      <c r="QQV68" s="1"/>
      <c r="QQW68" s="1"/>
      <c r="QQX68" s="1"/>
      <c r="QQY68" s="1"/>
      <c r="QQZ68" s="1"/>
      <c r="QRA68" s="1"/>
      <c r="QRB68" s="1"/>
      <c r="QRC68" s="1"/>
      <c r="QRD68" s="1"/>
      <c r="QRE68" s="1"/>
      <c r="QRF68" s="1"/>
      <c r="QRG68" s="1"/>
      <c r="QRH68" s="1"/>
      <c r="QRI68" s="1"/>
      <c r="QRJ68" s="1"/>
      <c r="QRK68" s="1"/>
      <c r="QRL68" s="1"/>
      <c r="QRM68" s="1"/>
      <c r="QRN68" s="1"/>
      <c r="QRO68" s="1"/>
      <c r="QRP68" s="1"/>
      <c r="QRQ68" s="1"/>
      <c r="QRR68" s="1"/>
      <c r="QRS68" s="1"/>
      <c r="QRT68" s="1"/>
      <c r="QRU68" s="1"/>
      <c r="QRV68" s="1"/>
      <c r="QRW68" s="1"/>
      <c r="QRX68" s="1"/>
      <c r="QRY68" s="1"/>
      <c r="QRZ68" s="1"/>
      <c r="QSA68" s="1"/>
      <c r="QSB68" s="1"/>
      <c r="QSC68" s="1"/>
      <c r="QSD68" s="1"/>
      <c r="QSE68" s="1"/>
      <c r="QSF68" s="1"/>
      <c r="QSG68" s="1"/>
      <c r="QSH68" s="1"/>
      <c r="QSI68" s="1"/>
      <c r="QSJ68" s="1"/>
      <c r="QSK68" s="1"/>
      <c r="QSL68" s="1"/>
      <c r="QSM68" s="1"/>
      <c r="QSN68" s="1"/>
      <c r="QSO68" s="1"/>
      <c r="QSP68" s="1"/>
      <c r="QSQ68" s="1"/>
      <c r="QSR68" s="1"/>
      <c r="QSS68" s="1"/>
      <c r="QST68" s="1"/>
      <c r="QSU68" s="1"/>
      <c r="QSV68" s="1"/>
      <c r="QSW68" s="1"/>
      <c r="QSX68" s="1"/>
      <c r="QSY68" s="1"/>
      <c r="QSZ68" s="1"/>
      <c r="QTA68" s="1"/>
      <c r="QTB68" s="1"/>
      <c r="QTC68" s="1"/>
      <c r="QTD68" s="1"/>
      <c r="QTE68" s="1"/>
      <c r="QTF68" s="1"/>
      <c r="QTG68" s="1"/>
      <c r="QTH68" s="1"/>
      <c r="QTI68" s="1"/>
      <c r="QTJ68" s="1"/>
      <c r="QTK68" s="1"/>
      <c r="QTL68" s="1"/>
      <c r="QTM68" s="1"/>
      <c r="QTN68" s="1"/>
      <c r="QTO68" s="1"/>
      <c r="QTP68" s="1"/>
      <c r="QTQ68" s="1"/>
      <c r="QTR68" s="1"/>
      <c r="QTS68" s="1"/>
      <c r="QTT68" s="1"/>
      <c r="QTU68" s="1"/>
      <c r="QTV68" s="1"/>
      <c r="QTW68" s="1"/>
      <c r="QTX68" s="1"/>
      <c r="QTY68" s="1"/>
      <c r="QTZ68" s="1"/>
      <c r="QUA68" s="1"/>
      <c r="QUB68" s="1"/>
      <c r="QUC68" s="1"/>
      <c r="QUD68" s="1"/>
      <c r="QUE68" s="1"/>
      <c r="QUF68" s="1"/>
      <c r="QUG68" s="1"/>
      <c r="QUH68" s="1"/>
      <c r="QUI68" s="1"/>
      <c r="QUJ68" s="1"/>
      <c r="QUK68" s="1"/>
      <c r="QUL68" s="1"/>
      <c r="QUM68" s="1"/>
      <c r="QUN68" s="1"/>
      <c r="QUO68" s="1"/>
      <c r="QUP68" s="1"/>
      <c r="QUQ68" s="1"/>
      <c r="QUR68" s="1"/>
      <c r="QUS68" s="1"/>
      <c r="QUT68" s="1"/>
      <c r="QUU68" s="1"/>
      <c r="QUV68" s="1"/>
      <c r="QUW68" s="1"/>
      <c r="QUX68" s="1"/>
      <c r="QUY68" s="1"/>
      <c r="QUZ68" s="1"/>
      <c r="QVA68" s="1"/>
      <c r="QVB68" s="1"/>
      <c r="QVC68" s="1"/>
      <c r="QVD68" s="1"/>
      <c r="QVE68" s="1"/>
      <c r="QVF68" s="1"/>
      <c r="QVG68" s="1"/>
      <c r="QVH68" s="1"/>
      <c r="QVI68" s="1"/>
      <c r="QVJ68" s="1"/>
      <c r="QVK68" s="1"/>
      <c r="QVL68" s="1"/>
      <c r="QVM68" s="1"/>
      <c r="QVN68" s="1"/>
      <c r="QVO68" s="1"/>
      <c r="QVP68" s="1"/>
      <c r="QVQ68" s="1"/>
      <c r="QVR68" s="1"/>
      <c r="QVS68" s="1"/>
      <c r="QVT68" s="1"/>
      <c r="QVU68" s="1"/>
      <c r="QVV68" s="1"/>
      <c r="QVW68" s="1"/>
      <c r="QVX68" s="1"/>
      <c r="QVY68" s="1"/>
      <c r="QVZ68" s="1"/>
      <c r="QWA68" s="1"/>
      <c r="QWB68" s="1"/>
      <c r="QWC68" s="1"/>
      <c r="QWD68" s="1"/>
      <c r="QWE68" s="1"/>
      <c r="QWF68" s="1"/>
      <c r="QWG68" s="1"/>
      <c r="QWH68" s="1"/>
      <c r="QWI68" s="1"/>
      <c r="QWJ68" s="1"/>
      <c r="QWK68" s="1"/>
      <c r="QWL68" s="1"/>
      <c r="QWM68" s="1"/>
      <c r="QWN68" s="1"/>
      <c r="QWO68" s="1"/>
      <c r="QWP68" s="1"/>
      <c r="QWQ68" s="1"/>
      <c r="QWR68" s="1"/>
      <c r="QWS68" s="1"/>
      <c r="QWT68" s="1"/>
      <c r="QWU68" s="1"/>
      <c r="QWV68" s="1"/>
      <c r="QWW68" s="1"/>
      <c r="QWX68" s="1"/>
      <c r="QWY68" s="1"/>
      <c r="QWZ68" s="1"/>
      <c r="QXA68" s="1"/>
      <c r="QXB68" s="1"/>
      <c r="QXC68" s="1"/>
      <c r="QXD68" s="1"/>
      <c r="QXE68" s="1"/>
      <c r="QXF68" s="1"/>
      <c r="QXG68" s="1"/>
      <c r="QXH68" s="1"/>
      <c r="QXI68" s="1"/>
      <c r="QXJ68" s="1"/>
      <c r="QXK68" s="1"/>
      <c r="QXL68" s="1"/>
      <c r="QXM68" s="1"/>
      <c r="QXN68" s="1"/>
      <c r="QXO68" s="1"/>
      <c r="QXP68" s="1"/>
      <c r="QXQ68" s="1"/>
      <c r="QXR68" s="1"/>
      <c r="QXS68" s="1"/>
      <c r="QXT68" s="1"/>
      <c r="QXU68" s="1"/>
      <c r="QXV68" s="1"/>
      <c r="QXW68" s="1"/>
      <c r="QXX68" s="1"/>
      <c r="QXY68" s="1"/>
      <c r="QXZ68" s="1"/>
      <c r="QYA68" s="1"/>
      <c r="QYB68" s="1"/>
      <c r="QYC68" s="1"/>
      <c r="QYD68" s="1"/>
      <c r="QYE68" s="1"/>
      <c r="QYF68" s="1"/>
      <c r="QYG68" s="1"/>
      <c r="QYH68" s="1"/>
      <c r="QYI68" s="1"/>
      <c r="QYJ68" s="1"/>
      <c r="QYK68" s="1"/>
      <c r="QYL68" s="1"/>
      <c r="QYM68" s="1"/>
      <c r="QYN68" s="1"/>
      <c r="QYO68" s="1"/>
      <c r="QYP68" s="1"/>
      <c r="QYQ68" s="1"/>
      <c r="QYR68" s="1"/>
      <c r="QYS68" s="1"/>
      <c r="QYT68" s="1"/>
      <c r="QYU68" s="1"/>
      <c r="QYV68" s="1"/>
      <c r="QYW68" s="1"/>
      <c r="QYX68" s="1"/>
      <c r="QYY68" s="1"/>
      <c r="QYZ68" s="1"/>
      <c r="QZA68" s="1"/>
      <c r="QZB68" s="1"/>
      <c r="QZC68" s="1"/>
      <c r="QZD68" s="1"/>
      <c r="QZE68" s="1"/>
      <c r="QZF68" s="1"/>
      <c r="QZG68" s="1"/>
      <c r="QZH68" s="1"/>
      <c r="QZI68" s="1"/>
      <c r="QZJ68" s="1"/>
      <c r="QZK68" s="1"/>
      <c r="QZL68" s="1"/>
      <c r="QZM68" s="1"/>
      <c r="QZN68" s="1"/>
      <c r="QZO68" s="1"/>
      <c r="QZP68" s="1"/>
      <c r="QZQ68" s="1"/>
      <c r="QZR68" s="1"/>
      <c r="QZS68" s="1"/>
      <c r="QZT68" s="1"/>
      <c r="QZU68" s="1"/>
      <c r="QZV68" s="1"/>
      <c r="QZW68" s="1"/>
      <c r="QZX68" s="1"/>
      <c r="QZY68" s="1"/>
      <c r="QZZ68" s="1"/>
      <c r="RAA68" s="1"/>
      <c r="RAB68" s="1"/>
      <c r="RAC68" s="1"/>
      <c r="RAD68" s="1"/>
      <c r="RAE68" s="1"/>
      <c r="RAF68" s="1"/>
      <c r="RAG68" s="1"/>
      <c r="RAH68" s="1"/>
      <c r="RAI68" s="1"/>
      <c r="RAJ68" s="1"/>
      <c r="RAK68" s="1"/>
      <c r="RAL68" s="1"/>
      <c r="RAM68" s="1"/>
      <c r="RAN68" s="1"/>
      <c r="RAO68" s="1"/>
      <c r="RAP68" s="1"/>
      <c r="RAQ68" s="1"/>
      <c r="RAR68" s="1"/>
      <c r="RAS68" s="1"/>
      <c r="RAT68" s="1"/>
      <c r="RAU68" s="1"/>
      <c r="RAV68" s="1"/>
      <c r="RAW68" s="1"/>
      <c r="RAX68" s="1"/>
      <c r="RAY68" s="1"/>
      <c r="RAZ68" s="1"/>
      <c r="RBA68" s="1"/>
      <c r="RBB68" s="1"/>
      <c r="RBC68" s="1"/>
      <c r="RBD68" s="1"/>
      <c r="RBE68" s="1"/>
      <c r="RBF68" s="1"/>
      <c r="RBG68" s="1"/>
      <c r="RBH68" s="1"/>
      <c r="RBI68" s="1"/>
      <c r="RBJ68" s="1"/>
      <c r="RBK68" s="1"/>
      <c r="RBL68" s="1"/>
      <c r="RBM68" s="1"/>
      <c r="RBN68" s="1"/>
      <c r="RBO68" s="1"/>
      <c r="RBP68" s="1"/>
      <c r="RBQ68" s="1"/>
      <c r="RBR68" s="1"/>
      <c r="RBS68" s="1"/>
      <c r="RBT68" s="1"/>
      <c r="RBU68" s="1"/>
      <c r="RBV68" s="1"/>
      <c r="RBW68" s="1"/>
      <c r="RBX68" s="1"/>
      <c r="RBY68" s="1"/>
      <c r="RBZ68" s="1"/>
      <c r="RCA68" s="1"/>
      <c r="RCB68" s="1"/>
      <c r="RCC68" s="1"/>
      <c r="RCD68" s="1"/>
      <c r="RCE68" s="1"/>
      <c r="RCF68" s="1"/>
      <c r="RCG68" s="1"/>
      <c r="RCH68" s="1"/>
      <c r="RCI68" s="1"/>
      <c r="RCJ68" s="1"/>
      <c r="RCK68" s="1"/>
      <c r="RCL68" s="1"/>
      <c r="RCM68" s="1"/>
      <c r="RCN68" s="1"/>
      <c r="RCO68" s="1"/>
      <c r="RCP68" s="1"/>
      <c r="RCQ68" s="1"/>
      <c r="RCR68" s="1"/>
      <c r="RCS68" s="1"/>
      <c r="RCT68" s="1"/>
      <c r="RCU68" s="1"/>
      <c r="RCV68" s="1"/>
      <c r="RCW68" s="1"/>
      <c r="RCX68" s="1"/>
      <c r="RCY68" s="1"/>
      <c r="RCZ68" s="1"/>
      <c r="RDA68" s="1"/>
      <c r="RDB68" s="1"/>
      <c r="RDC68" s="1"/>
      <c r="RDD68" s="1"/>
      <c r="RDE68" s="1"/>
      <c r="RDF68" s="1"/>
      <c r="RDG68" s="1"/>
      <c r="RDH68" s="1"/>
      <c r="RDI68" s="1"/>
      <c r="RDJ68" s="1"/>
      <c r="RDK68" s="1"/>
      <c r="RDL68" s="1"/>
      <c r="RDM68" s="1"/>
      <c r="RDN68" s="1"/>
      <c r="RDO68" s="1"/>
      <c r="RDP68" s="1"/>
      <c r="RDQ68" s="1"/>
      <c r="RDR68" s="1"/>
      <c r="RDS68" s="1"/>
      <c r="RDT68" s="1"/>
      <c r="RDU68" s="1"/>
      <c r="RDV68" s="1"/>
      <c r="RDW68" s="1"/>
      <c r="RDX68" s="1"/>
      <c r="RDY68" s="1"/>
      <c r="RDZ68" s="1"/>
      <c r="REA68" s="1"/>
      <c r="REB68" s="1"/>
      <c r="REC68" s="1"/>
      <c r="RED68" s="1"/>
      <c r="REE68" s="1"/>
      <c r="REF68" s="1"/>
      <c r="REG68" s="1"/>
      <c r="REH68" s="1"/>
      <c r="REI68" s="1"/>
      <c r="REJ68" s="1"/>
      <c r="REK68" s="1"/>
      <c r="REL68" s="1"/>
      <c r="REM68" s="1"/>
      <c r="REN68" s="1"/>
      <c r="REO68" s="1"/>
      <c r="REP68" s="1"/>
      <c r="REQ68" s="1"/>
      <c r="RER68" s="1"/>
      <c r="RES68" s="1"/>
      <c r="RET68" s="1"/>
      <c r="REU68" s="1"/>
      <c r="REV68" s="1"/>
      <c r="REW68" s="1"/>
      <c r="REX68" s="1"/>
      <c r="REY68" s="1"/>
      <c r="REZ68" s="1"/>
      <c r="RFA68" s="1"/>
      <c r="RFB68" s="1"/>
      <c r="RFC68" s="1"/>
      <c r="RFD68" s="1"/>
      <c r="RFE68" s="1"/>
      <c r="RFF68" s="1"/>
      <c r="RFG68" s="1"/>
      <c r="RFH68" s="1"/>
      <c r="RFI68" s="1"/>
      <c r="RFJ68" s="1"/>
      <c r="RFK68" s="1"/>
      <c r="RFL68" s="1"/>
      <c r="RFM68" s="1"/>
      <c r="RFN68" s="1"/>
      <c r="RFO68" s="1"/>
      <c r="RFP68" s="1"/>
      <c r="RFQ68" s="1"/>
      <c r="RFR68" s="1"/>
      <c r="RFS68" s="1"/>
      <c r="RFT68" s="1"/>
      <c r="RFU68" s="1"/>
      <c r="RFV68" s="1"/>
      <c r="RFW68" s="1"/>
      <c r="RFX68" s="1"/>
      <c r="RFY68" s="1"/>
      <c r="RFZ68" s="1"/>
      <c r="RGA68" s="1"/>
      <c r="RGB68" s="1"/>
      <c r="RGC68" s="1"/>
      <c r="RGD68" s="1"/>
      <c r="RGE68" s="1"/>
      <c r="RGF68" s="1"/>
      <c r="RGG68" s="1"/>
      <c r="RGH68" s="1"/>
      <c r="RGI68" s="1"/>
      <c r="RGJ68" s="1"/>
      <c r="RGK68" s="1"/>
      <c r="RGL68" s="1"/>
      <c r="RGM68" s="1"/>
      <c r="RGN68" s="1"/>
      <c r="RGO68" s="1"/>
      <c r="RGP68" s="1"/>
      <c r="RGQ68" s="1"/>
      <c r="RGR68" s="1"/>
      <c r="RGS68" s="1"/>
      <c r="RGT68" s="1"/>
      <c r="RGU68" s="1"/>
      <c r="RGV68" s="1"/>
      <c r="RGW68" s="1"/>
      <c r="RGX68" s="1"/>
      <c r="RGY68" s="1"/>
      <c r="RGZ68" s="1"/>
      <c r="RHA68" s="1"/>
      <c r="RHB68" s="1"/>
      <c r="RHC68" s="1"/>
      <c r="RHD68" s="1"/>
      <c r="RHE68" s="1"/>
      <c r="RHF68" s="1"/>
      <c r="RHG68" s="1"/>
      <c r="RHH68" s="1"/>
      <c r="RHI68" s="1"/>
      <c r="RHJ68" s="1"/>
      <c r="RHK68" s="1"/>
      <c r="RHL68" s="1"/>
      <c r="RHM68" s="1"/>
      <c r="RHN68" s="1"/>
      <c r="RHO68" s="1"/>
      <c r="RHP68" s="1"/>
      <c r="RHQ68" s="1"/>
      <c r="RHR68" s="1"/>
      <c r="RHS68" s="1"/>
      <c r="RHT68" s="1"/>
      <c r="RHU68" s="1"/>
      <c r="RHV68" s="1"/>
      <c r="RHW68" s="1"/>
      <c r="RHX68" s="1"/>
      <c r="RHY68" s="1"/>
      <c r="RHZ68" s="1"/>
      <c r="RIA68" s="1"/>
      <c r="RIB68" s="1"/>
      <c r="RIC68" s="1"/>
      <c r="RID68" s="1"/>
      <c r="RIE68" s="1"/>
      <c r="RIF68" s="1"/>
      <c r="RIG68" s="1"/>
      <c r="RIH68" s="1"/>
      <c r="RII68" s="1"/>
      <c r="RIJ68" s="1"/>
      <c r="RIK68" s="1"/>
      <c r="RIL68" s="1"/>
      <c r="RIM68" s="1"/>
      <c r="RIN68" s="1"/>
      <c r="RIO68" s="1"/>
      <c r="RIP68" s="1"/>
      <c r="RIQ68" s="1"/>
      <c r="RIR68" s="1"/>
      <c r="RIS68" s="1"/>
      <c r="RIT68" s="1"/>
      <c r="RIU68" s="1"/>
      <c r="RIV68" s="1"/>
      <c r="RIW68" s="1"/>
      <c r="RIX68" s="1"/>
      <c r="RIY68" s="1"/>
      <c r="RIZ68" s="1"/>
      <c r="RJA68" s="1"/>
      <c r="RJB68" s="1"/>
      <c r="RJC68" s="1"/>
      <c r="RJD68" s="1"/>
      <c r="RJE68" s="1"/>
      <c r="RJF68" s="1"/>
      <c r="RJG68" s="1"/>
      <c r="RJH68" s="1"/>
      <c r="RJI68" s="1"/>
      <c r="RJJ68" s="1"/>
      <c r="RJK68" s="1"/>
      <c r="RJL68" s="1"/>
      <c r="RJM68" s="1"/>
      <c r="RJN68" s="1"/>
      <c r="RJO68" s="1"/>
      <c r="RJP68" s="1"/>
      <c r="RJQ68" s="1"/>
      <c r="RJR68" s="1"/>
      <c r="RJS68" s="1"/>
      <c r="RJT68" s="1"/>
      <c r="RJU68" s="1"/>
      <c r="RJV68" s="1"/>
      <c r="RJW68" s="1"/>
      <c r="RJX68" s="1"/>
      <c r="RJY68" s="1"/>
      <c r="RJZ68" s="1"/>
      <c r="RKA68" s="1"/>
      <c r="RKB68" s="1"/>
      <c r="RKC68" s="1"/>
      <c r="RKD68" s="1"/>
      <c r="RKE68" s="1"/>
      <c r="RKF68" s="1"/>
      <c r="RKG68" s="1"/>
      <c r="RKH68" s="1"/>
      <c r="RKI68" s="1"/>
      <c r="RKJ68" s="1"/>
      <c r="RKK68" s="1"/>
      <c r="RKL68" s="1"/>
      <c r="RKM68" s="1"/>
      <c r="RKN68" s="1"/>
      <c r="RKO68" s="1"/>
      <c r="RKP68" s="1"/>
      <c r="RKQ68" s="1"/>
      <c r="RKR68" s="1"/>
      <c r="RKS68" s="1"/>
      <c r="RKT68" s="1"/>
      <c r="RKU68" s="1"/>
      <c r="RKV68" s="1"/>
      <c r="RKW68" s="1"/>
      <c r="RKX68" s="1"/>
      <c r="RKY68" s="1"/>
      <c r="RKZ68" s="1"/>
      <c r="RLA68" s="1"/>
      <c r="RLB68" s="1"/>
      <c r="RLC68" s="1"/>
      <c r="RLD68" s="1"/>
      <c r="RLE68" s="1"/>
      <c r="RLF68" s="1"/>
      <c r="RLG68" s="1"/>
      <c r="RLH68" s="1"/>
      <c r="RLI68" s="1"/>
      <c r="RLJ68" s="1"/>
      <c r="RLK68" s="1"/>
      <c r="RLL68" s="1"/>
      <c r="RLM68" s="1"/>
      <c r="RLN68" s="1"/>
      <c r="RLO68" s="1"/>
      <c r="RLP68" s="1"/>
      <c r="RLQ68" s="1"/>
      <c r="RLR68" s="1"/>
      <c r="RLS68" s="1"/>
      <c r="RLT68" s="1"/>
      <c r="RLU68" s="1"/>
      <c r="RLV68" s="1"/>
      <c r="RLW68" s="1"/>
      <c r="RLX68" s="1"/>
      <c r="RLY68" s="1"/>
      <c r="RLZ68" s="1"/>
      <c r="RMA68" s="1"/>
      <c r="RMB68" s="1"/>
      <c r="RMC68" s="1"/>
      <c r="RMD68" s="1"/>
      <c r="RME68" s="1"/>
      <c r="RMF68" s="1"/>
      <c r="RMG68" s="1"/>
      <c r="RMH68" s="1"/>
      <c r="RMI68" s="1"/>
      <c r="RMJ68" s="1"/>
      <c r="RMK68" s="1"/>
      <c r="RML68" s="1"/>
      <c r="RMM68" s="1"/>
      <c r="RMN68" s="1"/>
      <c r="RMO68" s="1"/>
      <c r="RMP68" s="1"/>
      <c r="RMQ68" s="1"/>
      <c r="RMR68" s="1"/>
      <c r="RMS68" s="1"/>
      <c r="RMT68" s="1"/>
      <c r="RMU68" s="1"/>
      <c r="RMV68" s="1"/>
      <c r="RMW68" s="1"/>
      <c r="RMX68" s="1"/>
      <c r="RMY68" s="1"/>
      <c r="RMZ68" s="1"/>
      <c r="RNA68" s="1"/>
      <c r="RNB68" s="1"/>
      <c r="RNC68" s="1"/>
      <c r="RND68" s="1"/>
      <c r="RNE68" s="1"/>
      <c r="RNF68" s="1"/>
      <c r="RNG68" s="1"/>
      <c r="RNH68" s="1"/>
      <c r="RNI68" s="1"/>
      <c r="RNJ68" s="1"/>
      <c r="RNK68" s="1"/>
      <c r="RNL68" s="1"/>
      <c r="RNM68" s="1"/>
      <c r="RNN68" s="1"/>
      <c r="RNO68" s="1"/>
      <c r="RNP68" s="1"/>
      <c r="RNQ68" s="1"/>
      <c r="RNR68" s="1"/>
      <c r="RNS68" s="1"/>
      <c r="RNT68" s="1"/>
      <c r="RNU68" s="1"/>
      <c r="RNV68" s="1"/>
      <c r="RNW68" s="1"/>
      <c r="RNX68" s="1"/>
      <c r="RNY68" s="1"/>
      <c r="RNZ68" s="1"/>
      <c r="ROA68" s="1"/>
      <c r="ROB68" s="1"/>
      <c r="ROC68" s="1"/>
      <c r="ROD68" s="1"/>
      <c r="ROE68" s="1"/>
      <c r="ROF68" s="1"/>
      <c r="ROG68" s="1"/>
      <c r="ROH68" s="1"/>
      <c r="ROI68" s="1"/>
      <c r="ROJ68" s="1"/>
      <c r="ROK68" s="1"/>
      <c r="ROL68" s="1"/>
      <c r="ROM68" s="1"/>
      <c r="RON68" s="1"/>
      <c r="ROO68" s="1"/>
      <c r="ROP68" s="1"/>
      <c r="ROQ68" s="1"/>
      <c r="ROR68" s="1"/>
      <c r="ROS68" s="1"/>
      <c r="ROT68" s="1"/>
      <c r="ROU68" s="1"/>
      <c r="ROV68" s="1"/>
      <c r="ROW68" s="1"/>
      <c r="ROX68" s="1"/>
      <c r="ROY68" s="1"/>
      <c r="ROZ68" s="1"/>
      <c r="RPA68" s="1"/>
      <c r="RPB68" s="1"/>
      <c r="RPC68" s="1"/>
      <c r="RPD68" s="1"/>
      <c r="RPE68" s="1"/>
      <c r="RPF68" s="1"/>
      <c r="RPG68" s="1"/>
      <c r="RPH68" s="1"/>
      <c r="RPI68" s="1"/>
      <c r="RPJ68" s="1"/>
      <c r="RPK68" s="1"/>
      <c r="RPL68" s="1"/>
      <c r="RPM68" s="1"/>
      <c r="RPN68" s="1"/>
      <c r="RPO68" s="1"/>
      <c r="RPP68" s="1"/>
      <c r="RPQ68" s="1"/>
      <c r="RPR68" s="1"/>
      <c r="RPS68" s="1"/>
      <c r="RPT68" s="1"/>
      <c r="RPU68" s="1"/>
      <c r="RPV68" s="1"/>
      <c r="RPW68" s="1"/>
      <c r="RPX68" s="1"/>
      <c r="RPY68" s="1"/>
      <c r="RPZ68" s="1"/>
      <c r="RQA68" s="1"/>
      <c r="RQB68" s="1"/>
      <c r="RQC68" s="1"/>
      <c r="RQD68" s="1"/>
      <c r="RQE68" s="1"/>
      <c r="RQF68" s="1"/>
      <c r="RQG68" s="1"/>
      <c r="RQH68" s="1"/>
      <c r="RQI68" s="1"/>
      <c r="RQJ68" s="1"/>
      <c r="RQK68" s="1"/>
      <c r="RQL68" s="1"/>
      <c r="RQM68" s="1"/>
      <c r="RQN68" s="1"/>
      <c r="RQO68" s="1"/>
      <c r="RQP68" s="1"/>
      <c r="RQQ68" s="1"/>
      <c r="RQR68" s="1"/>
      <c r="RQS68" s="1"/>
      <c r="RQT68" s="1"/>
      <c r="RQU68" s="1"/>
      <c r="RQV68" s="1"/>
      <c r="RQW68" s="1"/>
      <c r="RQX68" s="1"/>
      <c r="RQY68" s="1"/>
      <c r="RQZ68" s="1"/>
      <c r="RRA68" s="1"/>
      <c r="RRB68" s="1"/>
      <c r="RRC68" s="1"/>
      <c r="RRD68" s="1"/>
      <c r="RRE68" s="1"/>
      <c r="RRF68" s="1"/>
      <c r="RRG68" s="1"/>
      <c r="RRH68" s="1"/>
      <c r="RRI68" s="1"/>
      <c r="RRJ68" s="1"/>
      <c r="RRK68" s="1"/>
      <c r="RRL68" s="1"/>
      <c r="RRM68" s="1"/>
      <c r="RRN68" s="1"/>
      <c r="RRO68" s="1"/>
      <c r="RRP68" s="1"/>
      <c r="RRQ68" s="1"/>
      <c r="RRR68" s="1"/>
      <c r="RRS68" s="1"/>
      <c r="RRT68" s="1"/>
      <c r="RRU68" s="1"/>
      <c r="RRV68" s="1"/>
      <c r="RRW68" s="1"/>
      <c r="RRX68" s="1"/>
      <c r="RRY68" s="1"/>
      <c r="RRZ68" s="1"/>
      <c r="RSA68" s="1"/>
      <c r="RSB68" s="1"/>
      <c r="RSC68" s="1"/>
      <c r="RSD68" s="1"/>
      <c r="RSE68" s="1"/>
      <c r="RSF68" s="1"/>
      <c r="RSG68" s="1"/>
      <c r="RSH68" s="1"/>
      <c r="RSI68" s="1"/>
      <c r="RSJ68" s="1"/>
      <c r="RSK68" s="1"/>
      <c r="RSL68" s="1"/>
      <c r="RSM68" s="1"/>
      <c r="RSN68" s="1"/>
      <c r="RSO68" s="1"/>
      <c r="RSP68" s="1"/>
      <c r="RSQ68" s="1"/>
      <c r="RSR68" s="1"/>
      <c r="RSS68" s="1"/>
      <c r="RST68" s="1"/>
      <c r="RSU68" s="1"/>
      <c r="RSV68" s="1"/>
      <c r="RSW68" s="1"/>
      <c r="RSX68" s="1"/>
      <c r="RSY68" s="1"/>
      <c r="RSZ68" s="1"/>
      <c r="RTA68" s="1"/>
      <c r="RTB68" s="1"/>
      <c r="RTC68" s="1"/>
      <c r="RTD68" s="1"/>
      <c r="RTE68" s="1"/>
      <c r="RTF68" s="1"/>
      <c r="RTG68" s="1"/>
      <c r="RTH68" s="1"/>
      <c r="RTI68" s="1"/>
      <c r="RTJ68" s="1"/>
      <c r="RTK68" s="1"/>
      <c r="RTL68" s="1"/>
      <c r="RTM68" s="1"/>
      <c r="RTN68" s="1"/>
      <c r="RTO68" s="1"/>
      <c r="RTP68" s="1"/>
      <c r="RTQ68" s="1"/>
      <c r="RTR68" s="1"/>
      <c r="RTS68" s="1"/>
      <c r="RTT68" s="1"/>
      <c r="RTU68" s="1"/>
      <c r="RTV68" s="1"/>
      <c r="RTW68" s="1"/>
      <c r="RTX68" s="1"/>
      <c r="RTY68" s="1"/>
      <c r="RTZ68" s="1"/>
      <c r="RUA68" s="1"/>
      <c r="RUB68" s="1"/>
      <c r="RUC68" s="1"/>
      <c r="RUD68" s="1"/>
      <c r="RUE68" s="1"/>
      <c r="RUF68" s="1"/>
      <c r="RUG68" s="1"/>
      <c r="RUH68" s="1"/>
      <c r="RUI68" s="1"/>
      <c r="RUJ68" s="1"/>
      <c r="RUK68" s="1"/>
      <c r="RUL68" s="1"/>
      <c r="RUM68" s="1"/>
      <c r="RUN68" s="1"/>
      <c r="RUO68" s="1"/>
      <c r="RUP68" s="1"/>
      <c r="RUQ68" s="1"/>
      <c r="RUR68" s="1"/>
      <c r="RUS68" s="1"/>
      <c r="RUT68" s="1"/>
      <c r="RUU68" s="1"/>
      <c r="RUV68" s="1"/>
      <c r="RUW68" s="1"/>
      <c r="RUX68" s="1"/>
      <c r="RUY68" s="1"/>
      <c r="RUZ68" s="1"/>
      <c r="RVA68" s="1"/>
      <c r="RVB68" s="1"/>
      <c r="RVC68" s="1"/>
      <c r="RVD68" s="1"/>
      <c r="RVE68" s="1"/>
      <c r="RVF68" s="1"/>
      <c r="RVG68" s="1"/>
      <c r="RVH68" s="1"/>
      <c r="RVI68" s="1"/>
      <c r="RVJ68" s="1"/>
      <c r="RVK68" s="1"/>
      <c r="RVL68" s="1"/>
      <c r="RVM68" s="1"/>
      <c r="RVN68" s="1"/>
      <c r="RVO68" s="1"/>
      <c r="RVP68" s="1"/>
      <c r="RVQ68" s="1"/>
      <c r="RVR68" s="1"/>
      <c r="RVS68" s="1"/>
      <c r="RVT68" s="1"/>
      <c r="RVU68" s="1"/>
      <c r="RVV68" s="1"/>
      <c r="RVW68" s="1"/>
      <c r="RVX68" s="1"/>
      <c r="RVY68" s="1"/>
      <c r="RVZ68" s="1"/>
      <c r="RWA68" s="1"/>
      <c r="RWB68" s="1"/>
      <c r="RWC68" s="1"/>
      <c r="RWD68" s="1"/>
      <c r="RWE68" s="1"/>
      <c r="RWF68" s="1"/>
      <c r="RWG68" s="1"/>
      <c r="RWH68" s="1"/>
      <c r="RWI68" s="1"/>
      <c r="RWJ68" s="1"/>
      <c r="RWK68" s="1"/>
      <c r="RWL68" s="1"/>
      <c r="RWM68" s="1"/>
      <c r="RWN68" s="1"/>
      <c r="RWO68" s="1"/>
      <c r="RWP68" s="1"/>
      <c r="RWQ68" s="1"/>
      <c r="RWR68" s="1"/>
      <c r="RWS68" s="1"/>
      <c r="RWT68" s="1"/>
      <c r="RWU68" s="1"/>
      <c r="RWV68" s="1"/>
      <c r="RWW68" s="1"/>
      <c r="RWX68" s="1"/>
      <c r="RWY68" s="1"/>
      <c r="RWZ68" s="1"/>
      <c r="RXA68" s="1"/>
      <c r="RXB68" s="1"/>
      <c r="RXC68" s="1"/>
      <c r="RXD68" s="1"/>
      <c r="RXE68" s="1"/>
      <c r="RXF68" s="1"/>
      <c r="RXG68" s="1"/>
      <c r="RXH68" s="1"/>
      <c r="RXI68" s="1"/>
      <c r="RXJ68" s="1"/>
      <c r="RXK68" s="1"/>
      <c r="RXL68" s="1"/>
      <c r="RXM68" s="1"/>
      <c r="RXN68" s="1"/>
      <c r="RXO68" s="1"/>
      <c r="RXP68" s="1"/>
      <c r="RXQ68" s="1"/>
      <c r="RXR68" s="1"/>
      <c r="RXS68" s="1"/>
      <c r="RXT68" s="1"/>
      <c r="RXU68" s="1"/>
      <c r="RXV68" s="1"/>
      <c r="RXW68" s="1"/>
      <c r="RXX68" s="1"/>
      <c r="RXY68" s="1"/>
      <c r="RXZ68" s="1"/>
      <c r="RYA68" s="1"/>
      <c r="RYB68" s="1"/>
      <c r="RYC68" s="1"/>
      <c r="RYD68" s="1"/>
      <c r="RYE68" s="1"/>
      <c r="RYF68" s="1"/>
      <c r="RYG68" s="1"/>
      <c r="RYH68" s="1"/>
      <c r="RYI68" s="1"/>
      <c r="RYJ68" s="1"/>
      <c r="RYK68" s="1"/>
      <c r="RYL68" s="1"/>
      <c r="RYM68" s="1"/>
      <c r="RYN68" s="1"/>
      <c r="RYO68" s="1"/>
      <c r="RYP68" s="1"/>
      <c r="RYQ68" s="1"/>
      <c r="RYR68" s="1"/>
      <c r="RYS68" s="1"/>
      <c r="RYT68" s="1"/>
      <c r="RYU68" s="1"/>
      <c r="RYV68" s="1"/>
      <c r="RYW68" s="1"/>
      <c r="RYX68" s="1"/>
      <c r="RYY68" s="1"/>
      <c r="RYZ68" s="1"/>
      <c r="RZA68" s="1"/>
      <c r="RZB68" s="1"/>
      <c r="RZC68" s="1"/>
      <c r="RZD68" s="1"/>
      <c r="RZE68" s="1"/>
      <c r="RZF68" s="1"/>
      <c r="RZG68" s="1"/>
      <c r="RZH68" s="1"/>
      <c r="RZI68" s="1"/>
      <c r="RZJ68" s="1"/>
      <c r="RZK68" s="1"/>
      <c r="RZL68" s="1"/>
      <c r="RZM68" s="1"/>
      <c r="RZN68" s="1"/>
      <c r="RZO68" s="1"/>
      <c r="RZP68" s="1"/>
      <c r="RZQ68" s="1"/>
      <c r="RZR68" s="1"/>
      <c r="RZS68" s="1"/>
      <c r="RZT68" s="1"/>
      <c r="RZU68" s="1"/>
      <c r="RZV68" s="1"/>
      <c r="RZW68" s="1"/>
      <c r="RZX68" s="1"/>
      <c r="RZY68" s="1"/>
      <c r="RZZ68" s="1"/>
      <c r="SAA68" s="1"/>
      <c r="SAB68" s="1"/>
      <c r="SAC68" s="1"/>
      <c r="SAD68" s="1"/>
      <c r="SAE68" s="1"/>
      <c r="SAF68" s="1"/>
      <c r="SAG68" s="1"/>
      <c r="SAH68" s="1"/>
      <c r="SAI68" s="1"/>
      <c r="SAJ68" s="1"/>
      <c r="SAK68" s="1"/>
      <c r="SAL68" s="1"/>
      <c r="SAM68" s="1"/>
      <c r="SAN68" s="1"/>
      <c r="SAO68" s="1"/>
      <c r="SAP68" s="1"/>
      <c r="SAQ68" s="1"/>
      <c r="SAR68" s="1"/>
      <c r="SAS68" s="1"/>
      <c r="SAT68" s="1"/>
      <c r="SAU68" s="1"/>
      <c r="SAV68" s="1"/>
      <c r="SAW68" s="1"/>
      <c r="SAX68" s="1"/>
      <c r="SAY68" s="1"/>
      <c r="SAZ68" s="1"/>
      <c r="SBA68" s="1"/>
      <c r="SBB68" s="1"/>
      <c r="SBC68" s="1"/>
      <c r="SBD68" s="1"/>
      <c r="SBE68" s="1"/>
      <c r="SBF68" s="1"/>
      <c r="SBG68" s="1"/>
      <c r="SBH68" s="1"/>
      <c r="SBI68" s="1"/>
      <c r="SBJ68" s="1"/>
      <c r="SBK68" s="1"/>
      <c r="SBL68" s="1"/>
      <c r="SBM68" s="1"/>
      <c r="SBN68" s="1"/>
      <c r="SBO68" s="1"/>
      <c r="SBP68" s="1"/>
      <c r="SBQ68" s="1"/>
      <c r="SBR68" s="1"/>
      <c r="SBS68" s="1"/>
      <c r="SBT68" s="1"/>
      <c r="SBU68" s="1"/>
      <c r="SBV68" s="1"/>
      <c r="SBW68" s="1"/>
      <c r="SBX68" s="1"/>
      <c r="SBY68" s="1"/>
      <c r="SBZ68" s="1"/>
      <c r="SCA68" s="1"/>
      <c r="SCB68" s="1"/>
      <c r="SCC68" s="1"/>
      <c r="SCD68" s="1"/>
      <c r="SCE68" s="1"/>
      <c r="SCF68" s="1"/>
      <c r="SCG68" s="1"/>
      <c r="SCH68" s="1"/>
      <c r="SCI68" s="1"/>
      <c r="SCJ68" s="1"/>
      <c r="SCK68" s="1"/>
      <c r="SCL68" s="1"/>
      <c r="SCM68" s="1"/>
      <c r="SCN68" s="1"/>
      <c r="SCO68" s="1"/>
      <c r="SCP68" s="1"/>
      <c r="SCQ68" s="1"/>
      <c r="SCR68" s="1"/>
      <c r="SCS68" s="1"/>
      <c r="SCT68" s="1"/>
      <c r="SCU68" s="1"/>
      <c r="SCV68" s="1"/>
      <c r="SCW68" s="1"/>
      <c r="SCX68" s="1"/>
      <c r="SCY68" s="1"/>
      <c r="SCZ68" s="1"/>
      <c r="SDA68" s="1"/>
      <c r="SDB68" s="1"/>
      <c r="SDC68" s="1"/>
      <c r="SDD68" s="1"/>
      <c r="SDE68" s="1"/>
      <c r="SDF68" s="1"/>
      <c r="SDG68" s="1"/>
      <c r="SDH68" s="1"/>
      <c r="SDI68" s="1"/>
      <c r="SDJ68" s="1"/>
      <c r="SDK68" s="1"/>
      <c r="SDL68" s="1"/>
      <c r="SDM68" s="1"/>
      <c r="SDN68" s="1"/>
      <c r="SDO68" s="1"/>
      <c r="SDP68" s="1"/>
      <c r="SDQ68" s="1"/>
      <c r="SDR68" s="1"/>
      <c r="SDS68" s="1"/>
      <c r="SDT68" s="1"/>
      <c r="SDU68" s="1"/>
      <c r="SDV68" s="1"/>
      <c r="SDW68" s="1"/>
      <c r="SDX68" s="1"/>
      <c r="SDY68" s="1"/>
      <c r="SDZ68" s="1"/>
      <c r="SEA68" s="1"/>
      <c r="SEB68" s="1"/>
      <c r="SEC68" s="1"/>
      <c r="SED68" s="1"/>
      <c r="SEE68" s="1"/>
      <c r="SEF68" s="1"/>
      <c r="SEG68" s="1"/>
      <c r="SEH68" s="1"/>
      <c r="SEI68" s="1"/>
      <c r="SEJ68" s="1"/>
      <c r="SEK68" s="1"/>
      <c r="SEL68" s="1"/>
      <c r="SEM68" s="1"/>
      <c r="SEN68" s="1"/>
      <c r="SEO68" s="1"/>
      <c r="SEP68" s="1"/>
      <c r="SEQ68" s="1"/>
      <c r="SER68" s="1"/>
      <c r="SES68" s="1"/>
      <c r="SET68" s="1"/>
      <c r="SEU68" s="1"/>
      <c r="SEV68" s="1"/>
      <c r="SEW68" s="1"/>
      <c r="SEX68" s="1"/>
      <c r="SEY68" s="1"/>
      <c r="SEZ68" s="1"/>
      <c r="SFA68" s="1"/>
      <c r="SFB68" s="1"/>
      <c r="SFC68" s="1"/>
      <c r="SFD68" s="1"/>
      <c r="SFE68" s="1"/>
      <c r="SFF68" s="1"/>
      <c r="SFG68" s="1"/>
      <c r="SFH68" s="1"/>
      <c r="SFI68" s="1"/>
      <c r="SFJ68" s="1"/>
      <c r="SFK68" s="1"/>
      <c r="SFL68" s="1"/>
      <c r="SFM68" s="1"/>
      <c r="SFN68" s="1"/>
      <c r="SFO68" s="1"/>
      <c r="SFP68" s="1"/>
      <c r="SFQ68" s="1"/>
      <c r="SFR68" s="1"/>
      <c r="SFS68" s="1"/>
      <c r="SFT68" s="1"/>
      <c r="SFU68" s="1"/>
      <c r="SFV68" s="1"/>
      <c r="SFW68" s="1"/>
      <c r="SFX68" s="1"/>
      <c r="SFY68" s="1"/>
      <c r="SFZ68" s="1"/>
      <c r="SGA68" s="1"/>
      <c r="SGB68" s="1"/>
      <c r="SGC68" s="1"/>
      <c r="SGD68" s="1"/>
      <c r="SGE68" s="1"/>
      <c r="SGF68" s="1"/>
      <c r="SGG68" s="1"/>
      <c r="SGH68" s="1"/>
      <c r="SGI68" s="1"/>
      <c r="SGJ68" s="1"/>
      <c r="SGK68" s="1"/>
      <c r="SGL68" s="1"/>
      <c r="SGM68" s="1"/>
      <c r="SGN68" s="1"/>
      <c r="SGO68" s="1"/>
      <c r="SGP68" s="1"/>
      <c r="SGQ68" s="1"/>
      <c r="SGR68" s="1"/>
      <c r="SGS68" s="1"/>
      <c r="SGT68" s="1"/>
      <c r="SGU68" s="1"/>
      <c r="SGV68" s="1"/>
      <c r="SGW68" s="1"/>
      <c r="SGX68" s="1"/>
      <c r="SGY68" s="1"/>
      <c r="SGZ68" s="1"/>
      <c r="SHA68" s="1"/>
      <c r="SHB68" s="1"/>
      <c r="SHC68" s="1"/>
      <c r="SHD68" s="1"/>
      <c r="SHE68" s="1"/>
      <c r="SHF68" s="1"/>
      <c r="SHG68" s="1"/>
      <c r="SHH68" s="1"/>
      <c r="SHI68" s="1"/>
      <c r="SHJ68" s="1"/>
      <c r="SHK68" s="1"/>
      <c r="SHL68" s="1"/>
      <c r="SHM68" s="1"/>
      <c r="SHN68" s="1"/>
      <c r="SHO68" s="1"/>
      <c r="SHP68" s="1"/>
      <c r="SHQ68" s="1"/>
      <c r="SHR68" s="1"/>
      <c r="SHS68" s="1"/>
      <c r="SHT68" s="1"/>
      <c r="SHU68" s="1"/>
      <c r="SHV68" s="1"/>
      <c r="SHW68" s="1"/>
      <c r="SHX68" s="1"/>
      <c r="SHY68" s="1"/>
      <c r="SHZ68" s="1"/>
      <c r="SIA68" s="1"/>
      <c r="SIB68" s="1"/>
      <c r="SIC68" s="1"/>
      <c r="SID68" s="1"/>
      <c r="SIE68" s="1"/>
      <c r="SIF68" s="1"/>
      <c r="SIG68" s="1"/>
      <c r="SIH68" s="1"/>
      <c r="SII68" s="1"/>
      <c r="SIJ68" s="1"/>
      <c r="SIK68" s="1"/>
      <c r="SIL68" s="1"/>
      <c r="SIM68" s="1"/>
      <c r="SIN68" s="1"/>
      <c r="SIO68" s="1"/>
      <c r="SIP68" s="1"/>
      <c r="SIQ68" s="1"/>
      <c r="SIR68" s="1"/>
      <c r="SIS68" s="1"/>
      <c r="SIT68" s="1"/>
      <c r="SIU68" s="1"/>
      <c r="SIV68" s="1"/>
      <c r="SIW68" s="1"/>
      <c r="SIX68" s="1"/>
      <c r="SIY68" s="1"/>
      <c r="SIZ68" s="1"/>
      <c r="SJA68" s="1"/>
      <c r="SJB68" s="1"/>
      <c r="SJC68" s="1"/>
      <c r="SJD68" s="1"/>
      <c r="SJE68" s="1"/>
      <c r="SJF68" s="1"/>
      <c r="SJG68" s="1"/>
      <c r="SJH68" s="1"/>
      <c r="SJI68" s="1"/>
      <c r="SJJ68" s="1"/>
      <c r="SJK68" s="1"/>
      <c r="SJL68" s="1"/>
      <c r="SJM68" s="1"/>
      <c r="SJN68" s="1"/>
      <c r="SJO68" s="1"/>
      <c r="SJP68" s="1"/>
      <c r="SJQ68" s="1"/>
      <c r="SJR68" s="1"/>
      <c r="SJS68" s="1"/>
      <c r="SJT68" s="1"/>
      <c r="SJU68" s="1"/>
      <c r="SJV68" s="1"/>
      <c r="SJW68" s="1"/>
      <c r="SJX68" s="1"/>
      <c r="SJY68" s="1"/>
      <c r="SJZ68" s="1"/>
      <c r="SKA68" s="1"/>
      <c r="SKB68" s="1"/>
      <c r="SKC68" s="1"/>
      <c r="SKD68" s="1"/>
      <c r="SKE68" s="1"/>
      <c r="SKF68" s="1"/>
      <c r="SKG68" s="1"/>
      <c r="SKH68" s="1"/>
      <c r="SKI68" s="1"/>
      <c r="SKJ68" s="1"/>
      <c r="SKK68" s="1"/>
      <c r="SKL68" s="1"/>
      <c r="SKM68" s="1"/>
      <c r="SKN68" s="1"/>
      <c r="SKO68" s="1"/>
      <c r="SKP68" s="1"/>
      <c r="SKQ68" s="1"/>
      <c r="SKR68" s="1"/>
      <c r="SKS68" s="1"/>
      <c r="SKT68" s="1"/>
      <c r="SKU68" s="1"/>
      <c r="SKV68" s="1"/>
      <c r="SKW68" s="1"/>
      <c r="SKX68" s="1"/>
      <c r="SKY68" s="1"/>
      <c r="SKZ68" s="1"/>
      <c r="SLA68" s="1"/>
      <c r="SLB68" s="1"/>
      <c r="SLC68" s="1"/>
      <c r="SLD68" s="1"/>
      <c r="SLE68" s="1"/>
      <c r="SLF68" s="1"/>
      <c r="SLG68" s="1"/>
      <c r="SLH68" s="1"/>
      <c r="SLI68" s="1"/>
      <c r="SLJ68" s="1"/>
      <c r="SLK68" s="1"/>
      <c r="SLL68" s="1"/>
      <c r="SLM68" s="1"/>
      <c r="SLN68" s="1"/>
      <c r="SLO68" s="1"/>
      <c r="SLP68" s="1"/>
      <c r="SLQ68" s="1"/>
      <c r="SLR68" s="1"/>
      <c r="SLS68" s="1"/>
      <c r="SLT68" s="1"/>
      <c r="SLU68" s="1"/>
      <c r="SLV68" s="1"/>
      <c r="SLW68" s="1"/>
      <c r="SLX68" s="1"/>
      <c r="SLY68" s="1"/>
      <c r="SLZ68" s="1"/>
      <c r="SMA68" s="1"/>
      <c r="SMB68" s="1"/>
      <c r="SMC68" s="1"/>
      <c r="SMD68" s="1"/>
      <c r="SME68" s="1"/>
      <c r="SMF68" s="1"/>
      <c r="SMG68" s="1"/>
      <c r="SMH68" s="1"/>
      <c r="SMI68" s="1"/>
      <c r="SMJ68" s="1"/>
      <c r="SMK68" s="1"/>
      <c r="SML68" s="1"/>
      <c r="SMM68" s="1"/>
      <c r="SMN68" s="1"/>
      <c r="SMO68" s="1"/>
      <c r="SMP68" s="1"/>
      <c r="SMQ68" s="1"/>
      <c r="SMR68" s="1"/>
      <c r="SMS68" s="1"/>
      <c r="SMT68" s="1"/>
      <c r="SMU68" s="1"/>
      <c r="SMV68" s="1"/>
      <c r="SMW68" s="1"/>
      <c r="SMX68" s="1"/>
      <c r="SMY68" s="1"/>
      <c r="SMZ68" s="1"/>
      <c r="SNA68" s="1"/>
      <c r="SNB68" s="1"/>
      <c r="SNC68" s="1"/>
      <c r="SND68" s="1"/>
      <c r="SNE68" s="1"/>
      <c r="SNF68" s="1"/>
      <c r="SNG68" s="1"/>
      <c r="SNH68" s="1"/>
      <c r="SNI68" s="1"/>
      <c r="SNJ68" s="1"/>
      <c r="SNK68" s="1"/>
      <c r="SNL68" s="1"/>
      <c r="SNM68" s="1"/>
      <c r="SNN68" s="1"/>
      <c r="SNO68" s="1"/>
      <c r="SNP68" s="1"/>
      <c r="SNQ68" s="1"/>
      <c r="SNR68" s="1"/>
      <c r="SNS68" s="1"/>
      <c r="SNT68" s="1"/>
      <c r="SNU68" s="1"/>
      <c r="SNV68" s="1"/>
      <c r="SNW68" s="1"/>
      <c r="SNX68" s="1"/>
      <c r="SNY68" s="1"/>
      <c r="SNZ68" s="1"/>
      <c r="SOA68" s="1"/>
      <c r="SOB68" s="1"/>
      <c r="SOC68" s="1"/>
      <c r="SOD68" s="1"/>
      <c r="SOE68" s="1"/>
      <c r="SOF68" s="1"/>
      <c r="SOG68" s="1"/>
      <c r="SOH68" s="1"/>
      <c r="SOI68" s="1"/>
      <c r="SOJ68" s="1"/>
      <c r="SOK68" s="1"/>
      <c r="SOL68" s="1"/>
      <c r="SOM68" s="1"/>
      <c r="SON68" s="1"/>
      <c r="SOO68" s="1"/>
      <c r="SOP68" s="1"/>
      <c r="SOQ68" s="1"/>
      <c r="SOR68" s="1"/>
      <c r="SOS68" s="1"/>
      <c r="SOT68" s="1"/>
      <c r="SOU68" s="1"/>
      <c r="SOV68" s="1"/>
      <c r="SOW68" s="1"/>
      <c r="SOX68" s="1"/>
      <c r="SOY68" s="1"/>
      <c r="SOZ68" s="1"/>
      <c r="SPA68" s="1"/>
      <c r="SPB68" s="1"/>
      <c r="SPC68" s="1"/>
      <c r="SPD68" s="1"/>
      <c r="SPE68" s="1"/>
      <c r="SPF68" s="1"/>
      <c r="SPG68" s="1"/>
      <c r="SPH68" s="1"/>
      <c r="SPI68" s="1"/>
      <c r="SPJ68" s="1"/>
      <c r="SPK68" s="1"/>
      <c r="SPL68" s="1"/>
      <c r="SPM68" s="1"/>
      <c r="SPN68" s="1"/>
      <c r="SPO68" s="1"/>
      <c r="SPP68" s="1"/>
      <c r="SPQ68" s="1"/>
      <c r="SPR68" s="1"/>
      <c r="SPS68" s="1"/>
      <c r="SPT68" s="1"/>
      <c r="SPU68" s="1"/>
      <c r="SPV68" s="1"/>
      <c r="SPW68" s="1"/>
      <c r="SPX68" s="1"/>
      <c r="SPY68" s="1"/>
      <c r="SPZ68" s="1"/>
      <c r="SQA68" s="1"/>
      <c r="SQB68" s="1"/>
      <c r="SQC68" s="1"/>
      <c r="SQD68" s="1"/>
      <c r="SQE68" s="1"/>
      <c r="SQF68" s="1"/>
      <c r="SQG68" s="1"/>
      <c r="SQH68" s="1"/>
      <c r="SQI68" s="1"/>
      <c r="SQJ68" s="1"/>
      <c r="SQK68" s="1"/>
      <c r="SQL68" s="1"/>
      <c r="SQM68" s="1"/>
      <c r="SQN68" s="1"/>
      <c r="SQO68" s="1"/>
      <c r="SQP68" s="1"/>
      <c r="SQQ68" s="1"/>
      <c r="SQR68" s="1"/>
      <c r="SQS68" s="1"/>
      <c r="SQT68" s="1"/>
      <c r="SQU68" s="1"/>
      <c r="SQV68" s="1"/>
      <c r="SQW68" s="1"/>
      <c r="SQX68" s="1"/>
      <c r="SQY68" s="1"/>
      <c r="SQZ68" s="1"/>
      <c r="SRA68" s="1"/>
      <c r="SRB68" s="1"/>
      <c r="SRC68" s="1"/>
      <c r="SRD68" s="1"/>
      <c r="SRE68" s="1"/>
      <c r="SRF68" s="1"/>
      <c r="SRG68" s="1"/>
      <c r="SRH68" s="1"/>
      <c r="SRI68" s="1"/>
      <c r="SRJ68" s="1"/>
      <c r="SRK68" s="1"/>
      <c r="SRL68" s="1"/>
      <c r="SRM68" s="1"/>
      <c r="SRN68" s="1"/>
      <c r="SRO68" s="1"/>
      <c r="SRP68" s="1"/>
      <c r="SRQ68" s="1"/>
      <c r="SRR68" s="1"/>
      <c r="SRS68" s="1"/>
      <c r="SRT68" s="1"/>
      <c r="SRU68" s="1"/>
      <c r="SRV68" s="1"/>
      <c r="SRW68" s="1"/>
      <c r="SRX68" s="1"/>
      <c r="SRY68" s="1"/>
      <c r="SRZ68" s="1"/>
      <c r="SSA68" s="1"/>
      <c r="SSB68" s="1"/>
      <c r="SSC68" s="1"/>
      <c r="SSD68" s="1"/>
      <c r="SSE68" s="1"/>
      <c r="SSF68" s="1"/>
      <c r="SSG68" s="1"/>
      <c r="SSH68" s="1"/>
      <c r="SSI68" s="1"/>
      <c r="SSJ68" s="1"/>
      <c r="SSK68" s="1"/>
      <c r="SSL68" s="1"/>
      <c r="SSM68" s="1"/>
      <c r="SSN68" s="1"/>
      <c r="SSO68" s="1"/>
      <c r="SSP68" s="1"/>
      <c r="SSQ68" s="1"/>
      <c r="SSR68" s="1"/>
      <c r="SSS68" s="1"/>
      <c r="SST68" s="1"/>
      <c r="SSU68" s="1"/>
      <c r="SSV68" s="1"/>
      <c r="SSW68" s="1"/>
      <c r="SSX68" s="1"/>
      <c r="SSY68" s="1"/>
      <c r="SSZ68" s="1"/>
      <c r="STA68" s="1"/>
      <c r="STB68" s="1"/>
      <c r="STC68" s="1"/>
      <c r="STD68" s="1"/>
      <c r="STE68" s="1"/>
      <c r="STF68" s="1"/>
      <c r="STG68" s="1"/>
      <c r="STH68" s="1"/>
      <c r="STI68" s="1"/>
      <c r="STJ68" s="1"/>
      <c r="STK68" s="1"/>
      <c r="STL68" s="1"/>
      <c r="STM68" s="1"/>
      <c r="STN68" s="1"/>
      <c r="STO68" s="1"/>
      <c r="STP68" s="1"/>
      <c r="STQ68" s="1"/>
      <c r="STR68" s="1"/>
      <c r="STS68" s="1"/>
      <c r="STT68" s="1"/>
      <c r="STU68" s="1"/>
      <c r="STV68" s="1"/>
      <c r="STW68" s="1"/>
      <c r="STX68" s="1"/>
      <c r="STY68" s="1"/>
      <c r="STZ68" s="1"/>
      <c r="SUA68" s="1"/>
      <c r="SUB68" s="1"/>
      <c r="SUC68" s="1"/>
      <c r="SUD68" s="1"/>
      <c r="SUE68" s="1"/>
      <c r="SUF68" s="1"/>
      <c r="SUG68" s="1"/>
      <c r="SUH68" s="1"/>
      <c r="SUI68" s="1"/>
      <c r="SUJ68" s="1"/>
      <c r="SUK68" s="1"/>
      <c r="SUL68" s="1"/>
      <c r="SUM68" s="1"/>
      <c r="SUN68" s="1"/>
      <c r="SUO68" s="1"/>
      <c r="SUP68" s="1"/>
      <c r="SUQ68" s="1"/>
      <c r="SUR68" s="1"/>
      <c r="SUS68" s="1"/>
      <c r="SUT68" s="1"/>
      <c r="SUU68" s="1"/>
      <c r="SUV68" s="1"/>
      <c r="SUW68" s="1"/>
      <c r="SUX68" s="1"/>
      <c r="SUY68" s="1"/>
      <c r="SUZ68" s="1"/>
      <c r="SVA68" s="1"/>
      <c r="SVB68" s="1"/>
      <c r="SVC68" s="1"/>
      <c r="SVD68" s="1"/>
      <c r="SVE68" s="1"/>
      <c r="SVF68" s="1"/>
      <c r="SVG68" s="1"/>
      <c r="SVH68" s="1"/>
      <c r="SVI68" s="1"/>
      <c r="SVJ68" s="1"/>
      <c r="SVK68" s="1"/>
      <c r="SVL68" s="1"/>
      <c r="SVM68" s="1"/>
      <c r="SVN68" s="1"/>
      <c r="SVO68" s="1"/>
      <c r="SVP68" s="1"/>
      <c r="SVQ68" s="1"/>
      <c r="SVR68" s="1"/>
      <c r="SVS68" s="1"/>
      <c r="SVT68" s="1"/>
      <c r="SVU68" s="1"/>
      <c r="SVV68" s="1"/>
      <c r="SVW68" s="1"/>
      <c r="SVX68" s="1"/>
      <c r="SVY68" s="1"/>
      <c r="SVZ68" s="1"/>
      <c r="SWA68" s="1"/>
      <c r="SWB68" s="1"/>
      <c r="SWC68" s="1"/>
      <c r="SWD68" s="1"/>
      <c r="SWE68" s="1"/>
      <c r="SWF68" s="1"/>
      <c r="SWG68" s="1"/>
      <c r="SWH68" s="1"/>
      <c r="SWI68" s="1"/>
      <c r="SWJ68" s="1"/>
      <c r="SWK68" s="1"/>
      <c r="SWL68" s="1"/>
      <c r="SWM68" s="1"/>
      <c r="SWN68" s="1"/>
      <c r="SWO68" s="1"/>
      <c r="SWP68" s="1"/>
      <c r="SWQ68" s="1"/>
      <c r="SWR68" s="1"/>
      <c r="SWS68" s="1"/>
      <c r="SWT68" s="1"/>
      <c r="SWU68" s="1"/>
      <c r="SWV68" s="1"/>
      <c r="SWW68" s="1"/>
      <c r="SWX68" s="1"/>
      <c r="SWY68" s="1"/>
      <c r="SWZ68" s="1"/>
      <c r="SXA68" s="1"/>
      <c r="SXB68" s="1"/>
      <c r="SXC68" s="1"/>
      <c r="SXD68" s="1"/>
      <c r="SXE68" s="1"/>
      <c r="SXF68" s="1"/>
      <c r="SXG68" s="1"/>
      <c r="SXH68" s="1"/>
      <c r="SXI68" s="1"/>
      <c r="SXJ68" s="1"/>
      <c r="SXK68" s="1"/>
      <c r="SXL68" s="1"/>
      <c r="SXM68" s="1"/>
      <c r="SXN68" s="1"/>
      <c r="SXO68" s="1"/>
      <c r="SXP68" s="1"/>
      <c r="SXQ68" s="1"/>
      <c r="SXR68" s="1"/>
      <c r="SXS68" s="1"/>
      <c r="SXT68" s="1"/>
      <c r="SXU68" s="1"/>
      <c r="SXV68" s="1"/>
      <c r="SXW68" s="1"/>
      <c r="SXX68" s="1"/>
      <c r="SXY68" s="1"/>
      <c r="SXZ68" s="1"/>
      <c r="SYA68" s="1"/>
      <c r="SYB68" s="1"/>
      <c r="SYC68" s="1"/>
      <c r="SYD68" s="1"/>
      <c r="SYE68" s="1"/>
      <c r="SYF68" s="1"/>
      <c r="SYG68" s="1"/>
      <c r="SYH68" s="1"/>
      <c r="SYI68" s="1"/>
      <c r="SYJ68" s="1"/>
      <c r="SYK68" s="1"/>
      <c r="SYL68" s="1"/>
      <c r="SYM68" s="1"/>
      <c r="SYN68" s="1"/>
      <c r="SYO68" s="1"/>
      <c r="SYP68" s="1"/>
      <c r="SYQ68" s="1"/>
      <c r="SYR68" s="1"/>
      <c r="SYS68" s="1"/>
      <c r="SYT68" s="1"/>
      <c r="SYU68" s="1"/>
      <c r="SYV68" s="1"/>
      <c r="SYW68" s="1"/>
      <c r="SYX68" s="1"/>
      <c r="SYY68" s="1"/>
      <c r="SYZ68" s="1"/>
      <c r="SZA68" s="1"/>
      <c r="SZB68" s="1"/>
      <c r="SZC68" s="1"/>
      <c r="SZD68" s="1"/>
      <c r="SZE68" s="1"/>
      <c r="SZF68" s="1"/>
      <c r="SZG68" s="1"/>
      <c r="SZH68" s="1"/>
      <c r="SZI68" s="1"/>
      <c r="SZJ68" s="1"/>
      <c r="SZK68" s="1"/>
      <c r="SZL68" s="1"/>
      <c r="SZM68" s="1"/>
      <c r="SZN68" s="1"/>
      <c r="SZO68" s="1"/>
      <c r="SZP68" s="1"/>
      <c r="SZQ68" s="1"/>
      <c r="SZR68" s="1"/>
      <c r="SZS68" s="1"/>
      <c r="SZT68" s="1"/>
      <c r="SZU68" s="1"/>
      <c r="SZV68" s="1"/>
      <c r="SZW68" s="1"/>
      <c r="SZX68" s="1"/>
      <c r="SZY68" s="1"/>
      <c r="SZZ68" s="1"/>
      <c r="TAA68" s="1"/>
      <c r="TAB68" s="1"/>
      <c r="TAC68" s="1"/>
      <c r="TAD68" s="1"/>
      <c r="TAE68" s="1"/>
      <c r="TAF68" s="1"/>
      <c r="TAG68" s="1"/>
      <c r="TAH68" s="1"/>
      <c r="TAI68" s="1"/>
      <c r="TAJ68" s="1"/>
      <c r="TAK68" s="1"/>
      <c r="TAL68" s="1"/>
      <c r="TAM68" s="1"/>
      <c r="TAN68" s="1"/>
      <c r="TAO68" s="1"/>
      <c r="TAP68" s="1"/>
      <c r="TAQ68" s="1"/>
      <c r="TAR68" s="1"/>
      <c r="TAS68" s="1"/>
      <c r="TAT68" s="1"/>
      <c r="TAU68" s="1"/>
      <c r="TAV68" s="1"/>
      <c r="TAW68" s="1"/>
      <c r="TAX68" s="1"/>
      <c r="TAY68" s="1"/>
      <c r="TAZ68" s="1"/>
      <c r="TBA68" s="1"/>
      <c r="TBB68" s="1"/>
      <c r="TBC68" s="1"/>
      <c r="TBD68" s="1"/>
      <c r="TBE68" s="1"/>
      <c r="TBF68" s="1"/>
      <c r="TBG68" s="1"/>
      <c r="TBH68" s="1"/>
      <c r="TBI68" s="1"/>
      <c r="TBJ68" s="1"/>
      <c r="TBK68" s="1"/>
      <c r="TBL68" s="1"/>
      <c r="TBM68" s="1"/>
      <c r="TBN68" s="1"/>
      <c r="TBO68" s="1"/>
      <c r="TBP68" s="1"/>
      <c r="TBQ68" s="1"/>
      <c r="TBR68" s="1"/>
      <c r="TBS68" s="1"/>
      <c r="TBT68" s="1"/>
      <c r="TBU68" s="1"/>
      <c r="TBV68" s="1"/>
      <c r="TBW68" s="1"/>
      <c r="TBX68" s="1"/>
      <c r="TBY68" s="1"/>
      <c r="TBZ68" s="1"/>
      <c r="TCA68" s="1"/>
      <c r="TCB68" s="1"/>
      <c r="TCC68" s="1"/>
      <c r="TCD68" s="1"/>
      <c r="TCE68" s="1"/>
      <c r="TCF68" s="1"/>
      <c r="TCG68" s="1"/>
      <c r="TCH68" s="1"/>
      <c r="TCI68" s="1"/>
      <c r="TCJ68" s="1"/>
      <c r="TCK68" s="1"/>
      <c r="TCL68" s="1"/>
      <c r="TCM68" s="1"/>
      <c r="TCN68" s="1"/>
      <c r="TCO68" s="1"/>
      <c r="TCP68" s="1"/>
      <c r="TCQ68" s="1"/>
      <c r="TCR68" s="1"/>
      <c r="TCS68" s="1"/>
      <c r="TCT68" s="1"/>
      <c r="TCU68" s="1"/>
      <c r="TCV68" s="1"/>
      <c r="TCW68" s="1"/>
      <c r="TCX68" s="1"/>
      <c r="TCY68" s="1"/>
      <c r="TCZ68" s="1"/>
      <c r="TDA68" s="1"/>
      <c r="TDB68" s="1"/>
      <c r="TDC68" s="1"/>
      <c r="TDD68" s="1"/>
      <c r="TDE68" s="1"/>
      <c r="TDF68" s="1"/>
      <c r="TDG68" s="1"/>
      <c r="TDH68" s="1"/>
      <c r="TDI68" s="1"/>
      <c r="TDJ68" s="1"/>
      <c r="TDK68" s="1"/>
      <c r="TDL68" s="1"/>
      <c r="TDM68" s="1"/>
      <c r="TDN68" s="1"/>
      <c r="TDO68" s="1"/>
      <c r="TDP68" s="1"/>
      <c r="TDQ68" s="1"/>
      <c r="TDR68" s="1"/>
      <c r="TDS68" s="1"/>
      <c r="TDT68" s="1"/>
      <c r="TDU68" s="1"/>
      <c r="TDV68" s="1"/>
      <c r="TDW68" s="1"/>
      <c r="TDX68" s="1"/>
      <c r="TDY68" s="1"/>
      <c r="TDZ68" s="1"/>
      <c r="TEA68" s="1"/>
      <c r="TEB68" s="1"/>
      <c r="TEC68" s="1"/>
      <c r="TED68" s="1"/>
      <c r="TEE68" s="1"/>
      <c r="TEF68" s="1"/>
      <c r="TEG68" s="1"/>
      <c r="TEH68" s="1"/>
      <c r="TEI68" s="1"/>
      <c r="TEJ68" s="1"/>
      <c r="TEK68" s="1"/>
      <c r="TEL68" s="1"/>
      <c r="TEM68" s="1"/>
      <c r="TEN68" s="1"/>
      <c r="TEO68" s="1"/>
      <c r="TEP68" s="1"/>
      <c r="TEQ68" s="1"/>
      <c r="TER68" s="1"/>
      <c r="TES68" s="1"/>
      <c r="TET68" s="1"/>
      <c r="TEU68" s="1"/>
      <c r="TEV68" s="1"/>
      <c r="TEW68" s="1"/>
      <c r="TEX68" s="1"/>
      <c r="TEY68" s="1"/>
      <c r="TEZ68" s="1"/>
      <c r="TFA68" s="1"/>
      <c r="TFB68" s="1"/>
      <c r="TFC68" s="1"/>
      <c r="TFD68" s="1"/>
      <c r="TFE68" s="1"/>
      <c r="TFF68" s="1"/>
      <c r="TFG68" s="1"/>
      <c r="TFH68" s="1"/>
      <c r="TFI68" s="1"/>
      <c r="TFJ68" s="1"/>
      <c r="TFK68" s="1"/>
      <c r="TFL68" s="1"/>
      <c r="TFM68" s="1"/>
      <c r="TFN68" s="1"/>
      <c r="TFO68" s="1"/>
      <c r="TFP68" s="1"/>
      <c r="TFQ68" s="1"/>
      <c r="TFR68" s="1"/>
      <c r="TFS68" s="1"/>
      <c r="TFT68" s="1"/>
      <c r="TFU68" s="1"/>
      <c r="TFV68" s="1"/>
      <c r="TFW68" s="1"/>
      <c r="TFX68" s="1"/>
      <c r="TFY68" s="1"/>
      <c r="TFZ68" s="1"/>
      <c r="TGA68" s="1"/>
      <c r="TGB68" s="1"/>
      <c r="TGC68" s="1"/>
      <c r="TGD68" s="1"/>
      <c r="TGE68" s="1"/>
      <c r="TGF68" s="1"/>
      <c r="TGG68" s="1"/>
      <c r="TGH68" s="1"/>
      <c r="TGI68" s="1"/>
      <c r="TGJ68" s="1"/>
      <c r="TGK68" s="1"/>
      <c r="TGL68" s="1"/>
      <c r="TGM68" s="1"/>
      <c r="TGN68" s="1"/>
      <c r="TGO68" s="1"/>
      <c r="TGP68" s="1"/>
      <c r="TGQ68" s="1"/>
      <c r="TGR68" s="1"/>
      <c r="TGS68" s="1"/>
      <c r="TGT68" s="1"/>
      <c r="TGU68" s="1"/>
      <c r="TGV68" s="1"/>
      <c r="TGW68" s="1"/>
      <c r="TGX68" s="1"/>
      <c r="TGY68" s="1"/>
      <c r="TGZ68" s="1"/>
      <c r="THA68" s="1"/>
      <c r="THB68" s="1"/>
      <c r="THC68" s="1"/>
      <c r="THD68" s="1"/>
      <c r="THE68" s="1"/>
      <c r="THF68" s="1"/>
      <c r="THG68" s="1"/>
      <c r="THH68" s="1"/>
      <c r="THI68" s="1"/>
      <c r="THJ68" s="1"/>
      <c r="THK68" s="1"/>
      <c r="THL68" s="1"/>
      <c r="THM68" s="1"/>
      <c r="THN68" s="1"/>
      <c r="THO68" s="1"/>
      <c r="THP68" s="1"/>
      <c r="THQ68" s="1"/>
      <c r="THR68" s="1"/>
      <c r="THS68" s="1"/>
      <c r="THT68" s="1"/>
      <c r="THU68" s="1"/>
      <c r="THV68" s="1"/>
      <c r="THW68" s="1"/>
      <c r="THX68" s="1"/>
      <c r="THY68" s="1"/>
      <c r="THZ68" s="1"/>
      <c r="TIA68" s="1"/>
      <c r="TIB68" s="1"/>
      <c r="TIC68" s="1"/>
      <c r="TID68" s="1"/>
      <c r="TIE68" s="1"/>
      <c r="TIF68" s="1"/>
      <c r="TIG68" s="1"/>
      <c r="TIH68" s="1"/>
      <c r="TII68" s="1"/>
      <c r="TIJ68" s="1"/>
      <c r="TIK68" s="1"/>
      <c r="TIL68" s="1"/>
      <c r="TIM68" s="1"/>
      <c r="TIN68" s="1"/>
      <c r="TIO68" s="1"/>
      <c r="TIP68" s="1"/>
      <c r="TIQ68" s="1"/>
      <c r="TIR68" s="1"/>
      <c r="TIS68" s="1"/>
      <c r="TIT68" s="1"/>
      <c r="TIU68" s="1"/>
      <c r="TIV68" s="1"/>
      <c r="TIW68" s="1"/>
      <c r="TIX68" s="1"/>
      <c r="TIY68" s="1"/>
      <c r="TIZ68" s="1"/>
      <c r="TJA68" s="1"/>
      <c r="TJB68" s="1"/>
      <c r="TJC68" s="1"/>
      <c r="TJD68" s="1"/>
      <c r="TJE68" s="1"/>
      <c r="TJF68" s="1"/>
      <c r="TJG68" s="1"/>
      <c r="TJH68" s="1"/>
      <c r="TJI68" s="1"/>
      <c r="TJJ68" s="1"/>
      <c r="TJK68" s="1"/>
      <c r="TJL68" s="1"/>
      <c r="TJM68" s="1"/>
      <c r="TJN68" s="1"/>
      <c r="TJO68" s="1"/>
      <c r="TJP68" s="1"/>
      <c r="TJQ68" s="1"/>
      <c r="TJR68" s="1"/>
      <c r="TJS68" s="1"/>
      <c r="TJT68" s="1"/>
      <c r="TJU68" s="1"/>
      <c r="TJV68" s="1"/>
      <c r="TJW68" s="1"/>
      <c r="TJX68" s="1"/>
      <c r="TJY68" s="1"/>
      <c r="TJZ68" s="1"/>
      <c r="TKA68" s="1"/>
      <c r="TKB68" s="1"/>
      <c r="TKC68" s="1"/>
      <c r="TKD68" s="1"/>
      <c r="TKE68" s="1"/>
      <c r="TKF68" s="1"/>
      <c r="TKG68" s="1"/>
      <c r="TKH68" s="1"/>
      <c r="TKI68" s="1"/>
      <c r="TKJ68" s="1"/>
      <c r="TKK68" s="1"/>
      <c r="TKL68" s="1"/>
      <c r="TKM68" s="1"/>
      <c r="TKN68" s="1"/>
      <c r="TKO68" s="1"/>
      <c r="TKP68" s="1"/>
      <c r="TKQ68" s="1"/>
      <c r="TKR68" s="1"/>
      <c r="TKS68" s="1"/>
      <c r="TKT68" s="1"/>
      <c r="TKU68" s="1"/>
      <c r="TKV68" s="1"/>
      <c r="TKW68" s="1"/>
      <c r="TKX68" s="1"/>
      <c r="TKY68" s="1"/>
      <c r="TKZ68" s="1"/>
      <c r="TLA68" s="1"/>
      <c r="TLB68" s="1"/>
      <c r="TLC68" s="1"/>
      <c r="TLD68" s="1"/>
      <c r="TLE68" s="1"/>
      <c r="TLF68" s="1"/>
      <c r="TLG68" s="1"/>
      <c r="TLH68" s="1"/>
      <c r="TLI68" s="1"/>
      <c r="TLJ68" s="1"/>
      <c r="TLK68" s="1"/>
      <c r="TLL68" s="1"/>
      <c r="TLM68" s="1"/>
      <c r="TLN68" s="1"/>
      <c r="TLO68" s="1"/>
      <c r="TLP68" s="1"/>
      <c r="TLQ68" s="1"/>
      <c r="TLR68" s="1"/>
      <c r="TLS68" s="1"/>
      <c r="TLT68" s="1"/>
      <c r="TLU68" s="1"/>
      <c r="TLV68" s="1"/>
      <c r="TLW68" s="1"/>
      <c r="TLX68" s="1"/>
      <c r="TLY68" s="1"/>
      <c r="TLZ68" s="1"/>
      <c r="TMA68" s="1"/>
      <c r="TMB68" s="1"/>
      <c r="TMC68" s="1"/>
      <c r="TMD68" s="1"/>
      <c r="TME68" s="1"/>
      <c r="TMF68" s="1"/>
      <c r="TMG68" s="1"/>
      <c r="TMH68" s="1"/>
      <c r="TMI68" s="1"/>
      <c r="TMJ68" s="1"/>
      <c r="TMK68" s="1"/>
      <c r="TML68" s="1"/>
      <c r="TMM68" s="1"/>
      <c r="TMN68" s="1"/>
      <c r="TMO68" s="1"/>
      <c r="TMP68" s="1"/>
      <c r="TMQ68" s="1"/>
      <c r="TMR68" s="1"/>
      <c r="TMS68" s="1"/>
      <c r="TMT68" s="1"/>
      <c r="TMU68" s="1"/>
      <c r="TMV68" s="1"/>
      <c r="TMW68" s="1"/>
      <c r="TMX68" s="1"/>
      <c r="TMY68" s="1"/>
      <c r="TMZ68" s="1"/>
      <c r="TNA68" s="1"/>
      <c r="TNB68" s="1"/>
      <c r="TNC68" s="1"/>
      <c r="TND68" s="1"/>
      <c r="TNE68" s="1"/>
      <c r="TNF68" s="1"/>
      <c r="TNG68" s="1"/>
      <c r="TNH68" s="1"/>
      <c r="TNI68" s="1"/>
      <c r="TNJ68" s="1"/>
      <c r="TNK68" s="1"/>
      <c r="TNL68" s="1"/>
      <c r="TNM68" s="1"/>
      <c r="TNN68" s="1"/>
      <c r="TNO68" s="1"/>
      <c r="TNP68" s="1"/>
      <c r="TNQ68" s="1"/>
      <c r="TNR68" s="1"/>
      <c r="TNS68" s="1"/>
      <c r="TNT68" s="1"/>
      <c r="TNU68" s="1"/>
      <c r="TNV68" s="1"/>
      <c r="TNW68" s="1"/>
      <c r="TNX68" s="1"/>
      <c r="TNY68" s="1"/>
      <c r="TNZ68" s="1"/>
      <c r="TOA68" s="1"/>
      <c r="TOB68" s="1"/>
      <c r="TOC68" s="1"/>
      <c r="TOD68" s="1"/>
      <c r="TOE68" s="1"/>
      <c r="TOF68" s="1"/>
      <c r="TOG68" s="1"/>
      <c r="TOH68" s="1"/>
      <c r="TOI68" s="1"/>
      <c r="TOJ68" s="1"/>
      <c r="TOK68" s="1"/>
      <c r="TOL68" s="1"/>
      <c r="TOM68" s="1"/>
      <c r="TON68" s="1"/>
      <c r="TOO68" s="1"/>
      <c r="TOP68" s="1"/>
      <c r="TOQ68" s="1"/>
      <c r="TOR68" s="1"/>
      <c r="TOS68" s="1"/>
      <c r="TOT68" s="1"/>
      <c r="TOU68" s="1"/>
      <c r="TOV68" s="1"/>
      <c r="TOW68" s="1"/>
      <c r="TOX68" s="1"/>
      <c r="TOY68" s="1"/>
      <c r="TOZ68" s="1"/>
      <c r="TPA68" s="1"/>
      <c r="TPB68" s="1"/>
      <c r="TPC68" s="1"/>
      <c r="TPD68" s="1"/>
      <c r="TPE68" s="1"/>
      <c r="TPF68" s="1"/>
      <c r="TPG68" s="1"/>
      <c r="TPH68" s="1"/>
      <c r="TPI68" s="1"/>
      <c r="TPJ68" s="1"/>
      <c r="TPK68" s="1"/>
      <c r="TPL68" s="1"/>
      <c r="TPM68" s="1"/>
      <c r="TPN68" s="1"/>
      <c r="TPO68" s="1"/>
      <c r="TPP68" s="1"/>
      <c r="TPQ68" s="1"/>
      <c r="TPR68" s="1"/>
      <c r="TPS68" s="1"/>
      <c r="TPT68" s="1"/>
      <c r="TPU68" s="1"/>
      <c r="TPV68" s="1"/>
      <c r="TPW68" s="1"/>
      <c r="TPX68" s="1"/>
      <c r="TPY68" s="1"/>
      <c r="TPZ68" s="1"/>
      <c r="TQA68" s="1"/>
      <c r="TQB68" s="1"/>
      <c r="TQC68" s="1"/>
      <c r="TQD68" s="1"/>
      <c r="TQE68" s="1"/>
      <c r="TQF68" s="1"/>
      <c r="TQG68" s="1"/>
      <c r="TQH68" s="1"/>
      <c r="TQI68" s="1"/>
      <c r="TQJ68" s="1"/>
      <c r="TQK68" s="1"/>
      <c r="TQL68" s="1"/>
      <c r="TQM68" s="1"/>
      <c r="TQN68" s="1"/>
      <c r="TQO68" s="1"/>
      <c r="TQP68" s="1"/>
      <c r="TQQ68" s="1"/>
      <c r="TQR68" s="1"/>
      <c r="TQS68" s="1"/>
      <c r="TQT68" s="1"/>
      <c r="TQU68" s="1"/>
      <c r="TQV68" s="1"/>
      <c r="TQW68" s="1"/>
      <c r="TQX68" s="1"/>
      <c r="TQY68" s="1"/>
      <c r="TQZ68" s="1"/>
      <c r="TRA68" s="1"/>
      <c r="TRB68" s="1"/>
      <c r="TRC68" s="1"/>
      <c r="TRD68" s="1"/>
      <c r="TRE68" s="1"/>
      <c r="TRF68" s="1"/>
      <c r="TRG68" s="1"/>
      <c r="TRH68" s="1"/>
      <c r="TRI68" s="1"/>
      <c r="TRJ68" s="1"/>
      <c r="TRK68" s="1"/>
      <c r="TRL68" s="1"/>
      <c r="TRM68" s="1"/>
      <c r="TRN68" s="1"/>
      <c r="TRO68" s="1"/>
      <c r="TRP68" s="1"/>
      <c r="TRQ68" s="1"/>
      <c r="TRR68" s="1"/>
      <c r="TRS68" s="1"/>
      <c r="TRT68" s="1"/>
      <c r="TRU68" s="1"/>
      <c r="TRV68" s="1"/>
      <c r="TRW68" s="1"/>
      <c r="TRX68" s="1"/>
      <c r="TRY68" s="1"/>
      <c r="TRZ68" s="1"/>
      <c r="TSA68" s="1"/>
      <c r="TSB68" s="1"/>
      <c r="TSC68" s="1"/>
      <c r="TSD68" s="1"/>
      <c r="TSE68" s="1"/>
      <c r="TSF68" s="1"/>
      <c r="TSG68" s="1"/>
      <c r="TSH68" s="1"/>
      <c r="TSI68" s="1"/>
      <c r="TSJ68" s="1"/>
      <c r="TSK68" s="1"/>
      <c r="TSL68" s="1"/>
      <c r="TSM68" s="1"/>
      <c r="TSN68" s="1"/>
      <c r="TSO68" s="1"/>
      <c r="TSP68" s="1"/>
      <c r="TSQ68" s="1"/>
      <c r="TSR68" s="1"/>
      <c r="TSS68" s="1"/>
      <c r="TST68" s="1"/>
      <c r="TSU68" s="1"/>
      <c r="TSV68" s="1"/>
      <c r="TSW68" s="1"/>
      <c r="TSX68" s="1"/>
      <c r="TSY68" s="1"/>
      <c r="TSZ68" s="1"/>
      <c r="TTA68" s="1"/>
      <c r="TTB68" s="1"/>
      <c r="TTC68" s="1"/>
      <c r="TTD68" s="1"/>
      <c r="TTE68" s="1"/>
      <c r="TTF68" s="1"/>
      <c r="TTG68" s="1"/>
      <c r="TTH68" s="1"/>
      <c r="TTI68" s="1"/>
      <c r="TTJ68" s="1"/>
      <c r="TTK68" s="1"/>
      <c r="TTL68" s="1"/>
      <c r="TTM68" s="1"/>
      <c r="TTN68" s="1"/>
      <c r="TTO68" s="1"/>
      <c r="TTP68" s="1"/>
      <c r="TTQ68" s="1"/>
      <c r="TTR68" s="1"/>
      <c r="TTS68" s="1"/>
      <c r="TTT68" s="1"/>
      <c r="TTU68" s="1"/>
      <c r="TTV68" s="1"/>
      <c r="TTW68" s="1"/>
      <c r="TTX68" s="1"/>
      <c r="TTY68" s="1"/>
      <c r="TTZ68" s="1"/>
      <c r="TUA68" s="1"/>
      <c r="TUB68" s="1"/>
      <c r="TUC68" s="1"/>
      <c r="TUD68" s="1"/>
      <c r="TUE68" s="1"/>
      <c r="TUF68" s="1"/>
      <c r="TUG68" s="1"/>
      <c r="TUH68" s="1"/>
      <c r="TUI68" s="1"/>
      <c r="TUJ68" s="1"/>
      <c r="TUK68" s="1"/>
      <c r="TUL68" s="1"/>
      <c r="TUM68" s="1"/>
      <c r="TUN68" s="1"/>
      <c r="TUO68" s="1"/>
      <c r="TUP68" s="1"/>
      <c r="TUQ68" s="1"/>
      <c r="TUR68" s="1"/>
      <c r="TUS68" s="1"/>
      <c r="TUT68" s="1"/>
      <c r="TUU68" s="1"/>
      <c r="TUV68" s="1"/>
      <c r="TUW68" s="1"/>
      <c r="TUX68" s="1"/>
      <c r="TUY68" s="1"/>
      <c r="TUZ68" s="1"/>
      <c r="TVA68" s="1"/>
      <c r="TVB68" s="1"/>
      <c r="TVC68" s="1"/>
      <c r="TVD68" s="1"/>
      <c r="TVE68" s="1"/>
      <c r="TVF68" s="1"/>
      <c r="TVG68" s="1"/>
      <c r="TVH68" s="1"/>
      <c r="TVI68" s="1"/>
      <c r="TVJ68" s="1"/>
      <c r="TVK68" s="1"/>
      <c r="TVL68" s="1"/>
      <c r="TVM68" s="1"/>
      <c r="TVN68" s="1"/>
      <c r="TVO68" s="1"/>
      <c r="TVP68" s="1"/>
      <c r="TVQ68" s="1"/>
      <c r="TVR68" s="1"/>
      <c r="TVS68" s="1"/>
      <c r="TVT68" s="1"/>
      <c r="TVU68" s="1"/>
      <c r="TVV68" s="1"/>
      <c r="TVW68" s="1"/>
      <c r="TVX68" s="1"/>
      <c r="TVY68" s="1"/>
      <c r="TVZ68" s="1"/>
      <c r="TWA68" s="1"/>
      <c r="TWB68" s="1"/>
      <c r="TWC68" s="1"/>
      <c r="TWD68" s="1"/>
      <c r="TWE68" s="1"/>
      <c r="TWF68" s="1"/>
      <c r="TWG68" s="1"/>
      <c r="TWH68" s="1"/>
      <c r="TWI68" s="1"/>
      <c r="TWJ68" s="1"/>
      <c r="TWK68" s="1"/>
      <c r="TWL68" s="1"/>
      <c r="TWM68" s="1"/>
      <c r="TWN68" s="1"/>
      <c r="TWO68" s="1"/>
      <c r="TWP68" s="1"/>
      <c r="TWQ68" s="1"/>
      <c r="TWR68" s="1"/>
      <c r="TWS68" s="1"/>
      <c r="TWT68" s="1"/>
      <c r="TWU68" s="1"/>
      <c r="TWV68" s="1"/>
      <c r="TWW68" s="1"/>
      <c r="TWX68" s="1"/>
      <c r="TWY68" s="1"/>
      <c r="TWZ68" s="1"/>
      <c r="TXA68" s="1"/>
      <c r="TXB68" s="1"/>
      <c r="TXC68" s="1"/>
      <c r="TXD68" s="1"/>
      <c r="TXE68" s="1"/>
      <c r="TXF68" s="1"/>
      <c r="TXG68" s="1"/>
      <c r="TXH68" s="1"/>
      <c r="TXI68" s="1"/>
      <c r="TXJ68" s="1"/>
      <c r="TXK68" s="1"/>
      <c r="TXL68" s="1"/>
      <c r="TXM68" s="1"/>
      <c r="TXN68" s="1"/>
      <c r="TXO68" s="1"/>
      <c r="TXP68" s="1"/>
      <c r="TXQ68" s="1"/>
      <c r="TXR68" s="1"/>
      <c r="TXS68" s="1"/>
      <c r="TXT68" s="1"/>
      <c r="TXU68" s="1"/>
      <c r="TXV68" s="1"/>
      <c r="TXW68" s="1"/>
      <c r="TXX68" s="1"/>
      <c r="TXY68" s="1"/>
      <c r="TXZ68" s="1"/>
      <c r="TYA68" s="1"/>
      <c r="TYB68" s="1"/>
      <c r="TYC68" s="1"/>
      <c r="TYD68" s="1"/>
      <c r="TYE68" s="1"/>
      <c r="TYF68" s="1"/>
      <c r="TYG68" s="1"/>
      <c r="TYH68" s="1"/>
      <c r="TYI68" s="1"/>
      <c r="TYJ68" s="1"/>
      <c r="TYK68" s="1"/>
      <c r="TYL68" s="1"/>
      <c r="TYM68" s="1"/>
      <c r="TYN68" s="1"/>
      <c r="TYO68" s="1"/>
      <c r="TYP68" s="1"/>
      <c r="TYQ68" s="1"/>
      <c r="TYR68" s="1"/>
      <c r="TYS68" s="1"/>
      <c r="TYT68" s="1"/>
      <c r="TYU68" s="1"/>
      <c r="TYV68" s="1"/>
      <c r="TYW68" s="1"/>
      <c r="TYX68" s="1"/>
      <c r="TYY68" s="1"/>
      <c r="TYZ68" s="1"/>
      <c r="TZA68" s="1"/>
      <c r="TZB68" s="1"/>
      <c r="TZC68" s="1"/>
      <c r="TZD68" s="1"/>
      <c r="TZE68" s="1"/>
      <c r="TZF68" s="1"/>
      <c r="TZG68" s="1"/>
      <c r="TZH68" s="1"/>
      <c r="TZI68" s="1"/>
      <c r="TZJ68" s="1"/>
      <c r="TZK68" s="1"/>
      <c r="TZL68" s="1"/>
      <c r="TZM68" s="1"/>
      <c r="TZN68" s="1"/>
      <c r="TZO68" s="1"/>
      <c r="TZP68" s="1"/>
      <c r="TZQ68" s="1"/>
      <c r="TZR68" s="1"/>
      <c r="TZS68" s="1"/>
      <c r="TZT68" s="1"/>
      <c r="TZU68" s="1"/>
      <c r="TZV68" s="1"/>
      <c r="TZW68" s="1"/>
      <c r="TZX68" s="1"/>
      <c r="TZY68" s="1"/>
      <c r="TZZ68" s="1"/>
      <c r="UAA68" s="1"/>
      <c r="UAB68" s="1"/>
      <c r="UAC68" s="1"/>
      <c r="UAD68" s="1"/>
      <c r="UAE68" s="1"/>
      <c r="UAF68" s="1"/>
      <c r="UAG68" s="1"/>
      <c r="UAH68" s="1"/>
      <c r="UAI68" s="1"/>
      <c r="UAJ68" s="1"/>
      <c r="UAK68" s="1"/>
      <c r="UAL68" s="1"/>
      <c r="UAM68" s="1"/>
      <c r="UAN68" s="1"/>
      <c r="UAO68" s="1"/>
      <c r="UAP68" s="1"/>
      <c r="UAQ68" s="1"/>
      <c r="UAR68" s="1"/>
      <c r="UAS68" s="1"/>
      <c r="UAT68" s="1"/>
      <c r="UAU68" s="1"/>
      <c r="UAV68" s="1"/>
      <c r="UAW68" s="1"/>
      <c r="UAX68" s="1"/>
      <c r="UAY68" s="1"/>
      <c r="UAZ68" s="1"/>
      <c r="UBA68" s="1"/>
      <c r="UBB68" s="1"/>
      <c r="UBC68" s="1"/>
      <c r="UBD68" s="1"/>
      <c r="UBE68" s="1"/>
      <c r="UBF68" s="1"/>
      <c r="UBG68" s="1"/>
      <c r="UBH68" s="1"/>
      <c r="UBI68" s="1"/>
      <c r="UBJ68" s="1"/>
      <c r="UBK68" s="1"/>
      <c r="UBL68" s="1"/>
      <c r="UBM68" s="1"/>
      <c r="UBN68" s="1"/>
      <c r="UBO68" s="1"/>
      <c r="UBP68" s="1"/>
      <c r="UBQ68" s="1"/>
      <c r="UBR68" s="1"/>
      <c r="UBS68" s="1"/>
      <c r="UBT68" s="1"/>
      <c r="UBU68" s="1"/>
      <c r="UBV68" s="1"/>
      <c r="UBW68" s="1"/>
      <c r="UBX68" s="1"/>
      <c r="UBY68" s="1"/>
      <c r="UBZ68" s="1"/>
      <c r="UCA68" s="1"/>
      <c r="UCB68" s="1"/>
      <c r="UCC68" s="1"/>
      <c r="UCD68" s="1"/>
      <c r="UCE68" s="1"/>
      <c r="UCF68" s="1"/>
      <c r="UCG68" s="1"/>
      <c r="UCH68" s="1"/>
      <c r="UCI68" s="1"/>
      <c r="UCJ68" s="1"/>
      <c r="UCK68" s="1"/>
      <c r="UCL68" s="1"/>
      <c r="UCM68" s="1"/>
      <c r="UCN68" s="1"/>
      <c r="UCO68" s="1"/>
      <c r="UCP68" s="1"/>
      <c r="UCQ68" s="1"/>
      <c r="UCR68" s="1"/>
      <c r="UCS68" s="1"/>
      <c r="UCT68" s="1"/>
      <c r="UCU68" s="1"/>
      <c r="UCV68" s="1"/>
      <c r="UCW68" s="1"/>
      <c r="UCX68" s="1"/>
      <c r="UCY68" s="1"/>
      <c r="UCZ68" s="1"/>
      <c r="UDA68" s="1"/>
      <c r="UDB68" s="1"/>
      <c r="UDC68" s="1"/>
      <c r="UDD68" s="1"/>
      <c r="UDE68" s="1"/>
      <c r="UDF68" s="1"/>
      <c r="UDG68" s="1"/>
      <c r="UDH68" s="1"/>
      <c r="UDI68" s="1"/>
      <c r="UDJ68" s="1"/>
      <c r="UDK68" s="1"/>
      <c r="UDL68" s="1"/>
      <c r="UDM68" s="1"/>
      <c r="UDN68" s="1"/>
      <c r="UDO68" s="1"/>
      <c r="UDP68" s="1"/>
      <c r="UDQ68" s="1"/>
      <c r="UDR68" s="1"/>
      <c r="UDS68" s="1"/>
      <c r="UDT68" s="1"/>
      <c r="UDU68" s="1"/>
      <c r="UDV68" s="1"/>
      <c r="UDW68" s="1"/>
      <c r="UDX68" s="1"/>
      <c r="UDY68" s="1"/>
      <c r="UDZ68" s="1"/>
      <c r="UEA68" s="1"/>
      <c r="UEB68" s="1"/>
      <c r="UEC68" s="1"/>
      <c r="UED68" s="1"/>
      <c r="UEE68" s="1"/>
      <c r="UEF68" s="1"/>
      <c r="UEG68" s="1"/>
      <c r="UEH68" s="1"/>
      <c r="UEI68" s="1"/>
      <c r="UEJ68" s="1"/>
      <c r="UEK68" s="1"/>
      <c r="UEL68" s="1"/>
      <c r="UEM68" s="1"/>
      <c r="UEN68" s="1"/>
      <c r="UEO68" s="1"/>
      <c r="UEP68" s="1"/>
      <c r="UEQ68" s="1"/>
      <c r="UER68" s="1"/>
      <c r="UES68" s="1"/>
      <c r="UET68" s="1"/>
      <c r="UEU68" s="1"/>
      <c r="UEV68" s="1"/>
      <c r="UEW68" s="1"/>
      <c r="UEX68" s="1"/>
      <c r="UEY68" s="1"/>
      <c r="UEZ68" s="1"/>
      <c r="UFA68" s="1"/>
      <c r="UFB68" s="1"/>
      <c r="UFC68" s="1"/>
      <c r="UFD68" s="1"/>
      <c r="UFE68" s="1"/>
      <c r="UFF68" s="1"/>
      <c r="UFG68" s="1"/>
      <c r="UFH68" s="1"/>
      <c r="UFI68" s="1"/>
      <c r="UFJ68" s="1"/>
      <c r="UFK68" s="1"/>
      <c r="UFL68" s="1"/>
      <c r="UFM68" s="1"/>
      <c r="UFN68" s="1"/>
      <c r="UFO68" s="1"/>
      <c r="UFP68" s="1"/>
      <c r="UFQ68" s="1"/>
      <c r="UFR68" s="1"/>
      <c r="UFS68" s="1"/>
      <c r="UFT68" s="1"/>
      <c r="UFU68" s="1"/>
      <c r="UFV68" s="1"/>
      <c r="UFW68" s="1"/>
      <c r="UFX68" s="1"/>
      <c r="UFY68" s="1"/>
      <c r="UFZ68" s="1"/>
      <c r="UGA68" s="1"/>
      <c r="UGB68" s="1"/>
      <c r="UGC68" s="1"/>
      <c r="UGD68" s="1"/>
      <c r="UGE68" s="1"/>
      <c r="UGF68" s="1"/>
      <c r="UGG68" s="1"/>
      <c r="UGH68" s="1"/>
      <c r="UGI68" s="1"/>
      <c r="UGJ68" s="1"/>
      <c r="UGK68" s="1"/>
      <c r="UGL68" s="1"/>
      <c r="UGM68" s="1"/>
      <c r="UGN68" s="1"/>
      <c r="UGO68" s="1"/>
      <c r="UGP68" s="1"/>
      <c r="UGQ68" s="1"/>
      <c r="UGR68" s="1"/>
      <c r="UGS68" s="1"/>
      <c r="UGT68" s="1"/>
      <c r="UGU68" s="1"/>
      <c r="UGV68" s="1"/>
      <c r="UGW68" s="1"/>
      <c r="UGX68" s="1"/>
      <c r="UGY68" s="1"/>
      <c r="UGZ68" s="1"/>
      <c r="UHA68" s="1"/>
      <c r="UHB68" s="1"/>
      <c r="UHC68" s="1"/>
      <c r="UHD68" s="1"/>
      <c r="UHE68" s="1"/>
      <c r="UHF68" s="1"/>
      <c r="UHG68" s="1"/>
      <c r="UHH68" s="1"/>
      <c r="UHI68" s="1"/>
      <c r="UHJ68" s="1"/>
      <c r="UHK68" s="1"/>
      <c r="UHL68" s="1"/>
      <c r="UHM68" s="1"/>
      <c r="UHN68" s="1"/>
      <c r="UHO68" s="1"/>
      <c r="UHP68" s="1"/>
      <c r="UHQ68" s="1"/>
      <c r="UHR68" s="1"/>
      <c r="UHS68" s="1"/>
      <c r="UHT68" s="1"/>
      <c r="UHU68" s="1"/>
      <c r="UHV68" s="1"/>
      <c r="UHW68" s="1"/>
      <c r="UHX68" s="1"/>
      <c r="UHY68" s="1"/>
      <c r="UHZ68" s="1"/>
      <c r="UIA68" s="1"/>
      <c r="UIB68" s="1"/>
      <c r="UIC68" s="1"/>
      <c r="UID68" s="1"/>
      <c r="UIE68" s="1"/>
      <c r="UIF68" s="1"/>
      <c r="UIG68" s="1"/>
      <c r="UIH68" s="1"/>
      <c r="UII68" s="1"/>
      <c r="UIJ68" s="1"/>
      <c r="UIK68" s="1"/>
      <c r="UIL68" s="1"/>
      <c r="UIM68" s="1"/>
      <c r="UIN68" s="1"/>
      <c r="UIO68" s="1"/>
      <c r="UIP68" s="1"/>
      <c r="UIQ68" s="1"/>
      <c r="UIR68" s="1"/>
      <c r="UIS68" s="1"/>
      <c r="UIT68" s="1"/>
      <c r="UIU68" s="1"/>
      <c r="UIV68" s="1"/>
      <c r="UIW68" s="1"/>
      <c r="UIX68" s="1"/>
      <c r="UIY68" s="1"/>
      <c r="UIZ68" s="1"/>
      <c r="UJA68" s="1"/>
      <c r="UJB68" s="1"/>
      <c r="UJC68" s="1"/>
      <c r="UJD68" s="1"/>
      <c r="UJE68" s="1"/>
      <c r="UJF68" s="1"/>
      <c r="UJG68" s="1"/>
      <c r="UJH68" s="1"/>
      <c r="UJI68" s="1"/>
      <c r="UJJ68" s="1"/>
      <c r="UJK68" s="1"/>
      <c r="UJL68" s="1"/>
      <c r="UJM68" s="1"/>
      <c r="UJN68" s="1"/>
      <c r="UJO68" s="1"/>
      <c r="UJP68" s="1"/>
      <c r="UJQ68" s="1"/>
      <c r="UJR68" s="1"/>
      <c r="UJS68" s="1"/>
      <c r="UJT68" s="1"/>
      <c r="UJU68" s="1"/>
      <c r="UJV68" s="1"/>
      <c r="UJW68" s="1"/>
      <c r="UJX68" s="1"/>
      <c r="UJY68" s="1"/>
      <c r="UJZ68" s="1"/>
      <c r="UKA68" s="1"/>
      <c r="UKB68" s="1"/>
      <c r="UKC68" s="1"/>
      <c r="UKD68" s="1"/>
      <c r="UKE68" s="1"/>
      <c r="UKF68" s="1"/>
      <c r="UKG68" s="1"/>
      <c r="UKH68" s="1"/>
      <c r="UKI68" s="1"/>
      <c r="UKJ68" s="1"/>
      <c r="UKK68" s="1"/>
      <c r="UKL68" s="1"/>
      <c r="UKM68" s="1"/>
      <c r="UKN68" s="1"/>
      <c r="UKO68" s="1"/>
      <c r="UKP68" s="1"/>
      <c r="UKQ68" s="1"/>
      <c r="UKR68" s="1"/>
      <c r="UKS68" s="1"/>
      <c r="UKT68" s="1"/>
      <c r="UKU68" s="1"/>
      <c r="UKV68" s="1"/>
      <c r="UKW68" s="1"/>
      <c r="UKX68" s="1"/>
      <c r="UKY68" s="1"/>
      <c r="UKZ68" s="1"/>
      <c r="ULA68" s="1"/>
      <c r="ULB68" s="1"/>
      <c r="ULC68" s="1"/>
      <c r="ULD68" s="1"/>
      <c r="ULE68" s="1"/>
      <c r="ULF68" s="1"/>
      <c r="ULG68" s="1"/>
      <c r="ULH68" s="1"/>
      <c r="ULI68" s="1"/>
      <c r="ULJ68" s="1"/>
      <c r="ULK68" s="1"/>
      <c r="ULL68" s="1"/>
      <c r="ULM68" s="1"/>
      <c r="ULN68" s="1"/>
      <c r="ULO68" s="1"/>
      <c r="ULP68" s="1"/>
      <c r="ULQ68" s="1"/>
      <c r="ULR68" s="1"/>
      <c r="ULS68" s="1"/>
      <c r="ULT68" s="1"/>
      <c r="ULU68" s="1"/>
      <c r="ULV68" s="1"/>
      <c r="ULW68" s="1"/>
      <c r="ULX68" s="1"/>
      <c r="ULY68" s="1"/>
      <c r="ULZ68" s="1"/>
      <c r="UMA68" s="1"/>
      <c r="UMB68" s="1"/>
      <c r="UMC68" s="1"/>
      <c r="UMD68" s="1"/>
      <c r="UME68" s="1"/>
      <c r="UMF68" s="1"/>
      <c r="UMG68" s="1"/>
      <c r="UMH68" s="1"/>
      <c r="UMI68" s="1"/>
      <c r="UMJ68" s="1"/>
      <c r="UMK68" s="1"/>
      <c r="UML68" s="1"/>
      <c r="UMM68" s="1"/>
      <c r="UMN68" s="1"/>
      <c r="UMO68" s="1"/>
      <c r="UMP68" s="1"/>
      <c r="UMQ68" s="1"/>
      <c r="UMR68" s="1"/>
      <c r="UMS68" s="1"/>
      <c r="UMT68" s="1"/>
      <c r="UMU68" s="1"/>
      <c r="UMV68" s="1"/>
      <c r="UMW68" s="1"/>
      <c r="UMX68" s="1"/>
      <c r="UMY68" s="1"/>
      <c r="UMZ68" s="1"/>
      <c r="UNA68" s="1"/>
      <c r="UNB68" s="1"/>
      <c r="UNC68" s="1"/>
      <c r="UND68" s="1"/>
      <c r="UNE68" s="1"/>
      <c r="UNF68" s="1"/>
      <c r="UNG68" s="1"/>
      <c r="UNH68" s="1"/>
      <c r="UNI68" s="1"/>
      <c r="UNJ68" s="1"/>
      <c r="UNK68" s="1"/>
      <c r="UNL68" s="1"/>
      <c r="UNM68" s="1"/>
      <c r="UNN68" s="1"/>
      <c r="UNO68" s="1"/>
      <c r="UNP68" s="1"/>
      <c r="UNQ68" s="1"/>
      <c r="UNR68" s="1"/>
      <c r="UNS68" s="1"/>
      <c r="UNT68" s="1"/>
      <c r="UNU68" s="1"/>
      <c r="UNV68" s="1"/>
      <c r="UNW68" s="1"/>
      <c r="UNX68" s="1"/>
      <c r="UNY68" s="1"/>
      <c r="UNZ68" s="1"/>
      <c r="UOA68" s="1"/>
      <c r="UOB68" s="1"/>
      <c r="UOC68" s="1"/>
      <c r="UOD68" s="1"/>
      <c r="UOE68" s="1"/>
      <c r="UOF68" s="1"/>
      <c r="UOG68" s="1"/>
      <c r="UOH68" s="1"/>
      <c r="UOI68" s="1"/>
      <c r="UOJ68" s="1"/>
      <c r="UOK68" s="1"/>
      <c r="UOL68" s="1"/>
      <c r="UOM68" s="1"/>
      <c r="UON68" s="1"/>
      <c r="UOO68" s="1"/>
      <c r="UOP68" s="1"/>
      <c r="UOQ68" s="1"/>
      <c r="UOR68" s="1"/>
      <c r="UOS68" s="1"/>
      <c r="UOT68" s="1"/>
      <c r="UOU68" s="1"/>
      <c r="UOV68" s="1"/>
      <c r="UOW68" s="1"/>
      <c r="UOX68" s="1"/>
      <c r="UOY68" s="1"/>
      <c r="UOZ68" s="1"/>
      <c r="UPA68" s="1"/>
      <c r="UPB68" s="1"/>
      <c r="UPC68" s="1"/>
      <c r="UPD68" s="1"/>
      <c r="UPE68" s="1"/>
      <c r="UPF68" s="1"/>
      <c r="UPG68" s="1"/>
      <c r="UPH68" s="1"/>
      <c r="UPI68" s="1"/>
      <c r="UPJ68" s="1"/>
      <c r="UPK68" s="1"/>
      <c r="UPL68" s="1"/>
      <c r="UPM68" s="1"/>
      <c r="UPN68" s="1"/>
      <c r="UPO68" s="1"/>
      <c r="UPP68" s="1"/>
      <c r="UPQ68" s="1"/>
      <c r="UPR68" s="1"/>
      <c r="UPS68" s="1"/>
      <c r="UPT68" s="1"/>
      <c r="UPU68" s="1"/>
      <c r="UPV68" s="1"/>
      <c r="UPW68" s="1"/>
      <c r="UPX68" s="1"/>
      <c r="UPY68" s="1"/>
      <c r="UPZ68" s="1"/>
      <c r="UQA68" s="1"/>
      <c r="UQB68" s="1"/>
      <c r="UQC68" s="1"/>
      <c r="UQD68" s="1"/>
      <c r="UQE68" s="1"/>
      <c r="UQF68" s="1"/>
      <c r="UQG68" s="1"/>
      <c r="UQH68" s="1"/>
      <c r="UQI68" s="1"/>
      <c r="UQJ68" s="1"/>
      <c r="UQK68" s="1"/>
      <c r="UQL68" s="1"/>
      <c r="UQM68" s="1"/>
      <c r="UQN68" s="1"/>
      <c r="UQO68" s="1"/>
      <c r="UQP68" s="1"/>
      <c r="UQQ68" s="1"/>
      <c r="UQR68" s="1"/>
      <c r="UQS68" s="1"/>
      <c r="UQT68" s="1"/>
      <c r="UQU68" s="1"/>
      <c r="UQV68" s="1"/>
      <c r="UQW68" s="1"/>
      <c r="UQX68" s="1"/>
      <c r="UQY68" s="1"/>
      <c r="UQZ68" s="1"/>
      <c r="URA68" s="1"/>
      <c r="URB68" s="1"/>
      <c r="URC68" s="1"/>
      <c r="URD68" s="1"/>
      <c r="URE68" s="1"/>
      <c r="URF68" s="1"/>
      <c r="URG68" s="1"/>
      <c r="URH68" s="1"/>
      <c r="URI68" s="1"/>
      <c r="URJ68" s="1"/>
      <c r="URK68" s="1"/>
      <c r="URL68" s="1"/>
      <c r="URM68" s="1"/>
      <c r="URN68" s="1"/>
      <c r="URO68" s="1"/>
      <c r="URP68" s="1"/>
      <c r="URQ68" s="1"/>
      <c r="URR68" s="1"/>
      <c r="URS68" s="1"/>
      <c r="URT68" s="1"/>
      <c r="URU68" s="1"/>
      <c r="URV68" s="1"/>
      <c r="URW68" s="1"/>
      <c r="URX68" s="1"/>
      <c r="URY68" s="1"/>
      <c r="URZ68" s="1"/>
      <c r="USA68" s="1"/>
      <c r="USB68" s="1"/>
      <c r="USC68" s="1"/>
      <c r="USD68" s="1"/>
      <c r="USE68" s="1"/>
      <c r="USF68" s="1"/>
      <c r="USG68" s="1"/>
      <c r="USH68" s="1"/>
      <c r="USI68" s="1"/>
      <c r="USJ68" s="1"/>
      <c r="USK68" s="1"/>
      <c r="USL68" s="1"/>
      <c r="USM68" s="1"/>
      <c r="USN68" s="1"/>
      <c r="USO68" s="1"/>
      <c r="USP68" s="1"/>
      <c r="USQ68" s="1"/>
      <c r="USR68" s="1"/>
      <c r="USS68" s="1"/>
      <c r="UST68" s="1"/>
      <c r="USU68" s="1"/>
      <c r="USV68" s="1"/>
      <c r="USW68" s="1"/>
      <c r="USX68" s="1"/>
      <c r="USY68" s="1"/>
      <c r="USZ68" s="1"/>
      <c r="UTA68" s="1"/>
      <c r="UTB68" s="1"/>
      <c r="UTC68" s="1"/>
      <c r="UTD68" s="1"/>
      <c r="UTE68" s="1"/>
      <c r="UTF68" s="1"/>
      <c r="UTG68" s="1"/>
      <c r="UTH68" s="1"/>
      <c r="UTI68" s="1"/>
      <c r="UTJ68" s="1"/>
      <c r="UTK68" s="1"/>
      <c r="UTL68" s="1"/>
      <c r="UTM68" s="1"/>
      <c r="UTN68" s="1"/>
      <c r="UTO68" s="1"/>
      <c r="UTP68" s="1"/>
      <c r="UTQ68" s="1"/>
      <c r="UTR68" s="1"/>
      <c r="UTS68" s="1"/>
      <c r="UTT68" s="1"/>
      <c r="UTU68" s="1"/>
      <c r="UTV68" s="1"/>
      <c r="UTW68" s="1"/>
      <c r="UTX68" s="1"/>
      <c r="UTY68" s="1"/>
      <c r="UTZ68" s="1"/>
      <c r="UUA68" s="1"/>
      <c r="UUB68" s="1"/>
      <c r="UUC68" s="1"/>
      <c r="UUD68" s="1"/>
      <c r="UUE68" s="1"/>
      <c r="UUF68" s="1"/>
      <c r="UUG68" s="1"/>
      <c r="UUH68" s="1"/>
      <c r="UUI68" s="1"/>
      <c r="UUJ68" s="1"/>
      <c r="UUK68" s="1"/>
      <c r="UUL68" s="1"/>
      <c r="UUM68" s="1"/>
      <c r="UUN68" s="1"/>
      <c r="UUO68" s="1"/>
      <c r="UUP68" s="1"/>
      <c r="UUQ68" s="1"/>
      <c r="UUR68" s="1"/>
      <c r="UUS68" s="1"/>
      <c r="UUT68" s="1"/>
      <c r="UUU68" s="1"/>
      <c r="UUV68" s="1"/>
      <c r="UUW68" s="1"/>
      <c r="UUX68" s="1"/>
      <c r="UUY68" s="1"/>
      <c r="UUZ68" s="1"/>
      <c r="UVA68" s="1"/>
      <c r="UVB68" s="1"/>
      <c r="UVC68" s="1"/>
      <c r="UVD68" s="1"/>
      <c r="UVE68" s="1"/>
      <c r="UVF68" s="1"/>
      <c r="UVG68" s="1"/>
      <c r="UVH68" s="1"/>
      <c r="UVI68" s="1"/>
      <c r="UVJ68" s="1"/>
      <c r="UVK68" s="1"/>
      <c r="UVL68" s="1"/>
      <c r="UVM68" s="1"/>
      <c r="UVN68" s="1"/>
      <c r="UVO68" s="1"/>
      <c r="UVP68" s="1"/>
      <c r="UVQ68" s="1"/>
      <c r="UVR68" s="1"/>
      <c r="UVS68" s="1"/>
      <c r="UVT68" s="1"/>
      <c r="UVU68" s="1"/>
      <c r="UVV68" s="1"/>
      <c r="UVW68" s="1"/>
      <c r="UVX68" s="1"/>
      <c r="UVY68" s="1"/>
      <c r="UVZ68" s="1"/>
      <c r="UWA68" s="1"/>
      <c r="UWB68" s="1"/>
      <c r="UWC68" s="1"/>
      <c r="UWD68" s="1"/>
      <c r="UWE68" s="1"/>
      <c r="UWF68" s="1"/>
      <c r="UWG68" s="1"/>
      <c r="UWH68" s="1"/>
      <c r="UWI68" s="1"/>
      <c r="UWJ68" s="1"/>
      <c r="UWK68" s="1"/>
      <c r="UWL68" s="1"/>
      <c r="UWM68" s="1"/>
      <c r="UWN68" s="1"/>
      <c r="UWO68" s="1"/>
      <c r="UWP68" s="1"/>
      <c r="UWQ68" s="1"/>
      <c r="UWR68" s="1"/>
      <c r="UWS68" s="1"/>
      <c r="UWT68" s="1"/>
      <c r="UWU68" s="1"/>
      <c r="UWV68" s="1"/>
      <c r="UWW68" s="1"/>
      <c r="UWX68" s="1"/>
      <c r="UWY68" s="1"/>
      <c r="UWZ68" s="1"/>
      <c r="UXA68" s="1"/>
      <c r="UXB68" s="1"/>
      <c r="UXC68" s="1"/>
      <c r="UXD68" s="1"/>
      <c r="UXE68" s="1"/>
      <c r="UXF68" s="1"/>
      <c r="UXG68" s="1"/>
      <c r="UXH68" s="1"/>
      <c r="UXI68" s="1"/>
      <c r="UXJ68" s="1"/>
      <c r="UXK68" s="1"/>
      <c r="UXL68" s="1"/>
      <c r="UXM68" s="1"/>
      <c r="UXN68" s="1"/>
      <c r="UXO68" s="1"/>
      <c r="UXP68" s="1"/>
      <c r="UXQ68" s="1"/>
      <c r="UXR68" s="1"/>
      <c r="UXS68" s="1"/>
      <c r="UXT68" s="1"/>
      <c r="UXU68" s="1"/>
      <c r="UXV68" s="1"/>
      <c r="UXW68" s="1"/>
      <c r="UXX68" s="1"/>
      <c r="UXY68" s="1"/>
      <c r="UXZ68" s="1"/>
      <c r="UYA68" s="1"/>
      <c r="UYB68" s="1"/>
      <c r="UYC68" s="1"/>
      <c r="UYD68" s="1"/>
      <c r="UYE68" s="1"/>
      <c r="UYF68" s="1"/>
      <c r="UYG68" s="1"/>
      <c r="UYH68" s="1"/>
      <c r="UYI68" s="1"/>
      <c r="UYJ68" s="1"/>
      <c r="UYK68" s="1"/>
      <c r="UYL68" s="1"/>
      <c r="UYM68" s="1"/>
      <c r="UYN68" s="1"/>
      <c r="UYO68" s="1"/>
      <c r="UYP68" s="1"/>
      <c r="UYQ68" s="1"/>
      <c r="UYR68" s="1"/>
      <c r="UYS68" s="1"/>
      <c r="UYT68" s="1"/>
      <c r="UYU68" s="1"/>
      <c r="UYV68" s="1"/>
      <c r="UYW68" s="1"/>
      <c r="UYX68" s="1"/>
      <c r="UYY68" s="1"/>
      <c r="UYZ68" s="1"/>
      <c r="UZA68" s="1"/>
      <c r="UZB68" s="1"/>
      <c r="UZC68" s="1"/>
      <c r="UZD68" s="1"/>
      <c r="UZE68" s="1"/>
      <c r="UZF68" s="1"/>
      <c r="UZG68" s="1"/>
      <c r="UZH68" s="1"/>
      <c r="UZI68" s="1"/>
      <c r="UZJ68" s="1"/>
      <c r="UZK68" s="1"/>
      <c r="UZL68" s="1"/>
      <c r="UZM68" s="1"/>
      <c r="UZN68" s="1"/>
      <c r="UZO68" s="1"/>
      <c r="UZP68" s="1"/>
      <c r="UZQ68" s="1"/>
      <c r="UZR68" s="1"/>
      <c r="UZS68" s="1"/>
      <c r="UZT68" s="1"/>
      <c r="UZU68" s="1"/>
      <c r="UZV68" s="1"/>
      <c r="UZW68" s="1"/>
      <c r="UZX68" s="1"/>
      <c r="UZY68" s="1"/>
      <c r="UZZ68" s="1"/>
      <c r="VAA68" s="1"/>
      <c r="VAB68" s="1"/>
      <c r="VAC68" s="1"/>
      <c r="VAD68" s="1"/>
      <c r="VAE68" s="1"/>
      <c r="VAF68" s="1"/>
      <c r="VAG68" s="1"/>
      <c r="VAH68" s="1"/>
      <c r="VAI68" s="1"/>
      <c r="VAJ68" s="1"/>
      <c r="VAK68" s="1"/>
      <c r="VAL68" s="1"/>
      <c r="VAM68" s="1"/>
      <c r="VAN68" s="1"/>
      <c r="VAO68" s="1"/>
      <c r="VAP68" s="1"/>
      <c r="VAQ68" s="1"/>
      <c r="VAR68" s="1"/>
      <c r="VAS68" s="1"/>
      <c r="VAT68" s="1"/>
      <c r="VAU68" s="1"/>
      <c r="VAV68" s="1"/>
      <c r="VAW68" s="1"/>
      <c r="VAX68" s="1"/>
      <c r="VAY68" s="1"/>
      <c r="VAZ68" s="1"/>
      <c r="VBA68" s="1"/>
      <c r="VBB68" s="1"/>
      <c r="VBC68" s="1"/>
      <c r="VBD68" s="1"/>
      <c r="VBE68" s="1"/>
      <c r="VBF68" s="1"/>
      <c r="VBG68" s="1"/>
      <c r="VBH68" s="1"/>
      <c r="VBI68" s="1"/>
      <c r="VBJ68" s="1"/>
      <c r="VBK68" s="1"/>
      <c r="VBL68" s="1"/>
      <c r="VBM68" s="1"/>
      <c r="VBN68" s="1"/>
      <c r="VBO68" s="1"/>
      <c r="VBP68" s="1"/>
      <c r="VBQ68" s="1"/>
      <c r="VBR68" s="1"/>
      <c r="VBS68" s="1"/>
      <c r="VBT68" s="1"/>
      <c r="VBU68" s="1"/>
      <c r="VBV68" s="1"/>
      <c r="VBW68" s="1"/>
      <c r="VBX68" s="1"/>
      <c r="VBY68" s="1"/>
      <c r="VBZ68" s="1"/>
      <c r="VCA68" s="1"/>
      <c r="VCB68" s="1"/>
      <c r="VCC68" s="1"/>
      <c r="VCD68" s="1"/>
      <c r="VCE68" s="1"/>
      <c r="VCF68" s="1"/>
      <c r="VCG68" s="1"/>
      <c r="VCH68" s="1"/>
      <c r="VCI68" s="1"/>
      <c r="VCJ68" s="1"/>
      <c r="VCK68" s="1"/>
      <c r="VCL68" s="1"/>
      <c r="VCM68" s="1"/>
      <c r="VCN68" s="1"/>
      <c r="VCO68" s="1"/>
      <c r="VCP68" s="1"/>
      <c r="VCQ68" s="1"/>
      <c r="VCR68" s="1"/>
      <c r="VCS68" s="1"/>
      <c r="VCT68" s="1"/>
      <c r="VCU68" s="1"/>
      <c r="VCV68" s="1"/>
      <c r="VCW68" s="1"/>
      <c r="VCX68" s="1"/>
      <c r="VCY68" s="1"/>
      <c r="VCZ68" s="1"/>
      <c r="VDA68" s="1"/>
      <c r="VDB68" s="1"/>
      <c r="VDC68" s="1"/>
      <c r="VDD68" s="1"/>
      <c r="VDE68" s="1"/>
      <c r="VDF68" s="1"/>
      <c r="VDG68" s="1"/>
      <c r="VDH68" s="1"/>
      <c r="VDI68" s="1"/>
      <c r="VDJ68" s="1"/>
      <c r="VDK68" s="1"/>
      <c r="VDL68" s="1"/>
      <c r="VDM68" s="1"/>
      <c r="VDN68" s="1"/>
      <c r="VDO68" s="1"/>
      <c r="VDP68" s="1"/>
      <c r="VDQ68" s="1"/>
      <c r="VDR68" s="1"/>
      <c r="VDS68" s="1"/>
      <c r="VDT68" s="1"/>
      <c r="VDU68" s="1"/>
      <c r="VDV68" s="1"/>
      <c r="VDW68" s="1"/>
      <c r="VDX68" s="1"/>
      <c r="VDY68" s="1"/>
      <c r="VDZ68" s="1"/>
      <c r="VEA68" s="1"/>
      <c r="VEB68" s="1"/>
      <c r="VEC68" s="1"/>
      <c r="VED68" s="1"/>
      <c r="VEE68" s="1"/>
      <c r="VEF68" s="1"/>
      <c r="VEG68" s="1"/>
      <c r="VEH68" s="1"/>
      <c r="VEI68" s="1"/>
      <c r="VEJ68" s="1"/>
      <c r="VEK68" s="1"/>
      <c r="VEL68" s="1"/>
      <c r="VEM68" s="1"/>
      <c r="VEN68" s="1"/>
      <c r="VEO68" s="1"/>
      <c r="VEP68" s="1"/>
      <c r="VEQ68" s="1"/>
      <c r="VER68" s="1"/>
      <c r="VES68" s="1"/>
      <c r="VET68" s="1"/>
      <c r="VEU68" s="1"/>
      <c r="VEV68" s="1"/>
      <c r="VEW68" s="1"/>
      <c r="VEX68" s="1"/>
      <c r="VEY68" s="1"/>
      <c r="VEZ68" s="1"/>
      <c r="VFA68" s="1"/>
      <c r="VFB68" s="1"/>
      <c r="VFC68" s="1"/>
      <c r="VFD68" s="1"/>
      <c r="VFE68" s="1"/>
      <c r="VFF68" s="1"/>
      <c r="VFG68" s="1"/>
      <c r="VFH68" s="1"/>
      <c r="VFI68" s="1"/>
      <c r="VFJ68" s="1"/>
      <c r="VFK68" s="1"/>
      <c r="VFL68" s="1"/>
      <c r="VFM68" s="1"/>
      <c r="VFN68" s="1"/>
      <c r="VFO68" s="1"/>
      <c r="VFP68" s="1"/>
      <c r="VFQ68" s="1"/>
      <c r="VFR68" s="1"/>
      <c r="VFS68" s="1"/>
      <c r="VFT68" s="1"/>
      <c r="VFU68" s="1"/>
      <c r="VFV68" s="1"/>
      <c r="VFW68" s="1"/>
      <c r="VFX68" s="1"/>
      <c r="VFY68" s="1"/>
      <c r="VFZ68" s="1"/>
      <c r="VGA68" s="1"/>
      <c r="VGB68" s="1"/>
      <c r="VGC68" s="1"/>
      <c r="VGD68" s="1"/>
      <c r="VGE68" s="1"/>
      <c r="VGF68" s="1"/>
      <c r="VGG68" s="1"/>
      <c r="VGH68" s="1"/>
      <c r="VGI68" s="1"/>
      <c r="VGJ68" s="1"/>
      <c r="VGK68" s="1"/>
      <c r="VGL68" s="1"/>
      <c r="VGM68" s="1"/>
      <c r="VGN68" s="1"/>
      <c r="VGO68" s="1"/>
      <c r="VGP68" s="1"/>
      <c r="VGQ68" s="1"/>
      <c r="VGR68" s="1"/>
      <c r="VGS68" s="1"/>
      <c r="VGT68" s="1"/>
      <c r="VGU68" s="1"/>
      <c r="VGV68" s="1"/>
      <c r="VGW68" s="1"/>
      <c r="VGX68" s="1"/>
      <c r="VGY68" s="1"/>
      <c r="VGZ68" s="1"/>
      <c r="VHA68" s="1"/>
      <c r="VHB68" s="1"/>
      <c r="VHC68" s="1"/>
      <c r="VHD68" s="1"/>
      <c r="VHE68" s="1"/>
      <c r="VHF68" s="1"/>
      <c r="VHG68" s="1"/>
      <c r="VHH68" s="1"/>
      <c r="VHI68" s="1"/>
      <c r="VHJ68" s="1"/>
      <c r="VHK68" s="1"/>
      <c r="VHL68" s="1"/>
      <c r="VHM68" s="1"/>
      <c r="VHN68" s="1"/>
      <c r="VHO68" s="1"/>
      <c r="VHP68" s="1"/>
      <c r="VHQ68" s="1"/>
      <c r="VHR68" s="1"/>
      <c r="VHS68" s="1"/>
      <c r="VHT68" s="1"/>
      <c r="VHU68" s="1"/>
      <c r="VHV68" s="1"/>
      <c r="VHW68" s="1"/>
      <c r="VHX68" s="1"/>
      <c r="VHY68" s="1"/>
      <c r="VHZ68" s="1"/>
      <c r="VIA68" s="1"/>
      <c r="VIB68" s="1"/>
      <c r="VIC68" s="1"/>
      <c r="VID68" s="1"/>
      <c r="VIE68" s="1"/>
      <c r="VIF68" s="1"/>
      <c r="VIG68" s="1"/>
      <c r="VIH68" s="1"/>
      <c r="VII68" s="1"/>
      <c r="VIJ68" s="1"/>
      <c r="VIK68" s="1"/>
      <c r="VIL68" s="1"/>
      <c r="VIM68" s="1"/>
      <c r="VIN68" s="1"/>
      <c r="VIO68" s="1"/>
      <c r="VIP68" s="1"/>
      <c r="VIQ68" s="1"/>
      <c r="VIR68" s="1"/>
      <c r="VIS68" s="1"/>
      <c r="VIT68" s="1"/>
      <c r="VIU68" s="1"/>
      <c r="VIV68" s="1"/>
      <c r="VIW68" s="1"/>
      <c r="VIX68" s="1"/>
      <c r="VIY68" s="1"/>
      <c r="VIZ68" s="1"/>
      <c r="VJA68" s="1"/>
      <c r="VJB68" s="1"/>
      <c r="VJC68" s="1"/>
      <c r="VJD68" s="1"/>
      <c r="VJE68" s="1"/>
      <c r="VJF68" s="1"/>
      <c r="VJG68" s="1"/>
      <c r="VJH68" s="1"/>
      <c r="VJI68" s="1"/>
      <c r="VJJ68" s="1"/>
      <c r="VJK68" s="1"/>
      <c r="VJL68" s="1"/>
      <c r="VJM68" s="1"/>
      <c r="VJN68" s="1"/>
      <c r="VJO68" s="1"/>
      <c r="VJP68" s="1"/>
      <c r="VJQ68" s="1"/>
      <c r="VJR68" s="1"/>
      <c r="VJS68" s="1"/>
      <c r="VJT68" s="1"/>
      <c r="VJU68" s="1"/>
      <c r="VJV68" s="1"/>
      <c r="VJW68" s="1"/>
      <c r="VJX68" s="1"/>
      <c r="VJY68" s="1"/>
      <c r="VJZ68" s="1"/>
      <c r="VKA68" s="1"/>
      <c r="VKB68" s="1"/>
      <c r="VKC68" s="1"/>
      <c r="VKD68" s="1"/>
      <c r="VKE68" s="1"/>
      <c r="VKF68" s="1"/>
      <c r="VKG68" s="1"/>
      <c r="VKH68" s="1"/>
      <c r="VKI68" s="1"/>
      <c r="VKJ68" s="1"/>
      <c r="VKK68" s="1"/>
      <c r="VKL68" s="1"/>
      <c r="VKM68" s="1"/>
      <c r="VKN68" s="1"/>
      <c r="VKO68" s="1"/>
      <c r="VKP68" s="1"/>
      <c r="VKQ68" s="1"/>
      <c r="VKR68" s="1"/>
      <c r="VKS68" s="1"/>
      <c r="VKT68" s="1"/>
      <c r="VKU68" s="1"/>
      <c r="VKV68" s="1"/>
      <c r="VKW68" s="1"/>
      <c r="VKX68" s="1"/>
      <c r="VKY68" s="1"/>
      <c r="VKZ68" s="1"/>
      <c r="VLA68" s="1"/>
      <c r="VLB68" s="1"/>
      <c r="VLC68" s="1"/>
      <c r="VLD68" s="1"/>
      <c r="VLE68" s="1"/>
      <c r="VLF68" s="1"/>
      <c r="VLG68" s="1"/>
      <c r="VLH68" s="1"/>
      <c r="VLI68" s="1"/>
      <c r="VLJ68" s="1"/>
      <c r="VLK68" s="1"/>
      <c r="VLL68" s="1"/>
      <c r="VLM68" s="1"/>
      <c r="VLN68" s="1"/>
      <c r="VLO68" s="1"/>
      <c r="VLP68" s="1"/>
      <c r="VLQ68" s="1"/>
      <c r="VLR68" s="1"/>
      <c r="VLS68" s="1"/>
      <c r="VLT68" s="1"/>
      <c r="VLU68" s="1"/>
      <c r="VLV68" s="1"/>
      <c r="VLW68" s="1"/>
      <c r="VLX68" s="1"/>
      <c r="VLY68" s="1"/>
      <c r="VLZ68" s="1"/>
      <c r="VMA68" s="1"/>
      <c r="VMB68" s="1"/>
      <c r="VMC68" s="1"/>
      <c r="VMD68" s="1"/>
      <c r="VME68" s="1"/>
      <c r="VMF68" s="1"/>
      <c r="VMG68" s="1"/>
      <c r="VMH68" s="1"/>
      <c r="VMI68" s="1"/>
      <c r="VMJ68" s="1"/>
      <c r="VMK68" s="1"/>
      <c r="VML68" s="1"/>
      <c r="VMM68" s="1"/>
      <c r="VMN68" s="1"/>
      <c r="VMO68" s="1"/>
      <c r="VMP68" s="1"/>
      <c r="VMQ68" s="1"/>
      <c r="VMR68" s="1"/>
      <c r="VMS68" s="1"/>
      <c r="VMT68" s="1"/>
      <c r="VMU68" s="1"/>
      <c r="VMV68" s="1"/>
      <c r="VMW68" s="1"/>
      <c r="VMX68" s="1"/>
      <c r="VMY68" s="1"/>
      <c r="VMZ68" s="1"/>
      <c r="VNA68" s="1"/>
      <c r="VNB68" s="1"/>
      <c r="VNC68" s="1"/>
      <c r="VND68" s="1"/>
      <c r="VNE68" s="1"/>
      <c r="VNF68" s="1"/>
      <c r="VNG68" s="1"/>
      <c r="VNH68" s="1"/>
      <c r="VNI68" s="1"/>
      <c r="VNJ68" s="1"/>
      <c r="VNK68" s="1"/>
      <c r="VNL68" s="1"/>
      <c r="VNM68" s="1"/>
      <c r="VNN68" s="1"/>
      <c r="VNO68" s="1"/>
      <c r="VNP68" s="1"/>
      <c r="VNQ68" s="1"/>
      <c r="VNR68" s="1"/>
      <c r="VNS68" s="1"/>
      <c r="VNT68" s="1"/>
      <c r="VNU68" s="1"/>
      <c r="VNV68" s="1"/>
      <c r="VNW68" s="1"/>
      <c r="VNX68" s="1"/>
      <c r="VNY68" s="1"/>
      <c r="VNZ68" s="1"/>
      <c r="VOA68" s="1"/>
      <c r="VOB68" s="1"/>
      <c r="VOC68" s="1"/>
      <c r="VOD68" s="1"/>
      <c r="VOE68" s="1"/>
      <c r="VOF68" s="1"/>
      <c r="VOG68" s="1"/>
      <c r="VOH68" s="1"/>
      <c r="VOI68" s="1"/>
      <c r="VOJ68" s="1"/>
      <c r="VOK68" s="1"/>
      <c r="VOL68" s="1"/>
      <c r="VOM68" s="1"/>
      <c r="VON68" s="1"/>
      <c r="VOO68" s="1"/>
      <c r="VOP68" s="1"/>
      <c r="VOQ68" s="1"/>
      <c r="VOR68" s="1"/>
      <c r="VOS68" s="1"/>
      <c r="VOT68" s="1"/>
      <c r="VOU68" s="1"/>
      <c r="VOV68" s="1"/>
      <c r="VOW68" s="1"/>
      <c r="VOX68" s="1"/>
      <c r="VOY68" s="1"/>
      <c r="VOZ68" s="1"/>
      <c r="VPA68" s="1"/>
      <c r="VPB68" s="1"/>
      <c r="VPC68" s="1"/>
      <c r="VPD68" s="1"/>
      <c r="VPE68" s="1"/>
      <c r="VPF68" s="1"/>
      <c r="VPG68" s="1"/>
      <c r="VPH68" s="1"/>
      <c r="VPI68" s="1"/>
      <c r="VPJ68" s="1"/>
      <c r="VPK68" s="1"/>
      <c r="VPL68" s="1"/>
      <c r="VPM68" s="1"/>
      <c r="VPN68" s="1"/>
      <c r="VPO68" s="1"/>
      <c r="VPP68" s="1"/>
      <c r="VPQ68" s="1"/>
      <c r="VPR68" s="1"/>
      <c r="VPS68" s="1"/>
      <c r="VPT68" s="1"/>
      <c r="VPU68" s="1"/>
      <c r="VPV68" s="1"/>
      <c r="VPW68" s="1"/>
      <c r="VPX68" s="1"/>
      <c r="VPY68" s="1"/>
      <c r="VPZ68" s="1"/>
      <c r="VQA68" s="1"/>
      <c r="VQB68" s="1"/>
      <c r="VQC68" s="1"/>
      <c r="VQD68" s="1"/>
      <c r="VQE68" s="1"/>
      <c r="VQF68" s="1"/>
      <c r="VQG68" s="1"/>
      <c r="VQH68" s="1"/>
      <c r="VQI68" s="1"/>
      <c r="VQJ68" s="1"/>
      <c r="VQK68" s="1"/>
      <c r="VQL68" s="1"/>
      <c r="VQM68" s="1"/>
      <c r="VQN68" s="1"/>
      <c r="VQO68" s="1"/>
      <c r="VQP68" s="1"/>
      <c r="VQQ68" s="1"/>
      <c r="VQR68" s="1"/>
      <c r="VQS68" s="1"/>
      <c r="VQT68" s="1"/>
      <c r="VQU68" s="1"/>
      <c r="VQV68" s="1"/>
      <c r="VQW68" s="1"/>
      <c r="VQX68" s="1"/>
      <c r="VQY68" s="1"/>
      <c r="VQZ68" s="1"/>
      <c r="VRA68" s="1"/>
      <c r="VRB68" s="1"/>
      <c r="VRC68" s="1"/>
      <c r="VRD68" s="1"/>
      <c r="VRE68" s="1"/>
      <c r="VRF68" s="1"/>
      <c r="VRG68" s="1"/>
      <c r="VRH68" s="1"/>
      <c r="VRI68" s="1"/>
      <c r="VRJ68" s="1"/>
      <c r="VRK68" s="1"/>
      <c r="VRL68" s="1"/>
      <c r="VRM68" s="1"/>
      <c r="VRN68" s="1"/>
      <c r="VRO68" s="1"/>
      <c r="VRP68" s="1"/>
      <c r="VRQ68" s="1"/>
      <c r="VRR68" s="1"/>
      <c r="VRS68" s="1"/>
      <c r="VRT68" s="1"/>
      <c r="VRU68" s="1"/>
      <c r="VRV68" s="1"/>
      <c r="VRW68" s="1"/>
      <c r="VRX68" s="1"/>
      <c r="VRY68" s="1"/>
      <c r="VRZ68" s="1"/>
      <c r="VSA68" s="1"/>
      <c r="VSB68" s="1"/>
      <c r="VSC68" s="1"/>
      <c r="VSD68" s="1"/>
      <c r="VSE68" s="1"/>
      <c r="VSF68" s="1"/>
      <c r="VSG68" s="1"/>
      <c r="VSH68" s="1"/>
      <c r="VSI68" s="1"/>
      <c r="VSJ68" s="1"/>
      <c r="VSK68" s="1"/>
      <c r="VSL68" s="1"/>
      <c r="VSM68" s="1"/>
      <c r="VSN68" s="1"/>
      <c r="VSO68" s="1"/>
      <c r="VSP68" s="1"/>
      <c r="VSQ68" s="1"/>
      <c r="VSR68" s="1"/>
      <c r="VSS68" s="1"/>
      <c r="VST68" s="1"/>
      <c r="VSU68" s="1"/>
      <c r="VSV68" s="1"/>
      <c r="VSW68" s="1"/>
      <c r="VSX68" s="1"/>
      <c r="VSY68" s="1"/>
      <c r="VSZ68" s="1"/>
      <c r="VTA68" s="1"/>
      <c r="VTB68" s="1"/>
      <c r="VTC68" s="1"/>
      <c r="VTD68" s="1"/>
      <c r="VTE68" s="1"/>
      <c r="VTF68" s="1"/>
      <c r="VTG68" s="1"/>
      <c r="VTH68" s="1"/>
      <c r="VTI68" s="1"/>
      <c r="VTJ68" s="1"/>
      <c r="VTK68" s="1"/>
      <c r="VTL68" s="1"/>
      <c r="VTM68" s="1"/>
      <c r="VTN68" s="1"/>
      <c r="VTO68" s="1"/>
      <c r="VTP68" s="1"/>
      <c r="VTQ68" s="1"/>
      <c r="VTR68" s="1"/>
      <c r="VTS68" s="1"/>
      <c r="VTT68" s="1"/>
      <c r="VTU68" s="1"/>
      <c r="VTV68" s="1"/>
      <c r="VTW68" s="1"/>
      <c r="VTX68" s="1"/>
      <c r="VTY68" s="1"/>
      <c r="VTZ68" s="1"/>
      <c r="VUA68" s="1"/>
      <c r="VUB68" s="1"/>
      <c r="VUC68" s="1"/>
      <c r="VUD68" s="1"/>
      <c r="VUE68" s="1"/>
      <c r="VUF68" s="1"/>
      <c r="VUG68" s="1"/>
      <c r="VUH68" s="1"/>
      <c r="VUI68" s="1"/>
      <c r="VUJ68" s="1"/>
      <c r="VUK68" s="1"/>
      <c r="VUL68" s="1"/>
      <c r="VUM68" s="1"/>
      <c r="VUN68" s="1"/>
      <c r="VUO68" s="1"/>
      <c r="VUP68" s="1"/>
      <c r="VUQ68" s="1"/>
      <c r="VUR68" s="1"/>
      <c r="VUS68" s="1"/>
      <c r="VUT68" s="1"/>
      <c r="VUU68" s="1"/>
      <c r="VUV68" s="1"/>
      <c r="VUW68" s="1"/>
      <c r="VUX68" s="1"/>
      <c r="VUY68" s="1"/>
      <c r="VUZ68" s="1"/>
      <c r="VVA68" s="1"/>
      <c r="VVB68" s="1"/>
      <c r="VVC68" s="1"/>
      <c r="VVD68" s="1"/>
      <c r="VVE68" s="1"/>
      <c r="VVF68" s="1"/>
      <c r="VVG68" s="1"/>
      <c r="VVH68" s="1"/>
      <c r="VVI68" s="1"/>
      <c r="VVJ68" s="1"/>
      <c r="VVK68" s="1"/>
      <c r="VVL68" s="1"/>
      <c r="VVM68" s="1"/>
      <c r="VVN68" s="1"/>
      <c r="VVO68" s="1"/>
      <c r="VVP68" s="1"/>
      <c r="VVQ68" s="1"/>
      <c r="VVR68" s="1"/>
      <c r="VVS68" s="1"/>
      <c r="VVT68" s="1"/>
      <c r="VVU68" s="1"/>
      <c r="VVV68" s="1"/>
      <c r="VVW68" s="1"/>
      <c r="VVX68" s="1"/>
      <c r="VVY68" s="1"/>
      <c r="VVZ68" s="1"/>
      <c r="VWA68" s="1"/>
      <c r="VWB68" s="1"/>
      <c r="VWC68" s="1"/>
      <c r="VWD68" s="1"/>
      <c r="VWE68" s="1"/>
      <c r="VWF68" s="1"/>
      <c r="VWG68" s="1"/>
      <c r="VWH68" s="1"/>
      <c r="VWI68" s="1"/>
      <c r="VWJ68" s="1"/>
      <c r="VWK68" s="1"/>
      <c r="VWL68" s="1"/>
      <c r="VWM68" s="1"/>
      <c r="VWN68" s="1"/>
      <c r="VWO68" s="1"/>
      <c r="VWP68" s="1"/>
      <c r="VWQ68" s="1"/>
      <c r="VWR68" s="1"/>
      <c r="VWS68" s="1"/>
      <c r="VWT68" s="1"/>
      <c r="VWU68" s="1"/>
      <c r="VWV68" s="1"/>
      <c r="VWW68" s="1"/>
      <c r="VWX68" s="1"/>
      <c r="VWY68" s="1"/>
      <c r="VWZ68" s="1"/>
      <c r="VXA68" s="1"/>
      <c r="VXB68" s="1"/>
      <c r="VXC68" s="1"/>
      <c r="VXD68" s="1"/>
      <c r="VXE68" s="1"/>
      <c r="VXF68" s="1"/>
      <c r="VXG68" s="1"/>
      <c r="VXH68" s="1"/>
      <c r="VXI68" s="1"/>
      <c r="VXJ68" s="1"/>
      <c r="VXK68" s="1"/>
      <c r="VXL68" s="1"/>
      <c r="VXM68" s="1"/>
      <c r="VXN68" s="1"/>
      <c r="VXO68" s="1"/>
      <c r="VXP68" s="1"/>
      <c r="VXQ68" s="1"/>
      <c r="VXR68" s="1"/>
      <c r="VXS68" s="1"/>
      <c r="VXT68" s="1"/>
      <c r="VXU68" s="1"/>
      <c r="VXV68" s="1"/>
      <c r="VXW68" s="1"/>
      <c r="VXX68" s="1"/>
      <c r="VXY68" s="1"/>
      <c r="VXZ68" s="1"/>
      <c r="VYA68" s="1"/>
      <c r="VYB68" s="1"/>
      <c r="VYC68" s="1"/>
      <c r="VYD68" s="1"/>
      <c r="VYE68" s="1"/>
      <c r="VYF68" s="1"/>
      <c r="VYG68" s="1"/>
      <c r="VYH68" s="1"/>
      <c r="VYI68" s="1"/>
      <c r="VYJ68" s="1"/>
      <c r="VYK68" s="1"/>
      <c r="VYL68" s="1"/>
      <c r="VYM68" s="1"/>
      <c r="VYN68" s="1"/>
      <c r="VYO68" s="1"/>
      <c r="VYP68" s="1"/>
      <c r="VYQ68" s="1"/>
      <c r="VYR68" s="1"/>
      <c r="VYS68" s="1"/>
      <c r="VYT68" s="1"/>
      <c r="VYU68" s="1"/>
      <c r="VYV68" s="1"/>
      <c r="VYW68" s="1"/>
      <c r="VYX68" s="1"/>
      <c r="VYY68" s="1"/>
      <c r="VYZ68" s="1"/>
      <c r="VZA68" s="1"/>
      <c r="VZB68" s="1"/>
      <c r="VZC68" s="1"/>
      <c r="VZD68" s="1"/>
      <c r="VZE68" s="1"/>
      <c r="VZF68" s="1"/>
      <c r="VZG68" s="1"/>
      <c r="VZH68" s="1"/>
      <c r="VZI68" s="1"/>
      <c r="VZJ68" s="1"/>
      <c r="VZK68" s="1"/>
      <c r="VZL68" s="1"/>
      <c r="VZM68" s="1"/>
      <c r="VZN68" s="1"/>
      <c r="VZO68" s="1"/>
      <c r="VZP68" s="1"/>
      <c r="VZQ68" s="1"/>
      <c r="VZR68" s="1"/>
      <c r="VZS68" s="1"/>
      <c r="VZT68" s="1"/>
      <c r="VZU68" s="1"/>
      <c r="VZV68" s="1"/>
      <c r="VZW68" s="1"/>
      <c r="VZX68" s="1"/>
      <c r="VZY68" s="1"/>
      <c r="VZZ68" s="1"/>
      <c r="WAA68" s="1"/>
      <c r="WAB68" s="1"/>
      <c r="WAC68" s="1"/>
      <c r="WAD68" s="1"/>
      <c r="WAE68" s="1"/>
      <c r="WAF68" s="1"/>
      <c r="WAG68" s="1"/>
      <c r="WAH68" s="1"/>
      <c r="WAI68" s="1"/>
      <c r="WAJ68" s="1"/>
      <c r="WAK68" s="1"/>
      <c r="WAL68" s="1"/>
      <c r="WAM68" s="1"/>
      <c r="WAN68" s="1"/>
      <c r="WAO68" s="1"/>
      <c r="WAP68" s="1"/>
      <c r="WAQ68" s="1"/>
      <c r="WAR68" s="1"/>
      <c r="WAS68" s="1"/>
      <c r="WAT68" s="1"/>
      <c r="WAU68" s="1"/>
      <c r="WAV68" s="1"/>
      <c r="WAW68" s="1"/>
      <c r="WAX68" s="1"/>
      <c r="WAY68" s="1"/>
      <c r="WAZ68" s="1"/>
      <c r="WBA68" s="1"/>
      <c r="WBB68" s="1"/>
      <c r="WBC68" s="1"/>
      <c r="WBD68" s="1"/>
      <c r="WBE68" s="1"/>
      <c r="WBF68" s="1"/>
      <c r="WBG68" s="1"/>
      <c r="WBH68" s="1"/>
      <c r="WBI68" s="1"/>
      <c r="WBJ68" s="1"/>
      <c r="WBK68" s="1"/>
      <c r="WBL68" s="1"/>
      <c r="WBM68" s="1"/>
      <c r="WBN68" s="1"/>
      <c r="WBO68" s="1"/>
      <c r="WBP68" s="1"/>
      <c r="WBQ68" s="1"/>
      <c r="WBR68" s="1"/>
      <c r="WBS68" s="1"/>
      <c r="WBT68" s="1"/>
      <c r="WBU68" s="1"/>
      <c r="WBV68" s="1"/>
      <c r="WBW68" s="1"/>
      <c r="WBX68" s="1"/>
      <c r="WBY68" s="1"/>
      <c r="WBZ68" s="1"/>
      <c r="WCA68" s="1"/>
      <c r="WCB68" s="1"/>
      <c r="WCC68" s="1"/>
      <c r="WCD68" s="1"/>
      <c r="WCE68" s="1"/>
      <c r="WCF68" s="1"/>
      <c r="WCG68" s="1"/>
      <c r="WCH68" s="1"/>
      <c r="WCI68" s="1"/>
      <c r="WCJ68" s="1"/>
      <c r="WCK68" s="1"/>
      <c r="WCL68" s="1"/>
      <c r="WCM68" s="1"/>
      <c r="WCN68" s="1"/>
      <c r="WCO68" s="1"/>
      <c r="WCP68" s="1"/>
      <c r="WCQ68" s="1"/>
      <c r="WCR68" s="1"/>
      <c r="WCS68" s="1"/>
      <c r="WCT68" s="1"/>
      <c r="WCU68" s="1"/>
      <c r="WCV68" s="1"/>
      <c r="WCW68" s="1"/>
      <c r="WCX68" s="1"/>
      <c r="WCY68" s="1"/>
      <c r="WCZ68" s="1"/>
      <c r="WDA68" s="1"/>
      <c r="WDB68" s="1"/>
      <c r="WDC68" s="1"/>
      <c r="WDD68" s="1"/>
      <c r="WDE68" s="1"/>
      <c r="WDF68" s="1"/>
      <c r="WDG68" s="1"/>
      <c r="WDH68" s="1"/>
      <c r="WDI68" s="1"/>
      <c r="WDJ68" s="1"/>
      <c r="WDK68" s="1"/>
      <c r="WDL68" s="1"/>
      <c r="WDM68" s="1"/>
      <c r="WDN68" s="1"/>
      <c r="WDO68" s="1"/>
      <c r="WDP68" s="1"/>
      <c r="WDQ68" s="1"/>
      <c r="WDR68" s="1"/>
      <c r="WDS68" s="1"/>
      <c r="WDT68" s="1"/>
      <c r="WDU68" s="1"/>
      <c r="WDV68" s="1"/>
      <c r="WDW68" s="1"/>
      <c r="WDX68" s="1"/>
      <c r="WDY68" s="1"/>
      <c r="WDZ68" s="1"/>
      <c r="WEA68" s="1"/>
      <c r="WEB68" s="1"/>
      <c r="WEC68" s="1"/>
      <c r="WED68" s="1"/>
      <c r="WEE68" s="1"/>
      <c r="WEF68" s="1"/>
      <c r="WEG68" s="1"/>
      <c r="WEH68" s="1"/>
      <c r="WEI68" s="1"/>
      <c r="WEJ68" s="1"/>
      <c r="WEK68" s="1"/>
      <c r="WEL68" s="1"/>
      <c r="WEM68" s="1"/>
      <c r="WEN68" s="1"/>
      <c r="WEO68" s="1"/>
      <c r="WEP68" s="1"/>
      <c r="WEQ68" s="1"/>
      <c r="WER68" s="1"/>
      <c r="WES68" s="1"/>
      <c r="WET68" s="1"/>
      <c r="WEU68" s="1"/>
      <c r="WEV68" s="1"/>
      <c r="WEW68" s="1"/>
      <c r="WEX68" s="1"/>
      <c r="WEY68" s="1"/>
      <c r="WEZ68" s="1"/>
      <c r="WFA68" s="1"/>
      <c r="WFB68" s="1"/>
      <c r="WFC68" s="1"/>
      <c r="WFD68" s="1"/>
      <c r="WFE68" s="1"/>
      <c r="WFF68" s="1"/>
      <c r="WFG68" s="1"/>
      <c r="WFH68" s="1"/>
      <c r="WFI68" s="1"/>
      <c r="WFJ68" s="1"/>
      <c r="WFK68" s="1"/>
      <c r="WFL68" s="1"/>
      <c r="WFM68" s="1"/>
      <c r="WFN68" s="1"/>
      <c r="WFO68" s="1"/>
      <c r="WFP68" s="1"/>
      <c r="WFQ68" s="1"/>
      <c r="WFR68" s="1"/>
      <c r="WFS68" s="1"/>
      <c r="WFT68" s="1"/>
      <c r="WFU68" s="1"/>
      <c r="WFV68" s="1"/>
      <c r="WFW68" s="1"/>
      <c r="WFX68" s="1"/>
      <c r="WFY68" s="1"/>
      <c r="WFZ68" s="1"/>
      <c r="WGA68" s="1"/>
      <c r="WGB68" s="1"/>
      <c r="WGC68" s="1"/>
      <c r="WGD68" s="1"/>
      <c r="WGE68" s="1"/>
      <c r="WGF68" s="1"/>
      <c r="WGG68" s="1"/>
      <c r="WGH68" s="1"/>
      <c r="WGI68" s="1"/>
      <c r="WGJ68" s="1"/>
      <c r="WGK68" s="1"/>
      <c r="WGL68" s="1"/>
      <c r="WGM68" s="1"/>
      <c r="WGN68" s="1"/>
      <c r="WGO68" s="1"/>
      <c r="WGP68" s="1"/>
      <c r="WGQ68" s="1"/>
      <c r="WGR68" s="1"/>
      <c r="WGS68" s="1"/>
      <c r="WGT68" s="1"/>
      <c r="WGU68" s="1"/>
      <c r="WGV68" s="1"/>
      <c r="WGW68" s="1"/>
      <c r="WGX68" s="1"/>
      <c r="WGY68" s="1"/>
      <c r="WGZ68" s="1"/>
      <c r="WHA68" s="1"/>
      <c r="WHB68" s="1"/>
      <c r="WHC68" s="1"/>
      <c r="WHD68" s="1"/>
      <c r="WHE68" s="1"/>
      <c r="WHF68" s="1"/>
      <c r="WHG68" s="1"/>
      <c r="WHH68" s="1"/>
      <c r="WHI68" s="1"/>
      <c r="WHJ68" s="1"/>
      <c r="WHK68" s="1"/>
      <c r="WHL68" s="1"/>
      <c r="WHM68" s="1"/>
      <c r="WHN68" s="1"/>
      <c r="WHO68" s="1"/>
      <c r="WHP68" s="1"/>
      <c r="WHQ68" s="1"/>
      <c r="WHR68" s="1"/>
      <c r="WHS68" s="1"/>
      <c r="WHT68" s="1"/>
      <c r="WHU68" s="1"/>
      <c r="WHV68" s="1"/>
      <c r="WHW68" s="1"/>
      <c r="WHX68" s="1"/>
      <c r="WHY68" s="1"/>
      <c r="WHZ68" s="1"/>
      <c r="WIA68" s="1"/>
      <c r="WIB68" s="1"/>
      <c r="WIC68" s="1"/>
      <c r="WID68" s="1"/>
      <c r="WIE68" s="1"/>
      <c r="WIF68" s="1"/>
      <c r="WIG68" s="1"/>
      <c r="WIH68" s="1"/>
      <c r="WII68" s="1"/>
      <c r="WIJ68" s="1"/>
      <c r="WIK68" s="1"/>
      <c r="WIL68" s="1"/>
      <c r="WIM68" s="1"/>
      <c r="WIN68" s="1"/>
      <c r="WIO68" s="1"/>
      <c r="WIP68" s="1"/>
      <c r="WIQ68" s="1"/>
      <c r="WIR68" s="1"/>
      <c r="WIS68" s="1"/>
      <c r="WIT68" s="1"/>
      <c r="WIU68" s="1"/>
      <c r="WIV68" s="1"/>
      <c r="WIW68" s="1"/>
      <c r="WIX68" s="1"/>
      <c r="WIY68" s="1"/>
      <c r="WIZ68" s="1"/>
      <c r="WJA68" s="1"/>
      <c r="WJB68" s="1"/>
      <c r="WJC68" s="1"/>
      <c r="WJD68" s="1"/>
      <c r="WJE68" s="1"/>
      <c r="WJF68" s="1"/>
      <c r="WJG68" s="1"/>
      <c r="WJH68" s="1"/>
      <c r="WJI68" s="1"/>
      <c r="WJJ68" s="1"/>
      <c r="WJK68" s="1"/>
      <c r="WJL68" s="1"/>
      <c r="WJM68" s="1"/>
      <c r="WJN68" s="1"/>
      <c r="WJO68" s="1"/>
      <c r="WJP68" s="1"/>
      <c r="WJQ68" s="1"/>
      <c r="WJR68" s="1"/>
      <c r="WJS68" s="1"/>
      <c r="WJT68" s="1"/>
      <c r="WJU68" s="1"/>
      <c r="WJV68" s="1"/>
      <c r="WJW68" s="1"/>
      <c r="WJX68" s="1"/>
      <c r="WJY68" s="1"/>
      <c r="WJZ68" s="1"/>
      <c r="WKA68" s="1"/>
      <c r="WKB68" s="1"/>
      <c r="WKC68" s="1"/>
      <c r="WKD68" s="1"/>
      <c r="WKE68" s="1"/>
      <c r="WKF68" s="1"/>
      <c r="WKG68" s="1"/>
      <c r="WKH68" s="1"/>
      <c r="WKI68" s="1"/>
      <c r="WKJ68" s="1"/>
      <c r="WKK68" s="1"/>
      <c r="WKL68" s="1"/>
      <c r="WKM68" s="1"/>
      <c r="WKN68" s="1"/>
      <c r="WKO68" s="1"/>
      <c r="WKP68" s="1"/>
      <c r="WKQ68" s="1"/>
      <c r="WKR68" s="1"/>
      <c r="WKS68" s="1"/>
      <c r="WKT68" s="1"/>
      <c r="WKU68" s="1"/>
      <c r="WKV68" s="1"/>
      <c r="WKW68" s="1"/>
      <c r="WKX68" s="1"/>
      <c r="WKY68" s="1"/>
      <c r="WKZ68" s="1"/>
      <c r="WLA68" s="1"/>
      <c r="WLB68" s="1"/>
      <c r="WLC68" s="1"/>
      <c r="WLD68" s="1"/>
      <c r="WLE68" s="1"/>
      <c r="WLF68" s="1"/>
      <c r="WLG68" s="1"/>
      <c r="WLH68" s="1"/>
      <c r="WLI68" s="1"/>
      <c r="WLJ68" s="1"/>
      <c r="WLK68" s="1"/>
      <c r="WLL68" s="1"/>
      <c r="WLM68" s="1"/>
      <c r="WLN68" s="1"/>
      <c r="WLO68" s="1"/>
      <c r="WLP68" s="1"/>
      <c r="WLQ68" s="1"/>
      <c r="WLR68" s="1"/>
      <c r="WLS68" s="1"/>
      <c r="WLT68" s="1"/>
      <c r="WLU68" s="1"/>
      <c r="WLV68" s="1"/>
      <c r="WLW68" s="1"/>
      <c r="WLX68" s="1"/>
      <c r="WLY68" s="1"/>
      <c r="WLZ68" s="1"/>
      <c r="WMA68" s="1"/>
      <c r="WMB68" s="1"/>
      <c r="WMC68" s="1"/>
      <c r="WMD68" s="1"/>
      <c r="WME68" s="1"/>
      <c r="WMF68" s="1"/>
      <c r="WMG68" s="1"/>
      <c r="WMH68" s="1"/>
      <c r="WMI68" s="1"/>
      <c r="WMJ68" s="1"/>
      <c r="WMK68" s="1"/>
      <c r="WML68" s="1"/>
      <c r="WMM68" s="1"/>
      <c r="WMN68" s="1"/>
      <c r="WMO68" s="1"/>
      <c r="WMP68" s="1"/>
      <c r="WMQ68" s="1"/>
      <c r="WMR68" s="1"/>
      <c r="WMS68" s="1"/>
      <c r="WMT68" s="1"/>
      <c r="WMU68" s="1"/>
      <c r="WMV68" s="1"/>
      <c r="WMW68" s="1"/>
      <c r="WMX68" s="1"/>
      <c r="WMY68" s="1"/>
      <c r="WMZ68" s="1"/>
      <c r="WNA68" s="1"/>
      <c r="WNB68" s="1"/>
      <c r="WNC68" s="1"/>
      <c r="WND68" s="1"/>
      <c r="WNE68" s="1"/>
      <c r="WNF68" s="1"/>
      <c r="WNG68" s="1"/>
      <c r="WNH68" s="1"/>
      <c r="WNI68" s="1"/>
      <c r="WNJ68" s="1"/>
      <c r="WNK68" s="1"/>
      <c r="WNL68" s="1"/>
      <c r="WNM68" s="1"/>
      <c r="WNN68" s="1"/>
      <c r="WNO68" s="1"/>
      <c r="WNP68" s="1"/>
      <c r="WNQ68" s="1"/>
      <c r="WNR68" s="1"/>
      <c r="WNS68" s="1"/>
      <c r="WNT68" s="1"/>
      <c r="WNU68" s="1"/>
      <c r="WNV68" s="1"/>
      <c r="WNW68" s="1"/>
      <c r="WNX68" s="1"/>
      <c r="WNY68" s="1"/>
      <c r="WNZ68" s="1"/>
      <c r="WOA68" s="1"/>
      <c r="WOB68" s="1"/>
      <c r="WOC68" s="1"/>
      <c r="WOD68" s="1"/>
      <c r="WOE68" s="1"/>
      <c r="WOF68" s="1"/>
      <c r="WOG68" s="1"/>
      <c r="WOH68" s="1"/>
      <c r="WOI68" s="1"/>
      <c r="WOJ68" s="1"/>
      <c r="WOK68" s="1"/>
      <c r="WOL68" s="1"/>
      <c r="WOM68" s="1"/>
      <c r="WON68" s="1"/>
      <c r="WOO68" s="1"/>
      <c r="WOP68" s="1"/>
      <c r="WOQ68" s="1"/>
      <c r="WOR68" s="1"/>
      <c r="WOS68" s="1"/>
      <c r="WOT68" s="1"/>
      <c r="WOU68" s="1"/>
      <c r="WOV68" s="1"/>
      <c r="WOW68" s="1"/>
      <c r="WOX68" s="1"/>
      <c r="WOY68" s="1"/>
      <c r="WOZ68" s="1"/>
      <c r="WPA68" s="1"/>
      <c r="WPB68" s="1"/>
      <c r="WPC68" s="1"/>
      <c r="WPD68" s="1"/>
      <c r="WPE68" s="1"/>
      <c r="WPF68" s="1"/>
      <c r="WPG68" s="1"/>
      <c r="WPH68" s="1"/>
      <c r="WPI68" s="1"/>
      <c r="WPJ68" s="1"/>
      <c r="WPK68" s="1"/>
      <c r="WPL68" s="1"/>
      <c r="WPM68" s="1"/>
      <c r="WPN68" s="1"/>
      <c r="WPO68" s="1"/>
      <c r="WPP68" s="1"/>
      <c r="WPQ68" s="1"/>
      <c r="WPR68" s="1"/>
      <c r="WPS68" s="1"/>
      <c r="WPT68" s="1"/>
      <c r="WPU68" s="1"/>
      <c r="WPV68" s="1"/>
      <c r="WPW68" s="1"/>
      <c r="WPX68" s="1"/>
      <c r="WPY68" s="1"/>
      <c r="WPZ68" s="1"/>
      <c r="WQA68" s="1"/>
      <c r="WQB68" s="1"/>
      <c r="WQC68" s="1"/>
      <c r="WQD68" s="1"/>
      <c r="WQE68" s="1"/>
      <c r="WQF68" s="1"/>
      <c r="WQG68" s="1"/>
      <c r="WQH68" s="1"/>
      <c r="WQI68" s="1"/>
      <c r="WQJ68" s="1"/>
      <c r="WQK68" s="1"/>
      <c r="WQL68" s="1"/>
      <c r="WQM68" s="1"/>
      <c r="WQN68" s="1"/>
      <c r="WQO68" s="1"/>
      <c r="WQP68" s="1"/>
      <c r="WQQ68" s="1"/>
      <c r="WQR68" s="1"/>
      <c r="WQS68" s="1"/>
      <c r="WQT68" s="1"/>
      <c r="WQU68" s="1"/>
      <c r="WQV68" s="1"/>
      <c r="WQW68" s="1"/>
      <c r="WQX68" s="1"/>
      <c r="WQY68" s="1"/>
      <c r="WQZ68" s="1"/>
      <c r="WRA68" s="1"/>
      <c r="WRB68" s="1"/>
      <c r="WRC68" s="1"/>
      <c r="WRD68" s="1"/>
      <c r="WRE68" s="1"/>
      <c r="WRF68" s="1"/>
      <c r="WRG68" s="1"/>
      <c r="WRH68" s="1"/>
      <c r="WRI68" s="1"/>
      <c r="WRJ68" s="1"/>
      <c r="WRK68" s="1"/>
      <c r="WRL68" s="1"/>
      <c r="WRM68" s="1"/>
      <c r="WRN68" s="1"/>
      <c r="WRO68" s="1"/>
      <c r="WRP68" s="1"/>
      <c r="WRQ68" s="1"/>
      <c r="WRR68" s="1"/>
      <c r="WRS68" s="1"/>
      <c r="WRT68" s="1"/>
      <c r="WRU68" s="1"/>
      <c r="WRV68" s="1"/>
      <c r="WRW68" s="1"/>
      <c r="WRX68" s="1"/>
      <c r="WRY68" s="1"/>
      <c r="WRZ68" s="1"/>
      <c r="WSA68" s="1"/>
      <c r="WSB68" s="1"/>
      <c r="WSC68" s="1"/>
      <c r="WSD68" s="1"/>
      <c r="WSE68" s="1"/>
      <c r="WSF68" s="1"/>
      <c r="WSG68" s="1"/>
      <c r="WSH68" s="1"/>
      <c r="WSI68" s="1"/>
      <c r="WSJ68" s="1"/>
      <c r="WSK68" s="1"/>
      <c r="WSL68" s="1"/>
      <c r="WSM68" s="1"/>
      <c r="WSN68" s="1"/>
      <c r="WSO68" s="1"/>
      <c r="WSP68" s="1"/>
      <c r="WSQ68" s="1"/>
      <c r="WSR68" s="1"/>
      <c r="WSS68" s="1"/>
      <c r="WST68" s="1"/>
      <c r="WSU68" s="1"/>
      <c r="WSV68" s="1"/>
      <c r="WSW68" s="1"/>
      <c r="WSX68" s="1"/>
      <c r="WSY68" s="1"/>
      <c r="WSZ68" s="1"/>
      <c r="WTA68" s="1"/>
      <c r="WTB68" s="1"/>
      <c r="WTC68" s="1"/>
      <c r="WTD68" s="1"/>
      <c r="WTE68" s="1"/>
      <c r="WTF68" s="1"/>
      <c r="WTG68" s="1"/>
      <c r="WTH68" s="1"/>
      <c r="WTI68" s="1"/>
      <c r="WTJ68" s="1"/>
      <c r="WTK68" s="1"/>
      <c r="WTL68" s="1"/>
      <c r="WTM68" s="1"/>
      <c r="WTN68" s="1"/>
      <c r="WTO68" s="1"/>
      <c r="WTP68" s="1"/>
      <c r="WTQ68" s="1"/>
      <c r="WTR68" s="1"/>
      <c r="WTS68" s="1"/>
      <c r="WTT68" s="1"/>
      <c r="WTU68" s="1"/>
      <c r="WTV68" s="1"/>
      <c r="WTW68" s="1"/>
      <c r="WTX68" s="1"/>
      <c r="WTY68" s="1"/>
      <c r="WTZ68" s="1"/>
      <c r="WUA68" s="1"/>
      <c r="WUB68" s="1"/>
      <c r="WUC68" s="1"/>
      <c r="WUD68" s="1"/>
      <c r="WUE68" s="1"/>
      <c r="WUF68" s="1"/>
      <c r="WUG68" s="1"/>
      <c r="WUH68" s="1"/>
      <c r="WUI68" s="1"/>
      <c r="WUJ68" s="1"/>
      <c r="WUK68" s="1"/>
      <c r="WUL68" s="1"/>
      <c r="WUM68" s="1"/>
      <c r="WUN68" s="1"/>
    </row>
    <row r="71" spans="1:16108" s="13" customFormat="1">
      <c r="A71" s="1"/>
      <c r="B71" s="34"/>
      <c r="C71" s="1"/>
      <c r="D71" s="1"/>
      <c r="E71" s="354"/>
      <c r="F71" s="369"/>
      <c r="G71" s="369"/>
      <c r="H71" s="1"/>
      <c r="I71" s="1"/>
      <c r="J71" s="1"/>
      <c r="M71" s="1"/>
      <c r="N71" s="1"/>
      <c r="O71" s="7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  <c r="AMK71" s="1"/>
      <c r="AML71" s="1"/>
      <c r="AMM71" s="1"/>
      <c r="AMN71" s="1"/>
      <c r="AMO71" s="1"/>
      <c r="AMP71" s="1"/>
      <c r="AMQ71" s="1"/>
      <c r="AMR71" s="1"/>
      <c r="AMS71" s="1"/>
      <c r="AMT71" s="1"/>
      <c r="AMU71" s="1"/>
      <c r="AMV71" s="1"/>
      <c r="AMW71" s="1"/>
      <c r="AMX71" s="1"/>
      <c r="AMY71" s="1"/>
      <c r="AMZ71" s="1"/>
      <c r="ANA71" s="1"/>
      <c r="ANB71" s="1"/>
      <c r="ANC71" s="1"/>
      <c r="AND71" s="1"/>
      <c r="ANE71" s="1"/>
      <c r="ANF71" s="1"/>
      <c r="ANG71" s="1"/>
      <c r="ANH71" s="1"/>
      <c r="ANI71" s="1"/>
      <c r="ANJ71" s="1"/>
      <c r="ANK71" s="1"/>
      <c r="ANL71" s="1"/>
      <c r="ANM71" s="1"/>
      <c r="ANN71" s="1"/>
      <c r="ANO71" s="1"/>
      <c r="ANP71" s="1"/>
      <c r="ANQ71" s="1"/>
      <c r="ANR71" s="1"/>
      <c r="ANS71" s="1"/>
      <c r="ANT71" s="1"/>
      <c r="ANU71" s="1"/>
      <c r="ANV71" s="1"/>
      <c r="ANW71" s="1"/>
      <c r="ANX71" s="1"/>
      <c r="ANY71" s="1"/>
      <c r="ANZ71" s="1"/>
      <c r="AOA71" s="1"/>
      <c r="AOB71" s="1"/>
      <c r="AOC71" s="1"/>
      <c r="AOD71" s="1"/>
      <c r="AOE71" s="1"/>
      <c r="AOF71" s="1"/>
      <c r="AOG71" s="1"/>
      <c r="AOH71" s="1"/>
      <c r="AOI71" s="1"/>
      <c r="AOJ71" s="1"/>
      <c r="AOK71" s="1"/>
      <c r="AOL71" s="1"/>
      <c r="AOM71" s="1"/>
      <c r="AON71" s="1"/>
      <c r="AOO71" s="1"/>
      <c r="AOP71" s="1"/>
      <c r="AOQ71" s="1"/>
      <c r="AOR71" s="1"/>
      <c r="AOS71" s="1"/>
      <c r="AOT71" s="1"/>
      <c r="AOU71" s="1"/>
      <c r="AOV71" s="1"/>
      <c r="AOW71" s="1"/>
      <c r="AOX71" s="1"/>
      <c r="AOY71" s="1"/>
      <c r="AOZ71" s="1"/>
      <c r="APA71" s="1"/>
      <c r="APB71" s="1"/>
      <c r="APC71" s="1"/>
      <c r="APD71" s="1"/>
      <c r="APE71" s="1"/>
      <c r="APF71" s="1"/>
      <c r="APG71" s="1"/>
      <c r="APH71" s="1"/>
      <c r="API71" s="1"/>
      <c r="APJ71" s="1"/>
      <c r="APK71" s="1"/>
      <c r="APL71" s="1"/>
      <c r="APM71" s="1"/>
      <c r="APN71" s="1"/>
      <c r="APO71" s="1"/>
      <c r="APP71" s="1"/>
      <c r="APQ71" s="1"/>
      <c r="APR71" s="1"/>
      <c r="APS71" s="1"/>
      <c r="APT71" s="1"/>
      <c r="APU71" s="1"/>
      <c r="APV71" s="1"/>
      <c r="APW71" s="1"/>
      <c r="APX71" s="1"/>
      <c r="APY71" s="1"/>
      <c r="APZ71" s="1"/>
      <c r="AQA71" s="1"/>
      <c r="AQB71" s="1"/>
      <c r="AQC71" s="1"/>
      <c r="AQD71" s="1"/>
      <c r="AQE71" s="1"/>
      <c r="AQF71" s="1"/>
      <c r="AQG71" s="1"/>
      <c r="AQH71" s="1"/>
      <c r="AQI71" s="1"/>
      <c r="AQJ71" s="1"/>
      <c r="AQK71" s="1"/>
      <c r="AQL71" s="1"/>
      <c r="AQM71" s="1"/>
      <c r="AQN71" s="1"/>
      <c r="AQO71" s="1"/>
      <c r="AQP71" s="1"/>
      <c r="AQQ71" s="1"/>
      <c r="AQR71" s="1"/>
      <c r="AQS71" s="1"/>
      <c r="AQT71" s="1"/>
      <c r="AQU71" s="1"/>
      <c r="AQV71" s="1"/>
      <c r="AQW71" s="1"/>
      <c r="AQX71" s="1"/>
      <c r="AQY71" s="1"/>
      <c r="AQZ71" s="1"/>
      <c r="ARA71" s="1"/>
      <c r="ARB71" s="1"/>
      <c r="ARC71" s="1"/>
      <c r="ARD71" s="1"/>
      <c r="ARE71" s="1"/>
      <c r="ARF71" s="1"/>
      <c r="ARG71" s="1"/>
      <c r="ARH71" s="1"/>
      <c r="ARI71" s="1"/>
      <c r="ARJ71" s="1"/>
      <c r="ARK71" s="1"/>
      <c r="ARL71" s="1"/>
      <c r="ARM71" s="1"/>
      <c r="ARN71" s="1"/>
      <c r="ARO71" s="1"/>
      <c r="ARP71" s="1"/>
      <c r="ARQ71" s="1"/>
      <c r="ARR71" s="1"/>
      <c r="ARS71" s="1"/>
      <c r="ART71" s="1"/>
      <c r="ARU71" s="1"/>
      <c r="ARV71" s="1"/>
      <c r="ARW71" s="1"/>
      <c r="ARX71" s="1"/>
      <c r="ARY71" s="1"/>
      <c r="ARZ71" s="1"/>
      <c r="ASA71" s="1"/>
      <c r="ASB71" s="1"/>
      <c r="ASC71" s="1"/>
      <c r="ASD71" s="1"/>
      <c r="ASE71" s="1"/>
      <c r="ASF71" s="1"/>
      <c r="ASG71" s="1"/>
      <c r="ASH71" s="1"/>
      <c r="ASI71" s="1"/>
      <c r="ASJ71" s="1"/>
      <c r="ASK71" s="1"/>
      <c r="ASL71" s="1"/>
      <c r="ASM71" s="1"/>
      <c r="ASN71" s="1"/>
      <c r="ASO71" s="1"/>
      <c r="ASP71" s="1"/>
      <c r="ASQ71" s="1"/>
      <c r="ASR71" s="1"/>
      <c r="ASS71" s="1"/>
      <c r="AST71" s="1"/>
      <c r="ASU71" s="1"/>
      <c r="ASV71" s="1"/>
      <c r="ASW71" s="1"/>
      <c r="ASX71" s="1"/>
      <c r="ASY71" s="1"/>
      <c r="ASZ71" s="1"/>
      <c r="ATA71" s="1"/>
      <c r="ATB71" s="1"/>
      <c r="ATC71" s="1"/>
      <c r="ATD71" s="1"/>
      <c r="ATE71" s="1"/>
      <c r="ATF71" s="1"/>
      <c r="ATG71" s="1"/>
      <c r="ATH71" s="1"/>
      <c r="ATI71" s="1"/>
      <c r="ATJ71" s="1"/>
      <c r="ATK71" s="1"/>
      <c r="ATL71" s="1"/>
      <c r="ATM71" s="1"/>
      <c r="ATN71" s="1"/>
      <c r="ATO71" s="1"/>
      <c r="ATP71" s="1"/>
      <c r="ATQ71" s="1"/>
      <c r="ATR71" s="1"/>
      <c r="ATS71" s="1"/>
      <c r="ATT71" s="1"/>
      <c r="ATU71" s="1"/>
      <c r="ATV71" s="1"/>
      <c r="ATW71" s="1"/>
      <c r="ATX71" s="1"/>
      <c r="ATY71" s="1"/>
      <c r="ATZ71" s="1"/>
      <c r="AUA71" s="1"/>
      <c r="AUB71" s="1"/>
      <c r="AUC71" s="1"/>
      <c r="AUD71" s="1"/>
      <c r="AUE71" s="1"/>
      <c r="AUF71" s="1"/>
      <c r="AUG71" s="1"/>
      <c r="AUH71" s="1"/>
      <c r="AUI71" s="1"/>
      <c r="AUJ71" s="1"/>
      <c r="AUK71" s="1"/>
      <c r="AUL71" s="1"/>
      <c r="AUM71" s="1"/>
      <c r="AUN71" s="1"/>
      <c r="AUO71" s="1"/>
      <c r="AUP71" s="1"/>
      <c r="AUQ71" s="1"/>
      <c r="AUR71" s="1"/>
      <c r="AUS71" s="1"/>
      <c r="AUT71" s="1"/>
      <c r="AUU71" s="1"/>
      <c r="AUV71" s="1"/>
      <c r="AUW71" s="1"/>
      <c r="AUX71" s="1"/>
      <c r="AUY71" s="1"/>
      <c r="AUZ71" s="1"/>
      <c r="AVA71" s="1"/>
      <c r="AVB71" s="1"/>
      <c r="AVC71" s="1"/>
      <c r="AVD71" s="1"/>
      <c r="AVE71" s="1"/>
      <c r="AVF71" s="1"/>
      <c r="AVG71" s="1"/>
      <c r="AVH71" s="1"/>
      <c r="AVI71" s="1"/>
      <c r="AVJ71" s="1"/>
      <c r="AVK71" s="1"/>
      <c r="AVL71" s="1"/>
      <c r="AVM71" s="1"/>
      <c r="AVN71" s="1"/>
      <c r="AVO71" s="1"/>
      <c r="AVP71" s="1"/>
      <c r="AVQ71" s="1"/>
      <c r="AVR71" s="1"/>
      <c r="AVS71" s="1"/>
      <c r="AVT71" s="1"/>
      <c r="AVU71" s="1"/>
      <c r="AVV71" s="1"/>
      <c r="AVW71" s="1"/>
      <c r="AVX71" s="1"/>
      <c r="AVY71" s="1"/>
      <c r="AVZ71" s="1"/>
      <c r="AWA71" s="1"/>
      <c r="AWB71" s="1"/>
      <c r="AWC71" s="1"/>
      <c r="AWD71" s="1"/>
      <c r="AWE71" s="1"/>
      <c r="AWF71" s="1"/>
      <c r="AWG71" s="1"/>
      <c r="AWH71" s="1"/>
      <c r="AWI71" s="1"/>
      <c r="AWJ71" s="1"/>
      <c r="AWK71" s="1"/>
      <c r="AWL71" s="1"/>
      <c r="AWM71" s="1"/>
      <c r="AWN71" s="1"/>
      <c r="AWO71" s="1"/>
      <c r="AWP71" s="1"/>
      <c r="AWQ71" s="1"/>
      <c r="AWR71" s="1"/>
      <c r="AWS71" s="1"/>
      <c r="AWT71" s="1"/>
      <c r="AWU71" s="1"/>
      <c r="AWV71" s="1"/>
      <c r="AWW71" s="1"/>
      <c r="AWX71" s="1"/>
      <c r="AWY71" s="1"/>
      <c r="AWZ71" s="1"/>
      <c r="AXA71" s="1"/>
      <c r="AXB71" s="1"/>
      <c r="AXC71" s="1"/>
      <c r="AXD71" s="1"/>
      <c r="AXE71" s="1"/>
      <c r="AXF71" s="1"/>
      <c r="AXG71" s="1"/>
      <c r="AXH71" s="1"/>
      <c r="AXI71" s="1"/>
      <c r="AXJ71" s="1"/>
      <c r="AXK71" s="1"/>
      <c r="AXL71" s="1"/>
      <c r="AXM71" s="1"/>
      <c r="AXN71" s="1"/>
      <c r="AXO71" s="1"/>
      <c r="AXP71" s="1"/>
      <c r="AXQ71" s="1"/>
      <c r="AXR71" s="1"/>
      <c r="AXS71" s="1"/>
      <c r="AXT71" s="1"/>
      <c r="AXU71" s="1"/>
      <c r="AXV71" s="1"/>
      <c r="AXW71" s="1"/>
      <c r="AXX71" s="1"/>
      <c r="AXY71" s="1"/>
      <c r="AXZ71" s="1"/>
      <c r="AYA71" s="1"/>
      <c r="AYB71" s="1"/>
      <c r="AYC71" s="1"/>
      <c r="AYD71" s="1"/>
      <c r="AYE71" s="1"/>
      <c r="AYF71" s="1"/>
      <c r="AYG71" s="1"/>
      <c r="AYH71" s="1"/>
      <c r="AYI71" s="1"/>
      <c r="AYJ71" s="1"/>
      <c r="AYK71" s="1"/>
      <c r="AYL71" s="1"/>
      <c r="AYM71" s="1"/>
      <c r="AYN71" s="1"/>
      <c r="AYO71" s="1"/>
      <c r="AYP71" s="1"/>
      <c r="AYQ71" s="1"/>
      <c r="AYR71" s="1"/>
      <c r="AYS71" s="1"/>
      <c r="AYT71" s="1"/>
      <c r="AYU71" s="1"/>
      <c r="AYV71" s="1"/>
      <c r="AYW71" s="1"/>
      <c r="AYX71" s="1"/>
      <c r="AYY71" s="1"/>
      <c r="AYZ71" s="1"/>
      <c r="AZA71" s="1"/>
      <c r="AZB71" s="1"/>
      <c r="AZC71" s="1"/>
      <c r="AZD71" s="1"/>
      <c r="AZE71" s="1"/>
      <c r="AZF71" s="1"/>
      <c r="AZG71" s="1"/>
      <c r="AZH71" s="1"/>
      <c r="AZI71" s="1"/>
      <c r="AZJ71" s="1"/>
      <c r="AZK71" s="1"/>
      <c r="AZL71" s="1"/>
      <c r="AZM71" s="1"/>
      <c r="AZN71" s="1"/>
      <c r="AZO71" s="1"/>
      <c r="AZP71" s="1"/>
      <c r="AZQ71" s="1"/>
      <c r="AZR71" s="1"/>
      <c r="AZS71" s="1"/>
      <c r="AZT71" s="1"/>
      <c r="AZU71" s="1"/>
      <c r="AZV71" s="1"/>
      <c r="AZW71" s="1"/>
      <c r="AZX71" s="1"/>
      <c r="AZY71" s="1"/>
      <c r="AZZ71" s="1"/>
      <c r="BAA71" s="1"/>
      <c r="BAB71" s="1"/>
      <c r="BAC71" s="1"/>
      <c r="BAD71" s="1"/>
      <c r="BAE71" s="1"/>
      <c r="BAF71" s="1"/>
      <c r="BAG71" s="1"/>
      <c r="BAH71" s="1"/>
      <c r="BAI71" s="1"/>
      <c r="BAJ71" s="1"/>
      <c r="BAK71" s="1"/>
      <c r="BAL71" s="1"/>
      <c r="BAM71" s="1"/>
      <c r="BAN71" s="1"/>
      <c r="BAO71" s="1"/>
      <c r="BAP71" s="1"/>
      <c r="BAQ71" s="1"/>
      <c r="BAR71" s="1"/>
      <c r="BAS71" s="1"/>
      <c r="BAT71" s="1"/>
      <c r="BAU71" s="1"/>
      <c r="BAV71" s="1"/>
      <c r="BAW71" s="1"/>
      <c r="BAX71" s="1"/>
      <c r="BAY71" s="1"/>
      <c r="BAZ71" s="1"/>
      <c r="BBA71" s="1"/>
      <c r="BBB71" s="1"/>
      <c r="BBC71" s="1"/>
      <c r="BBD71" s="1"/>
      <c r="BBE71" s="1"/>
      <c r="BBF71" s="1"/>
      <c r="BBG71" s="1"/>
      <c r="BBH71" s="1"/>
      <c r="BBI71" s="1"/>
      <c r="BBJ71" s="1"/>
      <c r="BBK71" s="1"/>
      <c r="BBL71" s="1"/>
      <c r="BBM71" s="1"/>
      <c r="BBN71" s="1"/>
      <c r="BBO71" s="1"/>
      <c r="BBP71" s="1"/>
      <c r="BBQ71" s="1"/>
      <c r="BBR71" s="1"/>
      <c r="BBS71" s="1"/>
      <c r="BBT71" s="1"/>
      <c r="BBU71" s="1"/>
      <c r="BBV71" s="1"/>
      <c r="BBW71" s="1"/>
      <c r="BBX71" s="1"/>
      <c r="BBY71" s="1"/>
      <c r="BBZ71" s="1"/>
      <c r="BCA71" s="1"/>
      <c r="BCB71" s="1"/>
      <c r="BCC71" s="1"/>
      <c r="BCD71" s="1"/>
      <c r="BCE71" s="1"/>
      <c r="BCF71" s="1"/>
      <c r="BCG71" s="1"/>
      <c r="BCH71" s="1"/>
      <c r="BCI71" s="1"/>
      <c r="BCJ71" s="1"/>
      <c r="BCK71" s="1"/>
      <c r="BCL71" s="1"/>
      <c r="BCM71" s="1"/>
      <c r="BCN71" s="1"/>
      <c r="BCO71" s="1"/>
      <c r="BCP71" s="1"/>
      <c r="BCQ71" s="1"/>
      <c r="BCR71" s="1"/>
      <c r="BCS71" s="1"/>
      <c r="BCT71" s="1"/>
      <c r="BCU71" s="1"/>
      <c r="BCV71" s="1"/>
      <c r="BCW71" s="1"/>
      <c r="BCX71" s="1"/>
      <c r="BCY71" s="1"/>
      <c r="BCZ71" s="1"/>
      <c r="BDA71" s="1"/>
      <c r="BDB71" s="1"/>
      <c r="BDC71" s="1"/>
      <c r="BDD71" s="1"/>
      <c r="BDE71" s="1"/>
      <c r="BDF71" s="1"/>
      <c r="BDG71" s="1"/>
      <c r="BDH71" s="1"/>
      <c r="BDI71" s="1"/>
      <c r="BDJ71" s="1"/>
      <c r="BDK71" s="1"/>
      <c r="BDL71" s="1"/>
      <c r="BDM71" s="1"/>
      <c r="BDN71" s="1"/>
      <c r="BDO71" s="1"/>
      <c r="BDP71" s="1"/>
      <c r="BDQ71" s="1"/>
      <c r="BDR71" s="1"/>
      <c r="BDS71" s="1"/>
      <c r="BDT71" s="1"/>
      <c r="BDU71" s="1"/>
      <c r="BDV71" s="1"/>
      <c r="BDW71" s="1"/>
      <c r="BDX71" s="1"/>
      <c r="BDY71" s="1"/>
      <c r="BDZ71" s="1"/>
      <c r="BEA71" s="1"/>
      <c r="BEB71" s="1"/>
      <c r="BEC71" s="1"/>
      <c r="BED71" s="1"/>
      <c r="BEE71" s="1"/>
      <c r="BEF71" s="1"/>
      <c r="BEG71" s="1"/>
      <c r="BEH71" s="1"/>
      <c r="BEI71" s="1"/>
      <c r="BEJ71" s="1"/>
      <c r="BEK71" s="1"/>
      <c r="BEL71" s="1"/>
      <c r="BEM71" s="1"/>
      <c r="BEN71" s="1"/>
      <c r="BEO71" s="1"/>
      <c r="BEP71" s="1"/>
      <c r="BEQ71" s="1"/>
      <c r="BER71" s="1"/>
      <c r="BES71" s="1"/>
      <c r="BET71" s="1"/>
      <c r="BEU71" s="1"/>
      <c r="BEV71" s="1"/>
      <c r="BEW71" s="1"/>
      <c r="BEX71" s="1"/>
      <c r="BEY71" s="1"/>
      <c r="BEZ71" s="1"/>
      <c r="BFA71" s="1"/>
      <c r="BFB71" s="1"/>
      <c r="BFC71" s="1"/>
      <c r="BFD71" s="1"/>
      <c r="BFE71" s="1"/>
      <c r="BFF71" s="1"/>
      <c r="BFG71" s="1"/>
      <c r="BFH71" s="1"/>
      <c r="BFI71" s="1"/>
      <c r="BFJ71" s="1"/>
      <c r="BFK71" s="1"/>
      <c r="BFL71" s="1"/>
      <c r="BFM71" s="1"/>
      <c r="BFN71" s="1"/>
      <c r="BFO71" s="1"/>
      <c r="BFP71" s="1"/>
      <c r="BFQ71" s="1"/>
      <c r="BFR71" s="1"/>
      <c r="BFS71" s="1"/>
      <c r="BFT71" s="1"/>
      <c r="BFU71" s="1"/>
      <c r="BFV71" s="1"/>
      <c r="BFW71" s="1"/>
      <c r="BFX71" s="1"/>
      <c r="BFY71" s="1"/>
      <c r="BFZ71" s="1"/>
      <c r="BGA71" s="1"/>
      <c r="BGB71" s="1"/>
      <c r="BGC71" s="1"/>
      <c r="BGD71" s="1"/>
      <c r="BGE71" s="1"/>
      <c r="BGF71" s="1"/>
      <c r="BGG71" s="1"/>
      <c r="BGH71" s="1"/>
      <c r="BGI71" s="1"/>
      <c r="BGJ71" s="1"/>
      <c r="BGK71" s="1"/>
      <c r="BGL71" s="1"/>
      <c r="BGM71" s="1"/>
      <c r="BGN71" s="1"/>
      <c r="BGO71" s="1"/>
      <c r="BGP71" s="1"/>
      <c r="BGQ71" s="1"/>
      <c r="BGR71" s="1"/>
      <c r="BGS71" s="1"/>
      <c r="BGT71" s="1"/>
      <c r="BGU71" s="1"/>
      <c r="BGV71" s="1"/>
      <c r="BGW71" s="1"/>
      <c r="BGX71" s="1"/>
      <c r="BGY71" s="1"/>
      <c r="BGZ71" s="1"/>
      <c r="BHA71" s="1"/>
      <c r="BHB71" s="1"/>
      <c r="BHC71" s="1"/>
      <c r="BHD71" s="1"/>
      <c r="BHE71" s="1"/>
      <c r="BHF71" s="1"/>
      <c r="BHG71" s="1"/>
      <c r="BHH71" s="1"/>
      <c r="BHI71" s="1"/>
      <c r="BHJ71" s="1"/>
      <c r="BHK71" s="1"/>
      <c r="BHL71" s="1"/>
      <c r="BHM71" s="1"/>
      <c r="BHN71" s="1"/>
      <c r="BHO71" s="1"/>
      <c r="BHP71" s="1"/>
      <c r="BHQ71" s="1"/>
      <c r="BHR71" s="1"/>
      <c r="BHS71" s="1"/>
      <c r="BHT71" s="1"/>
      <c r="BHU71" s="1"/>
      <c r="BHV71" s="1"/>
      <c r="BHW71" s="1"/>
      <c r="BHX71" s="1"/>
      <c r="BHY71" s="1"/>
      <c r="BHZ71" s="1"/>
      <c r="BIA71" s="1"/>
      <c r="BIB71" s="1"/>
      <c r="BIC71" s="1"/>
      <c r="BID71" s="1"/>
      <c r="BIE71" s="1"/>
      <c r="BIF71" s="1"/>
      <c r="BIG71" s="1"/>
      <c r="BIH71" s="1"/>
      <c r="BII71" s="1"/>
      <c r="BIJ71" s="1"/>
      <c r="BIK71" s="1"/>
      <c r="BIL71" s="1"/>
      <c r="BIM71" s="1"/>
      <c r="BIN71" s="1"/>
      <c r="BIO71" s="1"/>
      <c r="BIP71" s="1"/>
      <c r="BIQ71" s="1"/>
      <c r="BIR71" s="1"/>
      <c r="BIS71" s="1"/>
      <c r="BIT71" s="1"/>
      <c r="BIU71" s="1"/>
      <c r="BIV71" s="1"/>
      <c r="BIW71" s="1"/>
      <c r="BIX71" s="1"/>
      <c r="BIY71" s="1"/>
      <c r="BIZ71" s="1"/>
      <c r="BJA71" s="1"/>
      <c r="BJB71" s="1"/>
      <c r="BJC71" s="1"/>
      <c r="BJD71" s="1"/>
      <c r="BJE71" s="1"/>
      <c r="BJF71" s="1"/>
      <c r="BJG71" s="1"/>
      <c r="BJH71" s="1"/>
      <c r="BJI71" s="1"/>
      <c r="BJJ71" s="1"/>
      <c r="BJK71" s="1"/>
      <c r="BJL71" s="1"/>
      <c r="BJM71" s="1"/>
      <c r="BJN71" s="1"/>
      <c r="BJO71" s="1"/>
      <c r="BJP71" s="1"/>
      <c r="BJQ71" s="1"/>
      <c r="BJR71" s="1"/>
      <c r="BJS71" s="1"/>
      <c r="BJT71" s="1"/>
      <c r="BJU71" s="1"/>
      <c r="BJV71" s="1"/>
      <c r="BJW71" s="1"/>
      <c r="BJX71" s="1"/>
      <c r="BJY71" s="1"/>
      <c r="BJZ71" s="1"/>
      <c r="BKA71" s="1"/>
      <c r="BKB71" s="1"/>
      <c r="BKC71" s="1"/>
      <c r="BKD71" s="1"/>
      <c r="BKE71" s="1"/>
      <c r="BKF71" s="1"/>
      <c r="BKG71" s="1"/>
      <c r="BKH71" s="1"/>
      <c r="BKI71" s="1"/>
      <c r="BKJ71" s="1"/>
      <c r="BKK71" s="1"/>
      <c r="BKL71" s="1"/>
      <c r="BKM71" s="1"/>
      <c r="BKN71" s="1"/>
      <c r="BKO71" s="1"/>
      <c r="BKP71" s="1"/>
      <c r="BKQ71" s="1"/>
      <c r="BKR71" s="1"/>
      <c r="BKS71" s="1"/>
      <c r="BKT71" s="1"/>
      <c r="BKU71" s="1"/>
      <c r="BKV71" s="1"/>
      <c r="BKW71" s="1"/>
      <c r="BKX71" s="1"/>
      <c r="BKY71" s="1"/>
      <c r="BKZ71" s="1"/>
      <c r="BLA71" s="1"/>
      <c r="BLB71" s="1"/>
      <c r="BLC71" s="1"/>
      <c r="BLD71" s="1"/>
      <c r="BLE71" s="1"/>
      <c r="BLF71" s="1"/>
      <c r="BLG71" s="1"/>
      <c r="BLH71" s="1"/>
      <c r="BLI71" s="1"/>
      <c r="BLJ71" s="1"/>
      <c r="BLK71" s="1"/>
      <c r="BLL71" s="1"/>
      <c r="BLM71" s="1"/>
      <c r="BLN71" s="1"/>
      <c r="BLO71" s="1"/>
      <c r="BLP71" s="1"/>
      <c r="BLQ71" s="1"/>
      <c r="BLR71" s="1"/>
      <c r="BLS71" s="1"/>
      <c r="BLT71" s="1"/>
      <c r="BLU71" s="1"/>
      <c r="BLV71" s="1"/>
      <c r="BLW71" s="1"/>
      <c r="BLX71" s="1"/>
      <c r="BLY71" s="1"/>
      <c r="BLZ71" s="1"/>
      <c r="BMA71" s="1"/>
      <c r="BMB71" s="1"/>
      <c r="BMC71" s="1"/>
      <c r="BMD71" s="1"/>
      <c r="BME71" s="1"/>
      <c r="BMF71" s="1"/>
      <c r="BMG71" s="1"/>
      <c r="BMH71" s="1"/>
      <c r="BMI71" s="1"/>
      <c r="BMJ71" s="1"/>
      <c r="BMK71" s="1"/>
      <c r="BML71" s="1"/>
      <c r="BMM71" s="1"/>
      <c r="BMN71" s="1"/>
      <c r="BMO71" s="1"/>
      <c r="BMP71" s="1"/>
      <c r="BMQ71" s="1"/>
      <c r="BMR71" s="1"/>
      <c r="BMS71" s="1"/>
      <c r="BMT71" s="1"/>
      <c r="BMU71" s="1"/>
      <c r="BMV71" s="1"/>
      <c r="BMW71" s="1"/>
      <c r="BMX71" s="1"/>
      <c r="BMY71" s="1"/>
      <c r="BMZ71" s="1"/>
      <c r="BNA71" s="1"/>
      <c r="BNB71" s="1"/>
      <c r="BNC71" s="1"/>
      <c r="BND71" s="1"/>
      <c r="BNE71" s="1"/>
      <c r="BNF71" s="1"/>
      <c r="BNG71" s="1"/>
      <c r="BNH71" s="1"/>
      <c r="BNI71" s="1"/>
      <c r="BNJ71" s="1"/>
      <c r="BNK71" s="1"/>
      <c r="BNL71" s="1"/>
      <c r="BNM71" s="1"/>
      <c r="BNN71" s="1"/>
      <c r="BNO71" s="1"/>
      <c r="BNP71" s="1"/>
      <c r="BNQ71" s="1"/>
      <c r="BNR71" s="1"/>
      <c r="BNS71" s="1"/>
      <c r="BNT71" s="1"/>
      <c r="BNU71" s="1"/>
      <c r="BNV71" s="1"/>
      <c r="BNW71" s="1"/>
      <c r="BNX71" s="1"/>
      <c r="BNY71" s="1"/>
      <c r="BNZ71" s="1"/>
      <c r="BOA71" s="1"/>
      <c r="BOB71" s="1"/>
      <c r="BOC71" s="1"/>
      <c r="BOD71" s="1"/>
      <c r="BOE71" s="1"/>
      <c r="BOF71" s="1"/>
      <c r="BOG71" s="1"/>
      <c r="BOH71" s="1"/>
      <c r="BOI71" s="1"/>
      <c r="BOJ71" s="1"/>
      <c r="BOK71" s="1"/>
      <c r="BOL71" s="1"/>
      <c r="BOM71" s="1"/>
      <c r="BON71" s="1"/>
      <c r="BOO71" s="1"/>
      <c r="BOP71" s="1"/>
      <c r="BOQ71" s="1"/>
      <c r="BOR71" s="1"/>
      <c r="BOS71" s="1"/>
      <c r="BOT71" s="1"/>
      <c r="BOU71" s="1"/>
      <c r="BOV71" s="1"/>
      <c r="BOW71" s="1"/>
      <c r="BOX71" s="1"/>
      <c r="BOY71" s="1"/>
      <c r="BOZ71" s="1"/>
      <c r="BPA71" s="1"/>
      <c r="BPB71" s="1"/>
      <c r="BPC71" s="1"/>
      <c r="BPD71" s="1"/>
      <c r="BPE71" s="1"/>
      <c r="BPF71" s="1"/>
      <c r="BPG71" s="1"/>
      <c r="BPH71" s="1"/>
      <c r="BPI71" s="1"/>
      <c r="BPJ71" s="1"/>
      <c r="BPK71" s="1"/>
      <c r="BPL71" s="1"/>
      <c r="BPM71" s="1"/>
      <c r="BPN71" s="1"/>
      <c r="BPO71" s="1"/>
      <c r="BPP71" s="1"/>
      <c r="BPQ71" s="1"/>
      <c r="BPR71" s="1"/>
      <c r="BPS71" s="1"/>
      <c r="BPT71" s="1"/>
      <c r="BPU71" s="1"/>
      <c r="BPV71" s="1"/>
      <c r="BPW71" s="1"/>
      <c r="BPX71" s="1"/>
      <c r="BPY71" s="1"/>
      <c r="BPZ71" s="1"/>
      <c r="BQA71" s="1"/>
      <c r="BQB71" s="1"/>
      <c r="BQC71" s="1"/>
      <c r="BQD71" s="1"/>
      <c r="BQE71" s="1"/>
      <c r="BQF71" s="1"/>
      <c r="BQG71" s="1"/>
      <c r="BQH71" s="1"/>
      <c r="BQI71" s="1"/>
      <c r="BQJ71" s="1"/>
      <c r="BQK71" s="1"/>
      <c r="BQL71" s="1"/>
      <c r="BQM71" s="1"/>
      <c r="BQN71" s="1"/>
      <c r="BQO71" s="1"/>
      <c r="BQP71" s="1"/>
      <c r="BQQ71" s="1"/>
      <c r="BQR71" s="1"/>
      <c r="BQS71" s="1"/>
      <c r="BQT71" s="1"/>
      <c r="BQU71" s="1"/>
      <c r="BQV71" s="1"/>
      <c r="BQW71" s="1"/>
      <c r="BQX71" s="1"/>
      <c r="BQY71" s="1"/>
      <c r="BQZ71" s="1"/>
      <c r="BRA71" s="1"/>
      <c r="BRB71" s="1"/>
      <c r="BRC71" s="1"/>
      <c r="BRD71" s="1"/>
      <c r="BRE71" s="1"/>
      <c r="BRF71" s="1"/>
      <c r="BRG71" s="1"/>
      <c r="BRH71" s="1"/>
      <c r="BRI71" s="1"/>
      <c r="BRJ71" s="1"/>
      <c r="BRK71" s="1"/>
      <c r="BRL71" s="1"/>
      <c r="BRM71" s="1"/>
      <c r="BRN71" s="1"/>
      <c r="BRO71" s="1"/>
      <c r="BRP71" s="1"/>
      <c r="BRQ71" s="1"/>
      <c r="BRR71" s="1"/>
      <c r="BRS71" s="1"/>
      <c r="BRT71" s="1"/>
      <c r="BRU71" s="1"/>
      <c r="BRV71" s="1"/>
      <c r="BRW71" s="1"/>
      <c r="BRX71" s="1"/>
      <c r="BRY71" s="1"/>
      <c r="BRZ71" s="1"/>
      <c r="BSA71" s="1"/>
      <c r="BSB71" s="1"/>
      <c r="BSC71" s="1"/>
      <c r="BSD71" s="1"/>
      <c r="BSE71" s="1"/>
      <c r="BSF71" s="1"/>
      <c r="BSG71" s="1"/>
      <c r="BSH71" s="1"/>
      <c r="BSI71" s="1"/>
      <c r="BSJ71" s="1"/>
      <c r="BSK71" s="1"/>
      <c r="BSL71" s="1"/>
      <c r="BSM71" s="1"/>
      <c r="BSN71" s="1"/>
      <c r="BSO71" s="1"/>
      <c r="BSP71" s="1"/>
      <c r="BSQ71" s="1"/>
      <c r="BSR71" s="1"/>
      <c r="BSS71" s="1"/>
      <c r="BST71" s="1"/>
      <c r="BSU71" s="1"/>
      <c r="BSV71" s="1"/>
      <c r="BSW71" s="1"/>
      <c r="BSX71" s="1"/>
      <c r="BSY71" s="1"/>
      <c r="BSZ71" s="1"/>
      <c r="BTA71" s="1"/>
      <c r="BTB71" s="1"/>
      <c r="BTC71" s="1"/>
      <c r="BTD71" s="1"/>
      <c r="BTE71" s="1"/>
      <c r="BTF71" s="1"/>
      <c r="BTG71" s="1"/>
      <c r="BTH71" s="1"/>
      <c r="BTI71" s="1"/>
      <c r="BTJ71" s="1"/>
      <c r="BTK71" s="1"/>
      <c r="BTL71" s="1"/>
      <c r="BTM71" s="1"/>
      <c r="BTN71" s="1"/>
      <c r="BTO71" s="1"/>
      <c r="BTP71" s="1"/>
      <c r="BTQ71" s="1"/>
      <c r="BTR71" s="1"/>
      <c r="BTS71" s="1"/>
      <c r="BTT71" s="1"/>
      <c r="BTU71" s="1"/>
      <c r="BTV71" s="1"/>
      <c r="BTW71" s="1"/>
      <c r="BTX71" s="1"/>
      <c r="BTY71" s="1"/>
      <c r="BTZ71" s="1"/>
      <c r="BUA71" s="1"/>
      <c r="BUB71" s="1"/>
      <c r="BUC71" s="1"/>
      <c r="BUD71" s="1"/>
      <c r="BUE71" s="1"/>
      <c r="BUF71" s="1"/>
      <c r="BUG71" s="1"/>
      <c r="BUH71" s="1"/>
      <c r="BUI71" s="1"/>
      <c r="BUJ71" s="1"/>
      <c r="BUK71" s="1"/>
      <c r="BUL71" s="1"/>
      <c r="BUM71" s="1"/>
      <c r="BUN71" s="1"/>
      <c r="BUO71" s="1"/>
      <c r="BUP71" s="1"/>
      <c r="BUQ71" s="1"/>
      <c r="BUR71" s="1"/>
      <c r="BUS71" s="1"/>
      <c r="BUT71" s="1"/>
      <c r="BUU71" s="1"/>
      <c r="BUV71" s="1"/>
      <c r="BUW71" s="1"/>
      <c r="BUX71" s="1"/>
      <c r="BUY71" s="1"/>
      <c r="BUZ71" s="1"/>
      <c r="BVA71" s="1"/>
      <c r="BVB71" s="1"/>
      <c r="BVC71" s="1"/>
      <c r="BVD71" s="1"/>
      <c r="BVE71" s="1"/>
      <c r="BVF71" s="1"/>
      <c r="BVG71" s="1"/>
      <c r="BVH71" s="1"/>
      <c r="BVI71" s="1"/>
      <c r="BVJ71" s="1"/>
      <c r="BVK71" s="1"/>
      <c r="BVL71" s="1"/>
      <c r="BVM71" s="1"/>
      <c r="BVN71" s="1"/>
      <c r="BVO71" s="1"/>
      <c r="BVP71" s="1"/>
      <c r="BVQ71" s="1"/>
      <c r="BVR71" s="1"/>
      <c r="BVS71" s="1"/>
      <c r="BVT71" s="1"/>
      <c r="BVU71" s="1"/>
      <c r="BVV71" s="1"/>
      <c r="BVW71" s="1"/>
      <c r="BVX71" s="1"/>
      <c r="BVY71" s="1"/>
      <c r="BVZ71" s="1"/>
      <c r="BWA71" s="1"/>
      <c r="BWB71" s="1"/>
      <c r="BWC71" s="1"/>
      <c r="BWD71" s="1"/>
      <c r="BWE71" s="1"/>
      <c r="BWF71" s="1"/>
      <c r="BWG71" s="1"/>
      <c r="BWH71" s="1"/>
      <c r="BWI71" s="1"/>
      <c r="BWJ71" s="1"/>
      <c r="BWK71" s="1"/>
      <c r="BWL71" s="1"/>
      <c r="BWM71" s="1"/>
      <c r="BWN71" s="1"/>
      <c r="BWO71" s="1"/>
      <c r="BWP71" s="1"/>
      <c r="BWQ71" s="1"/>
      <c r="BWR71" s="1"/>
      <c r="BWS71" s="1"/>
      <c r="BWT71" s="1"/>
      <c r="BWU71" s="1"/>
      <c r="BWV71" s="1"/>
      <c r="BWW71" s="1"/>
      <c r="BWX71" s="1"/>
      <c r="BWY71" s="1"/>
      <c r="BWZ71" s="1"/>
      <c r="BXA71" s="1"/>
      <c r="BXB71" s="1"/>
      <c r="BXC71" s="1"/>
      <c r="BXD71" s="1"/>
      <c r="BXE71" s="1"/>
      <c r="BXF71" s="1"/>
      <c r="BXG71" s="1"/>
      <c r="BXH71" s="1"/>
      <c r="BXI71" s="1"/>
      <c r="BXJ71" s="1"/>
      <c r="BXK71" s="1"/>
      <c r="BXL71" s="1"/>
      <c r="BXM71" s="1"/>
      <c r="BXN71" s="1"/>
      <c r="BXO71" s="1"/>
      <c r="BXP71" s="1"/>
      <c r="BXQ71" s="1"/>
      <c r="BXR71" s="1"/>
      <c r="BXS71" s="1"/>
      <c r="BXT71" s="1"/>
      <c r="BXU71" s="1"/>
      <c r="BXV71" s="1"/>
      <c r="BXW71" s="1"/>
      <c r="BXX71" s="1"/>
      <c r="BXY71" s="1"/>
      <c r="BXZ71" s="1"/>
      <c r="BYA71" s="1"/>
      <c r="BYB71" s="1"/>
      <c r="BYC71" s="1"/>
      <c r="BYD71" s="1"/>
      <c r="BYE71" s="1"/>
      <c r="BYF71" s="1"/>
      <c r="BYG71" s="1"/>
      <c r="BYH71" s="1"/>
      <c r="BYI71" s="1"/>
      <c r="BYJ71" s="1"/>
      <c r="BYK71" s="1"/>
      <c r="BYL71" s="1"/>
      <c r="BYM71" s="1"/>
      <c r="BYN71" s="1"/>
      <c r="BYO71" s="1"/>
      <c r="BYP71" s="1"/>
      <c r="BYQ71" s="1"/>
      <c r="BYR71" s="1"/>
      <c r="BYS71" s="1"/>
      <c r="BYT71" s="1"/>
      <c r="BYU71" s="1"/>
      <c r="BYV71" s="1"/>
      <c r="BYW71" s="1"/>
      <c r="BYX71" s="1"/>
      <c r="BYY71" s="1"/>
      <c r="BYZ71" s="1"/>
      <c r="BZA71" s="1"/>
      <c r="BZB71" s="1"/>
      <c r="BZC71" s="1"/>
      <c r="BZD71" s="1"/>
      <c r="BZE71" s="1"/>
      <c r="BZF71" s="1"/>
      <c r="BZG71" s="1"/>
      <c r="BZH71" s="1"/>
      <c r="BZI71" s="1"/>
      <c r="BZJ71" s="1"/>
      <c r="BZK71" s="1"/>
      <c r="BZL71" s="1"/>
      <c r="BZM71" s="1"/>
      <c r="BZN71" s="1"/>
      <c r="BZO71" s="1"/>
      <c r="BZP71" s="1"/>
      <c r="BZQ71" s="1"/>
      <c r="BZR71" s="1"/>
      <c r="BZS71" s="1"/>
      <c r="BZT71" s="1"/>
      <c r="BZU71" s="1"/>
      <c r="BZV71" s="1"/>
      <c r="BZW71" s="1"/>
      <c r="BZX71" s="1"/>
      <c r="BZY71" s="1"/>
      <c r="BZZ71" s="1"/>
      <c r="CAA71" s="1"/>
      <c r="CAB71" s="1"/>
      <c r="CAC71" s="1"/>
      <c r="CAD71" s="1"/>
      <c r="CAE71" s="1"/>
      <c r="CAF71" s="1"/>
      <c r="CAG71" s="1"/>
      <c r="CAH71" s="1"/>
      <c r="CAI71" s="1"/>
      <c r="CAJ71" s="1"/>
      <c r="CAK71" s="1"/>
      <c r="CAL71" s="1"/>
      <c r="CAM71" s="1"/>
      <c r="CAN71" s="1"/>
      <c r="CAO71" s="1"/>
      <c r="CAP71" s="1"/>
      <c r="CAQ71" s="1"/>
      <c r="CAR71" s="1"/>
      <c r="CAS71" s="1"/>
      <c r="CAT71" s="1"/>
      <c r="CAU71" s="1"/>
      <c r="CAV71" s="1"/>
      <c r="CAW71" s="1"/>
      <c r="CAX71" s="1"/>
      <c r="CAY71" s="1"/>
      <c r="CAZ71" s="1"/>
      <c r="CBA71" s="1"/>
      <c r="CBB71" s="1"/>
      <c r="CBC71" s="1"/>
      <c r="CBD71" s="1"/>
      <c r="CBE71" s="1"/>
      <c r="CBF71" s="1"/>
      <c r="CBG71" s="1"/>
      <c r="CBH71" s="1"/>
      <c r="CBI71" s="1"/>
      <c r="CBJ71" s="1"/>
      <c r="CBK71" s="1"/>
      <c r="CBL71" s="1"/>
      <c r="CBM71" s="1"/>
      <c r="CBN71" s="1"/>
      <c r="CBO71" s="1"/>
      <c r="CBP71" s="1"/>
      <c r="CBQ71" s="1"/>
      <c r="CBR71" s="1"/>
      <c r="CBS71" s="1"/>
      <c r="CBT71" s="1"/>
      <c r="CBU71" s="1"/>
      <c r="CBV71" s="1"/>
      <c r="CBW71" s="1"/>
      <c r="CBX71" s="1"/>
      <c r="CBY71" s="1"/>
      <c r="CBZ71" s="1"/>
      <c r="CCA71" s="1"/>
      <c r="CCB71" s="1"/>
      <c r="CCC71" s="1"/>
      <c r="CCD71" s="1"/>
      <c r="CCE71" s="1"/>
      <c r="CCF71" s="1"/>
      <c r="CCG71" s="1"/>
      <c r="CCH71" s="1"/>
      <c r="CCI71" s="1"/>
      <c r="CCJ71" s="1"/>
      <c r="CCK71" s="1"/>
      <c r="CCL71" s="1"/>
      <c r="CCM71" s="1"/>
      <c r="CCN71" s="1"/>
      <c r="CCO71" s="1"/>
      <c r="CCP71" s="1"/>
      <c r="CCQ71" s="1"/>
      <c r="CCR71" s="1"/>
      <c r="CCS71" s="1"/>
      <c r="CCT71" s="1"/>
      <c r="CCU71" s="1"/>
      <c r="CCV71" s="1"/>
      <c r="CCW71" s="1"/>
      <c r="CCX71" s="1"/>
      <c r="CCY71" s="1"/>
      <c r="CCZ71" s="1"/>
      <c r="CDA71" s="1"/>
      <c r="CDB71" s="1"/>
      <c r="CDC71" s="1"/>
      <c r="CDD71" s="1"/>
      <c r="CDE71" s="1"/>
      <c r="CDF71" s="1"/>
      <c r="CDG71" s="1"/>
      <c r="CDH71" s="1"/>
      <c r="CDI71" s="1"/>
      <c r="CDJ71" s="1"/>
      <c r="CDK71" s="1"/>
      <c r="CDL71" s="1"/>
      <c r="CDM71" s="1"/>
      <c r="CDN71" s="1"/>
      <c r="CDO71" s="1"/>
      <c r="CDP71" s="1"/>
      <c r="CDQ71" s="1"/>
      <c r="CDR71" s="1"/>
      <c r="CDS71" s="1"/>
      <c r="CDT71" s="1"/>
      <c r="CDU71" s="1"/>
      <c r="CDV71" s="1"/>
      <c r="CDW71" s="1"/>
      <c r="CDX71" s="1"/>
      <c r="CDY71" s="1"/>
      <c r="CDZ71" s="1"/>
      <c r="CEA71" s="1"/>
      <c r="CEB71" s="1"/>
      <c r="CEC71" s="1"/>
      <c r="CED71" s="1"/>
      <c r="CEE71" s="1"/>
      <c r="CEF71" s="1"/>
      <c r="CEG71" s="1"/>
      <c r="CEH71" s="1"/>
      <c r="CEI71" s="1"/>
      <c r="CEJ71" s="1"/>
      <c r="CEK71" s="1"/>
      <c r="CEL71" s="1"/>
      <c r="CEM71" s="1"/>
      <c r="CEN71" s="1"/>
      <c r="CEO71" s="1"/>
      <c r="CEP71" s="1"/>
      <c r="CEQ71" s="1"/>
      <c r="CER71" s="1"/>
      <c r="CES71" s="1"/>
      <c r="CET71" s="1"/>
      <c r="CEU71" s="1"/>
      <c r="CEV71" s="1"/>
      <c r="CEW71" s="1"/>
      <c r="CEX71" s="1"/>
      <c r="CEY71" s="1"/>
      <c r="CEZ71" s="1"/>
      <c r="CFA71" s="1"/>
      <c r="CFB71" s="1"/>
      <c r="CFC71" s="1"/>
      <c r="CFD71" s="1"/>
      <c r="CFE71" s="1"/>
      <c r="CFF71" s="1"/>
      <c r="CFG71" s="1"/>
      <c r="CFH71" s="1"/>
      <c r="CFI71" s="1"/>
      <c r="CFJ71" s="1"/>
      <c r="CFK71" s="1"/>
      <c r="CFL71" s="1"/>
      <c r="CFM71" s="1"/>
      <c r="CFN71" s="1"/>
      <c r="CFO71" s="1"/>
      <c r="CFP71" s="1"/>
      <c r="CFQ71" s="1"/>
      <c r="CFR71" s="1"/>
      <c r="CFS71" s="1"/>
      <c r="CFT71" s="1"/>
      <c r="CFU71" s="1"/>
      <c r="CFV71" s="1"/>
      <c r="CFW71" s="1"/>
      <c r="CFX71" s="1"/>
      <c r="CFY71" s="1"/>
      <c r="CFZ71" s="1"/>
      <c r="CGA71" s="1"/>
      <c r="CGB71" s="1"/>
      <c r="CGC71" s="1"/>
      <c r="CGD71" s="1"/>
      <c r="CGE71" s="1"/>
      <c r="CGF71" s="1"/>
      <c r="CGG71" s="1"/>
      <c r="CGH71" s="1"/>
      <c r="CGI71" s="1"/>
      <c r="CGJ71" s="1"/>
      <c r="CGK71" s="1"/>
      <c r="CGL71" s="1"/>
      <c r="CGM71" s="1"/>
      <c r="CGN71" s="1"/>
      <c r="CGO71" s="1"/>
      <c r="CGP71" s="1"/>
      <c r="CGQ71" s="1"/>
      <c r="CGR71" s="1"/>
      <c r="CGS71" s="1"/>
      <c r="CGT71" s="1"/>
      <c r="CGU71" s="1"/>
      <c r="CGV71" s="1"/>
      <c r="CGW71" s="1"/>
      <c r="CGX71" s="1"/>
      <c r="CGY71" s="1"/>
      <c r="CGZ71" s="1"/>
      <c r="CHA71" s="1"/>
      <c r="CHB71" s="1"/>
      <c r="CHC71" s="1"/>
      <c r="CHD71" s="1"/>
      <c r="CHE71" s="1"/>
      <c r="CHF71" s="1"/>
      <c r="CHG71" s="1"/>
      <c r="CHH71" s="1"/>
      <c r="CHI71" s="1"/>
      <c r="CHJ71" s="1"/>
      <c r="CHK71" s="1"/>
      <c r="CHL71" s="1"/>
      <c r="CHM71" s="1"/>
      <c r="CHN71" s="1"/>
      <c r="CHO71" s="1"/>
      <c r="CHP71" s="1"/>
      <c r="CHQ71" s="1"/>
      <c r="CHR71" s="1"/>
      <c r="CHS71" s="1"/>
      <c r="CHT71" s="1"/>
      <c r="CHU71" s="1"/>
      <c r="CHV71" s="1"/>
      <c r="CHW71" s="1"/>
      <c r="CHX71" s="1"/>
      <c r="CHY71" s="1"/>
      <c r="CHZ71" s="1"/>
      <c r="CIA71" s="1"/>
      <c r="CIB71" s="1"/>
      <c r="CIC71" s="1"/>
      <c r="CID71" s="1"/>
      <c r="CIE71" s="1"/>
      <c r="CIF71" s="1"/>
      <c r="CIG71" s="1"/>
      <c r="CIH71" s="1"/>
      <c r="CII71" s="1"/>
      <c r="CIJ71" s="1"/>
      <c r="CIK71" s="1"/>
      <c r="CIL71" s="1"/>
      <c r="CIM71" s="1"/>
      <c r="CIN71" s="1"/>
      <c r="CIO71" s="1"/>
      <c r="CIP71" s="1"/>
      <c r="CIQ71" s="1"/>
      <c r="CIR71" s="1"/>
      <c r="CIS71" s="1"/>
      <c r="CIT71" s="1"/>
      <c r="CIU71" s="1"/>
      <c r="CIV71" s="1"/>
      <c r="CIW71" s="1"/>
      <c r="CIX71" s="1"/>
      <c r="CIY71" s="1"/>
      <c r="CIZ71" s="1"/>
      <c r="CJA71" s="1"/>
      <c r="CJB71" s="1"/>
      <c r="CJC71" s="1"/>
      <c r="CJD71" s="1"/>
      <c r="CJE71" s="1"/>
      <c r="CJF71" s="1"/>
      <c r="CJG71" s="1"/>
      <c r="CJH71" s="1"/>
      <c r="CJI71" s="1"/>
      <c r="CJJ71" s="1"/>
      <c r="CJK71" s="1"/>
      <c r="CJL71" s="1"/>
      <c r="CJM71" s="1"/>
      <c r="CJN71" s="1"/>
      <c r="CJO71" s="1"/>
      <c r="CJP71" s="1"/>
      <c r="CJQ71" s="1"/>
      <c r="CJR71" s="1"/>
      <c r="CJS71" s="1"/>
      <c r="CJT71" s="1"/>
      <c r="CJU71" s="1"/>
      <c r="CJV71" s="1"/>
      <c r="CJW71" s="1"/>
      <c r="CJX71" s="1"/>
      <c r="CJY71" s="1"/>
      <c r="CJZ71" s="1"/>
      <c r="CKA71" s="1"/>
      <c r="CKB71" s="1"/>
      <c r="CKC71" s="1"/>
      <c r="CKD71" s="1"/>
      <c r="CKE71" s="1"/>
      <c r="CKF71" s="1"/>
      <c r="CKG71" s="1"/>
      <c r="CKH71" s="1"/>
      <c r="CKI71" s="1"/>
      <c r="CKJ71" s="1"/>
      <c r="CKK71" s="1"/>
      <c r="CKL71" s="1"/>
      <c r="CKM71" s="1"/>
      <c r="CKN71" s="1"/>
      <c r="CKO71" s="1"/>
      <c r="CKP71" s="1"/>
      <c r="CKQ71" s="1"/>
      <c r="CKR71" s="1"/>
      <c r="CKS71" s="1"/>
      <c r="CKT71" s="1"/>
      <c r="CKU71" s="1"/>
      <c r="CKV71" s="1"/>
      <c r="CKW71" s="1"/>
      <c r="CKX71" s="1"/>
      <c r="CKY71" s="1"/>
      <c r="CKZ71" s="1"/>
      <c r="CLA71" s="1"/>
      <c r="CLB71" s="1"/>
      <c r="CLC71" s="1"/>
      <c r="CLD71" s="1"/>
      <c r="CLE71" s="1"/>
      <c r="CLF71" s="1"/>
      <c r="CLG71" s="1"/>
      <c r="CLH71" s="1"/>
      <c r="CLI71" s="1"/>
      <c r="CLJ71" s="1"/>
      <c r="CLK71" s="1"/>
      <c r="CLL71" s="1"/>
      <c r="CLM71" s="1"/>
      <c r="CLN71" s="1"/>
      <c r="CLO71" s="1"/>
      <c r="CLP71" s="1"/>
      <c r="CLQ71" s="1"/>
      <c r="CLR71" s="1"/>
      <c r="CLS71" s="1"/>
      <c r="CLT71" s="1"/>
      <c r="CLU71" s="1"/>
      <c r="CLV71" s="1"/>
      <c r="CLW71" s="1"/>
      <c r="CLX71" s="1"/>
      <c r="CLY71" s="1"/>
      <c r="CLZ71" s="1"/>
      <c r="CMA71" s="1"/>
      <c r="CMB71" s="1"/>
      <c r="CMC71" s="1"/>
      <c r="CMD71" s="1"/>
      <c r="CME71" s="1"/>
      <c r="CMF71" s="1"/>
      <c r="CMG71" s="1"/>
      <c r="CMH71" s="1"/>
      <c r="CMI71" s="1"/>
      <c r="CMJ71" s="1"/>
      <c r="CMK71" s="1"/>
      <c r="CML71" s="1"/>
      <c r="CMM71" s="1"/>
      <c r="CMN71" s="1"/>
      <c r="CMO71" s="1"/>
      <c r="CMP71" s="1"/>
      <c r="CMQ71" s="1"/>
      <c r="CMR71" s="1"/>
      <c r="CMS71" s="1"/>
      <c r="CMT71" s="1"/>
      <c r="CMU71" s="1"/>
      <c r="CMV71" s="1"/>
      <c r="CMW71" s="1"/>
      <c r="CMX71" s="1"/>
      <c r="CMY71" s="1"/>
      <c r="CMZ71" s="1"/>
      <c r="CNA71" s="1"/>
      <c r="CNB71" s="1"/>
      <c r="CNC71" s="1"/>
      <c r="CND71" s="1"/>
      <c r="CNE71" s="1"/>
      <c r="CNF71" s="1"/>
      <c r="CNG71" s="1"/>
      <c r="CNH71" s="1"/>
      <c r="CNI71" s="1"/>
      <c r="CNJ71" s="1"/>
      <c r="CNK71" s="1"/>
      <c r="CNL71" s="1"/>
      <c r="CNM71" s="1"/>
      <c r="CNN71" s="1"/>
      <c r="CNO71" s="1"/>
      <c r="CNP71" s="1"/>
      <c r="CNQ71" s="1"/>
      <c r="CNR71" s="1"/>
      <c r="CNS71" s="1"/>
      <c r="CNT71" s="1"/>
      <c r="CNU71" s="1"/>
      <c r="CNV71" s="1"/>
      <c r="CNW71" s="1"/>
      <c r="CNX71" s="1"/>
      <c r="CNY71" s="1"/>
      <c r="CNZ71" s="1"/>
      <c r="COA71" s="1"/>
      <c r="COB71" s="1"/>
      <c r="COC71" s="1"/>
      <c r="COD71" s="1"/>
      <c r="COE71" s="1"/>
      <c r="COF71" s="1"/>
      <c r="COG71" s="1"/>
      <c r="COH71" s="1"/>
      <c r="COI71" s="1"/>
      <c r="COJ71" s="1"/>
      <c r="COK71" s="1"/>
      <c r="COL71" s="1"/>
      <c r="COM71" s="1"/>
      <c r="CON71" s="1"/>
      <c r="COO71" s="1"/>
      <c r="COP71" s="1"/>
      <c r="COQ71" s="1"/>
      <c r="COR71" s="1"/>
      <c r="COS71" s="1"/>
      <c r="COT71" s="1"/>
      <c r="COU71" s="1"/>
      <c r="COV71" s="1"/>
      <c r="COW71" s="1"/>
      <c r="COX71" s="1"/>
      <c r="COY71" s="1"/>
      <c r="COZ71" s="1"/>
      <c r="CPA71" s="1"/>
      <c r="CPB71" s="1"/>
      <c r="CPC71" s="1"/>
      <c r="CPD71" s="1"/>
      <c r="CPE71" s="1"/>
      <c r="CPF71" s="1"/>
      <c r="CPG71" s="1"/>
      <c r="CPH71" s="1"/>
      <c r="CPI71" s="1"/>
      <c r="CPJ71" s="1"/>
      <c r="CPK71" s="1"/>
      <c r="CPL71" s="1"/>
      <c r="CPM71" s="1"/>
      <c r="CPN71" s="1"/>
      <c r="CPO71" s="1"/>
      <c r="CPP71" s="1"/>
      <c r="CPQ71" s="1"/>
      <c r="CPR71" s="1"/>
      <c r="CPS71" s="1"/>
      <c r="CPT71" s="1"/>
      <c r="CPU71" s="1"/>
      <c r="CPV71" s="1"/>
      <c r="CPW71" s="1"/>
      <c r="CPX71" s="1"/>
      <c r="CPY71" s="1"/>
      <c r="CPZ71" s="1"/>
      <c r="CQA71" s="1"/>
      <c r="CQB71" s="1"/>
      <c r="CQC71" s="1"/>
      <c r="CQD71" s="1"/>
      <c r="CQE71" s="1"/>
      <c r="CQF71" s="1"/>
      <c r="CQG71" s="1"/>
      <c r="CQH71" s="1"/>
      <c r="CQI71" s="1"/>
      <c r="CQJ71" s="1"/>
      <c r="CQK71" s="1"/>
      <c r="CQL71" s="1"/>
      <c r="CQM71" s="1"/>
      <c r="CQN71" s="1"/>
      <c r="CQO71" s="1"/>
      <c r="CQP71" s="1"/>
      <c r="CQQ71" s="1"/>
      <c r="CQR71" s="1"/>
      <c r="CQS71" s="1"/>
      <c r="CQT71" s="1"/>
      <c r="CQU71" s="1"/>
      <c r="CQV71" s="1"/>
      <c r="CQW71" s="1"/>
      <c r="CQX71" s="1"/>
      <c r="CQY71" s="1"/>
      <c r="CQZ71" s="1"/>
      <c r="CRA71" s="1"/>
      <c r="CRB71" s="1"/>
      <c r="CRC71" s="1"/>
      <c r="CRD71" s="1"/>
      <c r="CRE71" s="1"/>
      <c r="CRF71" s="1"/>
      <c r="CRG71" s="1"/>
      <c r="CRH71" s="1"/>
      <c r="CRI71" s="1"/>
      <c r="CRJ71" s="1"/>
      <c r="CRK71" s="1"/>
      <c r="CRL71" s="1"/>
      <c r="CRM71" s="1"/>
      <c r="CRN71" s="1"/>
      <c r="CRO71" s="1"/>
      <c r="CRP71" s="1"/>
      <c r="CRQ71" s="1"/>
      <c r="CRR71" s="1"/>
      <c r="CRS71" s="1"/>
      <c r="CRT71" s="1"/>
      <c r="CRU71" s="1"/>
      <c r="CRV71" s="1"/>
      <c r="CRW71" s="1"/>
      <c r="CRX71" s="1"/>
      <c r="CRY71" s="1"/>
      <c r="CRZ71" s="1"/>
      <c r="CSA71" s="1"/>
      <c r="CSB71" s="1"/>
      <c r="CSC71" s="1"/>
      <c r="CSD71" s="1"/>
      <c r="CSE71" s="1"/>
      <c r="CSF71" s="1"/>
      <c r="CSG71" s="1"/>
      <c r="CSH71" s="1"/>
      <c r="CSI71" s="1"/>
      <c r="CSJ71" s="1"/>
      <c r="CSK71" s="1"/>
      <c r="CSL71" s="1"/>
      <c r="CSM71" s="1"/>
      <c r="CSN71" s="1"/>
      <c r="CSO71" s="1"/>
      <c r="CSP71" s="1"/>
      <c r="CSQ71" s="1"/>
      <c r="CSR71" s="1"/>
      <c r="CSS71" s="1"/>
      <c r="CST71" s="1"/>
      <c r="CSU71" s="1"/>
      <c r="CSV71" s="1"/>
      <c r="CSW71" s="1"/>
      <c r="CSX71" s="1"/>
      <c r="CSY71" s="1"/>
      <c r="CSZ71" s="1"/>
      <c r="CTA71" s="1"/>
      <c r="CTB71" s="1"/>
      <c r="CTC71" s="1"/>
      <c r="CTD71" s="1"/>
      <c r="CTE71" s="1"/>
      <c r="CTF71" s="1"/>
      <c r="CTG71" s="1"/>
      <c r="CTH71" s="1"/>
      <c r="CTI71" s="1"/>
      <c r="CTJ71" s="1"/>
      <c r="CTK71" s="1"/>
      <c r="CTL71" s="1"/>
      <c r="CTM71" s="1"/>
      <c r="CTN71" s="1"/>
      <c r="CTO71" s="1"/>
      <c r="CTP71" s="1"/>
      <c r="CTQ71" s="1"/>
      <c r="CTR71" s="1"/>
      <c r="CTS71" s="1"/>
      <c r="CTT71" s="1"/>
      <c r="CTU71" s="1"/>
      <c r="CTV71" s="1"/>
      <c r="CTW71" s="1"/>
      <c r="CTX71" s="1"/>
      <c r="CTY71" s="1"/>
      <c r="CTZ71" s="1"/>
      <c r="CUA71" s="1"/>
      <c r="CUB71" s="1"/>
      <c r="CUC71" s="1"/>
      <c r="CUD71" s="1"/>
      <c r="CUE71" s="1"/>
      <c r="CUF71" s="1"/>
      <c r="CUG71" s="1"/>
      <c r="CUH71" s="1"/>
      <c r="CUI71" s="1"/>
      <c r="CUJ71" s="1"/>
      <c r="CUK71" s="1"/>
      <c r="CUL71" s="1"/>
      <c r="CUM71" s="1"/>
      <c r="CUN71" s="1"/>
      <c r="CUO71" s="1"/>
      <c r="CUP71" s="1"/>
      <c r="CUQ71" s="1"/>
      <c r="CUR71" s="1"/>
      <c r="CUS71" s="1"/>
      <c r="CUT71" s="1"/>
      <c r="CUU71" s="1"/>
      <c r="CUV71" s="1"/>
      <c r="CUW71" s="1"/>
      <c r="CUX71" s="1"/>
      <c r="CUY71" s="1"/>
      <c r="CUZ71" s="1"/>
      <c r="CVA71" s="1"/>
      <c r="CVB71" s="1"/>
      <c r="CVC71" s="1"/>
      <c r="CVD71" s="1"/>
      <c r="CVE71" s="1"/>
      <c r="CVF71" s="1"/>
      <c r="CVG71" s="1"/>
      <c r="CVH71" s="1"/>
      <c r="CVI71" s="1"/>
      <c r="CVJ71" s="1"/>
      <c r="CVK71" s="1"/>
      <c r="CVL71" s="1"/>
      <c r="CVM71" s="1"/>
      <c r="CVN71" s="1"/>
      <c r="CVO71" s="1"/>
      <c r="CVP71" s="1"/>
      <c r="CVQ71" s="1"/>
      <c r="CVR71" s="1"/>
      <c r="CVS71" s="1"/>
      <c r="CVT71" s="1"/>
      <c r="CVU71" s="1"/>
      <c r="CVV71" s="1"/>
      <c r="CVW71" s="1"/>
      <c r="CVX71" s="1"/>
      <c r="CVY71" s="1"/>
      <c r="CVZ71" s="1"/>
      <c r="CWA71" s="1"/>
      <c r="CWB71" s="1"/>
      <c r="CWC71" s="1"/>
      <c r="CWD71" s="1"/>
      <c r="CWE71" s="1"/>
      <c r="CWF71" s="1"/>
      <c r="CWG71" s="1"/>
      <c r="CWH71" s="1"/>
      <c r="CWI71" s="1"/>
      <c r="CWJ71" s="1"/>
      <c r="CWK71" s="1"/>
      <c r="CWL71" s="1"/>
      <c r="CWM71" s="1"/>
      <c r="CWN71" s="1"/>
      <c r="CWO71" s="1"/>
      <c r="CWP71" s="1"/>
      <c r="CWQ71" s="1"/>
      <c r="CWR71" s="1"/>
      <c r="CWS71" s="1"/>
      <c r="CWT71" s="1"/>
      <c r="CWU71" s="1"/>
      <c r="CWV71" s="1"/>
      <c r="CWW71" s="1"/>
      <c r="CWX71" s="1"/>
      <c r="CWY71" s="1"/>
      <c r="CWZ71" s="1"/>
      <c r="CXA71" s="1"/>
      <c r="CXB71" s="1"/>
      <c r="CXC71" s="1"/>
      <c r="CXD71" s="1"/>
      <c r="CXE71" s="1"/>
      <c r="CXF71" s="1"/>
      <c r="CXG71" s="1"/>
      <c r="CXH71" s="1"/>
      <c r="CXI71" s="1"/>
      <c r="CXJ71" s="1"/>
      <c r="CXK71" s="1"/>
      <c r="CXL71" s="1"/>
      <c r="CXM71" s="1"/>
      <c r="CXN71" s="1"/>
      <c r="CXO71" s="1"/>
      <c r="CXP71" s="1"/>
      <c r="CXQ71" s="1"/>
      <c r="CXR71" s="1"/>
      <c r="CXS71" s="1"/>
      <c r="CXT71" s="1"/>
      <c r="CXU71" s="1"/>
      <c r="CXV71" s="1"/>
      <c r="CXW71" s="1"/>
      <c r="CXX71" s="1"/>
      <c r="CXY71" s="1"/>
      <c r="CXZ71" s="1"/>
      <c r="CYA71" s="1"/>
      <c r="CYB71" s="1"/>
      <c r="CYC71" s="1"/>
      <c r="CYD71" s="1"/>
      <c r="CYE71" s="1"/>
      <c r="CYF71" s="1"/>
      <c r="CYG71" s="1"/>
      <c r="CYH71" s="1"/>
      <c r="CYI71" s="1"/>
      <c r="CYJ71" s="1"/>
      <c r="CYK71" s="1"/>
      <c r="CYL71" s="1"/>
      <c r="CYM71" s="1"/>
      <c r="CYN71" s="1"/>
      <c r="CYO71" s="1"/>
      <c r="CYP71" s="1"/>
      <c r="CYQ71" s="1"/>
      <c r="CYR71" s="1"/>
      <c r="CYS71" s="1"/>
      <c r="CYT71" s="1"/>
      <c r="CYU71" s="1"/>
      <c r="CYV71" s="1"/>
      <c r="CYW71" s="1"/>
      <c r="CYX71" s="1"/>
      <c r="CYY71" s="1"/>
      <c r="CYZ71" s="1"/>
      <c r="CZA71" s="1"/>
      <c r="CZB71" s="1"/>
      <c r="CZC71" s="1"/>
      <c r="CZD71" s="1"/>
      <c r="CZE71" s="1"/>
      <c r="CZF71" s="1"/>
      <c r="CZG71" s="1"/>
      <c r="CZH71" s="1"/>
      <c r="CZI71" s="1"/>
      <c r="CZJ71" s="1"/>
      <c r="CZK71" s="1"/>
      <c r="CZL71" s="1"/>
      <c r="CZM71" s="1"/>
      <c r="CZN71" s="1"/>
      <c r="CZO71" s="1"/>
      <c r="CZP71" s="1"/>
      <c r="CZQ71" s="1"/>
      <c r="CZR71" s="1"/>
      <c r="CZS71" s="1"/>
      <c r="CZT71" s="1"/>
      <c r="CZU71" s="1"/>
      <c r="CZV71" s="1"/>
      <c r="CZW71" s="1"/>
      <c r="CZX71" s="1"/>
      <c r="CZY71" s="1"/>
      <c r="CZZ71" s="1"/>
      <c r="DAA71" s="1"/>
      <c r="DAB71" s="1"/>
      <c r="DAC71" s="1"/>
      <c r="DAD71" s="1"/>
      <c r="DAE71" s="1"/>
      <c r="DAF71" s="1"/>
      <c r="DAG71" s="1"/>
      <c r="DAH71" s="1"/>
      <c r="DAI71" s="1"/>
      <c r="DAJ71" s="1"/>
      <c r="DAK71" s="1"/>
      <c r="DAL71" s="1"/>
      <c r="DAM71" s="1"/>
      <c r="DAN71" s="1"/>
      <c r="DAO71" s="1"/>
      <c r="DAP71" s="1"/>
      <c r="DAQ71" s="1"/>
      <c r="DAR71" s="1"/>
      <c r="DAS71" s="1"/>
      <c r="DAT71" s="1"/>
      <c r="DAU71" s="1"/>
      <c r="DAV71" s="1"/>
      <c r="DAW71" s="1"/>
      <c r="DAX71" s="1"/>
      <c r="DAY71" s="1"/>
      <c r="DAZ71" s="1"/>
      <c r="DBA71" s="1"/>
      <c r="DBB71" s="1"/>
      <c r="DBC71" s="1"/>
      <c r="DBD71" s="1"/>
      <c r="DBE71" s="1"/>
      <c r="DBF71" s="1"/>
      <c r="DBG71" s="1"/>
      <c r="DBH71" s="1"/>
      <c r="DBI71" s="1"/>
      <c r="DBJ71" s="1"/>
      <c r="DBK71" s="1"/>
      <c r="DBL71" s="1"/>
      <c r="DBM71" s="1"/>
      <c r="DBN71" s="1"/>
      <c r="DBO71" s="1"/>
      <c r="DBP71" s="1"/>
      <c r="DBQ71" s="1"/>
      <c r="DBR71" s="1"/>
      <c r="DBS71" s="1"/>
      <c r="DBT71" s="1"/>
      <c r="DBU71" s="1"/>
      <c r="DBV71" s="1"/>
      <c r="DBW71" s="1"/>
      <c r="DBX71" s="1"/>
      <c r="DBY71" s="1"/>
      <c r="DBZ71" s="1"/>
      <c r="DCA71" s="1"/>
      <c r="DCB71" s="1"/>
      <c r="DCC71" s="1"/>
      <c r="DCD71" s="1"/>
      <c r="DCE71" s="1"/>
      <c r="DCF71" s="1"/>
      <c r="DCG71" s="1"/>
      <c r="DCH71" s="1"/>
      <c r="DCI71" s="1"/>
      <c r="DCJ71" s="1"/>
      <c r="DCK71" s="1"/>
      <c r="DCL71" s="1"/>
      <c r="DCM71" s="1"/>
      <c r="DCN71" s="1"/>
      <c r="DCO71" s="1"/>
      <c r="DCP71" s="1"/>
      <c r="DCQ71" s="1"/>
      <c r="DCR71" s="1"/>
      <c r="DCS71" s="1"/>
      <c r="DCT71" s="1"/>
      <c r="DCU71" s="1"/>
      <c r="DCV71" s="1"/>
      <c r="DCW71" s="1"/>
      <c r="DCX71" s="1"/>
      <c r="DCY71" s="1"/>
      <c r="DCZ71" s="1"/>
      <c r="DDA71" s="1"/>
      <c r="DDB71" s="1"/>
      <c r="DDC71" s="1"/>
      <c r="DDD71" s="1"/>
      <c r="DDE71" s="1"/>
      <c r="DDF71" s="1"/>
      <c r="DDG71" s="1"/>
      <c r="DDH71" s="1"/>
      <c r="DDI71" s="1"/>
      <c r="DDJ71" s="1"/>
      <c r="DDK71" s="1"/>
      <c r="DDL71" s="1"/>
      <c r="DDM71" s="1"/>
      <c r="DDN71" s="1"/>
      <c r="DDO71" s="1"/>
      <c r="DDP71" s="1"/>
      <c r="DDQ71" s="1"/>
      <c r="DDR71" s="1"/>
      <c r="DDS71" s="1"/>
      <c r="DDT71" s="1"/>
      <c r="DDU71" s="1"/>
      <c r="DDV71" s="1"/>
      <c r="DDW71" s="1"/>
      <c r="DDX71" s="1"/>
      <c r="DDY71" s="1"/>
      <c r="DDZ71" s="1"/>
      <c r="DEA71" s="1"/>
      <c r="DEB71" s="1"/>
      <c r="DEC71" s="1"/>
      <c r="DED71" s="1"/>
      <c r="DEE71" s="1"/>
      <c r="DEF71" s="1"/>
      <c r="DEG71" s="1"/>
      <c r="DEH71" s="1"/>
      <c r="DEI71" s="1"/>
      <c r="DEJ71" s="1"/>
      <c r="DEK71" s="1"/>
      <c r="DEL71" s="1"/>
      <c r="DEM71" s="1"/>
      <c r="DEN71" s="1"/>
      <c r="DEO71" s="1"/>
      <c r="DEP71" s="1"/>
      <c r="DEQ71" s="1"/>
      <c r="DER71" s="1"/>
      <c r="DES71" s="1"/>
      <c r="DET71" s="1"/>
      <c r="DEU71" s="1"/>
      <c r="DEV71" s="1"/>
      <c r="DEW71" s="1"/>
      <c r="DEX71" s="1"/>
      <c r="DEY71" s="1"/>
      <c r="DEZ71" s="1"/>
      <c r="DFA71" s="1"/>
      <c r="DFB71" s="1"/>
      <c r="DFC71" s="1"/>
      <c r="DFD71" s="1"/>
      <c r="DFE71" s="1"/>
      <c r="DFF71" s="1"/>
      <c r="DFG71" s="1"/>
      <c r="DFH71" s="1"/>
      <c r="DFI71" s="1"/>
      <c r="DFJ71" s="1"/>
      <c r="DFK71" s="1"/>
      <c r="DFL71" s="1"/>
      <c r="DFM71" s="1"/>
      <c r="DFN71" s="1"/>
      <c r="DFO71" s="1"/>
      <c r="DFP71" s="1"/>
      <c r="DFQ71" s="1"/>
      <c r="DFR71" s="1"/>
      <c r="DFS71" s="1"/>
      <c r="DFT71" s="1"/>
      <c r="DFU71" s="1"/>
      <c r="DFV71" s="1"/>
      <c r="DFW71" s="1"/>
      <c r="DFX71" s="1"/>
      <c r="DFY71" s="1"/>
      <c r="DFZ71" s="1"/>
      <c r="DGA71" s="1"/>
      <c r="DGB71" s="1"/>
      <c r="DGC71" s="1"/>
      <c r="DGD71" s="1"/>
      <c r="DGE71" s="1"/>
      <c r="DGF71" s="1"/>
      <c r="DGG71" s="1"/>
      <c r="DGH71" s="1"/>
      <c r="DGI71" s="1"/>
      <c r="DGJ71" s="1"/>
      <c r="DGK71" s="1"/>
      <c r="DGL71" s="1"/>
      <c r="DGM71" s="1"/>
      <c r="DGN71" s="1"/>
      <c r="DGO71" s="1"/>
      <c r="DGP71" s="1"/>
      <c r="DGQ71" s="1"/>
      <c r="DGR71" s="1"/>
      <c r="DGS71" s="1"/>
      <c r="DGT71" s="1"/>
      <c r="DGU71" s="1"/>
      <c r="DGV71" s="1"/>
      <c r="DGW71" s="1"/>
      <c r="DGX71" s="1"/>
      <c r="DGY71" s="1"/>
      <c r="DGZ71" s="1"/>
      <c r="DHA71" s="1"/>
      <c r="DHB71" s="1"/>
      <c r="DHC71" s="1"/>
      <c r="DHD71" s="1"/>
      <c r="DHE71" s="1"/>
      <c r="DHF71" s="1"/>
      <c r="DHG71" s="1"/>
      <c r="DHH71" s="1"/>
      <c r="DHI71" s="1"/>
      <c r="DHJ71" s="1"/>
      <c r="DHK71" s="1"/>
      <c r="DHL71" s="1"/>
      <c r="DHM71" s="1"/>
      <c r="DHN71" s="1"/>
      <c r="DHO71" s="1"/>
      <c r="DHP71" s="1"/>
      <c r="DHQ71" s="1"/>
      <c r="DHR71" s="1"/>
      <c r="DHS71" s="1"/>
      <c r="DHT71" s="1"/>
      <c r="DHU71" s="1"/>
      <c r="DHV71" s="1"/>
      <c r="DHW71" s="1"/>
      <c r="DHX71" s="1"/>
      <c r="DHY71" s="1"/>
      <c r="DHZ71" s="1"/>
      <c r="DIA71" s="1"/>
      <c r="DIB71" s="1"/>
      <c r="DIC71" s="1"/>
      <c r="DID71" s="1"/>
      <c r="DIE71" s="1"/>
      <c r="DIF71" s="1"/>
      <c r="DIG71" s="1"/>
      <c r="DIH71" s="1"/>
      <c r="DII71" s="1"/>
      <c r="DIJ71" s="1"/>
      <c r="DIK71" s="1"/>
      <c r="DIL71" s="1"/>
      <c r="DIM71" s="1"/>
      <c r="DIN71" s="1"/>
      <c r="DIO71" s="1"/>
      <c r="DIP71" s="1"/>
      <c r="DIQ71" s="1"/>
      <c r="DIR71" s="1"/>
      <c r="DIS71" s="1"/>
      <c r="DIT71" s="1"/>
      <c r="DIU71" s="1"/>
      <c r="DIV71" s="1"/>
      <c r="DIW71" s="1"/>
      <c r="DIX71" s="1"/>
      <c r="DIY71" s="1"/>
      <c r="DIZ71" s="1"/>
      <c r="DJA71" s="1"/>
      <c r="DJB71" s="1"/>
      <c r="DJC71" s="1"/>
      <c r="DJD71" s="1"/>
      <c r="DJE71" s="1"/>
      <c r="DJF71" s="1"/>
      <c r="DJG71" s="1"/>
      <c r="DJH71" s="1"/>
      <c r="DJI71" s="1"/>
      <c r="DJJ71" s="1"/>
      <c r="DJK71" s="1"/>
      <c r="DJL71" s="1"/>
      <c r="DJM71" s="1"/>
      <c r="DJN71" s="1"/>
      <c r="DJO71" s="1"/>
      <c r="DJP71" s="1"/>
      <c r="DJQ71" s="1"/>
      <c r="DJR71" s="1"/>
      <c r="DJS71" s="1"/>
      <c r="DJT71" s="1"/>
      <c r="DJU71" s="1"/>
      <c r="DJV71" s="1"/>
      <c r="DJW71" s="1"/>
      <c r="DJX71" s="1"/>
      <c r="DJY71" s="1"/>
      <c r="DJZ71" s="1"/>
      <c r="DKA71" s="1"/>
      <c r="DKB71" s="1"/>
      <c r="DKC71" s="1"/>
      <c r="DKD71" s="1"/>
      <c r="DKE71" s="1"/>
      <c r="DKF71" s="1"/>
      <c r="DKG71" s="1"/>
      <c r="DKH71" s="1"/>
      <c r="DKI71" s="1"/>
      <c r="DKJ71" s="1"/>
      <c r="DKK71" s="1"/>
      <c r="DKL71" s="1"/>
      <c r="DKM71" s="1"/>
      <c r="DKN71" s="1"/>
      <c r="DKO71" s="1"/>
      <c r="DKP71" s="1"/>
      <c r="DKQ71" s="1"/>
      <c r="DKR71" s="1"/>
      <c r="DKS71" s="1"/>
      <c r="DKT71" s="1"/>
      <c r="DKU71" s="1"/>
      <c r="DKV71" s="1"/>
      <c r="DKW71" s="1"/>
      <c r="DKX71" s="1"/>
      <c r="DKY71" s="1"/>
      <c r="DKZ71" s="1"/>
      <c r="DLA71" s="1"/>
      <c r="DLB71" s="1"/>
      <c r="DLC71" s="1"/>
      <c r="DLD71" s="1"/>
      <c r="DLE71" s="1"/>
      <c r="DLF71" s="1"/>
      <c r="DLG71" s="1"/>
      <c r="DLH71" s="1"/>
      <c r="DLI71" s="1"/>
      <c r="DLJ71" s="1"/>
      <c r="DLK71" s="1"/>
      <c r="DLL71" s="1"/>
      <c r="DLM71" s="1"/>
      <c r="DLN71" s="1"/>
      <c r="DLO71" s="1"/>
      <c r="DLP71" s="1"/>
      <c r="DLQ71" s="1"/>
      <c r="DLR71" s="1"/>
      <c r="DLS71" s="1"/>
      <c r="DLT71" s="1"/>
      <c r="DLU71" s="1"/>
      <c r="DLV71" s="1"/>
      <c r="DLW71" s="1"/>
      <c r="DLX71" s="1"/>
      <c r="DLY71" s="1"/>
      <c r="DLZ71" s="1"/>
      <c r="DMA71" s="1"/>
      <c r="DMB71" s="1"/>
      <c r="DMC71" s="1"/>
      <c r="DMD71" s="1"/>
      <c r="DME71" s="1"/>
      <c r="DMF71" s="1"/>
      <c r="DMG71" s="1"/>
      <c r="DMH71" s="1"/>
      <c r="DMI71" s="1"/>
      <c r="DMJ71" s="1"/>
      <c r="DMK71" s="1"/>
      <c r="DML71" s="1"/>
      <c r="DMM71" s="1"/>
      <c r="DMN71" s="1"/>
      <c r="DMO71" s="1"/>
      <c r="DMP71" s="1"/>
      <c r="DMQ71" s="1"/>
      <c r="DMR71" s="1"/>
      <c r="DMS71" s="1"/>
      <c r="DMT71" s="1"/>
      <c r="DMU71" s="1"/>
      <c r="DMV71" s="1"/>
      <c r="DMW71" s="1"/>
      <c r="DMX71" s="1"/>
      <c r="DMY71" s="1"/>
      <c r="DMZ71" s="1"/>
      <c r="DNA71" s="1"/>
      <c r="DNB71" s="1"/>
      <c r="DNC71" s="1"/>
      <c r="DND71" s="1"/>
      <c r="DNE71" s="1"/>
      <c r="DNF71" s="1"/>
      <c r="DNG71" s="1"/>
      <c r="DNH71" s="1"/>
      <c r="DNI71" s="1"/>
      <c r="DNJ71" s="1"/>
      <c r="DNK71" s="1"/>
      <c r="DNL71" s="1"/>
      <c r="DNM71" s="1"/>
      <c r="DNN71" s="1"/>
      <c r="DNO71" s="1"/>
      <c r="DNP71" s="1"/>
      <c r="DNQ71" s="1"/>
      <c r="DNR71" s="1"/>
      <c r="DNS71" s="1"/>
      <c r="DNT71" s="1"/>
      <c r="DNU71" s="1"/>
      <c r="DNV71" s="1"/>
      <c r="DNW71" s="1"/>
      <c r="DNX71" s="1"/>
      <c r="DNY71" s="1"/>
      <c r="DNZ71" s="1"/>
      <c r="DOA71" s="1"/>
      <c r="DOB71" s="1"/>
      <c r="DOC71" s="1"/>
      <c r="DOD71" s="1"/>
      <c r="DOE71" s="1"/>
      <c r="DOF71" s="1"/>
      <c r="DOG71" s="1"/>
      <c r="DOH71" s="1"/>
      <c r="DOI71" s="1"/>
      <c r="DOJ71" s="1"/>
      <c r="DOK71" s="1"/>
      <c r="DOL71" s="1"/>
      <c r="DOM71" s="1"/>
      <c r="DON71" s="1"/>
      <c r="DOO71" s="1"/>
      <c r="DOP71" s="1"/>
      <c r="DOQ71" s="1"/>
      <c r="DOR71" s="1"/>
      <c r="DOS71" s="1"/>
      <c r="DOT71" s="1"/>
      <c r="DOU71" s="1"/>
      <c r="DOV71" s="1"/>
      <c r="DOW71" s="1"/>
      <c r="DOX71" s="1"/>
      <c r="DOY71" s="1"/>
      <c r="DOZ71" s="1"/>
      <c r="DPA71" s="1"/>
      <c r="DPB71" s="1"/>
      <c r="DPC71" s="1"/>
      <c r="DPD71" s="1"/>
      <c r="DPE71" s="1"/>
      <c r="DPF71" s="1"/>
      <c r="DPG71" s="1"/>
      <c r="DPH71" s="1"/>
      <c r="DPI71" s="1"/>
      <c r="DPJ71" s="1"/>
      <c r="DPK71" s="1"/>
      <c r="DPL71" s="1"/>
      <c r="DPM71" s="1"/>
      <c r="DPN71" s="1"/>
      <c r="DPO71" s="1"/>
      <c r="DPP71" s="1"/>
      <c r="DPQ71" s="1"/>
      <c r="DPR71" s="1"/>
      <c r="DPS71" s="1"/>
      <c r="DPT71" s="1"/>
      <c r="DPU71" s="1"/>
      <c r="DPV71" s="1"/>
      <c r="DPW71" s="1"/>
      <c r="DPX71" s="1"/>
      <c r="DPY71" s="1"/>
      <c r="DPZ71" s="1"/>
      <c r="DQA71" s="1"/>
      <c r="DQB71" s="1"/>
      <c r="DQC71" s="1"/>
      <c r="DQD71" s="1"/>
      <c r="DQE71" s="1"/>
      <c r="DQF71" s="1"/>
      <c r="DQG71" s="1"/>
      <c r="DQH71" s="1"/>
      <c r="DQI71" s="1"/>
      <c r="DQJ71" s="1"/>
      <c r="DQK71" s="1"/>
      <c r="DQL71" s="1"/>
      <c r="DQM71" s="1"/>
      <c r="DQN71" s="1"/>
      <c r="DQO71" s="1"/>
      <c r="DQP71" s="1"/>
      <c r="DQQ71" s="1"/>
      <c r="DQR71" s="1"/>
      <c r="DQS71" s="1"/>
      <c r="DQT71" s="1"/>
      <c r="DQU71" s="1"/>
      <c r="DQV71" s="1"/>
      <c r="DQW71" s="1"/>
      <c r="DQX71" s="1"/>
      <c r="DQY71" s="1"/>
      <c r="DQZ71" s="1"/>
      <c r="DRA71" s="1"/>
      <c r="DRB71" s="1"/>
      <c r="DRC71" s="1"/>
      <c r="DRD71" s="1"/>
      <c r="DRE71" s="1"/>
      <c r="DRF71" s="1"/>
      <c r="DRG71" s="1"/>
      <c r="DRH71" s="1"/>
      <c r="DRI71" s="1"/>
      <c r="DRJ71" s="1"/>
      <c r="DRK71" s="1"/>
      <c r="DRL71" s="1"/>
      <c r="DRM71" s="1"/>
      <c r="DRN71" s="1"/>
      <c r="DRO71" s="1"/>
      <c r="DRP71" s="1"/>
      <c r="DRQ71" s="1"/>
      <c r="DRR71" s="1"/>
      <c r="DRS71" s="1"/>
      <c r="DRT71" s="1"/>
      <c r="DRU71" s="1"/>
      <c r="DRV71" s="1"/>
      <c r="DRW71" s="1"/>
      <c r="DRX71" s="1"/>
      <c r="DRY71" s="1"/>
      <c r="DRZ71" s="1"/>
      <c r="DSA71" s="1"/>
      <c r="DSB71" s="1"/>
      <c r="DSC71" s="1"/>
      <c r="DSD71" s="1"/>
      <c r="DSE71" s="1"/>
      <c r="DSF71" s="1"/>
      <c r="DSG71" s="1"/>
      <c r="DSH71" s="1"/>
      <c r="DSI71" s="1"/>
      <c r="DSJ71" s="1"/>
      <c r="DSK71" s="1"/>
      <c r="DSL71" s="1"/>
      <c r="DSM71" s="1"/>
      <c r="DSN71" s="1"/>
      <c r="DSO71" s="1"/>
      <c r="DSP71" s="1"/>
      <c r="DSQ71" s="1"/>
      <c r="DSR71" s="1"/>
      <c r="DSS71" s="1"/>
      <c r="DST71" s="1"/>
      <c r="DSU71" s="1"/>
      <c r="DSV71" s="1"/>
      <c r="DSW71" s="1"/>
      <c r="DSX71" s="1"/>
      <c r="DSY71" s="1"/>
      <c r="DSZ71" s="1"/>
      <c r="DTA71" s="1"/>
      <c r="DTB71" s="1"/>
      <c r="DTC71" s="1"/>
      <c r="DTD71" s="1"/>
      <c r="DTE71" s="1"/>
      <c r="DTF71" s="1"/>
      <c r="DTG71" s="1"/>
      <c r="DTH71" s="1"/>
      <c r="DTI71" s="1"/>
      <c r="DTJ71" s="1"/>
      <c r="DTK71" s="1"/>
      <c r="DTL71" s="1"/>
      <c r="DTM71" s="1"/>
      <c r="DTN71" s="1"/>
      <c r="DTO71" s="1"/>
      <c r="DTP71" s="1"/>
      <c r="DTQ71" s="1"/>
      <c r="DTR71" s="1"/>
      <c r="DTS71" s="1"/>
      <c r="DTT71" s="1"/>
      <c r="DTU71" s="1"/>
      <c r="DTV71" s="1"/>
      <c r="DTW71" s="1"/>
      <c r="DTX71" s="1"/>
      <c r="DTY71" s="1"/>
      <c r="DTZ71" s="1"/>
      <c r="DUA71" s="1"/>
      <c r="DUB71" s="1"/>
      <c r="DUC71" s="1"/>
      <c r="DUD71" s="1"/>
      <c r="DUE71" s="1"/>
      <c r="DUF71" s="1"/>
      <c r="DUG71" s="1"/>
      <c r="DUH71" s="1"/>
      <c r="DUI71" s="1"/>
      <c r="DUJ71" s="1"/>
      <c r="DUK71" s="1"/>
      <c r="DUL71" s="1"/>
      <c r="DUM71" s="1"/>
      <c r="DUN71" s="1"/>
      <c r="DUO71" s="1"/>
      <c r="DUP71" s="1"/>
      <c r="DUQ71" s="1"/>
      <c r="DUR71" s="1"/>
      <c r="DUS71" s="1"/>
      <c r="DUT71" s="1"/>
      <c r="DUU71" s="1"/>
      <c r="DUV71" s="1"/>
      <c r="DUW71" s="1"/>
      <c r="DUX71" s="1"/>
      <c r="DUY71" s="1"/>
      <c r="DUZ71" s="1"/>
      <c r="DVA71" s="1"/>
      <c r="DVB71" s="1"/>
      <c r="DVC71" s="1"/>
      <c r="DVD71" s="1"/>
      <c r="DVE71" s="1"/>
      <c r="DVF71" s="1"/>
      <c r="DVG71" s="1"/>
      <c r="DVH71" s="1"/>
      <c r="DVI71" s="1"/>
      <c r="DVJ71" s="1"/>
      <c r="DVK71" s="1"/>
      <c r="DVL71" s="1"/>
      <c r="DVM71" s="1"/>
      <c r="DVN71" s="1"/>
      <c r="DVO71" s="1"/>
      <c r="DVP71" s="1"/>
      <c r="DVQ71" s="1"/>
      <c r="DVR71" s="1"/>
      <c r="DVS71" s="1"/>
      <c r="DVT71" s="1"/>
      <c r="DVU71" s="1"/>
      <c r="DVV71" s="1"/>
      <c r="DVW71" s="1"/>
      <c r="DVX71" s="1"/>
      <c r="DVY71" s="1"/>
      <c r="DVZ71" s="1"/>
      <c r="DWA71" s="1"/>
      <c r="DWB71" s="1"/>
      <c r="DWC71" s="1"/>
      <c r="DWD71" s="1"/>
      <c r="DWE71" s="1"/>
      <c r="DWF71" s="1"/>
      <c r="DWG71" s="1"/>
      <c r="DWH71" s="1"/>
      <c r="DWI71" s="1"/>
      <c r="DWJ71" s="1"/>
      <c r="DWK71" s="1"/>
      <c r="DWL71" s="1"/>
      <c r="DWM71" s="1"/>
      <c r="DWN71" s="1"/>
      <c r="DWO71" s="1"/>
      <c r="DWP71" s="1"/>
      <c r="DWQ71" s="1"/>
      <c r="DWR71" s="1"/>
      <c r="DWS71" s="1"/>
      <c r="DWT71" s="1"/>
      <c r="DWU71" s="1"/>
      <c r="DWV71" s="1"/>
      <c r="DWW71" s="1"/>
      <c r="DWX71" s="1"/>
      <c r="DWY71" s="1"/>
      <c r="DWZ71" s="1"/>
      <c r="DXA71" s="1"/>
      <c r="DXB71" s="1"/>
      <c r="DXC71" s="1"/>
      <c r="DXD71" s="1"/>
      <c r="DXE71" s="1"/>
      <c r="DXF71" s="1"/>
      <c r="DXG71" s="1"/>
      <c r="DXH71" s="1"/>
      <c r="DXI71" s="1"/>
      <c r="DXJ71" s="1"/>
      <c r="DXK71" s="1"/>
      <c r="DXL71" s="1"/>
      <c r="DXM71" s="1"/>
      <c r="DXN71" s="1"/>
      <c r="DXO71" s="1"/>
      <c r="DXP71" s="1"/>
      <c r="DXQ71" s="1"/>
      <c r="DXR71" s="1"/>
      <c r="DXS71" s="1"/>
      <c r="DXT71" s="1"/>
      <c r="DXU71" s="1"/>
      <c r="DXV71" s="1"/>
      <c r="DXW71" s="1"/>
      <c r="DXX71" s="1"/>
      <c r="DXY71" s="1"/>
      <c r="DXZ71" s="1"/>
      <c r="DYA71" s="1"/>
      <c r="DYB71" s="1"/>
      <c r="DYC71" s="1"/>
      <c r="DYD71" s="1"/>
      <c r="DYE71" s="1"/>
      <c r="DYF71" s="1"/>
      <c r="DYG71" s="1"/>
      <c r="DYH71" s="1"/>
      <c r="DYI71" s="1"/>
      <c r="DYJ71" s="1"/>
      <c r="DYK71" s="1"/>
      <c r="DYL71" s="1"/>
      <c r="DYM71" s="1"/>
      <c r="DYN71" s="1"/>
      <c r="DYO71" s="1"/>
      <c r="DYP71" s="1"/>
      <c r="DYQ71" s="1"/>
      <c r="DYR71" s="1"/>
      <c r="DYS71" s="1"/>
      <c r="DYT71" s="1"/>
      <c r="DYU71" s="1"/>
      <c r="DYV71" s="1"/>
      <c r="DYW71" s="1"/>
      <c r="DYX71" s="1"/>
      <c r="DYY71" s="1"/>
      <c r="DYZ71" s="1"/>
      <c r="DZA71" s="1"/>
      <c r="DZB71" s="1"/>
      <c r="DZC71" s="1"/>
      <c r="DZD71" s="1"/>
      <c r="DZE71" s="1"/>
      <c r="DZF71" s="1"/>
      <c r="DZG71" s="1"/>
      <c r="DZH71" s="1"/>
      <c r="DZI71" s="1"/>
      <c r="DZJ71" s="1"/>
      <c r="DZK71" s="1"/>
      <c r="DZL71" s="1"/>
      <c r="DZM71" s="1"/>
      <c r="DZN71" s="1"/>
      <c r="DZO71" s="1"/>
      <c r="DZP71" s="1"/>
      <c r="DZQ71" s="1"/>
      <c r="DZR71" s="1"/>
      <c r="DZS71" s="1"/>
      <c r="DZT71" s="1"/>
      <c r="DZU71" s="1"/>
      <c r="DZV71" s="1"/>
      <c r="DZW71" s="1"/>
      <c r="DZX71" s="1"/>
      <c r="DZY71" s="1"/>
      <c r="DZZ71" s="1"/>
      <c r="EAA71" s="1"/>
      <c r="EAB71" s="1"/>
      <c r="EAC71" s="1"/>
      <c r="EAD71" s="1"/>
      <c r="EAE71" s="1"/>
      <c r="EAF71" s="1"/>
      <c r="EAG71" s="1"/>
      <c r="EAH71" s="1"/>
      <c r="EAI71" s="1"/>
      <c r="EAJ71" s="1"/>
      <c r="EAK71" s="1"/>
      <c r="EAL71" s="1"/>
      <c r="EAM71" s="1"/>
      <c r="EAN71" s="1"/>
      <c r="EAO71" s="1"/>
      <c r="EAP71" s="1"/>
      <c r="EAQ71" s="1"/>
      <c r="EAR71" s="1"/>
      <c r="EAS71" s="1"/>
      <c r="EAT71" s="1"/>
      <c r="EAU71" s="1"/>
      <c r="EAV71" s="1"/>
      <c r="EAW71" s="1"/>
      <c r="EAX71" s="1"/>
      <c r="EAY71" s="1"/>
      <c r="EAZ71" s="1"/>
      <c r="EBA71" s="1"/>
      <c r="EBB71" s="1"/>
      <c r="EBC71" s="1"/>
      <c r="EBD71" s="1"/>
      <c r="EBE71" s="1"/>
      <c r="EBF71" s="1"/>
      <c r="EBG71" s="1"/>
      <c r="EBH71" s="1"/>
      <c r="EBI71" s="1"/>
      <c r="EBJ71" s="1"/>
      <c r="EBK71" s="1"/>
      <c r="EBL71" s="1"/>
      <c r="EBM71" s="1"/>
      <c r="EBN71" s="1"/>
      <c r="EBO71" s="1"/>
      <c r="EBP71" s="1"/>
      <c r="EBQ71" s="1"/>
      <c r="EBR71" s="1"/>
      <c r="EBS71" s="1"/>
      <c r="EBT71" s="1"/>
      <c r="EBU71" s="1"/>
      <c r="EBV71" s="1"/>
      <c r="EBW71" s="1"/>
      <c r="EBX71" s="1"/>
      <c r="EBY71" s="1"/>
      <c r="EBZ71" s="1"/>
      <c r="ECA71" s="1"/>
      <c r="ECB71" s="1"/>
      <c r="ECC71" s="1"/>
      <c r="ECD71" s="1"/>
      <c r="ECE71" s="1"/>
      <c r="ECF71" s="1"/>
      <c r="ECG71" s="1"/>
      <c r="ECH71" s="1"/>
      <c r="ECI71" s="1"/>
      <c r="ECJ71" s="1"/>
      <c r="ECK71" s="1"/>
      <c r="ECL71" s="1"/>
      <c r="ECM71" s="1"/>
      <c r="ECN71" s="1"/>
      <c r="ECO71" s="1"/>
      <c r="ECP71" s="1"/>
      <c r="ECQ71" s="1"/>
      <c r="ECR71" s="1"/>
      <c r="ECS71" s="1"/>
      <c r="ECT71" s="1"/>
      <c r="ECU71" s="1"/>
      <c r="ECV71" s="1"/>
      <c r="ECW71" s="1"/>
      <c r="ECX71" s="1"/>
      <c r="ECY71" s="1"/>
      <c r="ECZ71" s="1"/>
      <c r="EDA71" s="1"/>
      <c r="EDB71" s="1"/>
      <c r="EDC71" s="1"/>
      <c r="EDD71" s="1"/>
      <c r="EDE71" s="1"/>
      <c r="EDF71" s="1"/>
      <c r="EDG71" s="1"/>
      <c r="EDH71" s="1"/>
      <c r="EDI71" s="1"/>
      <c r="EDJ71" s="1"/>
      <c r="EDK71" s="1"/>
      <c r="EDL71" s="1"/>
      <c r="EDM71" s="1"/>
      <c r="EDN71" s="1"/>
      <c r="EDO71" s="1"/>
      <c r="EDP71" s="1"/>
      <c r="EDQ71" s="1"/>
      <c r="EDR71" s="1"/>
      <c r="EDS71" s="1"/>
      <c r="EDT71" s="1"/>
      <c r="EDU71" s="1"/>
      <c r="EDV71" s="1"/>
      <c r="EDW71" s="1"/>
      <c r="EDX71" s="1"/>
      <c r="EDY71" s="1"/>
      <c r="EDZ71" s="1"/>
      <c r="EEA71" s="1"/>
      <c r="EEB71" s="1"/>
      <c r="EEC71" s="1"/>
      <c r="EED71" s="1"/>
      <c r="EEE71" s="1"/>
      <c r="EEF71" s="1"/>
      <c r="EEG71" s="1"/>
      <c r="EEH71" s="1"/>
      <c r="EEI71" s="1"/>
      <c r="EEJ71" s="1"/>
      <c r="EEK71" s="1"/>
      <c r="EEL71" s="1"/>
      <c r="EEM71" s="1"/>
      <c r="EEN71" s="1"/>
      <c r="EEO71" s="1"/>
      <c r="EEP71" s="1"/>
      <c r="EEQ71" s="1"/>
      <c r="EER71" s="1"/>
      <c r="EES71" s="1"/>
      <c r="EET71" s="1"/>
      <c r="EEU71" s="1"/>
      <c r="EEV71" s="1"/>
      <c r="EEW71" s="1"/>
      <c r="EEX71" s="1"/>
      <c r="EEY71" s="1"/>
      <c r="EEZ71" s="1"/>
      <c r="EFA71" s="1"/>
      <c r="EFB71" s="1"/>
      <c r="EFC71" s="1"/>
      <c r="EFD71" s="1"/>
      <c r="EFE71" s="1"/>
      <c r="EFF71" s="1"/>
      <c r="EFG71" s="1"/>
      <c r="EFH71" s="1"/>
      <c r="EFI71" s="1"/>
      <c r="EFJ71" s="1"/>
      <c r="EFK71" s="1"/>
      <c r="EFL71" s="1"/>
      <c r="EFM71" s="1"/>
      <c r="EFN71" s="1"/>
      <c r="EFO71" s="1"/>
      <c r="EFP71" s="1"/>
      <c r="EFQ71" s="1"/>
      <c r="EFR71" s="1"/>
      <c r="EFS71" s="1"/>
      <c r="EFT71" s="1"/>
      <c r="EFU71" s="1"/>
      <c r="EFV71" s="1"/>
      <c r="EFW71" s="1"/>
      <c r="EFX71" s="1"/>
      <c r="EFY71" s="1"/>
      <c r="EFZ71" s="1"/>
      <c r="EGA71" s="1"/>
      <c r="EGB71" s="1"/>
      <c r="EGC71" s="1"/>
      <c r="EGD71" s="1"/>
      <c r="EGE71" s="1"/>
      <c r="EGF71" s="1"/>
      <c r="EGG71" s="1"/>
      <c r="EGH71" s="1"/>
      <c r="EGI71" s="1"/>
      <c r="EGJ71" s="1"/>
      <c r="EGK71" s="1"/>
      <c r="EGL71" s="1"/>
      <c r="EGM71" s="1"/>
      <c r="EGN71" s="1"/>
      <c r="EGO71" s="1"/>
      <c r="EGP71" s="1"/>
      <c r="EGQ71" s="1"/>
      <c r="EGR71" s="1"/>
      <c r="EGS71" s="1"/>
      <c r="EGT71" s="1"/>
      <c r="EGU71" s="1"/>
      <c r="EGV71" s="1"/>
      <c r="EGW71" s="1"/>
      <c r="EGX71" s="1"/>
      <c r="EGY71" s="1"/>
      <c r="EGZ71" s="1"/>
      <c r="EHA71" s="1"/>
      <c r="EHB71" s="1"/>
      <c r="EHC71" s="1"/>
      <c r="EHD71" s="1"/>
      <c r="EHE71" s="1"/>
      <c r="EHF71" s="1"/>
      <c r="EHG71" s="1"/>
      <c r="EHH71" s="1"/>
      <c r="EHI71" s="1"/>
      <c r="EHJ71" s="1"/>
      <c r="EHK71" s="1"/>
      <c r="EHL71" s="1"/>
      <c r="EHM71" s="1"/>
      <c r="EHN71" s="1"/>
      <c r="EHO71" s="1"/>
      <c r="EHP71" s="1"/>
      <c r="EHQ71" s="1"/>
      <c r="EHR71" s="1"/>
      <c r="EHS71" s="1"/>
      <c r="EHT71" s="1"/>
      <c r="EHU71" s="1"/>
      <c r="EHV71" s="1"/>
      <c r="EHW71" s="1"/>
      <c r="EHX71" s="1"/>
      <c r="EHY71" s="1"/>
      <c r="EHZ71" s="1"/>
      <c r="EIA71" s="1"/>
      <c r="EIB71" s="1"/>
      <c r="EIC71" s="1"/>
      <c r="EID71" s="1"/>
      <c r="EIE71" s="1"/>
      <c r="EIF71" s="1"/>
      <c r="EIG71" s="1"/>
      <c r="EIH71" s="1"/>
      <c r="EII71" s="1"/>
      <c r="EIJ71" s="1"/>
      <c r="EIK71" s="1"/>
      <c r="EIL71" s="1"/>
      <c r="EIM71" s="1"/>
      <c r="EIN71" s="1"/>
      <c r="EIO71" s="1"/>
      <c r="EIP71" s="1"/>
      <c r="EIQ71" s="1"/>
      <c r="EIR71" s="1"/>
      <c r="EIS71" s="1"/>
      <c r="EIT71" s="1"/>
      <c r="EIU71" s="1"/>
      <c r="EIV71" s="1"/>
      <c r="EIW71" s="1"/>
      <c r="EIX71" s="1"/>
      <c r="EIY71" s="1"/>
      <c r="EIZ71" s="1"/>
      <c r="EJA71" s="1"/>
      <c r="EJB71" s="1"/>
      <c r="EJC71" s="1"/>
      <c r="EJD71" s="1"/>
      <c r="EJE71" s="1"/>
      <c r="EJF71" s="1"/>
      <c r="EJG71" s="1"/>
      <c r="EJH71" s="1"/>
      <c r="EJI71" s="1"/>
      <c r="EJJ71" s="1"/>
      <c r="EJK71" s="1"/>
      <c r="EJL71" s="1"/>
      <c r="EJM71" s="1"/>
      <c r="EJN71" s="1"/>
      <c r="EJO71" s="1"/>
      <c r="EJP71" s="1"/>
      <c r="EJQ71" s="1"/>
      <c r="EJR71" s="1"/>
      <c r="EJS71" s="1"/>
      <c r="EJT71" s="1"/>
      <c r="EJU71" s="1"/>
      <c r="EJV71" s="1"/>
      <c r="EJW71" s="1"/>
      <c r="EJX71" s="1"/>
      <c r="EJY71" s="1"/>
      <c r="EJZ71" s="1"/>
      <c r="EKA71" s="1"/>
      <c r="EKB71" s="1"/>
      <c r="EKC71" s="1"/>
      <c r="EKD71" s="1"/>
      <c r="EKE71" s="1"/>
      <c r="EKF71" s="1"/>
      <c r="EKG71" s="1"/>
      <c r="EKH71" s="1"/>
      <c r="EKI71" s="1"/>
      <c r="EKJ71" s="1"/>
      <c r="EKK71" s="1"/>
      <c r="EKL71" s="1"/>
      <c r="EKM71" s="1"/>
      <c r="EKN71" s="1"/>
      <c r="EKO71" s="1"/>
      <c r="EKP71" s="1"/>
      <c r="EKQ71" s="1"/>
      <c r="EKR71" s="1"/>
      <c r="EKS71" s="1"/>
      <c r="EKT71" s="1"/>
      <c r="EKU71" s="1"/>
      <c r="EKV71" s="1"/>
      <c r="EKW71" s="1"/>
      <c r="EKX71" s="1"/>
      <c r="EKY71" s="1"/>
      <c r="EKZ71" s="1"/>
      <c r="ELA71" s="1"/>
      <c r="ELB71" s="1"/>
      <c r="ELC71" s="1"/>
      <c r="ELD71" s="1"/>
      <c r="ELE71" s="1"/>
      <c r="ELF71" s="1"/>
      <c r="ELG71" s="1"/>
      <c r="ELH71" s="1"/>
      <c r="ELI71" s="1"/>
      <c r="ELJ71" s="1"/>
      <c r="ELK71" s="1"/>
      <c r="ELL71" s="1"/>
      <c r="ELM71" s="1"/>
      <c r="ELN71" s="1"/>
      <c r="ELO71" s="1"/>
      <c r="ELP71" s="1"/>
      <c r="ELQ71" s="1"/>
      <c r="ELR71" s="1"/>
      <c r="ELS71" s="1"/>
      <c r="ELT71" s="1"/>
      <c r="ELU71" s="1"/>
      <c r="ELV71" s="1"/>
      <c r="ELW71" s="1"/>
      <c r="ELX71" s="1"/>
      <c r="ELY71" s="1"/>
      <c r="ELZ71" s="1"/>
      <c r="EMA71" s="1"/>
      <c r="EMB71" s="1"/>
      <c r="EMC71" s="1"/>
      <c r="EMD71" s="1"/>
      <c r="EME71" s="1"/>
      <c r="EMF71" s="1"/>
      <c r="EMG71" s="1"/>
      <c r="EMH71" s="1"/>
      <c r="EMI71" s="1"/>
      <c r="EMJ71" s="1"/>
      <c r="EMK71" s="1"/>
      <c r="EML71" s="1"/>
      <c r="EMM71" s="1"/>
      <c r="EMN71" s="1"/>
      <c r="EMO71" s="1"/>
      <c r="EMP71" s="1"/>
      <c r="EMQ71" s="1"/>
      <c r="EMR71" s="1"/>
      <c r="EMS71" s="1"/>
      <c r="EMT71" s="1"/>
      <c r="EMU71" s="1"/>
      <c r="EMV71" s="1"/>
      <c r="EMW71" s="1"/>
      <c r="EMX71" s="1"/>
      <c r="EMY71" s="1"/>
      <c r="EMZ71" s="1"/>
      <c r="ENA71" s="1"/>
      <c r="ENB71" s="1"/>
      <c r="ENC71" s="1"/>
      <c r="END71" s="1"/>
      <c r="ENE71" s="1"/>
      <c r="ENF71" s="1"/>
      <c r="ENG71" s="1"/>
      <c r="ENH71" s="1"/>
      <c r="ENI71" s="1"/>
      <c r="ENJ71" s="1"/>
      <c r="ENK71" s="1"/>
      <c r="ENL71" s="1"/>
      <c r="ENM71" s="1"/>
      <c r="ENN71" s="1"/>
      <c r="ENO71" s="1"/>
      <c r="ENP71" s="1"/>
      <c r="ENQ71" s="1"/>
      <c r="ENR71" s="1"/>
      <c r="ENS71" s="1"/>
      <c r="ENT71" s="1"/>
      <c r="ENU71" s="1"/>
      <c r="ENV71" s="1"/>
      <c r="ENW71" s="1"/>
      <c r="ENX71" s="1"/>
      <c r="ENY71" s="1"/>
      <c r="ENZ71" s="1"/>
      <c r="EOA71" s="1"/>
      <c r="EOB71" s="1"/>
      <c r="EOC71" s="1"/>
      <c r="EOD71" s="1"/>
      <c r="EOE71" s="1"/>
      <c r="EOF71" s="1"/>
      <c r="EOG71" s="1"/>
      <c r="EOH71" s="1"/>
      <c r="EOI71" s="1"/>
      <c r="EOJ71" s="1"/>
      <c r="EOK71" s="1"/>
      <c r="EOL71" s="1"/>
      <c r="EOM71" s="1"/>
      <c r="EON71" s="1"/>
      <c r="EOO71" s="1"/>
      <c r="EOP71" s="1"/>
      <c r="EOQ71" s="1"/>
      <c r="EOR71" s="1"/>
      <c r="EOS71" s="1"/>
      <c r="EOT71" s="1"/>
      <c r="EOU71" s="1"/>
      <c r="EOV71" s="1"/>
      <c r="EOW71" s="1"/>
      <c r="EOX71" s="1"/>
      <c r="EOY71" s="1"/>
      <c r="EOZ71" s="1"/>
      <c r="EPA71" s="1"/>
      <c r="EPB71" s="1"/>
      <c r="EPC71" s="1"/>
      <c r="EPD71" s="1"/>
      <c r="EPE71" s="1"/>
      <c r="EPF71" s="1"/>
      <c r="EPG71" s="1"/>
      <c r="EPH71" s="1"/>
      <c r="EPI71" s="1"/>
      <c r="EPJ71" s="1"/>
      <c r="EPK71" s="1"/>
      <c r="EPL71" s="1"/>
      <c r="EPM71" s="1"/>
      <c r="EPN71" s="1"/>
      <c r="EPO71" s="1"/>
      <c r="EPP71" s="1"/>
      <c r="EPQ71" s="1"/>
      <c r="EPR71" s="1"/>
      <c r="EPS71" s="1"/>
      <c r="EPT71" s="1"/>
      <c r="EPU71" s="1"/>
      <c r="EPV71" s="1"/>
      <c r="EPW71" s="1"/>
      <c r="EPX71" s="1"/>
      <c r="EPY71" s="1"/>
      <c r="EPZ71" s="1"/>
      <c r="EQA71" s="1"/>
      <c r="EQB71" s="1"/>
      <c r="EQC71" s="1"/>
      <c r="EQD71" s="1"/>
      <c r="EQE71" s="1"/>
      <c r="EQF71" s="1"/>
      <c r="EQG71" s="1"/>
      <c r="EQH71" s="1"/>
      <c r="EQI71" s="1"/>
      <c r="EQJ71" s="1"/>
      <c r="EQK71" s="1"/>
      <c r="EQL71" s="1"/>
      <c r="EQM71" s="1"/>
      <c r="EQN71" s="1"/>
      <c r="EQO71" s="1"/>
      <c r="EQP71" s="1"/>
      <c r="EQQ71" s="1"/>
      <c r="EQR71" s="1"/>
      <c r="EQS71" s="1"/>
      <c r="EQT71" s="1"/>
      <c r="EQU71" s="1"/>
      <c r="EQV71" s="1"/>
      <c r="EQW71" s="1"/>
      <c r="EQX71" s="1"/>
      <c r="EQY71" s="1"/>
      <c r="EQZ71" s="1"/>
      <c r="ERA71" s="1"/>
      <c r="ERB71" s="1"/>
      <c r="ERC71" s="1"/>
      <c r="ERD71" s="1"/>
      <c r="ERE71" s="1"/>
      <c r="ERF71" s="1"/>
      <c r="ERG71" s="1"/>
      <c r="ERH71" s="1"/>
      <c r="ERI71" s="1"/>
      <c r="ERJ71" s="1"/>
      <c r="ERK71" s="1"/>
      <c r="ERL71" s="1"/>
      <c r="ERM71" s="1"/>
      <c r="ERN71" s="1"/>
      <c r="ERO71" s="1"/>
      <c r="ERP71" s="1"/>
      <c r="ERQ71" s="1"/>
      <c r="ERR71" s="1"/>
      <c r="ERS71" s="1"/>
      <c r="ERT71" s="1"/>
      <c r="ERU71" s="1"/>
      <c r="ERV71" s="1"/>
      <c r="ERW71" s="1"/>
      <c r="ERX71" s="1"/>
      <c r="ERY71" s="1"/>
      <c r="ERZ71" s="1"/>
      <c r="ESA71" s="1"/>
      <c r="ESB71" s="1"/>
      <c r="ESC71" s="1"/>
      <c r="ESD71" s="1"/>
      <c r="ESE71" s="1"/>
      <c r="ESF71" s="1"/>
      <c r="ESG71" s="1"/>
      <c r="ESH71" s="1"/>
      <c r="ESI71" s="1"/>
      <c r="ESJ71" s="1"/>
      <c r="ESK71" s="1"/>
      <c r="ESL71" s="1"/>
      <c r="ESM71" s="1"/>
      <c r="ESN71" s="1"/>
      <c r="ESO71" s="1"/>
      <c r="ESP71" s="1"/>
      <c r="ESQ71" s="1"/>
      <c r="ESR71" s="1"/>
      <c r="ESS71" s="1"/>
      <c r="EST71" s="1"/>
      <c r="ESU71" s="1"/>
      <c r="ESV71" s="1"/>
      <c r="ESW71" s="1"/>
      <c r="ESX71" s="1"/>
      <c r="ESY71" s="1"/>
      <c r="ESZ71" s="1"/>
      <c r="ETA71" s="1"/>
      <c r="ETB71" s="1"/>
      <c r="ETC71" s="1"/>
      <c r="ETD71" s="1"/>
      <c r="ETE71" s="1"/>
      <c r="ETF71" s="1"/>
      <c r="ETG71" s="1"/>
      <c r="ETH71" s="1"/>
      <c r="ETI71" s="1"/>
      <c r="ETJ71" s="1"/>
      <c r="ETK71" s="1"/>
      <c r="ETL71" s="1"/>
      <c r="ETM71" s="1"/>
      <c r="ETN71" s="1"/>
      <c r="ETO71" s="1"/>
      <c r="ETP71" s="1"/>
      <c r="ETQ71" s="1"/>
      <c r="ETR71" s="1"/>
      <c r="ETS71" s="1"/>
      <c r="ETT71" s="1"/>
      <c r="ETU71" s="1"/>
      <c r="ETV71" s="1"/>
      <c r="ETW71" s="1"/>
      <c r="ETX71" s="1"/>
      <c r="ETY71" s="1"/>
      <c r="ETZ71" s="1"/>
      <c r="EUA71" s="1"/>
      <c r="EUB71" s="1"/>
      <c r="EUC71" s="1"/>
      <c r="EUD71" s="1"/>
      <c r="EUE71" s="1"/>
      <c r="EUF71" s="1"/>
      <c r="EUG71" s="1"/>
      <c r="EUH71" s="1"/>
      <c r="EUI71" s="1"/>
      <c r="EUJ71" s="1"/>
      <c r="EUK71" s="1"/>
      <c r="EUL71" s="1"/>
      <c r="EUM71" s="1"/>
      <c r="EUN71" s="1"/>
      <c r="EUO71" s="1"/>
      <c r="EUP71" s="1"/>
      <c r="EUQ71" s="1"/>
      <c r="EUR71" s="1"/>
      <c r="EUS71" s="1"/>
      <c r="EUT71" s="1"/>
      <c r="EUU71" s="1"/>
      <c r="EUV71" s="1"/>
      <c r="EUW71" s="1"/>
      <c r="EUX71" s="1"/>
      <c r="EUY71" s="1"/>
      <c r="EUZ71" s="1"/>
      <c r="EVA71" s="1"/>
      <c r="EVB71" s="1"/>
      <c r="EVC71" s="1"/>
      <c r="EVD71" s="1"/>
      <c r="EVE71" s="1"/>
      <c r="EVF71" s="1"/>
      <c r="EVG71" s="1"/>
      <c r="EVH71" s="1"/>
      <c r="EVI71" s="1"/>
      <c r="EVJ71" s="1"/>
      <c r="EVK71" s="1"/>
      <c r="EVL71" s="1"/>
      <c r="EVM71" s="1"/>
      <c r="EVN71" s="1"/>
      <c r="EVO71" s="1"/>
      <c r="EVP71" s="1"/>
      <c r="EVQ71" s="1"/>
      <c r="EVR71" s="1"/>
      <c r="EVS71" s="1"/>
      <c r="EVT71" s="1"/>
      <c r="EVU71" s="1"/>
      <c r="EVV71" s="1"/>
      <c r="EVW71" s="1"/>
      <c r="EVX71" s="1"/>
      <c r="EVY71" s="1"/>
      <c r="EVZ71" s="1"/>
      <c r="EWA71" s="1"/>
      <c r="EWB71" s="1"/>
      <c r="EWC71" s="1"/>
      <c r="EWD71" s="1"/>
      <c r="EWE71" s="1"/>
      <c r="EWF71" s="1"/>
      <c r="EWG71" s="1"/>
      <c r="EWH71" s="1"/>
      <c r="EWI71" s="1"/>
      <c r="EWJ71" s="1"/>
      <c r="EWK71" s="1"/>
      <c r="EWL71" s="1"/>
      <c r="EWM71" s="1"/>
      <c r="EWN71" s="1"/>
      <c r="EWO71" s="1"/>
      <c r="EWP71" s="1"/>
      <c r="EWQ71" s="1"/>
      <c r="EWR71" s="1"/>
      <c r="EWS71" s="1"/>
      <c r="EWT71" s="1"/>
      <c r="EWU71" s="1"/>
      <c r="EWV71" s="1"/>
      <c r="EWW71" s="1"/>
      <c r="EWX71" s="1"/>
      <c r="EWY71" s="1"/>
      <c r="EWZ71" s="1"/>
      <c r="EXA71" s="1"/>
      <c r="EXB71" s="1"/>
      <c r="EXC71" s="1"/>
      <c r="EXD71" s="1"/>
      <c r="EXE71" s="1"/>
      <c r="EXF71" s="1"/>
      <c r="EXG71" s="1"/>
      <c r="EXH71" s="1"/>
      <c r="EXI71" s="1"/>
      <c r="EXJ71" s="1"/>
      <c r="EXK71" s="1"/>
      <c r="EXL71" s="1"/>
      <c r="EXM71" s="1"/>
      <c r="EXN71" s="1"/>
      <c r="EXO71" s="1"/>
      <c r="EXP71" s="1"/>
      <c r="EXQ71" s="1"/>
      <c r="EXR71" s="1"/>
      <c r="EXS71" s="1"/>
      <c r="EXT71" s="1"/>
      <c r="EXU71" s="1"/>
      <c r="EXV71" s="1"/>
      <c r="EXW71" s="1"/>
      <c r="EXX71" s="1"/>
      <c r="EXY71" s="1"/>
      <c r="EXZ71" s="1"/>
      <c r="EYA71" s="1"/>
      <c r="EYB71" s="1"/>
      <c r="EYC71" s="1"/>
      <c r="EYD71" s="1"/>
      <c r="EYE71" s="1"/>
      <c r="EYF71" s="1"/>
      <c r="EYG71" s="1"/>
      <c r="EYH71" s="1"/>
      <c r="EYI71" s="1"/>
      <c r="EYJ71" s="1"/>
      <c r="EYK71" s="1"/>
      <c r="EYL71" s="1"/>
      <c r="EYM71" s="1"/>
      <c r="EYN71" s="1"/>
      <c r="EYO71" s="1"/>
      <c r="EYP71" s="1"/>
      <c r="EYQ71" s="1"/>
      <c r="EYR71" s="1"/>
      <c r="EYS71" s="1"/>
      <c r="EYT71" s="1"/>
      <c r="EYU71" s="1"/>
      <c r="EYV71" s="1"/>
      <c r="EYW71" s="1"/>
      <c r="EYX71" s="1"/>
      <c r="EYY71" s="1"/>
      <c r="EYZ71" s="1"/>
      <c r="EZA71" s="1"/>
      <c r="EZB71" s="1"/>
      <c r="EZC71" s="1"/>
      <c r="EZD71" s="1"/>
      <c r="EZE71" s="1"/>
      <c r="EZF71" s="1"/>
      <c r="EZG71" s="1"/>
      <c r="EZH71" s="1"/>
      <c r="EZI71" s="1"/>
      <c r="EZJ71" s="1"/>
      <c r="EZK71" s="1"/>
      <c r="EZL71" s="1"/>
      <c r="EZM71" s="1"/>
      <c r="EZN71" s="1"/>
      <c r="EZO71" s="1"/>
      <c r="EZP71" s="1"/>
      <c r="EZQ71" s="1"/>
      <c r="EZR71" s="1"/>
      <c r="EZS71" s="1"/>
      <c r="EZT71" s="1"/>
      <c r="EZU71" s="1"/>
      <c r="EZV71" s="1"/>
      <c r="EZW71" s="1"/>
      <c r="EZX71" s="1"/>
      <c r="EZY71" s="1"/>
      <c r="EZZ71" s="1"/>
      <c r="FAA71" s="1"/>
      <c r="FAB71" s="1"/>
      <c r="FAC71" s="1"/>
      <c r="FAD71" s="1"/>
      <c r="FAE71" s="1"/>
      <c r="FAF71" s="1"/>
      <c r="FAG71" s="1"/>
      <c r="FAH71" s="1"/>
      <c r="FAI71" s="1"/>
      <c r="FAJ71" s="1"/>
      <c r="FAK71" s="1"/>
      <c r="FAL71" s="1"/>
      <c r="FAM71" s="1"/>
      <c r="FAN71" s="1"/>
      <c r="FAO71" s="1"/>
      <c r="FAP71" s="1"/>
      <c r="FAQ71" s="1"/>
      <c r="FAR71" s="1"/>
      <c r="FAS71" s="1"/>
      <c r="FAT71" s="1"/>
      <c r="FAU71" s="1"/>
      <c r="FAV71" s="1"/>
      <c r="FAW71" s="1"/>
      <c r="FAX71" s="1"/>
      <c r="FAY71" s="1"/>
      <c r="FAZ71" s="1"/>
      <c r="FBA71" s="1"/>
      <c r="FBB71" s="1"/>
      <c r="FBC71" s="1"/>
      <c r="FBD71" s="1"/>
      <c r="FBE71" s="1"/>
      <c r="FBF71" s="1"/>
      <c r="FBG71" s="1"/>
      <c r="FBH71" s="1"/>
      <c r="FBI71" s="1"/>
      <c r="FBJ71" s="1"/>
      <c r="FBK71" s="1"/>
      <c r="FBL71" s="1"/>
      <c r="FBM71" s="1"/>
      <c r="FBN71" s="1"/>
      <c r="FBO71" s="1"/>
      <c r="FBP71" s="1"/>
      <c r="FBQ71" s="1"/>
      <c r="FBR71" s="1"/>
      <c r="FBS71" s="1"/>
      <c r="FBT71" s="1"/>
      <c r="FBU71" s="1"/>
      <c r="FBV71" s="1"/>
      <c r="FBW71" s="1"/>
      <c r="FBX71" s="1"/>
      <c r="FBY71" s="1"/>
      <c r="FBZ71" s="1"/>
      <c r="FCA71" s="1"/>
      <c r="FCB71" s="1"/>
      <c r="FCC71" s="1"/>
      <c r="FCD71" s="1"/>
      <c r="FCE71" s="1"/>
      <c r="FCF71" s="1"/>
      <c r="FCG71" s="1"/>
      <c r="FCH71" s="1"/>
      <c r="FCI71" s="1"/>
      <c r="FCJ71" s="1"/>
      <c r="FCK71" s="1"/>
      <c r="FCL71" s="1"/>
      <c r="FCM71" s="1"/>
      <c r="FCN71" s="1"/>
      <c r="FCO71" s="1"/>
      <c r="FCP71" s="1"/>
      <c r="FCQ71" s="1"/>
      <c r="FCR71" s="1"/>
      <c r="FCS71" s="1"/>
      <c r="FCT71" s="1"/>
      <c r="FCU71" s="1"/>
      <c r="FCV71" s="1"/>
      <c r="FCW71" s="1"/>
      <c r="FCX71" s="1"/>
      <c r="FCY71" s="1"/>
      <c r="FCZ71" s="1"/>
      <c r="FDA71" s="1"/>
      <c r="FDB71" s="1"/>
      <c r="FDC71" s="1"/>
      <c r="FDD71" s="1"/>
      <c r="FDE71" s="1"/>
      <c r="FDF71" s="1"/>
      <c r="FDG71" s="1"/>
      <c r="FDH71" s="1"/>
      <c r="FDI71" s="1"/>
      <c r="FDJ71" s="1"/>
      <c r="FDK71" s="1"/>
      <c r="FDL71" s="1"/>
      <c r="FDM71" s="1"/>
      <c r="FDN71" s="1"/>
      <c r="FDO71" s="1"/>
      <c r="FDP71" s="1"/>
      <c r="FDQ71" s="1"/>
      <c r="FDR71" s="1"/>
      <c r="FDS71" s="1"/>
      <c r="FDT71" s="1"/>
      <c r="FDU71" s="1"/>
      <c r="FDV71" s="1"/>
      <c r="FDW71" s="1"/>
      <c r="FDX71" s="1"/>
      <c r="FDY71" s="1"/>
      <c r="FDZ71" s="1"/>
      <c r="FEA71" s="1"/>
      <c r="FEB71" s="1"/>
      <c r="FEC71" s="1"/>
      <c r="FED71" s="1"/>
      <c r="FEE71" s="1"/>
      <c r="FEF71" s="1"/>
      <c r="FEG71" s="1"/>
      <c r="FEH71" s="1"/>
      <c r="FEI71" s="1"/>
      <c r="FEJ71" s="1"/>
      <c r="FEK71" s="1"/>
      <c r="FEL71" s="1"/>
      <c r="FEM71" s="1"/>
      <c r="FEN71" s="1"/>
      <c r="FEO71" s="1"/>
      <c r="FEP71" s="1"/>
      <c r="FEQ71" s="1"/>
      <c r="FER71" s="1"/>
      <c r="FES71" s="1"/>
      <c r="FET71" s="1"/>
      <c r="FEU71" s="1"/>
      <c r="FEV71" s="1"/>
      <c r="FEW71" s="1"/>
      <c r="FEX71" s="1"/>
      <c r="FEY71" s="1"/>
      <c r="FEZ71" s="1"/>
      <c r="FFA71" s="1"/>
      <c r="FFB71" s="1"/>
      <c r="FFC71" s="1"/>
      <c r="FFD71" s="1"/>
      <c r="FFE71" s="1"/>
      <c r="FFF71" s="1"/>
      <c r="FFG71" s="1"/>
      <c r="FFH71" s="1"/>
      <c r="FFI71" s="1"/>
      <c r="FFJ71" s="1"/>
      <c r="FFK71" s="1"/>
      <c r="FFL71" s="1"/>
      <c r="FFM71" s="1"/>
      <c r="FFN71" s="1"/>
      <c r="FFO71" s="1"/>
      <c r="FFP71" s="1"/>
      <c r="FFQ71" s="1"/>
      <c r="FFR71" s="1"/>
      <c r="FFS71" s="1"/>
      <c r="FFT71" s="1"/>
      <c r="FFU71" s="1"/>
      <c r="FFV71" s="1"/>
      <c r="FFW71" s="1"/>
      <c r="FFX71" s="1"/>
      <c r="FFY71" s="1"/>
      <c r="FFZ71" s="1"/>
      <c r="FGA71" s="1"/>
      <c r="FGB71" s="1"/>
      <c r="FGC71" s="1"/>
      <c r="FGD71" s="1"/>
      <c r="FGE71" s="1"/>
      <c r="FGF71" s="1"/>
      <c r="FGG71" s="1"/>
      <c r="FGH71" s="1"/>
      <c r="FGI71" s="1"/>
      <c r="FGJ71" s="1"/>
      <c r="FGK71" s="1"/>
      <c r="FGL71" s="1"/>
      <c r="FGM71" s="1"/>
      <c r="FGN71" s="1"/>
      <c r="FGO71" s="1"/>
      <c r="FGP71" s="1"/>
      <c r="FGQ71" s="1"/>
      <c r="FGR71" s="1"/>
      <c r="FGS71" s="1"/>
      <c r="FGT71" s="1"/>
      <c r="FGU71" s="1"/>
      <c r="FGV71" s="1"/>
      <c r="FGW71" s="1"/>
      <c r="FGX71" s="1"/>
      <c r="FGY71" s="1"/>
      <c r="FGZ71" s="1"/>
      <c r="FHA71" s="1"/>
      <c r="FHB71" s="1"/>
      <c r="FHC71" s="1"/>
      <c r="FHD71" s="1"/>
      <c r="FHE71" s="1"/>
      <c r="FHF71" s="1"/>
      <c r="FHG71" s="1"/>
      <c r="FHH71" s="1"/>
      <c r="FHI71" s="1"/>
      <c r="FHJ71" s="1"/>
      <c r="FHK71" s="1"/>
      <c r="FHL71" s="1"/>
      <c r="FHM71" s="1"/>
      <c r="FHN71" s="1"/>
      <c r="FHO71" s="1"/>
      <c r="FHP71" s="1"/>
      <c r="FHQ71" s="1"/>
      <c r="FHR71" s="1"/>
      <c r="FHS71" s="1"/>
      <c r="FHT71" s="1"/>
      <c r="FHU71" s="1"/>
      <c r="FHV71" s="1"/>
      <c r="FHW71" s="1"/>
      <c r="FHX71" s="1"/>
      <c r="FHY71" s="1"/>
      <c r="FHZ71" s="1"/>
      <c r="FIA71" s="1"/>
      <c r="FIB71" s="1"/>
      <c r="FIC71" s="1"/>
      <c r="FID71" s="1"/>
      <c r="FIE71" s="1"/>
      <c r="FIF71" s="1"/>
      <c r="FIG71" s="1"/>
      <c r="FIH71" s="1"/>
      <c r="FII71" s="1"/>
      <c r="FIJ71" s="1"/>
      <c r="FIK71" s="1"/>
      <c r="FIL71" s="1"/>
      <c r="FIM71" s="1"/>
      <c r="FIN71" s="1"/>
      <c r="FIO71" s="1"/>
      <c r="FIP71" s="1"/>
      <c r="FIQ71" s="1"/>
      <c r="FIR71" s="1"/>
      <c r="FIS71" s="1"/>
      <c r="FIT71" s="1"/>
      <c r="FIU71" s="1"/>
      <c r="FIV71" s="1"/>
      <c r="FIW71" s="1"/>
      <c r="FIX71" s="1"/>
      <c r="FIY71" s="1"/>
      <c r="FIZ71" s="1"/>
      <c r="FJA71" s="1"/>
      <c r="FJB71" s="1"/>
      <c r="FJC71" s="1"/>
      <c r="FJD71" s="1"/>
      <c r="FJE71" s="1"/>
      <c r="FJF71" s="1"/>
      <c r="FJG71" s="1"/>
      <c r="FJH71" s="1"/>
      <c r="FJI71" s="1"/>
      <c r="FJJ71" s="1"/>
      <c r="FJK71" s="1"/>
      <c r="FJL71" s="1"/>
      <c r="FJM71" s="1"/>
      <c r="FJN71" s="1"/>
      <c r="FJO71" s="1"/>
      <c r="FJP71" s="1"/>
      <c r="FJQ71" s="1"/>
      <c r="FJR71" s="1"/>
      <c r="FJS71" s="1"/>
      <c r="FJT71" s="1"/>
      <c r="FJU71" s="1"/>
      <c r="FJV71" s="1"/>
      <c r="FJW71" s="1"/>
      <c r="FJX71" s="1"/>
      <c r="FJY71" s="1"/>
      <c r="FJZ71" s="1"/>
      <c r="FKA71" s="1"/>
      <c r="FKB71" s="1"/>
      <c r="FKC71" s="1"/>
      <c r="FKD71" s="1"/>
      <c r="FKE71" s="1"/>
      <c r="FKF71" s="1"/>
      <c r="FKG71" s="1"/>
      <c r="FKH71" s="1"/>
      <c r="FKI71" s="1"/>
      <c r="FKJ71" s="1"/>
      <c r="FKK71" s="1"/>
      <c r="FKL71" s="1"/>
      <c r="FKM71" s="1"/>
      <c r="FKN71" s="1"/>
      <c r="FKO71" s="1"/>
      <c r="FKP71" s="1"/>
      <c r="FKQ71" s="1"/>
      <c r="FKR71" s="1"/>
      <c r="FKS71" s="1"/>
      <c r="FKT71" s="1"/>
      <c r="FKU71" s="1"/>
      <c r="FKV71" s="1"/>
      <c r="FKW71" s="1"/>
      <c r="FKX71" s="1"/>
      <c r="FKY71" s="1"/>
      <c r="FKZ71" s="1"/>
      <c r="FLA71" s="1"/>
      <c r="FLB71" s="1"/>
      <c r="FLC71" s="1"/>
      <c r="FLD71" s="1"/>
      <c r="FLE71" s="1"/>
      <c r="FLF71" s="1"/>
      <c r="FLG71" s="1"/>
      <c r="FLH71" s="1"/>
      <c r="FLI71" s="1"/>
      <c r="FLJ71" s="1"/>
      <c r="FLK71" s="1"/>
      <c r="FLL71" s="1"/>
      <c r="FLM71" s="1"/>
      <c r="FLN71" s="1"/>
      <c r="FLO71" s="1"/>
      <c r="FLP71" s="1"/>
      <c r="FLQ71" s="1"/>
      <c r="FLR71" s="1"/>
      <c r="FLS71" s="1"/>
      <c r="FLT71" s="1"/>
      <c r="FLU71" s="1"/>
      <c r="FLV71" s="1"/>
      <c r="FLW71" s="1"/>
      <c r="FLX71" s="1"/>
      <c r="FLY71" s="1"/>
      <c r="FLZ71" s="1"/>
      <c r="FMA71" s="1"/>
      <c r="FMB71" s="1"/>
      <c r="FMC71" s="1"/>
      <c r="FMD71" s="1"/>
      <c r="FME71" s="1"/>
      <c r="FMF71" s="1"/>
      <c r="FMG71" s="1"/>
      <c r="FMH71" s="1"/>
      <c r="FMI71" s="1"/>
      <c r="FMJ71" s="1"/>
      <c r="FMK71" s="1"/>
      <c r="FML71" s="1"/>
      <c r="FMM71" s="1"/>
      <c r="FMN71" s="1"/>
      <c r="FMO71" s="1"/>
      <c r="FMP71" s="1"/>
      <c r="FMQ71" s="1"/>
      <c r="FMR71" s="1"/>
      <c r="FMS71" s="1"/>
      <c r="FMT71" s="1"/>
      <c r="FMU71" s="1"/>
      <c r="FMV71" s="1"/>
      <c r="FMW71" s="1"/>
      <c r="FMX71" s="1"/>
      <c r="FMY71" s="1"/>
      <c r="FMZ71" s="1"/>
      <c r="FNA71" s="1"/>
      <c r="FNB71" s="1"/>
      <c r="FNC71" s="1"/>
      <c r="FND71" s="1"/>
      <c r="FNE71" s="1"/>
      <c r="FNF71" s="1"/>
      <c r="FNG71" s="1"/>
      <c r="FNH71" s="1"/>
      <c r="FNI71" s="1"/>
      <c r="FNJ71" s="1"/>
      <c r="FNK71" s="1"/>
      <c r="FNL71" s="1"/>
      <c r="FNM71" s="1"/>
      <c r="FNN71" s="1"/>
      <c r="FNO71" s="1"/>
      <c r="FNP71" s="1"/>
      <c r="FNQ71" s="1"/>
      <c r="FNR71" s="1"/>
      <c r="FNS71" s="1"/>
      <c r="FNT71" s="1"/>
      <c r="FNU71" s="1"/>
      <c r="FNV71" s="1"/>
      <c r="FNW71" s="1"/>
      <c r="FNX71" s="1"/>
      <c r="FNY71" s="1"/>
      <c r="FNZ71" s="1"/>
      <c r="FOA71" s="1"/>
      <c r="FOB71" s="1"/>
      <c r="FOC71" s="1"/>
      <c r="FOD71" s="1"/>
      <c r="FOE71" s="1"/>
      <c r="FOF71" s="1"/>
      <c r="FOG71" s="1"/>
      <c r="FOH71" s="1"/>
      <c r="FOI71" s="1"/>
      <c r="FOJ71" s="1"/>
      <c r="FOK71" s="1"/>
      <c r="FOL71" s="1"/>
      <c r="FOM71" s="1"/>
      <c r="FON71" s="1"/>
      <c r="FOO71" s="1"/>
      <c r="FOP71" s="1"/>
      <c r="FOQ71" s="1"/>
      <c r="FOR71" s="1"/>
      <c r="FOS71" s="1"/>
      <c r="FOT71" s="1"/>
      <c r="FOU71" s="1"/>
      <c r="FOV71" s="1"/>
      <c r="FOW71" s="1"/>
      <c r="FOX71" s="1"/>
      <c r="FOY71" s="1"/>
      <c r="FOZ71" s="1"/>
      <c r="FPA71" s="1"/>
      <c r="FPB71" s="1"/>
      <c r="FPC71" s="1"/>
      <c r="FPD71" s="1"/>
      <c r="FPE71" s="1"/>
      <c r="FPF71" s="1"/>
      <c r="FPG71" s="1"/>
      <c r="FPH71" s="1"/>
      <c r="FPI71" s="1"/>
      <c r="FPJ71" s="1"/>
      <c r="FPK71" s="1"/>
      <c r="FPL71" s="1"/>
      <c r="FPM71" s="1"/>
      <c r="FPN71" s="1"/>
      <c r="FPO71" s="1"/>
      <c r="FPP71" s="1"/>
      <c r="FPQ71" s="1"/>
      <c r="FPR71" s="1"/>
      <c r="FPS71" s="1"/>
      <c r="FPT71" s="1"/>
      <c r="FPU71" s="1"/>
      <c r="FPV71" s="1"/>
      <c r="FPW71" s="1"/>
      <c r="FPX71" s="1"/>
      <c r="FPY71" s="1"/>
      <c r="FPZ71" s="1"/>
      <c r="FQA71" s="1"/>
      <c r="FQB71" s="1"/>
      <c r="FQC71" s="1"/>
      <c r="FQD71" s="1"/>
      <c r="FQE71" s="1"/>
      <c r="FQF71" s="1"/>
      <c r="FQG71" s="1"/>
      <c r="FQH71" s="1"/>
      <c r="FQI71" s="1"/>
      <c r="FQJ71" s="1"/>
      <c r="FQK71" s="1"/>
      <c r="FQL71" s="1"/>
      <c r="FQM71" s="1"/>
      <c r="FQN71" s="1"/>
      <c r="FQO71" s="1"/>
      <c r="FQP71" s="1"/>
      <c r="FQQ71" s="1"/>
      <c r="FQR71" s="1"/>
      <c r="FQS71" s="1"/>
      <c r="FQT71" s="1"/>
      <c r="FQU71" s="1"/>
      <c r="FQV71" s="1"/>
      <c r="FQW71" s="1"/>
      <c r="FQX71" s="1"/>
      <c r="FQY71" s="1"/>
      <c r="FQZ71" s="1"/>
      <c r="FRA71" s="1"/>
      <c r="FRB71" s="1"/>
      <c r="FRC71" s="1"/>
      <c r="FRD71" s="1"/>
      <c r="FRE71" s="1"/>
      <c r="FRF71" s="1"/>
      <c r="FRG71" s="1"/>
      <c r="FRH71" s="1"/>
      <c r="FRI71" s="1"/>
      <c r="FRJ71" s="1"/>
      <c r="FRK71" s="1"/>
      <c r="FRL71" s="1"/>
      <c r="FRM71" s="1"/>
      <c r="FRN71" s="1"/>
      <c r="FRO71" s="1"/>
      <c r="FRP71" s="1"/>
      <c r="FRQ71" s="1"/>
      <c r="FRR71" s="1"/>
      <c r="FRS71" s="1"/>
      <c r="FRT71" s="1"/>
      <c r="FRU71" s="1"/>
      <c r="FRV71" s="1"/>
      <c r="FRW71" s="1"/>
      <c r="FRX71" s="1"/>
      <c r="FRY71" s="1"/>
      <c r="FRZ71" s="1"/>
      <c r="FSA71" s="1"/>
      <c r="FSB71" s="1"/>
      <c r="FSC71" s="1"/>
      <c r="FSD71" s="1"/>
      <c r="FSE71" s="1"/>
      <c r="FSF71" s="1"/>
      <c r="FSG71" s="1"/>
      <c r="FSH71" s="1"/>
      <c r="FSI71" s="1"/>
      <c r="FSJ71" s="1"/>
      <c r="FSK71" s="1"/>
      <c r="FSL71" s="1"/>
      <c r="FSM71" s="1"/>
      <c r="FSN71" s="1"/>
      <c r="FSO71" s="1"/>
      <c r="FSP71" s="1"/>
      <c r="FSQ71" s="1"/>
      <c r="FSR71" s="1"/>
      <c r="FSS71" s="1"/>
      <c r="FST71" s="1"/>
      <c r="FSU71" s="1"/>
      <c r="FSV71" s="1"/>
      <c r="FSW71" s="1"/>
      <c r="FSX71" s="1"/>
      <c r="FSY71" s="1"/>
      <c r="FSZ71" s="1"/>
      <c r="FTA71" s="1"/>
      <c r="FTB71" s="1"/>
      <c r="FTC71" s="1"/>
      <c r="FTD71" s="1"/>
      <c r="FTE71" s="1"/>
      <c r="FTF71" s="1"/>
      <c r="FTG71" s="1"/>
      <c r="FTH71" s="1"/>
      <c r="FTI71" s="1"/>
      <c r="FTJ71" s="1"/>
      <c r="FTK71" s="1"/>
      <c r="FTL71" s="1"/>
      <c r="FTM71" s="1"/>
      <c r="FTN71" s="1"/>
      <c r="FTO71" s="1"/>
      <c r="FTP71" s="1"/>
      <c r="FTQ71" s="1"/>
      <c r="FTR71" s="1"/>
      <c r="FTS71" s="1"/>
      <c r="FTT71" s="1"/>
      <c r="FTU71" s="1"/>
      <c r="FTV71" s="1"/>
      <c r="FTW71" s="1"/>
      <c r="FTX71" s="1"/>
      <c r="FTY71" s="1"/>
      <c r="FTZ71" s="1"/>
      <c r="FUA71" s="1"/>
      <c r="FUB71" s="1"/>
      <c r="FUC71" s="1"/>
      <c r="FUD71" s="1"/>
      <c r="FUE71" s="1"/>
      <c r="FUF71" s="1"/>
      <c r="FUG71" s="1"/>
      <c r="FUH71" s="1"/>
      <c r="FUI71" s="1"/>
      <c r="FUJ71" s="1"/>
      <c r="FUK71" s="1"/>
      <c r="FUL71" s="1"/>
      <c r="FUM71" s="1"/>
      <c r="FUN71" s="1"/>
      <c r="FUO71" s="1"/>
      <c r="FUP71" s="1"/>
      <c r="FUQ71" s="1"/>
      <c r="FUR71" s="1"/>
      <c r="FUS71" s="1"/>
      <c r="FUT71" s="1"/>
      <c r="FUU71" s="1"/>
      <c r="FUV71" s="1"/>
      <c r="FUW71" s="1"/>
      <c r="FUX71" s="1"/>
      <c r="FUY71" s="1"/>
      <c r="FUZ71" s="1"/>
      <c r="FVA71" s="1"/>
      <c r="FVB71" s="1"/>
      <c r="FVC71" s="1"/>
      <c r="FVD71" s="1"/>
      <c r="FVE71" s="1"/>
      <c r="FVF71" s="1"/>
      <c r="FVG71" s="1"/>
      <c r="FVH71" s="1"/>
      <c r="FVI71" s="1"/>
      <c r="FVJ71" s="1"/>
      <c r="FVK71" s="1"/>
      <c r="FVL71" s="1"/>
      <c r="FVM71" s="1"/>
      <c r="FVN71" s="1"/>
      <c r="FVO71" s="1"/>
      <c r="FVP71" s="1"/>
      <c r="FVQ71" s="1"/>
      <c r="FVR71" s="1"/>
      <c r="FVS71" s="1"/>
      <c r="FVT71" s="1"/>
      <c r="FVU71" s="1"/>
      <c r="FVV71" s="1"/>
      <c r="FVW71" s="1"/>
      <c r="FVX71" s="1"/>
      <c r="FVY71" s="1"/>
      <c r="FVZ71" s="1"/>
      <c r="FWA71" s="1"/>
      <c r="FWB71" s="1"/>
      <c r="FWC71" s="1"/>
      <c r="FWD71" s="1"/>
      <c r="FWE71" s="1"/>
      <c r="FWF71" s="1"/>
      <c r="FWG71" s="1"/>
      <c r="FWH71" s="1"/>
      <c r="FWI71" s="1"/>
      <c r="FWJ71" s="1"/>
      <c r="FWK71" s="1"/>
      <c r="FWL71" s="1"/>
      <c r="FWM71" s="1"/>
      <c r="FWN71" s="1"/>
      <c r="FWO71" s="1"/>
      <c r="FWP71" s="1"/>
      <c r="FWQ71" s="1"/>
      <c r="FWR71" s="1"/>
      <c r="FWS71" s="1"/>
      <c r="FWT71" s="1"/>
      <c r="FWU71" s="1"/>
      <c r="FWV71" s="1"/>
      <c r="FWW71" s="1"/>
      <c r="FWX71" s="1"/>
      <c r="FWY71" s="1"/>
      <c r="FWZ71" s="1"/>
      <c r="FXA71" s="1"/>
      <c r="FXB71" s="1"/>
      <c r="FXC71" s="1"/>
      <c r="FXD71" s="1"/>
      <c r="FXE71" s="1"/>
      <c r="FXF71" s="1"/>
      <c r="FXG71" s="1"/>
      <c r="FXH71" s="1"/>
      <c r="FXI71" s="1"/>
      <c r="FXJ71" s="1"/>
      <c r="FXK71" s="1"/>
      <c r="FXL71" s="1"/>
      <c r="FXM71" s="1"/>
      <c r="FXN71" s="1"/>
      <c r="FXO71" s="1"/>
      <c r="FXP71" s="1"/>
      <c r="FXQ71" s="1"/>
      <c r="FXR71" s="1"/>
      <c r="FXS71" s="1"/>
      <c r="FXT71" s="1"/>
      <c r="FXU71" s="1"/>
      <c r="FXV71" s="1"/>
      <c r="FXW71" s="1"/>
      <c r="FXX71" s="1"/>
      <c r="FXY71" s="1"/>
      <c r="FXZ71" s="1"/>
      <c r="FYA71" s="1"/>
      <c r="FYB71" s="1"/>
      <c r="FYC71" s="1"/>
      <c r="FYD71" s="1"/>
      <c r="FYE71" s="1"/>
      <c r="FYF71" s="1"/>
      <c r="FYG71" s="1"/>
      <c r="FYH71" s="1"/>
      <c r="FYI71" s="1"/>
      <c r="FYJ71" s="1"/>
      <c r="FYK71" s="1"/>
      <c r="FYL71" s="1"/>
      <c r="FYM71" s="1"/>
      <c r="FYN71" s="1"/>
      <c r="FYO71" s="1"/>
      <c r="FYP71" s="1"/>
      <c r="FYQ71" s="1"/>
      <c r="FYR71" s="1"/>
      <c r="FYS71" s="1"/>
      <c r="FYT71" s="1"/>
      <c r="FYU71" s="1"/>
      <c r="FYV71" s="1"/>
      <c r="FYW71" s="1"/>
      <c r="FYX71" s="1"/>
      <c r="FYY71" s="1"/>
      <c r="FYZ71" s="1"/>
      <c r="FZA71" s="1"/>
      <c r="FZB71" s="1"/>
      <c r="FZC71" s="1"/>
      <c r="FZD71" s="1"/>
      <c r="FZE71" s="1"/>
      <c r="FZF71" s="1"/>
      <c r="FZG71" s="1"/>
      <c r="FZH71" s="1"/>
      <c r="FZI71" s="1"/>
      <c r="FZJ71" s="1"/>
      <c r="FZK71" s="1"/>
      <c r="FZL71" s="1"/>
      <c r="FZM71" s="1"/>
      <c r="FZN71" s="1"/>
      <c r="FZO71" s="1"/>
      <c r="FZP71" s="1"/>
      <c r="FZQ71" s="1"/>
      <c r="FZR71" s="1"/>
      <c r="FZS71" s="1"/>
      <c r="FZT71" s="1"/>
      <c r="FZU71" s="1"/>
      <c r="FZV71" s="1"/>
      <c r="FZW71" s="1"/>
      <c r="FZX71" s="1"/>
      <c r="FZY71" s="1"/>
      <c r="FZZ71" s="1"/>
      <c r="GAA71" s="1"/>
      <c r="GAB71" s="1"/>
      <c r="GAC71" s="1"/>
      <c r="GAD71" s="1"/>
      <c r="GAE71" s="1"/>
      <c r="GAF71" s="1"/>
      <c r="GAG71" s="1"/>
      <c r="GAH71" s="1"/>
      <c r="GAI71" s="1"/>
      <c r="GAJ71" s="1"/>
      <c r="GAK71" s="1"/>
      <c r="GAL71" s="1"/>
      <c r="GAM71" s="1"/>
      <c r="GAN71" s="1"/>
      <c r="GAO71" s="1"/>
      <c r="GAP71" s="1"/>
      <c r="GAQ71" s="1"/>
      <c r="GAR71" s="1"/>
      <c r="GAS71" s="1"/>
      <c r="GAT71" s="1"/>
      <c r="GAU71" s="1"/>
      <c r="GAV71" s="1"/>
      <c r="GAW71" s="1"/>
      <c r="GAX71" s="1"/>
      <c r="GAY71" s="1"/>
      <c r="GAZ71" s="1"/>
      <c r="GBA71" s="1"/>
      <c r="GBB71" s="1"/>
      <c r="GBC71" s="1"/>
      <c r="GBD71" s="1"/>
      <c r="GBE71" s="1"/>
      <c r="GBF71" s="1"/>
      <c r="GBG71" s="1"/>
      <c r="GBH71" s="1"/>
      <c r="GBI71" s="1"/>
      <c r="GBJ71" s="1"/>
      <c r="GBK71" s="1"/>
      <c r="GBL71" s="1"/>
      <c r="GBM71" s="1"/>
      <c r="GBN71" s="1"/>
      <c r="GBO71" s="1"/>
      <c r="GBP71" s="1"/>
      <c r="GBQ71" s="1"/>
      <c r="GBR71" s="1"/>
      <c r="GBS71" s="1"/>
      <c r="GBT71" s="1"/>
      <c r="GBU71" s="1"/>
      <c r="GBV71" s="1"/>
      <c r="GBW71" s="1"/>
      <c r="GBX71" s="1"/>
      <c r="GBY71" s="1"/>
      <c r="GBZ71" s="1"/>
      <c r="GCA71" s="1"/>
      <c r="GCB71" s="1"/>
      <c r="GCC71" s="1"/>
      <c r="GCD71" s="1"/>
      <c r="GCE71" s="1"/>
      <c r="GCF71" s="1"/>
      <c r="GCG71" s="1"/>
      <c r="GCH71" s="1"/>
      <c r="GCI71" s="1"/>
      <c r="GCJ71" s="1"/>
      <c r="GCK71" s="1"/>
      <c r="GCL71" s="1"/>
      <c r="GCM71" s="1"/>
      <c r="GCN71" s="1"/>
      <c r="GCO71" s="1"/>
      <c r="GCP71" s="1"/>
      <c r="GCQ71" s="1"/>
      <c r="GCR71" s="1"/>
      <c r="GCS71" s="1"/>
      <c r="GCT71" s="1"/>
      <c r="GCU71" s="1"/>
      <c r="GCV71" s="1"/>
      <c r="GCW71" s="1"/>
      <c r="GCX71" s="1"/>
      <c r="GCY71" s="1"/>
      <c r="GCZ71" s="1"/>
      <c r="GDA71" s="1"/>
      <c r="GDB71" s="1"/>
      <c r="GDC71" s="1"/>
      <c r="GDD71" s="1"/>
      <c r="GDE71" s="1"/>
      <c r="GDF71" s="1"/>
      <c r="GDG71" s="1"/>
      <c r="GDH71" s="1"/>
      <c r="GDI71" s="1"/>
      <c r="GDJ71" s="1"/>
      <c r="GDK71" s="1"/>
      <c r="GDL71" s="1"/>
      <c r="GDM71" s="1"/>
      <c r="GDN71" s="1"/>
      <c r="GDO71" s="1"/>
      <c r="GDP71" s="1"/>
      <c r="GDQ71" s="1"/>
      <c r="GDR71" s="1"/>
      <c r="GDS71" s="1"/>
      <c r="GDT71" s="1"/>
      <c r="GDU71" s="1"/>
      <c r="GDV71" s="1"/>
      <c r="GDW71" s="1"/>
      <c r="GDX71" s="1"/>
      <c r="GDY71" s="1"/>
      <c r="GDZ71" s="1"/>
      <c r="GEA71" s="1"/>
      <c r="GEB71" s="1"/>
      <c r="GEC71" s="1"/>
      <c r="GED71" s="1"/>
      <c r="GEE71" s="1"/>
      <c r="GEF71" s="1"/>
      <c r="GEG71" s="1"/>
      <c r="GEH71" s="1"/>
      <c r="GEI71" s="1"/>
      <c r="GEJ71" s="1"/>
      <c r="GEK71" s="1"/>
      <c r="GEL71" s="1"/>
      <c r="GEM71" s="1"/>
      <c r="GEN71" s="1"/>
      <c r="GEO71" s="1"/>
      <c r="GEP71" s="1"/>
      <c r="GEQ71" s="1"/>
      <c r="GER71" s="1"/>
      <c r="GES71" s="1"/>
      <c r="GET71" s="1"/>
      <c r="GEU71" s="1"/>
      <c r="GEV71" s="1"/>
      <c r="GEW71" s="1"/>
      <c r="GEX71" s="1"/>
      <c r="GEY71" s="1"/>
      <c r="GEZ71" s="1"/>
      <c r="GFA71" s="1"/>
      <c r="GFB71" s="1"/>
      <c r="GFC71" s="1"/>
      <c r="GFD71" s="1"/>
      <c r="GFE71" s="1"/>
      <c r="GFF71" s="1"/>
      <c r="GFG71" s="1"/>
      <c r="GFH71" s="1"/>
      <c r="GFI71" s="1"/>
      <c r="GFJ71" s="1"/>
      <c r="GFK71" s="1"/>
      <c r="GFL71" s="1"/>
      <c r="GFM71" s="1"/>
      <c r="GFN71" s="1"/>
      <c r="GFO71" s="1"/>
      <c r="GFP71" s="1"/>
      <c r="GFQ71" s="1"/>
      <c r="GFR71" s="1"/>
      <c r="GFS71" s="1"/>
      <c r="GFT71" s="1"/>
      <c r="GFU71" s="1"/>
      <c r="GFV71" s="1"/>
      <c r="GFW71" s="1"/>
      <c r="GFX71" s="1"/>
      <c r="GFY71" s="1"/>
      <c r="GFZ71" s="1"/>
      <c r="GGA71" s="1"/>
      <c r="GGB71" s="1"/>
      <c r="GGC71" s="1"/>
      <c r="GGD71" s="1"/>
      <c r="GGE71" s="1"/>
      <c r="GGF71" s="1"/>
      <c r="GGG71" s="1"/>
      <c r="GGH71" s="1"/>
      <c r="GGI71" s="1"/>
      <c r="GGJ71" s="1"/>
      <c r="GGK71" s="1"/>
      <c r="GGL71" s="1"/>
      <c r="GGM71" s="1"/>
      <c r="GGN71" s="1"/>
      <c r="GGO71" s="1"/>
      <c r="GGP71" s="1"/>
      <c r="GGQ71" s="1"/>
      <c r="GGR71" s="1"/>
      <c r="GGS71" s="1"/>
      <c r="GGT71" s="1"/>
      <c r="GGU71" s="1"/>
      <c r="GGV71" s="1"/>
      <c r="GGW71" s="1"/>
      <c r="GGX71" s="1"/>
      <c r="GGY71" s="1"/>
      <c r="GGZ71" s="1"/>
      <c r="GHA71" s="1"/>
      <c r="GHB71" s="1"/>
      <c r="GHC71" s="1"/>
      <c r="GHD71" s="1"/>
      <c r="GHE71" s="1"/>
      <c r="GHF71" s="1"/>
      <c r="GHG71" s="1"/>
      <c r="GHH71" s="1"/>
      <c r="GHI71" s="1"/>
      <c r="GHJ71" s="1"/>
      <c r="GHK71" s="1"/>
      <c r="GHL71" s="1"/>
      <c r="GHM71" s="1"/>
      <c r="GHN71" s="1"/>
      <c r="GHO71" s="1"/>
      <c r="GHP71" s="1"/>
      <c r="GHQ71" s="1"/>
      <c r="GHR71" s="1"/>
      <c r="GHS71" s="1"/>
      <c r="GHT71" s="1"/>
      <c r="GHU71" s="1"/>
      <c r="GHV71" s="1"/>
      <c r="GHW71" s="1"/>
      <c r="GHX71" s="1"/>
      <c r="GHY71" s="1"/>
      <c r="GHZ71" s="1"/>
      <c r="GIA71" s="1"/>
      <c r="GIB71" s="1"/>
      <c r="GIC71" s="1"/>
      <c r="GID71" s="1"/>
      <c r="GIE71" s="1"/>
      <c r="GIF71" s="1"/>
      <c r="GIG71" s="1"/>
      <c r="GIH71" s="1"/>
      <c r="GII71" s="1"/>
      <c r="GIJ71" s="1"/>
      <c r="GIK71" s="1"/>
      <c r="GIL71" s="1"/>
      <c r="GIM71" s="1"/>
      <c r="GIN71" s="1"/>
      <c r="GIO71" s="1"/>
      <c r="GIP71" s="1"/>
      <c r="GIQ71" s="1"/>
      <c r="GIR71" s="1"/>
      <c r="GIS71" s="1"/>
      <c r="GIT71" s="1"/>
      <c r="GIU71" s="1"/>
      <c r="GIV71" s="1"/>
      <c r="GIW71" s="1"/>
      <c r="GIX71" s="1"/>
      <c r="GIY71" s="1"/>
      <c r="GIZ71" s="1"/>
      <c r="GJA71" s="1"/>
      <c r="GJB71" s="1"/>
      <c r="GJC71" s="1"/>
      <c r="GJD71" s="1"/>
      <c r="GJE71" s="1"/>
      <c r="GJF71" s="1"/>
      <c r="GJG71" s="1"/>
      <c r="GJH71" s="1"/>
      <c r="GJI71" s="1"/>
      <c r="GJJ71" s="1"/>
      <c r="GJK71" s="1"/>
      <c r="GJL71" s="1"/>
      <c r="GJM71" s="1"/>
      <c r="GJN71" s="1"/>
      <c r="GJO71" s="1"/>
      <c r="GJP71" s="1"/>
      <c r="GJQ71" s="1"/>
      <c r="GJR71" s="1"/>
      <c r="GJS71" s="1"/>
      <c r="GJT71" s="1"/>
      <c r="GJU71" s="1"/>
      <c r="GJV71" s="1"/>
      <c r="GJW71" s="1"/>
      <c r="GJX71" s="1"/>
      <c r="GJY71" s="1"/>
      <c r="GJZ71" s="1"/>
      <c r="GKA71" s="1"/>
      <c r="GKB71" s="1"/>
      <c r="GKC71" s="1"/>
      <c r="GKD71" s="1"/>
      <c r="GKE71" s="1"/>
      <c r="GKF71" s="1"/>
      <c r="GKG71" s="1"/>
      <c r="GKH71" s="1"/>
      <c r="GKI71" s="1"/>
      <c r="GKJ71" s="1"/>
      <c r="GKK71" s="1"/>
      <c r="GKL71" s="1"/>
      <c r="GKM71" s="1"/>
      <c r="GKN71" s="1"/>
      <c r="GKO71" s="1"/>
      <c r="GKP71" s="1"/>
      <c r="GKQ71" s="1"/>
      <c r="GKR71" s="1"/>
      <c r="GKS71" s="1"/>
      <c r="GKT71" s="1"/>
      <c r="GKU71" s="1"/>
      <c r="GKV71" s="1"/>
      <c r="GKW71" s="1"/>
      <c r="GKX71" s="1"/>
      <c r="GKY71" s="1"/>
      <c r="GKZ71" s="1"/>
      <c r="GLA71" s="1"/>
      <c r="GLB71" s="1"/>
      <c r="GLC71" s="1"/>
      <c r="GLD71" s="1"/>
      <c r="GLE71" s="1"/>
      <c r="GLF71" s="1"/>
      <c r="GLG71" s="1"/>
      <c r="GLH71" s="1"/>
      <c r="GLI71" s="1"/>
      <c r="GLJ71" s="1"/>
      <c r="GLK71" s="1"/>
      <c r="GLL71" s="1"/>
      <c r="GLM71" s="1"/>
      <c r="GLN71" s="1"/>
      <c r="GLO71" s="1"/>
      <c r="GLP71" s="1"/>
      <c r="GLQ71" s="1"/>
      <c r="GLR71" s="1"/>
      <c r="GLS71" s="1"/>
      <c r="GLT71" s="1"/>
      <c r="GLU71" s="1"/>
      <c r="GLV71" s="1"/>
      <c r="GLW71" s="1"/>
      <c r="GLX71" s="1"/>
      <c r="GLY71" s="1"/>
      <c r="GLZ71" s="1"/>
      <c r="GMA71" s="1"/>
      <c r="GMB71" s="1"/>
      <c r="GMC71" s="1"/>
      <c r="GMD71" s="1"/>
      <c r="GME71" s="1"/>
      <c r="GMF71" s="1"/>
      <c r="GMG71" s="1"/>
      <c r="GMH71" s="1"/>
      <c r="GMI71" s="1"/>
      <c r="GMJ71" s="1"/>
      <c r="GMK71" s="1"/>
      <c r="GML71" s="1"/>
      <c r="GMM71" s="1"/>
      <c r="GMN71" s="1"/>
      <c r="GMO71" s="1"/>
      <c r="GMP71" s="1"/>
      <c r="GMQ71" s="1"/>
      <c r="GMR71" s="1"/>
      <c r="GMS71" s="1"/>
      <c r="GMT71" s="1"/>
      <c r="GMU71" s="1"/>
      <c r="GMV71" s="1"/>
      <c r="GMW71" s="1"/>
      <c r="GMX71" s="1"/>
      <c r="GMY71" s="1"/>
      <c r="GMZ71" s="1"/>
      <c r="GNA71" s="1"/>
      <c r="GNB71" s="1"/>
      <c r="GNC71" s="1"/>
      <c r="GND71" s="1"/>
      <c r="GNE71" s="1"/>
      <c r="GNF71" s="1"/>
      <c r="GNG71" s="1"/>
      <c r="GNH71" s="1"/>
      <c r="GNI71" s="1"/>
      <c r="GNJ71" s="1"/>
      <c r="GNK71" s="1"/>
      <c r="GNL71" s="1"/>
      <c r="GNM71" s="1"/>
      <c r="GNN71" s="1"/>
      <c r="GNO71" s="1"/>
      <c r="GNP71" s="1"/>
      <c r="GNQ71" s="1"/>
      <c r="GNR71" s="1"/>
      <c r="GNS71" s="1"/>
      <c r="GNT71" s="1"/>
      <c r="GNU71" s="1"/>
      <c r="GNV71" s="1"/>
      <c r="GNW71" s="1"/>
      <c r="GNX71" s="1"/>
      <c r="GNY71" s="1"/>
      <c r="GNZ71" s="1"/>
      <c r="GOA71" s="1"/>
      <c r="GOB71" s="1"/>
      <c r="GOC71" s="1"/>
      <c r="GOD71" s="1"/>
      <c r="GOE71" s="1"/>
      <c r="GOF71" s="1"/>
      <c r="GOG71" s="1"/>
      <c r="GOH71" s="1"/>
      <c r="GOI71" s="1"/>
      <c r="GOJ71" s="1"/>
      <c r="GOK71" s="1"/>
      <c r="GOL71" s="1"/>
      <c r="GOM71" s="1"/>
      <c r="GON71" s="1"/>
      <c r="GOO71" s="1"/>
      <c r="GOP71" s="1"/>
      <c r="GOQ71" s="1"/>
      <c r="GOR71" s="1"/>
      <c r="GOS71" s="1"/>
      <c r="GOT71" s="1"/>
      <c r="GOU71" s="1"/>
      <c r="GOV71" s="1"/>
      <c r="GOW71" s="1"/>
      <c r="GOX71" s="1"/>
      <c r="GOY71" s="1"/>
      <c r="GOZ71" s="1"/>
      <c r="GPA71" s="1"/>
      <c r="GPB71" s="1"/>
      <c r="GPC71" s="1"/>
      <c r="GPD71" s="1"/>
      <c r="GPE71" s="1"/>
      <c r="GPF71" s="1"/>
      <c r="GPG71" s="1"/>
      <c r="GPH71" s="1"/>
      <c r="GPI71" s="1"/>
      <c r="GPJ71" s="1"/>
      <c r="GPK71" s="1"/>
      <c r="GPL71" s="1"/>
      <c r="GPM71" s="1"/>
      <c r="GPN71" s="1"/>
      <c r="GPO71" s="1"/>
      <c r="GPP71" s="1"/>
      <c r="GPQ71" s="1"/>
      <c r="GPR71" s="1"/>
      <c r="GPS71" s="1"/>
      <c r="GPT71" s="1"/>
      <c r="GPU71" s="1"/>
      <c r="GPV71" s="1"/>
      <c r="GPW71" s="1"/>
      <c r="GPX71" s="1"/>
      <c r="GPY71" s="1"/>
      <c r="GPZ71" s="1"/>
      <c r="GQA71" s="1"/>
      <c r="GQB71" s="1"/>
      <c r="GQC71" s="1"/>
      <c r="GQD71" s="1"/>
      <c r="GQE71" s="1"/>
      <c r="GQF71" s="1"/>
      <c r="GQG71" s="1"/>
      <c r="GQH71" s="1"/>
      <c r="GQI71" s="1"/>
      <c r="GQJ71" s="1"/>
      <c r="GQK71" s="1"/>
      <c r="GQL71" s="1"/>
      <c r="GQM71" s="1"/>
      <c r="GQN71" s="1"/>
      <c r="GQO71" s="1"/>
      <c r="GQP71" s="1"/>
      <c r="GQQ71" s="1"/>
      <c r="GQR71" s="1"/>
      <c r="GQS71" s="1"/>
      <c r="GQT71" s="1"/>
      <c r="GQU71" s="1"/>
      <c r="GQV71" s="1"/>
      <c r="GQW71" s="1"/>
      <c r="GQX71" s="1"/>
      <c r="GQY71" s="1"/>
      <c r="GQZ71" s="1"/>
      <c r="GRA71" s="1"/>
      <c r="GRB71" s="1"/>
      <c r="GRC71" s="1"/>
      <c r="GRD71" s="1"/>
      <c r="GRE71" s="1"/>
      <c r="GRF71" s="1"/>
      <c r="GRG71" s="1"/>
      <c r="GRH71" s="1"/>
      <c r="GRI71" s="1"/>
      <c r="GRJ71" s="1"/>
      <c r="GRK71" s="1"/>
      <c r="GRL71" s="1"/>
      <c r="GRM71" s="1"/>
      <c r="GRN71" s="1"/>
      <c r="GRO71" s="1"/>
      <c r="GRP71" s="1"/>
      <c r="GRQ71" s="1"/>
      <c r="GRR71" s="1"/>
      <c r="GRS71" s="1"/>
      <c r="GRT71" s="1"/>
      <c r="GRU71" s="1"/>
      <c r="GRV71" s="1"/>
      <c r="GRW71" s="1"/>
      <c r="GRX71" s="1"/>
      <c r="GRY71" s="1"/>
      <c r="GRZ71" s="1"/>
      <c r="GSA71" s="1"/>
      <c r="GSB71" s="1"/>
      <c r="GSC71" s="1"/>
      <c r="GSD71" s="1"/>
      <c r="GSE71" s="1"/>
      <c r="GSF71" s="1"/>
      <c r="GSG71" s="1"/>
      <c r="GSH71" s="1"/>
      <c r="GSI71" s="1"/>
      <c r="GSJ71" s="1"/>
      <c r="GSK71" s="1"/>
      <c r="GSL71" s="1"/>
      <c r="GSM71" s="1"/>
      <c r="GSN71" s="1"/>
      <c r="GSO71" s="1"/>
      <c r="GSP71" s="1"/>
      <c r="GSQ71" s="1"/>
      <c r="GSR71" s="1"/>
      <c r="GSS71" s="1"/>
      <c r="GST71" s="1"/>
      <c r="GSU71" s="1"/>
      <c r="GSV71" s="1"/>
      <c r="GSW71" s="1"/>
      <c r="GSX71" s="1"/>
      <c r="GSY71" s="1"/>
      <c r="GSZ71" s="1"/>
      <c r="GTA71" s="1"/>
      <c r="GTB71" s="1"/>
      <c r="GTC71" s="1"/>
      <c r="GTD71" s="1"/>
      <c r="GTE71" s="1"/>
      <c r="GTF71" s="1"/>
      <c r="GTG71" s="1"/>
      <c r="GTH71" s="1"/>
      <c r="GTI71" s="1"/>
      <c r="GTJ71" s="1"/>
      <c r="GTK71" s="1"/>
      <c r="GTL71" s="1"/>
      <c r="GTM71" s="1"/>
      <c r="GTN71" s="1"/>
      <c r="GTO71" s="1"/>
      <c r="GTP71" s="1"/>
      <c r="GTQ71" s="1"/>
      <c r="GTR71" s="1"/>
      <c r="GTS71" s="1"/>
      <c r="GTT71" s="1"/>
      <c r="GTU71" s="1"/>
      <c r="GTV71" s="1"/>
      <c r="GTW71" s="1"/>
      <c r="GTX71" s="1"/>
      <c r="GTY71" s="1"/>
      <c r="GTZ71" s="1"/>
      <c r="GUA71" s="1"/>
      <c r="GUB71" s="1"/>
      <c r="GUC71" s="1"/>
      <c r="GUD71" s="1"/>
      <c r="GUE71" s="1"/>
      <c r="GUF71" s="1"/>
      <c r="GUG71" s="1"/>
      <c r="GUH71" s="1"/>
      <c r="GUI71" s="1"/>
      <c r="GUJ71" s="1"/>
      <c r="GUK71" s="1"/>
      <c r="GUL71" s="1"/>
      <c r="GUM71" s="1"/>
      <c r="GUN71" s="1"/>
      <c r="GUO71" s="1"/>
      <c r="GUP71" s="1"/>
      <c r="GUQ71" s="1"/>
      <c r="GUR71" s="1"/>
      <c r="GUS71" s="1"/>
      <c r="GUT71" s="1"/>
      <c r="GUU71" s="1"/>
      <c r="GUV71" s="1"/>
      <c r="GUW71" s="1"/>
      <c r="GUX71" s="1"/>
      <c r="GUY71" s="1"/>
      <c r="GUZ71" s="1"/>
      <c r="GVA71" s="1"/>
      <c r="GVB71" s="1"/>
      <c r="GVC71" s="1"/>
      <c r="GVD71" s="1"/>
      <c r="GVE71" s="1"/>
      <c r="GVF71" s="1"/>
      <c r="GVG71" s="1"/>
      <c r="GVH71" s="1"/>
      <c r="GVI71" s="1"/>
      <c r="GVJ71" s="1"/>
      <c r="GVK71" s="1"/>
      <c r="GVL71" s="1"/>
      <c r="GVM71" s="1"/>
      <c r="GVN71" s="1"/>
      <c r="GVO71" s="1"/>
      <c r="GVP71" s="1"/>
      <c r="GVQ71" s="1"/>
      <c r="GVR71" s="1"/>
      <c r="GVS71" s="1"/>
      <c r="GVT71" s="1"/>
      <c r="GVU71" s="1"/>
      <c r="GVV71" s="1"/>
      <c r="GVW71" s="1"/>
      <c r="GVX71" s="1"/>
      <c r="GVY71" s="1"/>
      <c r="GVZ71" s="1"/>
      <c r="GWA71" s="1"/>
      <c r="GWB71" s="1"/>
      <c r="GWC71" s="1"/>
      <c r="GWD71" s="1"/>
      <c r="GWE71" s="1"/>
      <c r="GWF71" s="1"/>
      <c r="GWG71" s="1"/>
      <c r="GWH71" s="1"/>
      <c r="GWI71" s="1"/>
      <c r="GWJ71" s="1"/>
      <c r="GWK71" s="1"/>
      <c r="GWL71" s="1"/>
      <c r="GWM71" s="1"/>
      <c r="GWN71" s="1"/>
      <c r="GWO71" s="1"/>
      <c r="GWP71" s="1"/>
      <c r="GWQ71" s="1"/>
      <c r="GWR71" s="1"/>
      <c r="GWS71" s="1"/>
      <c r="GWT71" s="1"/>
      <c r="GWU71" s="1"/>
      <c r="GWV71" s="1"/>
      <c r="GWW71" s="1"/>
      <c r="GWX71" s="1"/>
      <c r="GWY71" s="1"/>
      <c r="GWZ71" s="1"/>
      <c r="GXA71" s="1"/>
      <c r="GXB71" s="1"/>
      <c r="GXC71" s="1"/>
      <c r="GXD71" s="1"/>
      <c r="GXE71" s="1"/>
      <c r="GXF71" s="1"/>
      <c r="GXG71" s="1"/>
      <c r="GXH71" s="1"/>
      <c r="GXI71" s="1"/>
      <c r="GXJ71" s="1"/>
      <c r="GXK71" s="1"/>
      <c r="GXL71" s="1"/>
      <c r="GXM71" s="1"/>
      <c r="GXN71" s="1"/>
      <c r="GXO71" s="1"/>
      <c r="GXP71" s="1"/>
      <c r="GXQ71" s="1"/>
      <c r="GXR71" s="1"/>
      <c r="GXS71" s="1"/>
      <c r="GXT71" s="1"/>
      <c r="GXU71" s="1"/>
      <c r="GXV71" s="1"/>
      <c r="GXW71" s="1"/>
      <c r="GXX71" s="1"/>
      <c r="GXY71" s="1"/>
      <c r="GXZ71" s="1"/>
      <c r="GYA71" s="1"/>
      <c r="GYB71" s="1"/>
      <c r="GYC71" s="1"/>
      <c r="GYD71" s="1"/>
      <c r="GYE71" s="1"/>
      <c r="GYF71" s="1"/>
      <c r="GYG71" s="1"/>
      <c r="GYH71" s="1"/>
      <c r="GYI71" s="1"/>
      <c r="GYJ71" s="1"/>
      <c r="GYK71" s="1"/>
      <c r="GYL71" s="1"/>
      <c r="GYM71" s="1"/>
      <c r="GYN71" s="1"/>
      <c r="GYO71" s="1"/>
      <c r="GYP71" s="1"/>
      <c r="GYQ71" s="1"/>
      <c r="GYR71" s="1"/>
      <c r="GYS71" s="1"/>
      <c r="GYT71" s="1"/>
      <c r="GYU71" s="1"/>
      <c r="GYV71" s="1"/>
      <c r="GYW71" s="1"/>
      <c r="GYX71" s="1"/>
      <c r="GYY71" s="1"/>
      <c r="GYZ71" s="1"/>
      <c r="GZA71" s="1"/>
      <c r="GZB71" s="1"/>
      <c r="GZC71" s="1"/>
      <c r="GZD71" s="1"/>
      <c r="GZE71" s="1"/>
      <c r="GZF71" s="1"/>
      <c r="GZG71" s="1"/>
      <c r="GZH71" s="1"/>
      <c r="GZI71" s="1"/>
      <c r="GZJ71" s="1"/>
      <c r="GZK71" s="1"/>
      <c r="GZL71" s="1"/>
      <c r="GZM71" s="1"/>
      <c r="GZN71" s="1"/>
      <c r="GZO71" s="1"/>
      <c r="GZP71" s="1"/>
      <c r="GZQ71" s="1"/>
      <c r="GZR71" s="1"/>
      <c r="GZS71" s="1"/>
      <c r="GZT71" s="1"/>
      <c r="GZU71" s="1"/>
      <c r="GZV71" s="1"/>
      <c r="GZW71" s="1"/>
      <c r="GZX71" s="1"/>
      <c r="GZY71" s="1"/>
      <c r="GZZ71" s="1"/>
      <c r="HAA71" s="1"/>
      <c r="HAB71" s="1"/>
      <c r="HAC71" s="1"/>
      <c r="HAD71" s="1"/>
      <c r="HAE71" s="1"/>
      <c r="HAF71" s="1"/>
      <c r="HAG71" s="1"/>
      <c r="HAH71" s="1"/>
      <c r="HAI71" s="1"/>
      <c r="HAJ71" s="1"/>
      <c r="HAK71" s="1"/>
      <c r="HAL71" s="1"/>
      <c r="HAM71" s="1"/>
      <c r="HAN71" s="1"/>
      <c r="HAO71" s="1"/>
      <c r="HAP71" s="1"/>
      <c r="HAQ71" s="1"/>
      <c r="HAR71" s="1"/>
      <c r="HAS71" s="1"/>
      <c r="HAT71" s="1"/>
      <c r="HAU71" s="1"/>
      <c r="HAV71" s="1"/>
      <c r="HAW71" s="1"/>
      <c r="HAX71" s="1"/>
      <c r="HAY71" s="1"/>
      <c r="HAZ71" s="1"/>
      <c r="HBA71" s="1"/>
      <c r="HBB71" s="1"/>
      <c r="HBC71" s="1"/>
      <c r="HBD71" s="1"/>
      <c r="HBE71" s="1"/>
      <c r="HBF71" s="1"/>
      <c r="HBG71" s="1"/>
      <c r="HBH71" s="1"/>
      <c r="HBI71" s="1"/>
      <c r="HBJ71" s="1"/>
      <c r="HBK71" s="1"/>
      <c r="HBL71" s="1"/>
      <c r="HBM71" s="1"/>
      <c r="HBN71" s="1"/>
      <c r="HBO71" s="1"/>
      <c r="HBP71" s="1"/>
      <c r="HBQ71" s="1"/>
      <c r="HBR71" s="1"/>
      <c r="HBS71" s="1"/>
      <c r="HBT71" s="1"/>
      <c r="HBU71" s="1"/>
      <c r="HBV71" s="1"/>
      <c r="HBW71" s="1"/>
      <c r="HBX71" s="1"/>
      <c r="HBY71" s="1"/>
      <c r="HBZ71" s="1"/>
      <c r="HCA71" s="1"/>
      <c r="HCB71" s="1"/>
      <c r="HCC71" s="1"/>
      <c r="HCD71" s="1"/>
      <c r="HCE71" s="1"/>
      <c r="HCF71" s="1"/>
      <c r="HCG71" s="1"/>
      <c r="HCH71" s="1"/>
      <c r="HCI71" s="1"/>
      <c r="HCJ71" s="1"/>
      <c r="HCK71" s="1"/>
      <c r="HCL71" s="1"/>
      <c r="HCM71" s="1"/>
      <c r="HCN71" s="1"/>
      <c r="HCO71" s="1"/>
      <c r="HCP71" s="1"/>
      <c r="HCQ71" s="1"/>
      <c r="HCR71" s="1"/>
      <c r="HCS71" s="1"/>
      <c r="HCT71" s="1"/>
      <c r="HCU71" s="1"/>
      <c r="HCV71" s="1"/>
      <c r="HCW71" s="1"/>
      <c r="HCX71" s="1"/>
      <c r="HCY71" s="1"/>
      <c r="HCZ71" s="1"/>
      <c r="HDA71" s="1"/>
      <c r="HDB71" s="1"/>
      <c r="HDC71" s="1"/>
      <c r="HDD71" s="1"/>
      <c r="HDE71" s="1"/>
      <c r="HDF71" s="1"/>
      <c r="HDG71" s="1"/>
      <c r="HDH71" s="1"/>
      <c r="HDI71" s="1"/>
      <c r="HDJ71" s="1"/>
      <c r="HDK71" s="1"/>
      <c r="HDL71" s="1"/>
      <c r="HDM71" s="1"/>
      <c r="HDN71" s="1"/>
      <c r="HDO71" s="1"/>
      <c r="HDP71" s="1"/>
      <c r="HDQ71" s="1"/>
      <c r="HDR71" s="1"/>
      <c r="HDS71" s="1"/>
      <c r="HDT71" s="1"/>
      <c r="HDU71" s="1"/>
      <c r="HDV71" s="1"/>
      <c r="HDW71" s="1"/>
      <c r="HDX71" s="1"/>
      <c r="HDY71" s="1"/>
      <c r="HDZ71" s="1"/>
      <c r="HEA71" s="1"/>
      <c r="HEB71" s="1"/>
      <c r="HEC71" s="1"/>
      <c r="HED71" s="1"/>
      <c r="HEE71" s="1"/>
      <c r="HEF71" s="1"/>
      <c r="HEG71" s="1"/>
      <c r="HEH71" s="1"/>
      <c r="HEI71" s="1"/>
      <c r="HEJ71" s="1"/>
      <c r="HEK71" s="1"/>
      <c r="HEL71" s="1"/>
      <c r="HEM71" s="1"/>
      <c r="HEN71" s="1"/>
      <c r="HEO71" s="1"/>
      <c r="HEP71" s="1"/>
      <c r="HEQ71" s="1"/>
      <c r="HER71" s="1"/>
      <c r="HES71" s="1"/>
      <c r="HET71" s="1"/>
      <c r="HEU71" s="1"/>
      <c r="HEV71" s="1"/>
      <c r="HEW71" s="1"/>
      <c r="HEX71" s="1"/>
      <c r="HEY71" s="1"/>
      <c r="HEZ71" s="1"/>
      <c r="HFA71" s="1"/>
      <c r="HFB71" s="1"/>
      <c r="HFC71" s="1"/>
      <c r="HFD71" s="1"/>
      <c r="HFE71" s="1"/>
      <c r="HFF71" s="1"/>
      <c r="HFG71" s="1"/>
      <c r="HFH71" s="1"/>
      <c r="HFI71" s="1"/>
      <c r="HFJ71" s="1"/>
      <c r="HFK71" s="1"/>
      <c r="HFL71" s="1"/>
      <c r="HFM71" s="1"/>
      <c r="HFN71" s="1"/>
      <c r="HFO71" s="1"/>
      <c r="HFP71" s="1"/>
      <c r="HFQ71" s="1"/>
      <c r="HFR71" s="1"/>
      <c r="HFS71" s="1"/>
      <c r="HFT71" s="1"/>
      <c r="HFU71" s="1"/>
      <c r="HFV71" s="1"/>
      <c r="HFW71" s="1"/>
      <c r="HFX71" s="1"/>
      <c r="HFY71" s="1"/>
      <c r="HFZ71" s="1"/>
      <c r="HGA71" s="1"/>
      <c r="HGB71" s="1"/>
      <c r="HGC71" s="1"/>
      <c r="HGD71" s="1"/>
      <c r="HGE71" s="1"/>
      <c r="HGF71" s="1"/>
      <c r="HGG71" s="1"/>
      <c r="HGH71" s="1"/>
      <c r="HGI71" s="1"/>
      <c r="HGJ71" s="1"/>
      <c r="HGK71" s="1"/>
      <c r="HGL71" s="1"/>
      <c r="HGM71" s="1"/>
      <c r="HGN71" s="1"/>
      <c r="HGO71" s="1"/>
      <c r="HGP71" s="1"/>
      <c r="HGQ71" s="1"/>
      <c r="HGR71" s="1"/>
      <c r="HGS71" s="1"/>
      <c r="HGT71" s="1"/>
      <c r="HGU71" s="1"/>
      <c r="HGV71" s="1"/>
      <c r="HGW71" s="1"/>
      <c r="HGX71" s="1"/>
      <c r="HGY71" s="1"/>
      <c r="HGZ71" s="1"/>
      <c r="HHA71" s="1"/>
      <c r="HHB71" s="1"/>
      <c r="HHC71" s="1"/>
      <c r="HHD71" s="1"/>
      <c r="HHE71" s="1"/>
      <c r="HHF71" s="1"/>
      <c r="HHG71" s="1"/>
      <c r="HHH71" s="1"/>
      <c r="HHI71" s="1"/>
      <c r="HHJ71" s="1"/>
      <c r="HHK71" s="1"/>
      <c r="HHL71" s="1"/>
      <c r="HHM71" s="1"/>
      <c r="HHN71" s="1"/>
      <c r="HHO71" s="1"/>
      <c r="HHP71" s="1"/>
      <c r="HHQ71" s="1"/>
      <c r="HHR71" s="1"/>
      <c r="HHS71" s="1"/>
      <c r="HHT71" s="1"/>
      <c r="HHU71" s="1"/>
      <c r="HHV71" s="1"/>
      <c r="HHW71" s="1"/>
      <c r="HHX71" s="1"/>
      <c r="HHY71" s="1"/>
      <c r="HHZ71" s="1"/>
      <c r="HIA71" s="1"/>
      <c r="HIB71" s="1"/>
      <c r="HIC71" s="1"/>
      <c r="HID71" s="1"/>
      <c r="HIE71" s="1"/>
      <c r="HIF71" s="1"/>
      <c r="HIG71" s="1"/>
      <c r="HIH71" s="1"/>
      <c r="HII71" s="1"/>
      <c r="HIJ71" s="1"/>
      <c r="HIK71" s="1"/>
      <c r="HIL71" s="1"/>
      <c r="HIM71" s="1"/>
      <c r="HIN71" s="1"/>
      <c r="HIO71" s="1"/>
      <c r="HIP71" s="1"/>
      <c r="HIQ71" s="1"/>
      <c r="HIR71" s="1"/>
      <c r="HIS71" s="1"/>
      <c r="HIT71" s="1"/>
      <c r="HIU71" s="1"/>
      <c r="HIV71" s="1"/>
      <c r="HIW71" s="1"/>
      <c r="HIX71" s="1"/>
      <c r="HIY71" s="1"/>
      <c r="HIZ71" s="1"/>
      <c r="HJA71" s="1"/>
      <c r="HJB71" s="1"/>
      <c r="HJC71" s="1"/>
      <c r="HJD71" s="1"/>
      <c r="HJE71" s="1"/>
      <c r="HJF71" s="1"/>
      <c r="HJG71" s="1"/>
      <c r="HJH71" s="1"/>
      <c r="HJI71" s="1"/>
      <c r="HJJ71" s="1"/>
      <c r="HJK71" s="1"/>
      <c r="HJL71" s="1"/>
      <c r="HJM71" s="1"/>
      <c r="HJN71" s="1"/>
      <c r="HJO71" s="1"/>
      <c r="HJP71" s="1"/>
      <c r="HJQ71" s="1"/>
      <c r="HJR71" s="1"/>
      <c r="HJS71" s="1"/>
      <c r="HJT71" s="1"/>
      <c r="HJU71" s="1"/>
      <c r="HJV71" s="1"/>
      <c r="HJW71" s="1"/>
      <c r="HJX71" s="1"/>
      <c r="HJY71" s="1"/>
      <c r="HJZ71" s="1"/>
      <c r="HKA71" s="1"/>
      <c r="HKB71" s="1"/>
      <c r="HKC71" s="1"/>
      <c r="HKD71" s="1"/>
      <c r="HKE71" s="1"/>
      <c r="HKF71" s="1"/>
      <c r="HKG71" s="1"/>
      <c r="HKH71" s="1"/>
      <c r="HKI71" s="1"/>
      <c r="HKJ71" s="1"/>
      <c r="HKK71" s="1"/>
      <c r="HKL71" s="1"/>
      <c r="HKM71" s="1"/>
      <c r="HKN71" s="1"/>
      <c r="HKO71" s="1"/>
      <c r="HKP71" s="1"/>
      <c r="HKQ71" s="1"/>
      <c r="HKR71" s="1"/>
      <c r="HKS71" s="1"/>
      <c r="HKT71" s="1"/>
      <c r="HKU71" s="1"/>
      <c r="HKV71" s="1"/>
      <c r="HKW71" s="1"/>
      <c r="HKX71" s="1"/>
      <c r="HKY71" s="1"/>
      <c r="HKZ71" s="1"/>
      <c r="HLA71" s="1"/>
      <c r="HLB71" s="1"/>
      <c r="HLC71" s="1"/>
      <c r="HLD71" s="1"/>
      <c r="HLE71" s="1"/>
      <c r="HLF71" s="1"/>
      <c r="HLG71" s="1"/>
      <c r="HLH71" s="1"/>
      <c r="HLI71" s="1"/>
      <c r="HLJ71" s="1"/>
      <c r="HLK71" s="1"/>
      <c r="HLL71" s="1"/>
      <c r="HLM71" s="1"/>
      <c r="HLN71" s="1"/>
      <c r="HLO71" s="1"/>
      <c r="HLP71" s="1"/>
      <c r="HLQ71" s="1"/>
      <c r="HLR71" s="1"/>
      <c r="HLS71" s="1"/>
      <c r="HLT71" s="1"/>
      <c r="HLU71" s="1"/>
      <c r="HLV71" s="1"/>
      <c r="HLW71" s="1"/>
      <c r="HLX71" s="1"/>
      <c r="HLY71" s="1"/>
      <c r="HLZ71" s="1"/>
      <c r="HMA71" s="1"/>
      <c r="HMB71" s="1"/>
      <c r="HMC71" s="1"/>
      <c r="HMD71" s="1"/>
      <c r="HME71" s="1"/>
      <c r="HMF71" s="1"/>
      <c r="HMG71" s="1"/>
      <c r="HMH71" s="1"/>
      <c r="HMI71" s="1"/>
      <c r="HMJ71" s="1"/>
      <c r="HMK71" s="1"/>
      <c r="HML71" s="1"/>
      <c r="HMM71" s="1"/>
      <c r="HMN71" s="1"/>
      <c r="HMO71" s="1"/>
      <c r="HMP71" s="1"/>
      <c r="HMQ71" s="1"/>
      <c r="HMR71" s="1"/>
      <c r="HMS71" s="1"/>
      <c r="HMT71" s="1"/>
      <c r="HMU71" s="1"/>
      <c r="HMV71" s="1"/>
      <c r="HMW71" s="1"/>
      <c r="HMX71" s="1"/>
      <c r="HMY71" s="1"/>
      <c r="HMZ71" s="1"/>
      <c r="HNA71" s="1"/>
      <c r="HNB71" s="1"/>
      <c r="HNC71" s="1"/>
      <c r="HND71" s="1"/>
      <c r="HNE71" s="1"/>
      <c r="HNF71" s="1"/>
      <c r="HNG71" s="1"/>
      <c r="HNH71" s="1"/>
      <c r="HNI71" s="1"/>
      <c r="HNJ71" s="1"/>
      <c r="HNK71" s="1"/>
      <c r="HNL71" s="1"/>
      <c r="HNM71" s="1"/>
      <c r="HNN71" s="1"/>
      <c r="HNO71" s="1"/>
      <c r="HNP71" s="1"/>
      <c r="HNQ71" s="1"/>
      <c r="HNR71" s="1"/>
      <c r="HNS71" s="1"/>
      <c r="HNT71" s="1"/>
      <c r="HNU71" s="1"/>
      <c r="HNV71" s="1"/>
      <c r="HNW71" s="1"/>
      <c r="HNX71" s="1"/>
      <c r="HNY71" s="1"/>
      <c r="HNZ71" s="1"/>
      <c r="HOA71" s="1"/>
      <c r="HOB71" s="1"/>
      <c r="HOC71" s="1"/>
      <c r="HOD71" s="1"/>
      <c r="HOE71" s="1"/>
      <c r="HOF71" s="1"/>
      <c r="HOG71" s="1"/>
      <c r="HOH71" s="1"/>
      <c r="HOI71" s="1"/>
      <c r="HOJ71" s="1"/>
      <c r="HOK71" s="1"/>
      <c r="HOL71" s="1"/>
      <c r="HOM71" s="1"/>
      <c r="HON71" s="1"/>
      <c r="HOO71" s="1"/>
      <c r="HOP71" s="1"/>
      <c r="HOQ71" s="1"/>
      <c r="HOR71" s="1"/>
      <c r="HOS71" s="1"/>
      <c r="HOT71" s="1"/>
      <c r="HOU71" s="1"/>
      <c r="HOV71" s="1"/>
      <c r="HOW71" s="1"/>
      <c r="HOX71" s="1"/>
      <c r="HOY71" s="1"/>
      <c r="HOZ71" s="1"/>
      <c r="HPA71" s="1"/>
      <c r="HPB71" s="1"/>
      <c r="HPC71" s="1"/>
      <c r="HPD71" s="1"/>
      <c r="HPE71" s="1"/>
      <c r="HPF71" s="1"/>
      <c r="HPG71" s="1"/>
      <c r="HPH71" s="1"/>
      <c r="HPI71" s="1"/>
      <c r="HPJ71" s="1"/>
      <c r="HPK71" s="1"/>
      <c r="HPL71" s="1"/>
      <c r="HPM71" s="1"/>
      <c r="HPN71" s="1"/>
      <c r="HPO71" s="1"/>
      <c r="HPP71" s="1"/>
      <c r="HPQ71" s="1"/>
      <c r="HPR71" s="1"/>
      <c r="HPS71" s="1"/>
      <c r="HPT71" s="1"/>
      <c r="HPU71" s="1"/>
      <c r="HPV71" s="1"/>
      <c r="HPW71" s="1"/>
      <c r="HPX71" s="1"/>
      <c r="HPY71" s="1"/>
      <c r="HPZ71" s="1"/>
      <c r="HQA71" s="1"/>
      <c r="HQB71" s="1"/>
      <c r="HQC71" s="1"/>
      <c r="HQD71" s="1"/>
      <c r="HQE71" s="1"/>
      <c r="HQF71" s="1"/>
      <c r="HQG71" s="1"/>
      <c r="HQH71" s="1"/>
      <c r="HQI71" s="1"/>
      <c r="HQJ71" s="1"/>
      <c r="HQK71" s="1"/>
      <c r="HQL71" s="1"/>
      <c r="HQM71" s="1"/>
      <c r="HQN71" s="1"/>
      <c r="HQO71" s="1"/>
      <c r="HQP71" s="1"/>
      <c r="HQQ71" s="1"/>
      <c r="HQR71" s="1"/>
      <c r="HQS71" s="1"/>
      <c r="HQT71" s="1"/>
      <c r="HQU71" s="1"/>
      <c r="HQV71" s="1"/>
      <c r="HQW71" s="1"/>
      <c r="HQX71" s="1"/>
      <c r="HQY71" s="1"/>
      <c r="HQZ71" s="1"/>
      <c r="HRA71" s="1"/>
      <c r="HRB71" s="1"/>
      <c r="HRC71" s="1"/>
      <c r="HRD71" s="1"/>
      <c r="HRE71" s="1"/>
      <c r="HRF71" s="1"/>
      <c r="HRG71" s="1"/>
      <c r="HRH71" s="1"/>
      <c r="HRI71" s="1"/>
      <c r="HRJ71" s="1"/>
      <c r="HRK71" s="1"/>
      <c r="HRL71" s="1"/>
      <c r="HRM71" s="1"/>
      <c r="HRN71" s="1"/>
      <c r="HRO71" s="1"/>
      <c r="HRP71" s="1"/>
      <c r="HRQ71" s="1"/>
      <c r="HRR71" s="1"/>
      <c r="HRS71" s="1"/>
      <c r="HRT71" s="1"/>
      <c r="HRU71" s="1"/>
      <c r="HRV71" s="1"/>
      <c r="HRW71" s="1"/>
      <c r="HRX71" s="1"/>
      <c r="HRY71" s="1"/>
      <c r="HRZ71" s="1"/>
      <c r="HSA71" s="1"/>
      <c r="HSB71" s="1"/>
      <c r="HSC71" s="1"/>
      <c r="HSD71" s="1"/>
      <c r="HSE71" s="1"/>
      <c r="HSF71" s="1"/>
      <c r="HSG71" s="1"/>
      <c r="HSH71" s="1"/>
      <c r="HSI71" s="1"/>
      <c r="HSJ71" s="1"/>
      <c r="HSK71" s="1"/>
      <c r="HSL71" s="1"/>
      <c r="HSM71" s="1"/>
      <c r="HSN71" s="1"/>
      <c r="HSO71" s="1"/>
      <c r="HSP71" s="1"/>
      <c r="HSQ71" s="1"/>
      <c r="HSR71" s="1"/>
      <c r="HSS71" s="1"/>
      <c r="HST71" s="1"/>
      <c r="HSU71" s="1"/>
      <c r="HSV71" s="1"/>
      <c r="HSW71" s="1"/>
      <c r="HSX71" s="1"/>
      <c r="HSY71" s="1"/>
      <c r="HSZ71" s="1"/>
      <c r="HTA71" s="1"/>
      <c r="HTB71" s="1"/>
      <c r="HTC71" s="1"/>
      <c r="HTD71" s="1"/>
      <c r="HTE71" s="1"/>
      <c r="HTF71" s="1"/>
      <c r="HTG71" s="1"/>
      <c r="HTH71" s="1"/>
      <c r="HTI71" s="1"/>
      <c r="HTJ71" s="1"/>
      <c r="HTK71" s="1"/>
      <c r="HTL71" s="1"/>
      <c r="HTM71" s="1"/>
      <c r="HTN71" s="1"/>
      <c r="HTO71" s="1"/>
      <c r="HTP71" s="1"/>
      <c r="HTQ71" s="1"/>
      <c r="HTR71" s="1"/>
      <c r="HTS71" s="1"/>
      <c r="HTT71" s="1"/>
      <c r="HTU71" s="1"/>
      <c r="HTV71" s="1"/>
      <c r="HTW71" s="1"/>
      <c r="HTX71" s="1"/>
      <c r="HTY71" s="1"/>
      <c r="HTZ71" s="1"/>
      <c r="HUA71" s="1"/>
      <c r="HUB71" s="1"/>
      <c r="HUC71" s="1"/>
      <c r="HUD71" s="1"/>
      <c r="HUE71" s="1"/>
      <c r="HUF71" s="1"/>
      <c r="HUG71" s="1"/>
      <c r="HUH71" s="1"/>
      <c r="HUI71" s="1"/>
      <c r="HUJ71" s="1"/>
      <c r="HUK71" s="1"/>
      <c r="HUL71" s="1"/>
      <c r="HUM71" s="1"/>
      <c r="HUN71" s="1"/>
      <c r="HUO71" s="1"/>
      <c r="HUP71" s="1"/>
      <c r="HUQ71" s="1"/>
      <c r="HUR71" s="1"/>
      <c r="HUS71" s="1"/>
      <c r="HUT71" s="1"/>
      <c r="HUU71" s="1"/>
      <c r="HUV71" s="1"/>
      <c r="HUW71" s="1"/>
      <c r="HUX71" s="1"/>
      <c r="HUY71" s="1"/>
      <c r="HUZ71" s="1"/>
      <c r="HVA71" s="1"/>
      <c r="HVB71" s="1"/>
      <c r="HVC71" s="1"/>
      <c r="HVD71" s="1"/>
      <c r="HVE71" s="1"/>
      <c r="HVF71" s="1"/>
      <c r="HVG71" s="1"/>
      <c r="HVH71" s="1"/>
      <c r="HVI71" s="1"/>
      <c r="HVJ71" s="1"/>
      <c r="HVK71" s="1"/>
      <c r="HVL71" s="1"/>
      <c r="HVM71" s="1"/>
      <c r="HVN71" s="1"/>
      <c r="HVO71" s="1"/>
      <c r="HVP71" s="1"/>
      <c r="HVQ71" s="1"/>
      <c r="HVR71" s="1"/>
      <c r="HVS71" s="1"/>
      <c r="HVT71" s="1"/>
      <c r="HVU71" s="1"/>
      <c r="HVV71" s="1"/>
      <c r="HVW71" s="1"/>
      <c r="HVX71" s="1"/>
      <c r="HVY71" s="1"/>
      <c r="HVZ71" s="1"/>
      <c r="HWA71" s="1"/>
      <c r="HWB71" s="1"/>
      <c r="HWC71" s="1"/>
      <c r="HWD71" s="1"/>
      <c r="HWE71" s="1"/>
      <c r="HWF71" s="1"/>
      <c r="HWG71" s="1"/>
      <c r="HWH71" s="1"/>
      <c r="HWI71" s="1"/>
      <c r="HWJ71" s="1"/>
      <c r="HWK71" s="1"/>
      <c r="HWL71" s="1"/>
      <c r="HWM71" s="1"/>
      <c r="HWN71" s="1"/>
      <c r="HWO71" s="1"/>
      <c r="HWP71" s="1"/>
      <c r="HWQ71" s="1"/>
      <c r="HWR71" s="1"/>
      <c r="HWS71" s="1"/>
      <c r="HWT71" s="1"/>
      <c r="HWU71" s="1"/>
      <c r="HWV71" s="1"/>
      <c r="HWW71" s="1"/>
      <c r="HWX71" s="1"/>
      <c r="HWY71" s="1"/>
      <c r="HWZ71" s="1"/>
      <c r="HXA71" s="1"/>
      <c r="HXB71" s="1"/>
      <c r="HXC71" s="1"/>
      <c r="HXD71" s="1"/>
      <c r="HXE71" s="1"/>
      <c r="HXF71" s="1"/>
      <c r="HXG71" s="1"/>
      <c r="HXH71" s="1"/>
      <c r="HXI71" s="1"/>
      <c r="HXJ71" s="1"/>
      <c r="HXK71" s="1"/>
      <c r="HXL71" s="1"/>
      <c r="HXM71" s="1"/>
      <c r="HXN71" s="1"/>
      <c r="HXO71" s="1"/>
      <c r="HXP71" s="1"/>
      <c r="HXQ71" s="1"/>
      <c r="HXR71" s="1"/>
      <c r="HXS71" s="1"/>
      <c r="HXT71" s="1"/>
      <c r="HXU71" s="1"/>
      <c r="HXV71" s="1"/>
      <c r="HXW71" s="1"/>
      <c r="HXX71" s="1"/>
      <c r="HXY71" s="1"/>
      <c r="HXZ71" s="1"/>
      <c r="HYA71" s="1"/>
      <c r="HYB71" s="1"/>
      <c r="HYC71" s="1"/>
      <c r="HYD71" s="1"/>
      <c r="HYE71" s="1"/>
      <c r="HYF71" s="1"/>
      <c r="HYG71" s="1"/>
      <c r="HYH71" s="1"/>
      <c r="HYI71" s="1"/>
      <c r="HYJ71" s="1"/>
      <c r="HYK71" s="1"/>
      <c r="HYL71" s="1"/>
      <c r="HYM71" s="1"/>
      <c r="HYN71" s="1"/>
      <c r="HYO71" s="1"/>
      <c r="HYP71" s="1"/>
      <c r="HYQ71" s="1"/>
      <c r="HYR71" s="1"/>
      <c r="HYS71" s="1"/>
      <c r="HYT71" s="1"/>
      <c r="HYU71" s="1"/>
      <c r="HYV71" s="1"/>
      <c r="HYW71" s="1"/>
      <c r="HYX71" s="1"/>
      <c r="HYY71" s="1"/>
      <c r="HYZ71" s="1"/>
      <c r="HZA71" s="1"/>
      <c r="HZB71" s="1"/>
      <c r="HZC71" s="1"/>
      <c r="HZD71" s="1"/>
      <c r="HZE71" s="1"/>
      <c r="HZF71" s="1"/>
      <c r="HZG71" s="1"/>
      <c r="HZH71" s="1"/>
      <c r="HZI71" s="1"/>
      <c r="HZJ71" s="1"/>
      <c r="HZK71" s="1"/>
      <c r="HZL71" s="1"/>
      <c r="HZM71" s="1"/>
      <c r="HZN71" s="1"/>
      <c r="HZO71" s="1"/>
      <c r="HZP71" s="1"/>
      <c r="HZQ71" s="1"/>
      <c r="HZR71" s="1"/>
      <c r="HZS71" s="1"/>
      <c r="HZT71" s="1"/>
      <c r="HZU71" s="1"/>
      <c r="HZV71" s="1"/>
      <c r="HZW71" s="1"/>
      <c r="HZX71" s="1"/>
      <c r="HZY71" s="1"/>
      <c r="HZZ71" s="1"/>
      <c r="IAA71" s="1"/>
      <c r="IAB71" s="1"/>
      <c r="IAC71" s="1"/>
      <c r="IAD71" s="1"/>
      <c r="IAE71" s="1"/>
      <c r="IAF71" s="1"/>
      <c r="IAG71" s="1"/>
      <c r="IAH71" s="1"/>
      <c r="IAI71" s="1"/>
      <c r="IAJ71" s="1"/>
      <c r="IAK71" s="1"/>
      <c r="IAL71" s="1"/>
      <c r="IAM71" s="1"/>
      <c r="IAN71" s="1"/>
      <c r="IAO71" s="1"/>
      <c r="IAP71" s="1"/>
      <c r="IAQ71" s="1"/>
      <c r="IAR71" s="1"/>
      <c r="IAS71" s="1"/>
      <c r="IAT71" s="1"/>
      <c r="IAU71" s="1"/>
      <c r="IAV71" s="1"/>
      <c r="IAW71" s="1"/>
      <c r="IAX71" s="1"/>
      <c r="IAY71" s="1"/>
      <c r="IAZ71" s="1"/>
      <c r="IBA71" s="1"/>
      <c r="IBB71" s="1"/>
      <c r="IBC71" s="1"/>
      <c r="IBD71" s="1"/>
      <c r="IBE71" s="1"/>
      <c r="IBF71" s="1"/>
      <c r="IBG71" s="1"/>
      <c r="IBH71" s="1"/>
      <c r="IBI71" s="1"/>
      <c r="IBJ71" s="1"/>
      <c r="IBK71" s="1"/>
      <c r="IBL71" s="1"/>
      <c r="IBM71" s="1"/>
      <c r="IBN71" s="1"/>
      <c r="IBO71" s="1"/>
      <c r="IBP71" s="1"/>
      <c r="IBQ71" s="1"/>
      <c r="IBR71" s="1"/>
      <c r="IBS71" s="1"/>
      <c r="IBT71" s="1"/>
      <c r="IBU71" s="1"/>
      <c r="IBV71" s="1"/>
      <c r="IBW71" s="1"/>
      <c r="IBX71" s="1"/>
      <c r="IBY71" s="1"/>
      <c r="IBZ71" s="1"/>
      <c r="ICA71" s="1"/>
      <c r="ICB71" s="1"/>
      <c r="ICC71" s="1"/>
      <c r="ICD71" s="1"/>
      <c r="ICE71" s="1"/>
      <c r="ICF71" s="1"/>
      <c r="ICG71" s="1"/>
      <c r="ICH71" s="1"/>
      <c r="ICI71" s="1"/>
      <c r="ICJ71" s="1"/>
      <c r="ICK71" s="1"/>
      <c r="ICL71" s="1"/>
      <c r="ICM71" s="1"/>
      <c r="ICN71" s="1"/>
      <c r="ICO71" s="1"/>
      <c r="ICP71" s="1"/>
      <c r="ICQ71" s="1"/>
      <c r="ICR71" s="1"/>
      <c r="ICS71" s="1"/>
      <c r="ICT71" s="1"/>
      <c r="ICU71" s="1"/>
      <c r="ICV71" s="1"/>
      <c r="ICW71" s="1"/>
      <c r="ICX71" s="1"/>
      <c r="ICY71" s="1"/>
      <c r="ICZ71" s="1"/>
      <c r="IDA71" s="1"/>
      <c r="IDB71" s="1"/>
      <c r="IDC71" s="1"/>
      <c r="IDD71" s="1"/>
      <c r="IDE71" s="1"/>
      <c r="IDF71" s="1"/>
      <c r="IDG71" s="1"/>
      <c r="IDH71" s="1"/>
      <c r="IDI71" s="1"/>
      <c r="IDJ71" s="1"/>
      <c r="IDK71" s="1"/>
      <c r="IDL71" s="1"/>
      <c r="IDM71" s="1"/>
      <c r="IDN71" s="1"/>
      <c r="IDO71" s="1"/>
      <c r="IDP71" s="1"/>
      <c r="IDQ71" s="1"/>
      <c r="IDR71" s="1"/>
      <c r="IDS71" s="1"/>
      <c r="IDT71" s="1"/>
      <c r="IDU71" s="1"/>
      <c r="IDV71" s="1"/>
      <c r="IDW71" s="1"/>
      <c r="IDX71" s="1"/>
      <c r="IDY71" s="1"/>
      <c r="IDZ71" s="1"/>
      <c r="IEA71" s="1"/>
      <c r="IEB71" s="1"/>
      <c r="IEC71" s="1"/>
      <c r="IED71" s="1"/>
      <c r="IEE71" s="1"/>
      <c r="IEF71" s="1"/>
      <c r="IEG71" s="1"/>
      <c r="IEH71" s="1"/>
      <c r="IEI71" s="1"/>
      <c r="IEJ71" s="1"/>
      <c r="IEK71" s="1"/>
      <c r="IEL71" s="1"/>
      <c r="IEM71" s="1"/>
      <c r="IEN71" s="1"/>
      <c r="IEO71" s="1"/>
      <c r="IEP71" s="1"/>
      <c r="IEQ71" s="1"/>
      <c r="IER71" s="1"/>
      <c r="IES71" s="1"/>
      <c r="IET71" s="1"/>
      <c r="IEU71" s="1"/>
      <c r="IEV71" s="1"/>
      <c r="IEW71" s="1"/>
      <c r="IEX71" s="1"/>
      <c r="IEY71" s="1"/>
      <c r="IEZ71" s="1"/>
      <c r="IFA71" s="1"/>
      <c r="IFB71" s="1"/>
      <c r="IFC71" s="1"/>
      <c r="IFD71" s="1"/>
      <c r="IFE71" s="1"/>
      <c r="IFF71" s="1"/>
      <c r="IFG71" s="1"/>
      <c r="IFH71" s="1"/>
      <c r="IFI71" s="1"/>
      <c r="IFJ71" s="1"/>
      <c r="IFK71" s="1"/>
      <c r="IFL71" s="1"/>
      <c r="IFM71" s="1"/>
      <c r="IFN71" s="1"/>
      <c r="IFO71" s="1"/>
      <c r="IFP71" s="1"/>
      <c r="IFQ71" s="1"/>
      <c r="IFR71" s="1"/>
      <c r="IFS71" s="1"/>
      <c r="IFT71" s="1"/>
      <c r="IFU71" s="1"/>
      <c r="IFV71" s="1"/>
      <c r="IFW71" s="1"/>
      <c r="IFX71" s="1"/>
      <c r="IFY71" s="1"/>
      <c r="IFZ71" s="1"/>
      <c r="IGA71" s="1"/>
      <c r="IGB71" s="1"/>
      <c r="IGC71" s="1"/>
      <c r="IGD71" s="1"/>
      <c r="IGE71" s="1"/>
      <c r="IGF71" s="1"/>
      <c r="IGG71" s="1"/>
      <c r="IGH71" s="1"/>
      <c r="IGI71" s="1"/>
      <c r="IGJ71" s="1"/>
      <c r="IGK71" s="1"/>
      <c r="IGL71" s="1"/>
      <c r="IGM71" s="1"/>
      <c r="IGN71" s="1"/>
      <c r="IGO71" s="1"/>
      <c r="IGP71" s="1"/>
      <c r="IGQ71" s="1"/>
      <c r="IGR71" s="1"/>
      <c r="IGS71" s="1"/>
      <c r="IGT71" s="1"/>
      <c r="IGU71" s="1"/>
      <c r="IGV71" s="1"/>
      <c r="IGW71" s="1"/>
      <c r="IGX71" s="1"/>
      <c r="IGY71" s="1"/>
      <c r="IGZ71" s="1"/>
      <c r="IHA71" s="1"/>
      <c r="IHB71" s="1"/>
      <c r="IHC71" s="1"/>
      <c r="IHD71" s="1"/>
      <c r="IHE71" s="1"/>
      <c r="IHF71" s="1"/>
      <c r="IHG71" s="1"/>
      <c r="IHH71" s="1"/>
      <c r="IHI71" s="1"/>
      <c r="IHJ71" s="1"/>
      <c r="IHK71" s="1"/>
      <c r="IHL71" s="1"/>
      <c r="IHM71" s="1"/>
      <c r="IHN71" s="1"/>
      <c r="IHO71" s="1"/>
      <c r="IHP71" s="1"/>
      <c r="IHQ71" s="1"/>
      <c r="IHR71" s="1"/>
      <c r="IHS71" s="1"/>
      <c r="IHT71" s="1"/>
      <c r="IHU71" s="1"/>
      <c r="IHV71" s="1"/>
      <c r="IHW71" s="1"/>
      <c r="IHX71" s="1"/>
      <c r="IHY71" s="1"/>
      <c r="IHZ71" s="1"/>
      <c r="IIA71" s="1"/>
      <c r="IIB71" s="1"/>
      <c r="IIC71" s="1"/>
      <c r="IID71" s="1"/>
      <c r="IIE71" s="1"/>
      <c r="IIF71" s="1"/>
      <c r="IIG71" s="1"/>
      <c r="IIH71" s="1"/>
      <c r="III71" s="1"/>
      <c r="IIJ71" s="1"/>
      <c r="IIK71" s="1"/>
      <c r="IIL71" s="1"/>
      <c r="IIM71" s="1"/>
      <c r="IIN71" s="1"/>
      <c r="IIO71" s="1"/>
      <c r="IIP71" s="1"/>
      <c r="IIQ71" s="1"/>
      <c r="IIR71" s="1"/>
      <c r="IIS71" s="1"/>
      <c r="IIT71" s="1"/>
      <c r="IIU71" s="1"/>
      <c r="IIV71" s="1"/>
      <c r="IIW71" s="1"/>
      <c r="IIX71" s="1"/>
      <c r="IIY71" s="1"/>
      <c r="IIZ71" s="1"/>
      <c r="IJA71" s="1"/>
      <c r="IJB71" s="1"/>
      <c r="IJC71" s="1"/>
      <c r="IJD71" s="1"/>
      <c r="IJE71" s="1"/>
      <c r="IJF71" s="1"/>
      <c r="IJG71" s="1"/>
      <c r="IJH71" s="1"/>
      <c r="IJI71" s="1"/>
      <c r="IJJ71" s="1"/>
      <c r="IJK71" s="1"/>
      <c r="IJL71" s="1"/>
      <c r="IJM71" s="1"/>
      <c r="IJN71" s="1"/>
      <c r="IJO71" s="1"/>
      <c r="IJP71" s="1"/>
      <c r="IJQ71" s="1"/>
      <c r="IJR71" s="1"/>
      <c r="IJS71" s="1"/>
      <c r="IJT71" s="1"/>
      <c r="IJU71" s="1"/>
      <c r="IJV71" s="1"/>
      <c r="IJW71" s="1"/>
      <c r="IJX71" s="1"/>
      <c r="IJY71" s="1"/>
      <c r="IJZ71" s="1"/>
      <c r="IKA71" s="1"/>
      <c r="IKB71" s="1"/>
      <c r="IKC71" s="1"/>
      <c r="IKD71" s="1"/>
      <c r="IKE71" s="1"/>
      <c r="IKF71" s="1"/>
      <c r="IKG71" s="1"/>
      <c r="IKH71" s="1"/>
      <c r="IKI71" s="1"/>
      <c r="IKJ71" s="1"/>
      <c r="IKK71" s="1"/>
      <c r="IKL71" s="1"/>
      <c r="IKM71" s="1"/>
      <c r="IKN71" s="1"/>
      <c r="IKO71" s="1"/>
      <c r="IKP71" s="1"/>
      <c r="IKQ71" s="1"/>
      <c r="IKR71" s="1"/>
      <c r="IKS71" s="1"/>
      <c r="IKT71" s="1"/>
      <c r="IKU71" s="1"/>
      <c r="IKV71" s="1"/>
      <c r="IKW71" s="1"/>
      <c r="IKX71" s="1"/>
      <c r="IKY71" s="1"/>
      <c r="IKZ71" s="1"/>
      <c r="ILA71" s="1"/>
      <c r="ILB71" s="1"/>
      <c r="ILC71" s="1"/>
      <c r="ILD71" s="1"/>
      <c r="ILE71" s="1"/>
      <c r="ILF71" s="1"/>
      <c r="ILG71" s="1"/>
      <c r="ILH71" s="1"/>
      <c r="ILI71" s="1"/>
      <c r="ILJ71" s="1"/>
      <c r="ILK71" s="1"/>
      <c r="ILL71" s="1"/>
      <c r="ILM71" s="1"/>
      <c r="ILN71" s="1"/>
      <c r="ILO71" s="1"/>
      <c r="ILP71" s="1"/>
      <c r="ILQ71" s="1"/>
      <c r="ILR71" s="1"/>
      <c r="ILS71" s="1"/>
      <c r="ILT71" s="1"/>
      <c r="ILU71" s="1"/>
      <c r="ILV71" s="1"/>
      <c r="ILW71" s="1"/>
      <c r="ILX71" s="1"/>
      <c r="ILY71" s="1"/>
      <c r="ILZ71" s="1"/>
      <c r="IMA71" s="1"/>
      <c r="IMB71" s="1"/>
      <c r="IMC71" s="1"/>
      <c r="IMD71" s="1"/>
      <c r="IME71" s="1"/>
      <c r="IMF71" s="1"/>
      <c r="IMG71" s="1"/>
      <c r="IMH71" s="1"/>
      <c r="IMI71" s="1"/>
      <c r="IMJ71" s="1"/>
      <c r="IMK71" s="1"/>
      <c r="IML71" s="1"/>
      <c r="IMM71" s="1"/>
      <c r="IMN71" s="1"/>
      <c r="IMO71" s="1"/>
      <c r="IMP71" s="1"/>
      <c r="IMQ71" s="1"/>
      <c r="IMR71" s="1"/>
      <c r="IMS71" s="1"/>
      <c r="IMT71" s="1"/>
      <c r="IMU71" s="1"/>
      <c r="IMV71" s="1"/>
      <c r="IMW71" s="1"/>
      <c r="IMX71" s="1"/>
      <c r="IMY71" s="1"/>
      <c r="IMZ71" s="1"/>
      <c r="INA71" s="1"/>
      <c r="INB71" s="1"/>
      <c r="INC71" s="1"/>
      <c r="IND71" s="1"/>
      <c r="INE71" s="1"/>
      <c r="INF71" s="1"/>
      <c r="ING71" s="1"/>
      <c r="INH71" s="1"/>
      <c r="INI71" s="1"/>
      <c r="INJ71" s="1"/>
      <c r="INK71" s="1"/>
      <c r="INL71" s="1"/>
      <c r="INM71" s="1"/>
      <c r="INN71" s="1"/>
      <c r="INO71" s="1"/>
      <c r="INP71" s="1"/>
      <c r="INQ71" s="1"/>
      <c r="INR71" s="1"/>
      <c r="INS71" s="1"/>
      <c r="INT71" s="1"/>
      <c r="INU71" s="1"/>
      <c r="INV71" s="1"/>
      <c r="INW71" s="1"/>
      <c r="INX71" s="1"/>
      <c r="INY71" s="1"/>
      <c r="INZ71" s="1"/>
      <c r="IOA71" s="1"/>
      <c r="IOB71" s="1"/>
      <c r="IOC71" s="1"/>
      <c r="IOD71" s="1"/>
      <c r="IOE71" s="1"/>
      <c r="IOF71" s="1"/>
      <c r="IOG71" s="1"/>
      <c r="IOH71" s="1"/>
      <c r="IOI71" s="1"/>
      <c r="IOJ71" s="1"/>
      <c r="IOK71" s="1"/>
      <c r="IOL71" s="1"/>
      <c r="IOM71" s="1"/>
      <c r="ION71" s="1"/>
      <c r="IOO71" s="1"/>
      <c r="IOP71" s="1"/>
      <c r="IOQ71" s="1"/>
      <c r="IOR71" s="1"/>
      <c r="IOS71" s="1"/>
      <c r="IOT71" s="1"/>
      <c r="IOU71" s="1"/>
      <c r="IOV71" s="1"/>
      <c r="IOW71" s="1"/>
      <c r="IOX71" s="1"/>
      <c r="IOY71" s="1"/>
      <c r="IOZ71" s="1"/>
      <c r="IPA71" s="1"/>
      <c r="IPB71" s="1"/>
      <c r="IPC71" s="1"/>
      <c r="IPD71" s="1"/>
      <c r="IPE71" s="1"/>
      <c r="IPF71" s="1"/>
      <c r="IPG71" s="1"/>
      <c r="IPH71" s="1"/>
      <c r="IPI71" s="1"/>
      <c r="IPJ71" s="1"/>
      <c r="IPK71" s="1"/>
      <c r="IPL71" s="1"/>
      <c r="IPM71" s="1"/>
      <c r="IPN71" s="1"/>
      <c r="IPO71" s="1"/>
      <c r="IPP71" s="1"/>
      <c r="IPQ71" s="1"/>
      <c r="IPR71" s="1"/>
      <c r="IPS71" s="1"/>
      <c r="IPT71" s="1"/>
      <c r="IPU71" s="1"/>
      <c r="IPV71" s="1"/>
      <c r="IPW71" s="1"/>
      <c r="IPX71" s="1"/>
      <c r="IPY71" s="1"/>
      <c r="IPZ71" s="1"/>
      <c r="IQA71" s="1"/>
      <c r="IQB71" s="1"/>
      <c r="IQC71" s="1"/>
      <c r="IQD71" s="1"/>
      <c r="IQE71" s="1"/>
      <c r="IQF71" s="1"/>
      <c r="IQG71" s="1"/>
      <c r="IQH71" s="1"/>
      <c r="IQI71" s="1"/>
      <c r="IQJ71" s="1"/>
      <c r="IQK71" s="1"/>
      <c r="IQL71" s="1"/>
      <c r="IQM71" s="1"/>
      <c r="IQN71" s="1"/>
      <c r="IQO71" s="1"/>
      <c r="IQP71" s="1"/>
      <c r="IQQ71" s="1"/>
      <c r="IQR71" s="1"/>
      <c r="IQS71" s="1"/>
      <c r="IQT71" s="1"/>
      <c r="IQU71" s="1"/>
      <c r="IQV71" s="1"/>
      <c r="IQW71" s="1"/>
      <c r="IQX71" s="1"/>
      <c r="IQY71" s="1"/>
      <c r="IQZ71" s="1"/>
      <c r="IRA71" s="1"/>
      <c r="IRB71" s="1"/>
      <c r="IRC71" s="1"/>
      <c r="IRD71" s="1"/>
      <c r="IRE71" s="1"/>
      <c r="IRF71" s="1"/>
      <c r="IRG71" s="1"/>
      <c r="IRH71" s="1"/>
      <c r="IRI71" s="1"/>
      <c r="IRJ71" s="1"/>
      <c r="IRK71" s="1"/>
      <c r="IRL71" s="1"/>
      <c r="IRM71" s="1"/>
      <c r="IRN71" s="1"/>
      <c r="IRO71" s="1"/>
      <c r="IRP71" s="1"/>
      <c r="IRQ71" s="1"/>
      <c r="IRR71" s="1"/>
      <c r="IRS71" s="1"/>
      <c r="IRT71" s="1"/>
      <c r="IRU71" s="1"/>
      <c r="IRV71" s="1"/>
      <c r="IRW71" s="1"/>
      <c r="IRX71" s="1"/>
      <c r="IRY71" s="1"/>
      <c r="IRZ71" s="1"/>
      <c r="ISA71" s="1"/>
      <c r="ISB71" s="1"/>
      <c r="ISC71" s="1"/>
      <c r="ISD71" s="1"/>
      <c r="ISE71" s="1"/>
      <c r="ISF71" s="1"/>
      <c r="ISG71" s="1"/>
      <c r="ISH71" s="1"/>
      <c r="ISI71" s="1"/>
      <c r="ISJ71" s="1"/>
      <c r="ISK71" s="1"/>
      <c r="ISL71" s="1"/>
      <c r="ISM71" s="1"/>
      <c r="ISN71" s="1"/>
      <c r="ISO71" s="1"/>
      <c r="ISP71" s="1"/>
      <c r="ISQ71" s="1"/>
      <c r="ISR71" s="1"/>
      <c r="ISS71" s="1"/>
      <c r="IST71" s="1"/>
      <c r="ISU71" s="1"/>
      <c r="ISV71" s="1"/>
      <c r="ISW71" s="1"/>
      <c r="ISX71" s="1"/>
      <c r="ISY71" s="1"/>
      <c r="ISZ71" s="1"/>
      <c r="ITA71" s="1"/>
      <c r="ITB71" s="1"/>
      <c r="ITC71" s="1"/>
      <c r="ITD71" s="1"/>
      <c r="ITE71" s="1"/>
      <c r="ITF71" s="1"/>
      <c r="ITG71" s="1"/>
      <c r="ITH71" s="1"/>
      <c r="ITI71" s="1"/>
      <c r="ITJ71" s="1"/>
      <c r="ITK71" s="1"/>
      <c r="ITL71" s="1"/>
      <c r="ITM71" s="1"/>
      <c r="ITN71" s="1"/>
      <c r="ITO71" s="1"/>
      <c r="ITP71" s="1"/>
      <c r="ITQ71" s="1"/>
      <c r="ITR71" s="1"/>
      <c r="ITS71" s="1"/>
      <c r="ITT71" s="1"/>
      <c r="ITU71" s="1"/>
      <c r="ITV71" s="1"/>
      <c r="ITW71" s="1"/>
      <c r="ITX71" s="1"/>
      <c r="ITY71" s="1"/>
      <c r="ITZ71" s="1"/>
      <c r="IUA71" s="1"/>
      <c r="IUB71" s="1"/>
      <c r="IUC71" s="1"/>
      <c r="IUD71" s="1"/>
      <c r="IUE71" s="1"/>
      <c r="IUF71" s="1"/>
      <c r="IUG71" s="1"/>
      <c r="IUH71" s="1"/>
      <c r="IUI71" s="1"/>
      <c r="IUJ71" s="1"/>
      <c r="IUK71" s="1"/>
      <c r="IUL71" s="1"/>
      <c r="IUM71" s="1"/>
      <c r="IUN71" s="1"/>
      <c r="IUO71" s="1"/>
      <c r="IUP71" s="1"/>
      <c r="IUQ71" s="1"/>
      <c r="IUR71" s="1"/>
      <c r="IUS71" s="1"/>
      <c r="IUT71" s="1"/>
      <c r="IUU71" s="1"/>
      <c r="IUV71" s="1"/>
      <c r="IUW71" s="1"/>
      <c r="IUX71" s="1"/>
      <c r="IUY71" s="1"/>
      <c r="IUZ71" s="1"/>
      <c r="IVA71" s="1"/>
      <c r="IVB71" s="1"/>
      <c r="IVC71" s="1"/>
      <c r="IVD71" s="1"/>
      <c r="IVE71" s="1"/>
      <c r="IVF71" s="1"/>
      <c r="IVG71" s="1"/>
      <c r="IVH71" s="1"/>
      <c r="IVI71" s="1"/>
      <c r="IVJ71" s="1"/>
      <c r="IVK71" s="1"/>
      <c r="IVL71" s="1"/>
      <c r="IVM71" s="1"/>
      <c r="IVN71" s="1"/>
      <c r="IVO71" s="1"/>
      <c r="IVP71" s="1"/>
      <c r="IVQ71" s="1"/>
      <c r="IVR71" s="1"/>
      <c r="IVS71" s="1"/>
      <c r="IVT71" s="1"/>
      <c r="IVU71" s="1"/>
      <c r="IVV71" s="1"/>
      <c r="IVW71" s="1"/>
      <c r="IVX71" s="1"/>
      <c r="IVY71" s="1"/>
      <c r="IVZ71" s="1"/>
      <c r="IWA71" s="1"/>
      <c r="IWB71" s="1"/>
      <c r="IWC71" s="1"/>
      <c r="IWD71" s="1"/>
      <c r="IWE71" s="1"/>
      <c r="IWF71" s="1"/>
      <c r="IWG71" s="1"/>
      <c r="IWH71" s="1"/>
      <c r="IWI71" s="1"/>
      <c r="IWJ71" s="1"/>
      <c r="IWK71" s="1"/>
      <c r="IWL71" s="1"/>
      <c r="IWM71" s="1"/>
      <c r="IWN71" s="1"/>
      <c r="IWO71" s="1"/>
      <c r="IWP71" s="1"/>
      <c r="IWQ71" s="1"/>
      <c r="IWR71" s="1"/>
      <c r="IWS71" s="1"/>
      <c r="IWT71" s="1"/>
      <c r="IWU71" s="1"/>
      <c r="IWV71" s="1"/>
      <c r="IWW71" s="1"/>
      <c r="IWX71" s="1"/>
      <c r="IWY71" s="1"/>
      <c r="IWZ71" s="1"/>
      <c r="IXA71" s="1"/>
      <c r="IXB71" s="1"/>
      <c r="IXC71" s="1"/>
      <c r="IXD71" s="1"/>
      <c r="IXE71" s="1"/>
      <c r="IXF71" s="1"/>
      <c r="IXG71" s="1"/>
      <c r="IXH71" s="1"/>
      <c r="IXI71" s="1"/>
      <c r="IXJ71" s="1"/>
      <c r="IXK71" s="1"/>
      <c r="IXL71" s="1"/>
      <c r="IXM71" s="1"/>
      <c r="IXN71" s="1"/>
      <c r="IXO71" s="1"/>
      <c r="IXP71" s="1"/>
      <c r="IXQ71" s="1"/>
      <c r="IXR71" s="1"/>
      <c r="IXS71" s="1"/>
      <c r="IXT71" s="1"/>
      <c r="IXU71" s="1"/>
      <c r="IXV71" s="1"/>
      <c r="IXW71" s="1"/>
      <c r="IXX71" s="1"/>
      <c r="IXY71" s="1"/>
      <c r="IXZ71" s="1"/>
      <c r="IYA71" s="1"/>
      <c r="IYB71" s="1"/>
      <c r="IYC71" s="1"/>
      <c r="IYD71" s="1"/>
      <c r="IYE71" s="1"/>
      <c r="IYF71" s="1"/>
      <c r="IYG71" s="1"/>
      <c r="IYH71" s="1"/>
      <c r="IYI71" s="1"/>
      <c r="IYJ71" s="1"/>
      <c r="IYK71" s="1"/>
      <c r="IYL71" s="1"/>
      <c r="IYM71" s="1"/>
      <c r="IYN71" s="1"/>
      <c r="IYO71" s="1"/>
      <c r="IYP71" s="1"/>
      <c r="IYQ71" s="1"/>
      <c r="IYR71" s="1"/>
      <c r="IYS71" s="1"/>
      <c r="IYT71" s="1"/>
      <c r="IYU71" s="1"/>
      <c r="IYV71" s="1"/>
      <c r="IYW71" s="1"/>
      <c r="IYX71" s="1"/>
      <c r="IYY71" s="1"/>
      <c r="IYZ71" s="1"/>
      <c r="IZA71" s="1"/>
      <c r="IZB71" s="1"/>
      <c r="IZC71" s="1"/>
      <c r="IZD71" s="1"/>
      <c r="IZE71" s="1"/>
      <c r="IZF71" s="1"/>
      <c r="IZG71" s="1"/>
      <c r="IZH71" s="1"/>
      <c r="IZI71" s="1"/>
      <c r="IZJ71" s="1"/>
      <c r="IZK71" s="1"/>
      <c r="IZL71" s="1"/>
      <c r="IZM71" s="1"/>
      <c r="IZN71" s="1"/>
      <c r="IZO71" s="1"/>
      <c r="IZP71" s="1"/>
      <c r="IZQ71" s="1"/>
      <c r="IZR71" s="1"/>
      <c r="IZS71" s="1"/>
      <c r="IZT71" s="1"/>
      <c r="IZU71" s="1"/>
      <c r="IZV71" s="1"/>
      <c r="IZW71" s="1"/>
      <c r="IZX71" s="1"/>
      <c r="IZY71" s="1"/>
      <c r="IZZ71" s="1"/>
      <c r="JAA71" s="1"/>
      <c r="JAB71" s="1"/>
      <c r="JAC71" s="1"/>
      <c r="JAD71" s="1"/>
      <c r="JAE71" s="1"/>
      <c r="JAF71" s="1"/>
      <c r="JAG71" s="1"/>
      <c r="JAH71" s="1"/>
      <c r="JAI71" s="1"/>
      <c r="JAJ71" s="1"/>
      <c r="JAK71" s="1"/>
      <c r="JAL71" s="1"/>
      <c r="JAM71" s="1"/>
      <c r="JAN71" s="1"/>
      <c r="JAO71" s="1"/>
      <c r="JAP71" s="1"/>
      <c r="JAQ71" s="1"/>
      <c r="JAR71" s="1"/>
      <c r="JAS71" s="1"/>
      <c r="JAT71" s="1"/>
      <c r="JAU71" s="1"/>
      <c r="JAV71" s="1"/>
      <c r="JAW71" s="1"/>
      <c r="JAX71" s="1"/>
      <c r="JAY71" s="1"/>
      <c r="JAZ71" s="1"/>
      <c r="JBA71" s="1"/>
      <c r="JBB71" s="1"/>
      <c r="JBC71" s="1"/>
      <c r="JBD71" s="1"/>
      <c r="JBE71" s="1"/>
      <c r="JBF71" s="1"/>
      <c r="JBG71" s="1"/>
      <c r="JBH71" s="1"/>
      <c r="JBI71" s="1"/>
      <c r="JBJ71" s="1"/>
      <c r="JBK71" s="1"/>
      <c r="JBL71" s="1"/>
      <c r="JBM71" s="1"/>
      <c r="JBN71" s="1"/>
      <c r="JBO71" s="1"/>
      <c r="JBP71" s="1"/>
      <c r="JBQ71" s="1"/>
      <c r="JBR71" s="1"/>
      <c r="JBS71" s="1"/>
      <c r="JBT71" s="1"/>
      <c r="JBU71" s="1"/>
      <c r="JBV71" s="1"/>
      <c r="JBW71" s="1"/>
      <c r="JBX71" s="1"/>
      <c r="JBY71" s="1"/>
      <c r="JBZ71" s="1"/>
      <c r="JCA71" s="1"/>
      <c r="JCB71" s="1"/>
      <c r="JCC71" s="1"/>
      <c r="JCD71" s="1"/>
      <c r="JCE71" s="1"/>
      <c r="JCF71" s="1"/>
      <c r="JCG71" s="1"/>
      <c r="JCH71" s="1"/>
      <c r="JCI71" s="1"/>
      <c r="JCJ71" s="1"/>
      <c r="JCK71" s="1"/>
      <c r="JCL71" s="1"/>
      <c r="JCM71" s="1"/>
      <c r="JCN71" s="1"/>
      <c r="JCO71" s="1"/>
      <c r="JCP71" s="1"/>
      <c r="JCQ71" s="1"/>
      <c r="JCR71" s="1"/>
      <c r="JCS71" s="1"/>
      <c r="JCT71" s="1"/>
      <c r="JCU71" s="1"/>
      <c r="JCV71" s="1"/>
      <c r="JCW71" s="1"/>
      <c r="JCX71" s="1"/>
      <c r="JCY71" s="1"/>
      <c r="JCZ71" s="1"/>
      <c r="JDA71" s="1"/>
      <c r="JDB71" s="1"/>
      <c r="JDC71" s="1"/>
      <c r="JDD71" s="1"/>
      <c r="JDE71" s="1"/>
      <c r="JDF71" s="1"/>
      <c r="JDG71" s="1"/>
      <c r="JDH71" s="1"/>
      <c r="JDI71" s="1"/>
      <c r="JDJ71" s="1"/>
      <c r="JDK71" s="1"/>
      <c r="JDL71" s="1"/>
      <c r="JDM71" s="1"/>
      <c r="JDN71" s="1"/>
      <c r="JDO71" s="1"/>
      <c r="JDP71" s="1"/>
      <c r="JDQ71" s="1"/>
      <c r="JDR71" s="1"/>
      <c r="JDS71" s="1"/>
      <c r="JDT71" s="1"/>
      <c r="JDU71" s="1"/>
      <c r="JDV71" s="1"/>
      <c r="JDW71" s="1"/>
      <c r="JDX71" s="1"/>
      <c r="JDY71" s="1"/>
      <c r="JDZ71" s="1"/>
      <c r="JEA71" s="1"/>
      <c r="JEB71" s="1"/>
      <c r="JEC71" s="1"/>
      <c r="JED71" s="1"/>
      <c r="JEE71" s="1"/>
      <c r="JEF71" s="1"/>
      <c r="JEG71" s="1"/>
      <c r="JEH71" s="1"/>
      <c r="JEI71" s="1"/>
      <c r="JEJ71" s="1"/>
      <c r="JEK71" s="1"/>
      <c r="JEL71" s="1"/>
      <c r="JEM71" s="1"/>
      <c r="JEN71" s="1"/>
      <c r="JEO71" s="1"/>
      <c r="JEP71" s="1"/>
      <c r="JEQ71" s="1"/>
      <c r="JER71" s="1"/>
      <c r="JES71" s="1"/>
      <c r="JET71" s="1"/>
      <c r="JEU71" s="1"/>
      <c r="JEV71" s="1"/>
      <c r="JEW71" s="1"/>
      <c r="JEX71" s="1"/>
      <c r="JEY71" s="1"/>
      <c r="JEZ71" s="1"/>
      <c r="JFA71" s="1"/>
      <c r="JFB71" s="1"/>
      <c r="JFC71" s="1"/>
      <c r="JFD71" s="1"/>
      <c r="JFE71" s="1"/>
      <c r="JFF71" s="1"/>
      <c r="JFG71" s="1"/>
      <c r="JFH71" s="1"/>
      <c r="JFI71" s="1"/>
      <c r="JFJ71" s="1"/>
      <c r="JFK71" s="1"/>
      <c r="JFL71" s="1"/>
      <c r="JFM71" s="1"/>
      <c r="JFN71" s="1"/>
      <c r="JFO71" s="1"/>
      <c r="JFP71" s="1"/>
      <c r="JFQ71" s="1"/>
      <c r="JFR71" s="1"/>
      <c r="JFS71" s="1"/>
      <c r="JFT71" s="1"/>
      <c r="JFU71" s="1"/>
      <c r="JFV71" s="1"/>
      <c r="JFW71" s="1"/>
      <c r="JFX71" s="1"/>
      <c r="JFY71" s="1"/>
      <c r="JFZ71" s="1"/>
      <c r="JGA71" s="1"/>
      <c r="JGB71" s="1"/>
      <c r="JGC71" s="1"/>
      <c r="JGD71" s="1"/>
      <c r="JGE71" s="1"/>
      <c r="JGF71" s="1"/>
      <c r="JGG71" s="1"/>
      <c r="JGH71" s="1"/>
      <c r="JGI71" s="1"/>
      <c r="JGJ71" s="1"/>
      <c r="JGK71" s="1"/>
      <c r="JGL71" s="1"/>
      <c r="JGM71" s="1"/>
      <c r="JGN71" s="1"/>
      <c r="JGO71" s="1"/>
      <c r="JGP71" s="1"/>
      <c r="JGQ71" s="1"/>
      <c r="JGR71" s="1"/>
      <c r="JGS71" s="1"/>
      <c r="JGT71" s="1"/>
      <c r="JGU71" s="1"/>
      <c r="JGV71" s="1"/>
      <c r="JGW71" s="1"/>
      <c r="JGX71" s="1"/>
      <c r="JGY71" s="1"/>
      <c r="JGZ71" s="1"/>
      <c r="JHA71" s="1"/>
      <c r="JHB71" s="1"/>
      <c r="JHC71" s="1"/>
      <c r="JHD71" s="1"/>
      <c r="JHE71" s="1"/>
      <c r="JHF71" s="1"/>
      <c r="JHG71" s="1"/>
      <c r="JHH71" s="1"/>
      <c r="JHI71" s="1"/>
      <c r="JHJ71" s="1"/>
      <c r="JHK71" s="1"/>
      <c r="JHL71" s="1"/>
      <c r="JHM71" s="1"/>
      <c r="JHN71" s="1"/>
      <c r="JHO71" s="1"/>
      <c r="JHP71" s="1"/>
      <c r="JHQ71" s="1"/>
      <c r="JHR71" s="1"/>
      <c r="JHS71" s="1"/>
      <c r="JHT71" s="1"/>
      <c r="JHU71" s="1"/>
      <c r="JHV71" s="1"/>
      <c r="JHW71" s="1"/>
      <c r="JHX71" s="1"/>
      <c r="JHY71" s="1"/>
      <c r="JHZ71" s="1"/>
      <c r="JIA71" s="1"/>
      <c r="JIB71" s="1"/>
      <c r="JIC71" s="1"/>
      <c r="JID71" s="1"/>
      <c r="JIE71" s="1"/>
      <c r="JIF71" s="1"/>
      <c r="JIG71" s="1"/>
      <c r="JIH71" s="1"/>
      <c r="JII71" s="1"/>
      <c r="JIJ71" s="1"/>
      <c r="JIK71" s="1"/>
      <c r="JIL71" s="1"/>
      <c r="JIM71" s="1"/>
      <c r="JIN71" s="1"/>
      <c r="JIO71" s="1"/>
      <c r="JIP71" s="1"/>
      <c r="JIQ71" s="1"/>
      <c r="JIR71" s="1"/>
      <c r="JIS71" s="1"/>
      <c r="JIT71" s="1"/>
      <c r="JIU71" s="1"/>
      <c r="JIV71" s="1"/>
      <c r="JIW71" s="1"/>
      <c r="JIX71" s="1"/>
      <c r="JIY71" s="1"/>
      <c r="JIZ71" s="1"/>
      <c r="JJA71" s="1"/>
      <c r="JJB71" s="1"/>
      <c r="JJC71" s="1"/>
      <c r="JJD71" s="1"/>
      <c r="JJE71" s="1"/>
      <c r="JJF71" s="1"/>
      <c r="JJG71" s="1"/>
      <c r="JJH71" s="1"/>
      <c r="JJI71" s="1"/>
      <c r="JJJ71" s="1"/>
      <c r="JJK71" s="1"/>
      <c r="JJL71" s="1"/>
      <c r="JJM71" s="1"/>
      <c r="JJN71" s="1"/>
      <c r="JJO71" s="1"/>
      <c r="JJP71" s="1"/>
      <c r="JJQ71" s="1"/>
      <c r="JJR71" s="1"/>
      <c r="JJS71" s="1"/>
      <c r="JJT71" s="1"/>
      <c r="JJU71" s="1"/>
      <c r="JJV71" s="1"/>
      <c r="JJW71" s="1"/>
      <c r="JJX71" s="1"/>
      <c r="JJY71" s="1"/>
      <c r="JJZ71" s="1"/>
      <c r="JKA71" s="1"/>
      <c r="JKB71" s="1"/>
      <c r="JKC71" s="1"/>
      <c r="JKD71" s="1"/>
      <c r="JKE71" s="1"/>
      <c r="JKF71" s="1"/>
      <c r="JKG71" s="1"/>
      <c r="JKH71" s="1"/>
      <c r="JKI71" s="1"/>
      <c r="JKJ71" s="1"/>
      <c r="JKK71" s="1"/>
      <c r="JKL71" s="1"/>
      <c r="JKM71" s="1"/>
      <c r="JKN71" s="1"/>
      <c r="JKO71" s="1"/>
      <c r="JKP71" s="1"/>
      <c r="JKQ71" s="1"/>
      <c r="JKR71" s="1"/>
      <c r="JKS71" s="1"/>
      <c r="JKT71" s="1"/>
      <c r="JKU71" s="1"/>
      <c r="JKV71" s="1"/>
      <c r="JKW71" s="1"/>
      <c r="JKX71" s="1"/>
      <c r="JKY71" s="1"/>
      <c r="JKZ71" s="1"/>
      <c r="JLA71" s="1"/>
      <c r="JLB71" s="1"/>
      <c r="JLC71" s="1"/>
      <c r="JLD71" s="1"/>
      <c r="JLE71" s="1"/>
      <c r="JLF71" s="1"/>
      <c r="JLG71" s="1"/>
      <c r="JLH71" s="1"/>
      <c r="JLI71" s="1"/>
      <c r="JLJ71" s="1"/>
      <c r="JLK71" s="1"/>
      <c r="JLL71" s="1"/>
      <c r="JLM71" s="1"/>
      <c r="JLN71" s="1"/>
      <c r="JLO71" s="1"/>
      <c r="JLP71" s="1"/>
      <c r="JLQ71" s="1"/>
      <c r="JLR71" s="1"/>
      <c r="JLS71" s="1"/>
      <c r="JLT71" s="1"/>
      <c r="JLU71" s="1"/>
      <c r="JLV71" s="1"/>
      <c r="JLW71" s="1"/>
      <c r="JLX71" s="1"/>
      <c r="JLY71" s="1"/>
      <c r="JLZ71" s="1"/>
      <c r="JMA71" s="1"/>
      <c r="JMB71" s="1"/>
      <c r="JMC71" s="1"/>
      <c r="JMD71" s="1"/>
      <c r="JME71" s="1"/>
      <c r="JMF71" s="1"/>
      <c r="JMG71" s="1"/>
      <c r="JMH71" s="1"/>
      <c r="JMI71" s="1"/>
      <c r="JMJ71" s="1"/>
      <c r="JMK71" s="1"/>
      <c r="JML71" s="1"/>
      <c r="JMM71" s="1"/>
      <c r="JMN71" s="1"/>
      <c r="JMO71" s="1"/>
      <c r="JMP71" s="1"/>
      <c r="JMQ71" s="1"/>
      <c r="JMR71" s="1"/>
      <c r="JMS71" s="1"/>
      <c r="JMT71" s="1"/>
      <c r="JMU71" s="1"/>
      <c r="JMV71" s="1"/>
      <c r="JMW71" s="1"/>
      <c r="JMX71" s="1"/>
      <c r="JMY71" s="1"/>
      <c r="JMZ71" s="1"/>
      <c r="JNA71" s="1"/>
      <c r="JNB71" s="1"/>
      <c r="JNC71" s="1"/>
      <c r="JND71" s="1"/>
      <c r="JNE71" s="1"/>
      <c r="JNF71" s="1"/>
      <c r="JNG71" s="1"/>
      <c r="JNH71" s="1"/>
      <c r="JNI71" s="1"/>
      <c r="JNJ71" s="1"/>
      <c r="JNK71" s="1"/>
      <c r="JNL71" s="1"/>
      <c r="JNM71" s="1"/>
      <c r="JNN71" s="1"/>
      <c r="JNO71" s="1"/>
      <c r="JNP71" s="1"/>
      <c r="JNQ71" s="1"/>
      <c r="JNR71" s="1"/>
      <c r="JNS71" s="1"/>
      <c r="JNT71" s="1"/>
      <c r="JNU71" s="1"/>
      <c r="JNV71" s="1"/>
      <c r="JNW71" s="1"/>
      <c r="JNX71" s="1"/>
      <c r="JNY71" s="1"/>
      <c r="JNZ71" s="1"/>
      <c r="JOA71" s="1"/>
      <c r="JOB71" s="1"/>
      <c r="JOC71" s="1"/>
      <c r="JOD71" s="1"/>
      <c r="JOE71" s="1"/>
      <c r="JOF71" s="1"/>
      <c r="JOG71" s="1"/>
      <c r="JOH71" s="1"/>
      <c r="JOI71" s="1"/>
      <c r="JOJ71" s="1"/>
      <c r="JOK71" s="1"/>
      <c r="JOL71" s="1"/>
      <c r="JOM71" s="1"/>
      <c r="JON71" s="1"/>
      <c r="JOO71" s="1"/>
      <c r="JOP71" s="1"/>
      <c r="JOQ71" s="1"/>
      <c r="JOR71" s="1"/>
      <c r="JOS71" s="1"/>
      <c r="JOT71" s="1"/>
      <c r="JOU71" s="1"/>
      <c r="JOV71" s="1"/>
      <c r="JOW71" s="1"/>
      <c r="JOX71" s="1"/>
      <c r="JOY71" s="1"/>
      <c r="JOZ71" s="1"/>
      <c r="JPA71" s="1"/>
      <c r="JPB71" s="1"/>
      <c r="JPC71" s="1"/>
      <c r="JPD71" s="1"/>
      <c r="JPE71" s="1"/>
      <c r="JPF71" s="1"/>
      <c r="JPG71" s="1"/>
      <c r="JPH71" s="1"/>
      <c r="JPI71" s="1"/>
      <c r="JPJ71" s="1"/>
      <c r="JPK71" s="1"/>
      <c r="JPL71" s="1"/>
      <c r="JPM71" s="1"/>
      <c r="JPN71" s="1"/>
      <c r="JPO71" s="1"/>
      <c r="JPP71" s="1"/>
      <c r="JPQ71" s="1"/>
      <c r="JPR71" s="1"/>
      <c r="JPS71" s="1"/>
      <c r="JPT71" s="1"/>
      <c r="JPU71" s="1"/>
      <c r="JPV71" s="1"/>
      <c r="JPW71" s="1"/>
      <c r="JPX71" s="1"/>
      <c r="JPY71" s="1"/>
      <c r="JPZ71" s="1"/>
      <c r="JQA71" s="1"/>
      <c r="JQB71" s="1"/>
      <c r="JQC71" s="1"/>
      <c r="JQD71" s="1"/>
      <c r="JQE71" s="1"/>
      <c r="JQF71" s="1"/>
      <c r="JQG71" s="1"/>
      <c r="JQH71" s="1"/>
      <c r="JQI71" s="1"/>
      <c r="JQJ71" s="1"/>
      <c r="JQK71" s="1"/>
      <c r="JQL71" s="1"/>
      <c r="JQM71" s="1"/>
      <c r="JQN71" s="1"/>
      <c r="JQO71" s="1"/>
      <c r="JQP71" s="1"/>
      <c r="JQQ71" s="1"/>
      <c r="JQR71" s="1"/>
      <c r="JQS71" s="1"/>
      <c r="JQT71" s="1"/>
      <c r="JQU71" s="1"/>
      <c r="JQV71" s="1"/>
      <c r="JQW71" s="1"/>
      <c r="JQX71" s="1"/>
      <c r="JQY71" s="1"/>
      <c r="JQZ71" s="1"/>
      <c r="JRA71" s="1"/>
      <c r="JRB71" s="1"/>
      <c r="JRC71" s="1"/>
      <c r="JRD71" s="1"/>
      <c r="JRE71" s="1"/>
      <c r="JRF71" s="1"/>
      <c r="JRG71" s="1"/>
      <c r="JRH71" s="1"/>
      <c r="JRI71" s="1"/>
      <c r="JRJ71" s="1"/>
      <c r="JRK71" s="1"/>
      <c r="JRL71" s="1"/>
      <c r="JRM71" s="1"/>
      <c r="JRN71" s="1"/>
      <c r="JRO71" s="1"/>
      <c r="JRP71" s="1"/>
      <c r="JRQ71" s="1"/>
      <c r="JRR71" s="1"/>
      <c r="JRS71" s="1"/>
      <c r="JRT71" s="1"/>
      <c r="JRU71" s="1"/>
      <c r="JRV71" s="1"/>
      <c r="JRW71" s="1"/>
      <c r="JRX71" s="1"/>
      <c r="JRY71" s="1"/>
      <c r="JRZ71" s="1"/>
      <c r="JSA71" s="1"/>
      <c r="JSB71" s="1"/>
      <c r="JSC71" s="1"/>
      <c r="JSD71" s="1"/>
      <c r="JSE71" s="1"/>
      <c r="JSF71" s="1"/>
      <c r="JSG71" s="1"/>
      <c r="JSH71" s="1"/>
      <c r="JSI71" s="1"/>
      <c r="JSJ71" s="1"/>
      <c r="JSK71" s="1"/>
      <c r="JSL71" s="1"/>
      <c r="JSM71" s="1"/>
      <c r="JSN71" s="1"/>
      <c r="JSO71" s="1"/>
      <c r="JSP71" s="1"/>
      <c r="JSQ71" s="1"/>
      <c r="JSR71" s="1"/>
      <c r="JSS71" s="1"/>
      <c r="JST71" s="1"/>
      <c r="JSU71" s="1"/>
      <c r="JSV71" s="1"/>
      <c r="JSW71" s="1"/>
      <c r="JSX71" s="1"/>
      <c r="JSY71" s="1"/>
      <c r="JSZ71" s="1"/>
      <c r="JTA71" s="1"/>
      <c r="JTB71" s="1"/>
      <c r="JTC71" s="1"/>
      <c r="JTD71" s="1"/>
      <c r="JTE71" s="1"/>
      <c r="JTF71" s="1"/>
      <c r="JTG71" s="1"/>
      <c r="JTH71" s="1"/>
      <c r="JTI71" s="1"/>
      <c r="JTJ71" s="1"/>
      <c r="JTK71" s="1"/>
      <c r="JTL71" s="1"/>
      <c r="JTM71" s="1"/>
      <c r="JTN71" s="1"/>
      <c r="JTO71" s="1"/>
      <c r="JTP71" s="1"/>
      <c r="JTQ71" s="1"/>
      <c r="JTR71" s="1"/>
      <c r="JTS71" s="1"/>
      <c r="JTT71" s="1"/>
      <c r="JTU71" s="1"/>
      <c r="JTV71" s="1"/>
      <c r="JTW71" s="1"/>
      <c r="JTX71" s="1"/>
      <c r="JTY71" s="1"/>
      <c r="JTZ71" s="1"/>
      <c r="JUA71" s="1"/>
      <c r="JUB71" s="1"/>
      <c r="JUC71" s="1"/>
      <c r="JUD71" s="1"/>
      <c r="JUE71" s="1"/>
      <c r="JUF71" s="1"/>
      <c r="JUG71" s="1"/>
      <c r="JUH71" s="1"/>
      <c r="JUI71" s="1"/>
      <c r="JUJ71" s="1"/>
      <c r="JUK71" s="1"/>
      <c r="JUL71" s="1"/>
      <c r="JUM71" s="1"/>
      <c r="JUN71" s="1"/>
      <c r="JUO71" s="1"/>
      <c r="JUP71" s="1"/>
      <c r="JUQ71" s="1"/>
      <c r="JUR71" s="1"/>
      <c r="JUS71" s="1"/>
      <c r="JUT71" s="1"/>
      <c r="JUU71" s="1"/>
      <c r="JUV71" s="1"/>
      <c r="JUW71" s="1"/>
      <c r="JUX71" s="1"/>
      <c r="JUY71" s="1"/>
      <c r="JUZ71" s="1"/>
      <c r="JVA71" s="1"/>
      <c r="JVB71" s="1"/>
      <c r="JVC71" s="1"/>
      <c r="JVD71" s="1"/>
      <c r="JVE71" s="1"/>
      <c r="JVF71" s="1"/>
      <c r="JVG71" s="1"/>
      <c r="JVH71" s="1"/>
      <c r="JVI71" s="1"/>
      <c r="JVJ71" s="1"/>
      <c r="JVK71" s="1"/>
      <c r="JVL71" s="1"/>
      <c r="JVM71" s="1"/>
      <c r="JVN71" s="1"/>
      <c r="JVO71" s="1"/>
      <c r="JVP71" s="1"/>
      <c r="JVQ71" s="1"/>
      <c r="JVR71" s="1"/>
      <c r="JVS71" s="1"/>
      <c r="JVT71" s="1"/>
      <c r="JVU71" s="1"/>
      <c r="JVV71" s="1"/>
      <c r="JVW71" s="1"/>
      <c r="JVX71" s="1"/>
      <c r="JVY71" s="1"/>
      <c r="JVZ71" s="1"/>
      <c r="JWA71" s="1"/>
      <c r="JWB71" s="1"/>
      <c r="JWC71" s="1"/>
      <c r="JWD71" s="1"/>
      <c r="JWE71" s="1"/>
      <c r="JWF71" s="1"/>
      <c r="JWG71" s="1"/>
      <c r="JWH71" s="1"/>
      <c r="JWI71" s="1"/>
      <c r="JWJ71" s="1"/>
      <c r="JWK71" s="1"/>
      <c r="JWL71" s="1"/>
      <c r="JWM71" s="1"/>
      <c r="JWN71" s="1"/>
      <c r="JWO71" s="1"/>
      <c r="JWP71" s="1"/>
      <c r="JWQ71" s="1"/>
      <c r="JWR71" s="1"/>
      <c r="JWS71" s="1"/>
      <c r="JWT71" s="1"/>
      <c r="JWU71" s="1"/>
      <c r="JWV71" s="1"/>
      <c r="JWW71" s="1"/>
      <c r="JWX71" s="1"/>
      <c r="JWY71" s="1"/>
      <c r="JWZ71" s="1"/>
      <c r="JXA71" s="1"/>
      <c r="JXB71" s="1"/>
      <c r="JXC71" s="1"/>
      <c r="JXD71" s="1"/>
      <c r="JXE71" s="1"/>
      <c r="JXF71" s="1"/>
      <c r="JXG71" s="1"/>
      <c r="JXH71" s="1"/>
      <c r="JXI71" s="1"/>
      <c r="JXJ71" s="1"/>
      <c r="JXK71" s="1"/>
      <c r="JXL71" s="1"/>
      <c r="JXM71" s="1"/>
      <c r="JXN71" s="1"/>
      <c r="JXO71" s="1"/>
      <c r="JXP71" s="1"/>
      <c r="JXQ71" s="1"/>
      <c r="JXR71" s="1"/>
      <c r="JXS71" s="1"/>
      <c r="JXT71" s="1"/>
      <c r="JXU71" s="1"/>
      <c r="JXV71" s="1"/>
      <c r="JXW71" s="1"/>
      <c r="JXX71" s="1"/>
      <c r="JXY71" s="1"/>
      <c r="JXZ71" s="1"/>
      <c r="JYA71" s="1"/>
      <c r="JYB71" s="1"/>
      <c r="JYC71" s="1"/>
      <c r="JYD71" s="1"/>
      <c r="JYE71" s="1"/>
      <c r="JYF71" s="1"/>
      <c r="JYG71" s="1"/>
      <c r="JYH71" s="1"/>
      <c r="JYI71" s="1"/>
      <c r="JYJ71" s="1"/>
      <c r="JYK71" s="1"/>
      <c r="JYL71" s="1"/>
      <c r="JYM71" s="1"/>
      <c r="JYN71" s="1"/>
      <c r="JYO71" s="1"/>
      <c r="JYP71" s="1"/>
      <c r="JYQ71" s="1"/>
      <c r="JYR71" s="1"/>
      <c r="JYS71" s="1"/>
      <c r="JYT71" s="1"/>
      <c r="JYU71" s="1"/>
      <c r="JYV71" s="1"/>
      <c r="JYW71" s="1"/>
      <c r="JYX71" s="1"/>
      <c r="JYY71" s="1"/>
      <c r="JYZ71" s="1"/>
      <c r="JZA71" s="1"/>
      <c r="JZB71" s="1"/>
      <c r="JZC71" s="1"/>
      <c r="JZD71" s="1"/>
      <c r="JZE71" s="1"/>
      <c r="JZF71" s="1"/>
      <c r="JZG71" s="1"/>
      <c r="JZH71" s="1"/>
      <c r="JZI71" s="1"/>
      <c r="JZJ71" s="1"/>
      <c r="JZK71" s="1"/>
      <c r="JZL71" s="1"/>
      <c r="JZM71" s="1"/>
      <c r="JZN71" s="1"/>
      <c r="JZO71" s="1"/>
      <c r="JZP71" s="1"/>
      <c r="JZQ71" s="1"/>
      <c r="JZR71" s="1"/>
      <c r="JZS71" s="1"/>
      <c r="JZT71" s="1"/>
      <c r="JZU71" s="1"/>
      <c r="JZV71" s="1"/>
      <c r="JZW71" s="1"/>
      <c r="JZX71" s="1"/>
      <c r="JZY71" s="1"/>
      <c r="JZZ71" s="1"/>
      <c r="KAA71" s="1"/>
      <c r="KAB71" s="1"/>
      <c r="KAC71" s="1"/>
      <c r="KAD71" s="1"/>
      <c r="KAE71" s="1"/>
      <c r="KAF71" s="1"/>
      <c r="KAG71" s="1"/>
      <c r="KAH71" s="1"/>
      <c r="KAI71" s="1"/>
      <c r="KAJ71" s="1"/>
      <c r="KAK71" s="1"/>
      <c r="KAL71" s="1"/>
      <c r="KAM71" s="1"/>
      <c r="KAN71" s="1"/>
      <c r="KAO71" s="1"/>
      <c r="KAP71" s="1"/>
      <c r="KAQ71" s="1"/>
      <c r="KAR71" s="1"/>
      <c r="KAS71" s="1"/>
      <c r="KAT71" s="1"/>
      <c r="KAU71" s="1"/>
      <c r="KAV71" s="1"/>
      <c r="KAW71" s="1"/>
      <c r="KAX71" s="1"/>
      <c r="KAY71" s="1"/>
      <c r="KAZ71" s="1"/>
      <c r="KBA71" s="1"/>
      <c r="KBB71" s="1"/>
      <c r="KBC71" s="1"/>
      <c r="KBD71" s="1"/>
      <c r="KBE71" s="1"/>
      <c r="KBF71" s="1"/>
      <c r="KBG71" s="1"/>
      <c r="KBH71" s="1"/>
      <c r="KBI71" s="1"/>
      <c r="KBJ71" s="1"/>
      <c r="KBK71" s="1"/>
      <c r="KBL71" s="1"/>
      <c r="KBM71" s="1"/>
      <c r="KBN71" s="1"/>
      <c r="KBO71" s="1"/>
      <c r="KBP71" s="1"/>
      <c r="KBQ71" s="1"/>
      <c r="KBR71" s="1"/>
      <c r="KBS71" s="1"/>
      <c r="KBT71" s="1"/>
      <c r="KBU71" s="1"/>
      <c r="KBV71" s="1"/>
      <c r="KBW71" s="1"/>
      <c r="KBX71" s="1"/>
      <c r="KBY71" s="1"/>
      <c r="KBZ71" s="1"/>
      <c r="KCA71" s="1"/>
      <c r="KCB71" s="1"/>
      <c r="KCC71" s="1"/>
      <c r="KCD71" s="1"/>
      <c r="KCE71" s="1"/>
      <c r="KCF71" s="1"/>
      <c r="KCG71" s="1"/>
      <c r="KCH71" s="1"/>
      <c r="KCI71" s="1"/>
      <c r="KCJ71" s="1"/>
      <c r="KCK71" s="1"/>
      <c r="KCL71" s="1"/>
      <c r="KCM71" s="1"/>
      <c r="KCN71" s="1"/>
      <c r="KCO71" s="1"/>
      <c r="KCP71" s="1"/>
      <c r="KCQ71" s="1"/>
      <c r="KCR71" s="1"/>
      <c r="KCS71" s="1"/>
      <c r="KCT71" s="1"/>
      <c r="KCU71" s="1"/>
      <c r="KCV71" s="1"/>
      <c r="KCW71" s="1"/>
      <c r="KCX71" s="1"/>
      <c r="KCY71" s="1"/>
      <c r="KCZ71" s="1"/>
      <c r="KDA71" s="1"/>
      <c r="KDB71" s="1"/>
      <c r="KDC71" s="1"/>
      <c r="KDD71" s="1"/>
      <c r="KDE71" s="1"/>
      <c r="KDF71" s="1"/>
      <c r="KDG71" s="1"/>
      <c r="KDH71" s="1"/>
      <c r="KDI71" s="1"/>
      <c r="KDJ71" s="1"/>
      <c r="KDK71" s="1"/>
      <c r="KDL71" s="1"/>
      <c r="KDM71" s="1"/>
      <c r="KDN71" s="1"/>
      <c r="KDO71" s="1"/>
      <c r="KDP71" s="1"/>
      <c r="KDQ71" s="1"/>
      <c r="KDR71" s="1"/>
      <c r="KDS71" s="1"/>
      <c r="KDT71" s="1"/>
      <c r="KDU71" s="1"/>
      <c r="KDV71" s="1"/>
      <c r="KDW71" s="1"/>
      <c r="KDX71" s="1"/>
      <c r="KDY71" s="1"/>
      <c r="KDZ71" s="1"/>
      <c r="KEA71" s="1"/>
      <c r="KEB71" s="1"/>
      <c r="KEC71" s="1"/>
      <c r="KED71" s="1"/>
      <c r="KEE71" s="1"/>
      <c r="KEF71" s="1"/>
      <c r="KEG71" s="1"/>
      <c r="KEH71" s="1"/>
      <c r="KEI71" s="1"/>
      <c r="KEJ71" s="1"/>
      <c r="KEK71" s="1"/>
      <c r="KEL71" s="1"/>
      <c r="KEM71" s="1"/>
      <c r="KEN71" s="1"/>
      <c r="KEO71" s="1"/>
      <c r="KEP71" s="1"/>
      <c r="KEQ71" s="1"/>
      <c r="KER71" s="1"/>
      <c r="KES71" s="1"/>
      <c r="KET71" s="1"/>
      <c r="KEU71" s="1"/>
      <c r="KEV71" s="1"/>
      <c r="KEW71" s="1"/>
      <c r="KEX71" s="1"/>
      <c r="KEY71" s="1"/>
      <c r="KEZ71" s="1"/>
      <c r="KFA71" s="1"/>
      <c r="KFB71" s="1"/>
      <c r="KFC71" s="1"/>
      <c r="KFD71" s="1"/>
      <c r="KFE71" s="1"/>
      <c r="KFF71" s="1"/>
      <c r="KFG71" s="1"/>
      <c r="KFH71" s="1"/>
      <c r="KFI71" s="1"/>
      <c r="KFJ71" s="1"/>
      <c r="KFK71" s="1"/>
      <c r="KFL71" s="1"/>
      <c r="KFM71" s="1"/>
      <c r="KFN71" s="1"/>
      <c r="KFO71" s="1"/>
      <c r="KFP71" s="1"/>
      <c r="KFQ71" s="1"/>
      <c r="KFR71" s="1"/>
      <c r="KFS71" s="1"/>
      <c r="KFT71" s="1"/>
      <c r="KFU71" s="1"/>
      <c r="KFV71" s="1"/>
      <c r="KFW71" s="1"/>
      <c r="KFX71" s="1"/>
      <c r="KFY71" s="1"/>
      <c r="KFZ71" s="1"/>
      <c r="KGA71" s="1"/>
      <c r="KGB71" s="1"/>
      <c r="KGC71" s="1"/>
      <c r="KGD71" s="1"/>
      <c r="KGE71" s="1"/>
      <c r="KGF71" s="1"/>
      <c r="KGG71" s="1"/>
      <c r="KGH71" s="1"/>
      <c r="KGI71" s="1"/>
      <c r="KGJ71" s="1"/>
      <c r="KGK71" s="1"/>
      <c r="KGL71" s="1"/>
      <c r="KGM71" s="1"/>
      <c r="KGN71" s="1"/>
      <c r="KGO71" s="1"/>
      <c r="KGP71" s="1"/>
      <c r="KGQ71" s="1"/>
      <c r="KGR71" s="1"/>
      <c r="KGS71" s="1"/>
      <c r="KGT71" s="1"/>
      <c r="KGU71" s="1"/>
      <c r="KGV71" s="1"/>
      <c r="KGW71" s="1"/>
      <c r="KGX71" s="1"/>
      <c r="KGY71" s="1"/>
      <c r="KGZ71" s="1"/>
      <c r="KHA71" s="1"/>
      <c r="KHB71" s="1"/>
      <c r="KHC71" s="1"/>
      <c r="KHD71" s="1"/>
      <c r="KHE71" s="1"/>
      <c r="KHF71" s="1"/>
      <c r="KHG71" s="1"/>
      <c r="KHH71" s="1"/>
      <c r="KHI71" s="1"/>
      <c r="KHJ71" s="1"/>
      <c r="KHK71" s="1"/>
      <c r="KHL71" s="1"/>
      <c r="KHM71" s="1"/>
      <c r="KHN71" s="1"/>
      <c r="KHO71" s="1"/>
      <c r="KHP71" s="1"/>
      <c r="KHQ71" s="1"/>
      <c r="KHR71" s="1"/>
      <c r="KHS71" s="1"/>
      <c r="KHT71" s="1"/>
      <c r="KHU71" s="1"/>
      <c r="KHV71" s="1"/>
      <c r="KHW71" s="1"/>
      <c r="KHX71" s="1"/>
      <c r="KHY71" s="1"/>
      <c r="KHZ71" s="1"/>
      <c r="KIA71" s="1"/>
      <c r="KIB71" s="1"/>
      <c r="KIC71" s="1"/>
      <c r="KID71" s="1"/>
      <c r="KIE71" s="1"/>
      <c r="KIF71" s="1"/>
      <c r="KIG71" s="1"/>
      <c r="KIH71" s="1"/>
      <c r="KII71" s="1"/>
      <c r="KIJ71" s="1"/>
      <c r="KIK71" s="1"/>
      <c r="KIL71" s="1"/>
      <c r="KIM71" s="1"/>
      <c r="KIN71" s="1"/>
      <c r="KIO71" s="1"/>
      <c r="KIP71" s="1"/>
      <c r="KIQ71" s="1"/>
      <c r="KIR71" s="1"/>
      <c r="KIS71" s="1"/>
      <c r="KIT71" s="1"/>
      <c r="KIU71" s="1"/>
      <c r="KIV71" s="1"/>
      <c r="KIW71" s="1"/>
      <c r="KIX71" s="1"/>
      <c r="KIY71" s="1"/>
      <c r="KIZ71" s="1"/>
      <c r="KJA71" s="1"/>
      <c r="KJB71" s="1"/>
      <c r="KJC71" s="1"/>
      <c r="KJD71" s="1"/>
      <c r="KJE71" s="1"/>
      <c r="KJF71" s="1"/>
      <c r="KJG71" s="1"/>
      <c r="KJH71" s="1"/>
      <c r="KJI71" s="1"/>
      <c r="KJJ71" s="1"/>
      <c r="KJK71" s="1"/>
      <c r="KJL71" s="1"/>
      <c r="KJM71" s="1"/>
      <c r="KJN71" s="1"/>
      <c r="KJO71" s="1"/>
      <c r="KJP71" s="1"/>
      <c r="KJQ71" s="1"/>
      <c r="KJR71" s="1"/>
      <c r="KJS71" s="1"/>
      <c r="KJT71" s="1"/>
      <c r="KJU71" s="1"/>
      <c r="KJV71" s="1"/>
      <c r="KJW71" s="1"/>
      <c r="KJX71" s="1"/>
      <c r="KJY71" s="1"/>
      <c r="KJZ71" s="1"/>
      <c r="KKA71" s="1"/>
      <c r="KKB71" s="1"/>
      <c r="KKC71" s="1"/>
      <c r="KKD71" s="1"/>
      <c r="KKE71" s="1"/>
      <c r="KKF71" s="1"/>
      <c r="KKG71" s="1"/>
      <c r="KKH71" s="1"/>
      <c r="KKI71" s="1"/>
      <c r="KKJ71" s="1"/>
      <c r="KKK71" s="1"/>
      <c r="KKL71" s="1"/>
      <c r="KKM71" s="1"/>
      <c r="KKN71" s="1"/>
      <c r="KKO71" s="1"/>
      <c r="KKP71" s="1"/>
      <c r="KKQ71" s="1"/>
      <c r="KKR71" s="1"/>
      <c r="KKS71" s="1"/>
      <c r="KKT71" s="1"/>
      <c r="KKU71" s="1"/>
      <c r="KKV71" s="1"/>
      <c r="KKW71" s="1"/>
      <c r="KKX71" s="1"/>
      <c r="KKY71" s="1"/>
      <c r="KKZ71" s="1"/>
      <c r="KLA71" s="1"/>
      <c r="KLB71" s="1"/>
      <c r="KLC71" s="1"/>
      <c r="KLD71" s="1"/>
      <c r="KLE71" s="1"/>
      <c r="KLF71" s="1"/>
      <c r="KLG71" s="1"/>
      <c r="KLH71" s="1"/>
      <c r="KLI71" s="1"/>
      <c r="KLJ71" s="1"/>
      <c r="KLK71" s="1"/>
      <c r="KLL71" s="1"/>
      <c r="KLM71" s="1"/>
      <c r="KLN71" s="1"/>
      <c r="KLO71" s="1"/>
      <c r="KLP71" s="1"/>
      <c r="KLQ71" s="1"/>
      <c r="KLR71" s="1"/>
      <c r="KLS71" s="1"/>
      <c r="KLT71" s="1"/>
      <c r="KLU71" s="1"/>
      <c r="KLV71" s="1"/>
      <c r="KLW71" s="1"/>
      <c r="KLX71" s="1"/>
      <c r="KLY71" s="1"/>
      <c r="KLZ71" s="1"/>
      <c r="KMA71" s="1"/>
      <c r="KMB71" s="1"/>
      <c r="KMC71" s="1"/>
      <c r="KMD71" s="1"/>
      <c r="KME71" s="1"/>
      <c r="KMF71" s="1"/>
      <c r="KMG71" s="1"/>
      <c r="KMH71" s="1"/>
      <c r="KMI71" s="1"/>
      <c r="KMJ71" s="1"/>
      <c r="KMK71" s="1"/>
      <c r="KML71" s="1"/>
      <c r="KMM71" s="1"/>
      <c r="KMN71" s="1"/>
      <c r="KMO71" s="1"/>
      <c r="KMP71" s="1"/>
      <c r="KMQ71" s="1"/>
      <c r="KMR71" s="1"/>
      <c r="KMS71" s="1"/>
      <c r="KMT71" s="1"/>
      <c r="KMU71" s="1"/>
      <c r="KMV71" s="1"/>
      <c r="KMW71" s="1"/>
      <c r="KMX71" s="1"/>
      <c r="KMY71" s="1"/>
      <c r="KMZ71" s="1"/>
      <c r="KNA71" s="1"/>
      <c r="KNB71" s="1"/>
      <c r="KNC71" s="1"/>
      <c r="KND71" s="1"/>
      <c r="KNE71" s="1"/>
      <c r="KNF71" s="1"/>
      <c r="KNG71" s="1"/>
      <c r="KNH71" s="1"/>
      <c r="KNI71" s="1"/>
      <c r="KNJ71" s="1"/>
      <c r="KNK71" s="1"/>
      <c r="KNL71" s="1"/>
      <c r="KNM71" s="1"/>
      <c r="KNN71" s="1"/>
      <c r="KNO71" s="1"/>
      <c r="KNP71" s="1"/>
      <c r="KNQ71" s="1"/>
      <c r="KNR71" s="1"/>
      <c r="KNS71" s="1"/>
      <c r="KNT71" s="1"/>
      <c r="KNU71" s="1"/>
      <c r="KNV71" s="1"/>
      <c r="KNW71" s="1"/>
      <c r="KNX71" s="1"/>
      <c r="KNY71" s="1"/>
      <c r="KNZ71" s="1"/>
      <c r="KOA71" s="1"/>
      <c r="KOB71" s="1"/>
      <c r="KOC71" s="1"/>
      <c r="KOD71" s="1"/>
      <c r="KOE71" s="1"/>
      <c r="KOF71" s="1"/>
      <c r="KOG71" s="1"/>
      <c r="KOH71" s="1"/>
      <c r="KOI71" s="1"/>
      <c r="KOJ71" s="1"/>
      <c r="KOK71" s="1"/>
      <c r="KOL71" s="1"/>
      <c r="KOM71" s="1"/>
      <c r="KON71" s="1"/>
      <c r="KOO71" s="1"/>
      <c r="KOP71" s="1"/>
      <c r="KOQ71" s="1"/>
      <c r="KOR71" s="1"/>
      <c r="KOS71" s="1"/>
      <c r="KOT71" s="1"/>
      <c r="KOU71" s="1"/>
      <c r="KOV71" s="1"/>
      <c r="KOW71" s="1"/>
      <c r="KOX71" s="1"/>
      <c r="KOY71" s="1"/>
      <c r="KOZ71" s="1"/>
      <c r="KPA71" s="1"/>
      <c r="KPB71" s="1"/>
      <c r="KPC71" s="1"/>
      <c r="KPD71" s="1"/>
      <c r="KPE71" s="1"/>
      <c r="KPF71" s="1"/>
      <c r="KPG71" s="1"/>
      <c r="KPH71" s="1"/>
      <c r="KPI71" s="1"/>
      <c r="KPJ71" s="1"/>
      <c r="KPK71" s="1"/>
      <c r="KPL71" s="1"/>
      <c r="KPM71" s="1"/>
      <c r="KPN71" s="1"/>
      <c r="KPO71" s="1"/>
      <c r="KPP71" s="1"/>
      <c r="KPQ71" s="1"/>
      <c r="KPR71" s="1"/>
      <c r="KPS71" s="1"/>
      <c r="KPT71" s="1"/>
      <c r="KPU71" s="1"/>
      <c r="KPV71" s="1"/>
      <c r="KPW71" s="1"/>
      <c r="KPX71" s="1"/>
      <c r="KPY71" s="1"/>
      <c r="KPZ71" s="1"/>
      <c r="KQA71" s="1"/>
      <c r="KQB71" s="1"/>
      <c r="KQC71" s="1"/>
      <c r="KQD71" s="1"/>
      <c r="KQE71" s="1"/>
      <c r="KQF71" s="1"/>
      <c r="KQG71" s="1"/>
      <c r="KQH71" s="1"/>
      <c r="KQI71" s="1"/>
      <c r="KQJ71" s="1"/>
      <c r="KQK71" s="1"/>
      <c r="KQL71" s="1"/>
      <c r="KQM71" s="1"/>
      <c r="KQN71" s="1"/>
      <c r="KQO71" s="1"/>
      <c r="KQP71" s="1"/>
      <c r="KQQ71" s="1"/>
      <c r="KQR71" s="1"/>
      <c r="KQS71" s="1"/>
      <c r="KQT71" s="1"/>
      <c r="KQU71" s="1"/>
      <c r="KQV71" s="1"/>
      <c r="KQW71" s="1"/>
      <c r="KQX71" s="1"/>
      <c r="KQY71" s="1"/>
      <c r="KQZ71" s="1"/>
      <c r="KRA71" s="1"/>
      <c r="KRB71" s="1"/>
      <c r="KRC71" s="1"/>
      <c r="KRD71" s="1"/>
      <c r="KRE71" s="1"/>
      <c r="KRF71" s="1"/>
      <c r="KRG71" s="1"/>
      <c r="KRH71" s="1"/>
      <c r="KRI71" s="1"/>
      <c r="KRJ71" s="1"/>
      <c r="KRK71" s="1"/>
      <c r="KRL71" s="1"/>
      <c r="KRM71" s="1"/>
      <c r="KRN71" s="1"/>
      <c r="KRO71" s="1"/>
      <c r="KRP71" s="1"/>
      <c r="KRQ71" s="1"/>
      <c r="KRR71" s="1"/>
      <c r="KRS71" s="1"/>
      <c r="KRT71" s="1"/>
      <c r="KRU71" s="1"/>
      <c r="KRV71" s="1"/>
      <c r="KRW71" s="1"/>
      <c r="KRX71" s="1"/>
      <c r="KRY71" s="1"/>
      <c r="KRZ71" s="1"/>
      <c r="KSA71" s="1"/>
      <c r="KSB71" s="1"/>
      <c r="KSC71" s="1"/>
      <c r="KSD71" s="1"/>
      <c r="KSE71" s="1"/>
      <c r="KSF71" s="1"/>
      <c r="KSG71" s="1"/>
      <c r="KSH71" s="1"/>
      <c r="KSI71" s="1"/>
      <c r="KSJ71" s="1"/>
      <c r="KSK71" s="1"/>
      <c r="KSL71" s="1"/>
      <c r="KSM71" s="1"/>
      <c r="KSN71" s="1"/>
      <c r="KSO71" s="1"/>
      <c r="KSP71" s="1"/>
      <c r="KSQ71" s="1"/>
      <c r="KSR71" s="1"/>
      <c r="KSS71" s="1"/>
      <c r="KST71" s="1"/>
      <c r="KSU71" s="1"/>
      <c r="KSV71" s="1"/>
      <c r="KSW71" s="1"/>
      <c r="KSX71" s="1"/>
      <c r="KSY71" s="1"/>
      <c r="KSZ71" s="1"/>
      <c r="KTA71" s="1"/>
      <c r="KTB71" s="1"/>
      <c r="KTC71" s="1"/>
      <c r="KTD71" s="1"/>
      <c r="KTE71" s="1"/>
      <c r="KTF71" s="1"/>
      <c r="KTG71" s="1"/>
      <c r="KTH71" s="1"/>
      <c r="KTI71" s="1"/>
      <c r="KTJ71" s="1"/>
      <c r="KTK71" s="1"/>
      <c r="KTL71" s="1"/>
      <c r="KTM71" s="1"/>
      <c r="KTN71" s="1"/>
      <c r="KTO71" s="1"/>
      <c r="KTP71" s="1"/>
      <c r="KTQ71" s="1"/>
      <c r="KTR71" s="1"/>
      <c r="KTS71" s="1"/>
      <c r="KTT71" s="1"/>
      <c r="KTU71" s="1"/>
      <c r="KTV71" s="1"/>
      <c r="KTW71" s="1"/>
      <c r="KTX71" s="1"/>
      <c r="KTY71" s="1"/>
      <c r="KTZ71" s="1"/>
      <c r="KUA71" s="1"/>
      <c r="KUB71" s="1"/>
      <c r="KUC71" s="1"/>
      <c r="KUD71" s="1"/>
      <c r="KUE71" s="1"/>
      <c r="KUF71" s="1"/>
      <c r="KUG71" s="1"/>
      <c r="KUH71" s="1"/>
      <c r="KUI71" s="1"/>
      <c r="KUJ71" s="1"/>
      <c r="KUK71" s="1"/>
      <c r="KUL71" s="1"/>
      <c r="KUM71" s="1"/>
      <c r="KUN71" s="1"/>
      <c r="KUO71" s="1"/>
      <c r="KUP71" s="1"/>
      <c r="KUQ71" s="1"/>
      <c r="KUR71" s="1"/>
      <c r="KUS71" s="1"/>
      <c r="KUT71" s="1"/>
      <c r="KUU71" s="1"/>
      <c r="KUV71" s="1"/>
      <c r="KUW71" s="1"/>
      <c r="KUX71" s="1"/>
      <c r="KUY71" s="1"/>
      <c r="KUZ71" s="1"/>
      <c r="KVA71" s="1"/>
      <c r="KVB71" s="1"/>
      <c r="KVC71" s="1"/>
      <c r="KVD71" s="1"/>
      <c r="KVE71" s="1"/>
      <c r="KVF71" s="1"/>
      <c r="KVG71" s="1"/>
      <c r="KVH71" s="1"/>
      <c r="KVI71" s="1"/>
      <c r="KVJ71" s="1"/>
      <c r="KVK71" s="1"/>
      <c r="KVL71" s="1"/>
      <c r="KVM71" s="1"/>
      <c r="KVN71" s="1"/>
      <c r="KVO71" s="1"/>
      <c r="KVP71" s="1"/>
      <c r="KVQ71" s="1"/>
      <c r="KVR71" s="1"/>
      <c r="KVS71" s="1"/>
      <c r="KVT71" s="1"/>
      <c r="KVU71" s="1"/>
      <c r="KVV71" s="1"/>
      <c r="KVW71" s="1"/>
      <c r="KVX71" s="1"/>
      <c r="KVY71" s="1"/>
      <c r="KVZ71" s="1"/>
      <c r="KWA71" s="1"/>
      <c r="KWB71" s="1"/>
      <c r="KWC71" s="1"/>
      <c r="KWD71" s="1"/>
      <c r="KWE71" s="1"/>
      <c r="KWF71" s="1"/>
      <c r="KWG71" s="1"/>
      <c r="KWH71" s="1"/>
      <c r="KWI71" s="1"/>
      <c r="KWJ71" s="1"/>
      <c r="KWK71" s="1"/>
      <c r="KWL71" s="1"/>
      <c r="KWM71" s="1"/>
      <c r="KWN71" s="1"/>
      <c r="KWO71" s="1"/>
      <c r="KWP71" s="1"/>
      <c r="KWQ71" s="1"/>
      <c r="KWR71" s="1"/>
      <c r="KWS71" s="1"/>
      <c r="KWT71" s="1"/>
      <c r="KWU71" s="1"/>
      <c r="KWV71" s="1"/>
      <c r="KWW71" s="1"/>
      <c r="KWX71" s="1"/>
      <c r="KWY71" s="1"/>
      <c r="KWZ71" s="1"/>
      <c r="KXA71" s="1"/>
      <c r="KXB71" s="1"/>
      <c r="KXC71" s="1"/>
      <c r="KXD71" s="1"/>
      <c r="KXE71" s="1"/>
      <c r="KXF71" s="1"/>
      <c r="KXG71" s="1"/>
      <c r="KXH71" s="1"/>
      <c r="KXI71" s="1"/>
      <c r="KXJ71" s="1"/>
      <c r="KXK71" s="1"/>
      <c r="KXL71" s="1"/>
      <c r="KXM71" s="1"/>
      <c r="KXN71" s="1"/>
      <c r="KXO71" s="1"/>
      <c r="KXP71" s="1"/>
      <c r="KXQ71" s="1"/>
      <c r="KXR71" s="1"/>
      <c r="KXS71" s="1"/>
      <c r="KXT71" s="1"/>
      <c r="KXU71" s="1"/>
      <c r="KXV71" s="1"/>
      <c r="KXW71" s="1"/>
      <c r="KXX71" s="1"/>
      <c r="KXY71" s="1"/>
      <c r="KXZ71" s="1"/>
      <c r="KYA71" s="1"/>
      <c r="KYB71" s="1"/>
      <c r="KYC71" s="1"/>
      <c r="KYD71" s="1"/>
      <c r="KYE71" s="1"/>
      <c r="KYF71" s="1"/>
      <c r="KYG71" s="1"/>
      <c r="KYH71" s="1"/>
      <c r="KYI71" s="1"/>
      <c r="KYJ71" s="1"/>
      <c r="KYK71" s="1"/>
      <c r="KYL71" s="1"/>
      <c r="KYM71" s="1"/>
      <c r="KYN71" s="1"/>
      <c r="KYO71" s="1"/>
      <c r="KYP71" s="1"/>
      <c r="KYQ71" s="1"/>
      <c r="KYR71" s="1"/>
      <c r="KYS71" s="1"/>
      <c r="KYT71" s="1"/>
      <c r="KYU71" s="1"/>
      <c r="KYV71" s="1"/>
      <c r="KYW71" s="1"/>
      <c r="KYX71" s="1"/>
      <c r="KYY71" s="1"/>
      <c r="KYZ71" s="1"/>
      <c r="KZA71" s="1"/>
      <c r="KZB71" s="1"/>
      <c r="KZC71" s="1"/>
      <c r="KZD71" s="1"/>
      <c r="KZE71" s="1"/>
      <c r="KZF71" s="1"/>
      <c r="KZG71" s="1"/>
      <c r="KZH71" s="1"/>
      <c r="KZI71" s="1"/>
      <c r="KZJ71" s="1"/>
      <c r="KZK71" s="1"/>
      <c r="KZL71" s="1"/>
      <c r="KZM71" s="1"/>
      <c r="KZN71" s="1"/>
      <c r="KZO71" s="1"/>
      <c r="KZP71" s="1"/>
      <c r="KZQ71" s="1"/>
      <c r="KZR71" s="1"/>
      <c r="KZS71" s="1"/>
      <c r="KZT71" s="1"/>
      <c r="KZU71" s="1"/>
      <c r="KZV71" s="1"/>
      <c r="KZW71" s="1"/>
      <c r="KZX71" s="1"/>
      <c r="KZY71" s="1"/>
      <c r="KZZ71" s="1"/>
      <c r="LAA71" s="1"/>
      <c r="LAB71" s="1"/>
      <c r="LAC71" s="1"/>
      <c r="LAD71" s="1"/>
      <c r="LAE71" s="1"/>
      <c r="LAF71" s="1"/>
      <c r="LAG71" s="1"/>
      <c r="LAH71" s="1"/>
      <c r="LAI71" s="1"/>
      <c r="LAJ71" s="1"/>
      <c r="LAK71" s="1"/>
      <c r="LAL71" s="1"/>
      <c r="LAM71" s="1"/>
      <c r="LAN71" s="1"/>
      <c r="LAO71" s="1"/>
      <c r="LAP71" s="1"/>
      <c r="LAQ71" s="1"/>
      <c r="LAR71" s="1"/>
      <c r="LAS71" s="1"/>
      <c r="LAT71" s="1"/>
      <c r="LAU71" s="1"/>
      <c r="LAV71" s="1"/>
      <c r="LAW71" s="1"/>
      <c r="LAX71" s="1"/>
      <c r="LAY71" s="1"/>
      <c r="LAZ71" s="1"/>
      <c r="LBA71" s="1"/>
      <c r="LBB71" s="1"/>
      <c r="LBC71" s="1"/>
      <c r="LBD71" s="1"/>
      <c r="LBE71" s="1"/>
      <c r="LBF71" s="1"/>
      <c r="LBG71" s="1"/>
      <c r="LBH71" s="1"/>
      <c r="LBI71" s="1"/>
      <c r="LBJ71" s="1"/>
      <c r="LBK71" s="1"/>
      <c r="LBL71" s="1"/>
      <c r="LBM71" s="1"/>
      <c r="LBN71" s="1"/>
      <c r="LBO71" s="1"/>
      <c r="LBP71" s="1"/>
      <c r="LBQ71" s="1"/>
      <c r="LBR71" s="1"/>
      <c r="LBS71" s="1"/>
      <c r="LBT71" s="1"/>
      <c r="LBU71" s="1"/>
      <c r="LBV71" s="1"/>
      <c r="LBW71" s="1"/>
      <c r="LBX71" s="1"/>
      <c r="LBY71" s="1"/>
      <c r="LBZ71" s="1"/>
      <c r="LCA71" s="1"/>
      <c r="LCB71" s="1"/>
      <c r="LCC71" s="1"/>
      <c r="LCD71" s="1"/>
      <c r="LCE71" s="1"/>
      <c r="LCF71" s="1"/>
      <c r="LCG71" s="1"/>
      <c r="LCH71" s="1"/>
      <c r="LCI71" s="1"/>
      <c r="LCJ71" s="1"/>
      <c r="LCK71" s="1"/>
      <c r="LCL71" s="1"/>
      <c r="LCM71" s="1"/>
      <c r="LCN71" s="1"/>
      <c r="LCO71" s="1"/>
      <c r="LCP71" s="1"/>
      <c r="LCQ71" s="1"/>
      <c r="LCR71" s="1"/>
      <c r="LCS71" s="1"/>
      <c r="LCT71" s="1"/>
      <c r="LCU71" s="1"/>
      <c r="LCV71" s="1"/>
      <c r="LCW71" s="1"/>
      <c r="LCX71" s="1"/>
      <c r="LCY71" s="1"/>
      <c r="LCZ71" s="1"/>
      <c r="LDA71" s="1"/>
      <c r="LDB71" s="1"/>
      <c r="LDC71" s="1"/>
      <c r="LDD71" s="1"/>
      <c r="LDE71" s="1"/>
      <c r="LDF71" s="1"/>
      <c r="LDG71" s="1"/>
      <c r="LDH71" s="1"/>
      <c r="LDI71" s="1"/>
      <c r="LDJ71" s="1"/>
      <c r="LDK71" s="1"/>
      <c r="LDL71" s="1"/>
      <c r="LDM71" s="1"/>
      <c r="LDN71" s="1"/>
      <c r="LDO71" s="1"/>
      <c r="LDP71" s="1"/>
      <c r="LDQ71" s="1"/>
      <c r="LDR71" s="1"/>
      <c r="LDS71" s="1"/>
      <c r="LDT71" s="1"/>
      <c r="LDU71" s="1"/>
      <c r="LDV71" s="1"/>
      <c r="LDW71" s="1"/>
      <c r="LDX71" s="1"/>
      <c r="LDY71" s="1"/>
      <c r="LDZ71" s="1"/>
      <c r="LEA71" s="1"/>
      <c r="LEB71" s="1"/>
      <c r="LEC71" s="1"/>
      <c r="LED71" s="1"/>
      <c r="LEE71" s="1"/>
      <c r="LEF71" s="1"/>
      <c r="LEG71" s="1"/>
      <c r="LEH71" s="1"/>
      <c r="LEI71" s="1"/>
      <c r="LEJ71" s="1"/>
      <c r="LEK71" s="1"/>
      <c r="LEL71" s="1"/>
      <c r="LEM71" s="1"/>
      <c r="LEN71" s="1"/>
      <c r="LEO71" s="1"/>
      <c r="LEP71" s="1"/>
      <c r="LEQ71" s="1"/>
      <c r="LER71" s="1"/>
      <c r="LES71" s="1"/>
      <c r="LET71" s="1"/>
      <c r="LEU71" s="1"/>
      <c r="LEV71" s="1"/>
      <c r="LEW71" s="1"/>
      <c r="LEX71" s="1"/>
      <c r="LEY71" s="1"/>
      <c r="LEZ71" s="1"/>
      <c r="LFA71" s="1"/>
      <c r="LFB71" s="1"/>
      <c r="LFC71" s="1"/>
      <c r="LFD71" s="1"/>
      <c r="LFE71" s="1"/>
      <c r="LFF71" s="1"/>
      <c r="LFG71" s="1"/>
      <c r="LFH71" s="1"/>
      <c r="LFI71" s="1"/>
      <c r="LFJ71" s="1"/>
      <c r="LFK71" s="1"/>
      <c r="LFL71" s="1"/>
      <c r="LFM71" s="1"/>
      <c r="LFN71" s="1"/>
      <c r="LFO71" s="1"/>
      <c r="LFP71" s="1"/>
      <c r="LFQ71" s="1"/>
      <c r="LFR71" s="1"/>
      <c r="LFS71" s="1"/>
      <c r="LFT71" s="1"/>
      <c r="LFU71" s="1"/>
      <c r="LFV71" s="1"/>
      <c r="LFW71" s="1"/>
      <c r="LFX71" s="1"/>
      <c r="LFY71" s="1"/>
      <c r="LFZ71" s="1"/>
      <c r="LGA71" s="1"/>
      <c r="LGB71" s="1"/>
      <c r="LGC71" s="1"/>
      <c r="LGD71" s="1"/>
      <c r="LGE71" s="1"/>
      <c r="LGF71" s="1"/>
      <c r="LGG71" s="1"/>
      <c r="LGH71" s="1"/>
      <c r="LGI71" s="1"/>
      <c r="LGJ71" s="1"/>
      <c r="LGK71" s="1"/>
      <c r="LGL71" s="1"/>
      <c r="LGM71" s="1"/>
      <c r="LGN71" s="1"/>
      <c r="LGO71" s="1"/>
      <c r="LGP71" s="1"/>
      <c r="LGQ71" s="1"/>
      <c r="LGR71" s="1"/>
      <c r="LGS71" s="1"/>
      <c r="LGT71" s="1"/>
      <c r="LGU71" s="1"/>
      <c r="LGV71" s="1"/>
      <c r="LGW71" s="1"/>
      <c r="LGX71" s="1"/>
      <c r="LGY71" s="1"/>
      <c r="LGZ71" s="1"/>
      <c r="LHA71" s="1"/>
      <c r="LHB71" s="1"/>
      <c r="LHC71" s="1"/>
      <c r="LHD71" s="1"/>
      <c r="LHE71" s="1"/>
      <c r="LHF71" s="1"/>
      <c r="LHG71" s="1"/>
      <c r="LHH71" s="1"/>
      <c r="LHI71" s="1"/>
      <c r="LHJ71" s="1"/>
      <c r="LHK71" s="1"/>
      <c r="LHL71" s="1"/>
      <c r="LHM71" s="1"/>
      <c r="LHN71" s="1"/>
      <c r="LHO71" s="1"/>
      <c r="LHP71" s="1"/>
      <c r="LHQ71" s="1"/>
      <c r="LHR71" s="1"/>
      <c r="LHS71" s="1"/>
      <c r="LHT71" s="1"/>
      <c r="LHU71" s="1"/>
      <c r="LHV71" s="1"/>
      <c r="LHW71" s="1"/>
      <c r="LHX71" s="1"/>
      <c r="LHY71" s="1"/>
      <c r="LHZ71" s="1"/>
      <c r="LIA71" s="1"/>
      <c r="LIB71" s="1"/>
      <c r="LIC71" s="1"/>
      <c r="LID71" s="1"/>
      <c r="LIE71" s="1"/>
      <c r="LIF71" s="1"/>
      <c r="LIG71" s="1"/>
      <c r="LIH71" s="1"/>
      <c r="LII71" s="1"/>
      <c r="LIJ71" s="1"/>
      <c r="LIK71" s="1"/>
      <c r="LIL71" s="1"/>
      <c r="LIM71" s="1"/>
      <c r="LIN71" s="1"/>
      <c r="LIO71" s="1"/>
      <c r="LIP71" s="1"/>
      <c r="LIQ71" s="1"/>
      <c r="LIR71" s="1"/>
      <c r="LIS71" s="1"/>
      <c r="LIT71" s="1"/>
      <c r="LIU71" s="1"/>
      <c r="LIV71" s="1"/>
      <c r="LIW71" s="1"/>
      <c r="LIX71" s="1"/>
      <c r="LIY71" s="1"/>
      <c r="LIZ71" s="1"/>
      <c r="LJA71" s="1"/>
      <c r="LJB71" s="1"/>
      <c r="LJC71" s="1"/>
      <c r="LJD71" s="1"/>
      <c r="LJE71" s="1"/>
      <c r="LJF71" s="1"/>
      <c r="LJG71" s="1"/>
      <c r="LJH71" s="1"/>
      <c r="LJI71" s="1"/>
      <c r="LJJ71" s="1"/>
      <c r="LJK71" s="1"/>
      <c r="LJL71" s="1"/>
      <c r="LJM71" s="1"/>
      <c r="LJN71" s="1"/>
      <c r="LJO71" s="1"/>
      <c r="LJP71" s="1"/>
      <c r="LJQ71" s="1"/>
      <c r="LJR71" s="1"/>
      <c r="LJS71" s="1"/>
      <c r="LJT71" s="1"/>
      <c r="LJU71" s="1"/>
      <c r="LJV71" s="1"/>
      <c r="LJW71" s="1"/>
      <c r="LJX71" s="1"/>
      <c r="LJY71" s="1"/>
      <c r="LJZ71" s="1"/>
      <c r="LKA71" s="1"/>
      <c r="LKB71" s="1"/>
      <c r="LKC71" s="1"/>
      <c r="LKD71" s="1"/>
      <c r="LKE71" s="1"/>
      <c r="LKF71" s="1"/>
      <c r="LKG71" s="1"/>
      <c r="LKH71" s="1"/>
      <c r="LKI71" s="1"/>
      <c r="LKJ71" s="1"/>
      <c r="LKK71" s="1"/>
      <c r="LKL71" s="1"/>
      <c r="LKM71" s="1"/>
      <c r="LKN71" s="1"/>
      <c r="LKO71" s="1"/>
      <c r="LKP71" s="1"/>
      <c r="LKQ71" s="1"/>
      <c r="LKR71" s="1"/>
      <c r="LKS71" s="1"/>
      <c r="LKT71" s="1"/>
      <c r="LKU71" s="1"/>
      <c r="LKV71" s="1"/>
      <c r="LKW71" s="1"/>
      <c r="LKX71" s="1"/>
      <c r="LKY71" s="1"/>
      <c r="LKZ71" s="1"/>
      <c r="LLA71" s="1"/>
      <c r="LLB71" s="1"/>
      <c r="LLC71" s="1"/>
      <c r="LLD71" s="1"/>
      <c r="LLE71" s="1"/>
      <c r="LLF71" s="1"/>
      <c r="LLG71" s="1"/>
      <c r="LLH71" s="1"/>
      <c r="LLI71" s="1"/>
      <c r="LLJ71" s="1"/>
      <c r="LLK71" s="1"/>
      <c r="LLL71" s="1"/>
      <c r="LLM71" s="1"/>
      <c r="LLN71" s="1"/>
      <c r="LLO71" s="1"/>
      <c r="LLP71" s="1"/>
      <c r="LLQ71" s="1"/>
      <c r="LLR71" s="1"/>
      <c r="LLS71" s="1"/>
      <c r="LLT71" s="1"/>
      <c r="LLU71" s="1"/>
      <c r="LLV71" s="1"/>
      <c r="LLW71" s="1"/>
      <c r="LLX71" s="1"/>
      <c r="LLY71" s="1"/>
      <c r="LLZ71" s="1"/>
      <c r="LMA71" s="1"/>
      <c r="LMB71" s="1"/>
      <c r="LMC71" s="1"/>
      <c r="LMD71" s="1"/>
      <c r="LME71" s="1"/>
      <c r="LMF71" s="1"/>
      <c r="LMG71" s="1"/>
      <c r="LMH71" s="1"/>
      <c r="LMI71" s="1"/>
      <c r="LMJ71" s="1"/>
      <c r="LMK71" s="1"/>
      <c r="LML71" s="1"/>
      <c r="LMM71" s="1"/>
      <c r="LMN71" s="1"/>
      <c r="LMO71" s="1"/>
      <c r="LMP71" s="1"/>
      <c r="LMQ71" s="1"/>
      <c r="LMR71" s="1"/>
      <c r="LMS71" s="1"/>
      <c r="LMT71" s="1"/>
      <c r="LMU71" s="1"/>
      <c r="LMV71" s="1"/>
      <c r="LMW71" s="1"/>
      <c r="LMX71" s="1"/>
      <c r="LMY71" s="1"/>
      <c r="LMZ71" s="1"/>
      <c r="LNA71" s="1"/>
      <c r="LNB71" s="1"/>
      <c r="LNC71" s="1"/>
      <c r="LND71" s="1"/>
      <c r="LNE71" s="1"/>
      <c r="LNF71" s="1"/>
      <c r="LNG71" s="1"/>
      <c r="LNH71" s="1"/>
      <c r="LNI71" s="1"/>
      <c r="LNJ71" s="1"/>
      <c r="LNK71" s="1"/>
      <c r="LNL71" s="1"/>
      <c r="LNM71" s="1"/>
      <c r="LNN71" s="1"/>
      <c r="LNO71" s="1"/>
      <c r="LNP71" s="1"/>
      <c r="LNQ71" s="1"/>
      <c r="LNR71" s="1"/>
      <c r="LNS71" s="1"/>
      <c r="LNT71" s="1"/>
      <c r="LNU71" s="1"/>
      <c r="LNV71" s="1"/>
      <c r="LNW71" s="1"/>
      <c r="LNX71" s="1"/>
      <c r="LNY71" s="1"/>
      <c r="LNZ71" s="1"/>
      <c r="LOA71" s="1"/>
      <c r="LOB71" s="1"/>
      <c r="LOC71" s="1"/>
      <c r="LOD71" s="1"/>
      <c r="LOE71" s="1"/>
      <c r="LOF71" s="1"/>
      <c r="LOG71" s="1"/>
      <c r="LOH71" s="1"/>
      <c r="LOI71" s="1"/>
      <c r="LOJ71" s="1"/>
      <c r="LOK71" s="1"/>
      <c r="LOL71" s="1"/>
      <c r="LOM71" s="1"/>
      <c r="LON71" s="1"/>
      <c r="LOO71" s="1"/>
      <c r="LOP71" s="1"/>
      <c r="LOQ71" s="1"/>
      <c r="LOR71" s="1"/>
      <c r="LOS71" s="1"/>
      <c r="LOT71" s="1"/>
      <c r="LOU71" s="1"/>
      <c r="LOV71" s="1"/>
      <c r="LOW71" s="1"/>
      <c r="LOX71" s="1"/>
      <c r="LOY71" s="1"/>
      <c r="LOZ71" s="1"/>
      <c r="LPA71" s="1"/>
      <c r="LPB71" s="1"/>
      <c r="LPC71" s="1"/>
      <c r="LPD71" s="1"/>
      <c r="LPE71" s="1"/>
      <c r="LPF71" s="1"/>
      <c r="LPG71" s="1"/>
      <c r="LPH71" s="1"/>
      <c r="LPI71" s="1"/>
      <c r="LPJ71" s="1"/>
      <c r="LPK71" s="1"/>
      <c r="LPL71" s="1"/>
      <c r="LPM71" s="1"/>
      <c r="LPN71" s="1"/>
      <c r="LPO71" s="1"/>
      <c r="LPP71" s="1"/>
      <c r="LPQ71" s="1"/>
      <c r="LPR71" s="1"/>
      <c r="LPS71" s="1"/>
      <c r="LPT71" s="1"/>
      <c r="LPU71" s="1"/>
      <c r="LPV71" s="1"/>
      <c r="LPW71" s="1"/>
      <c r="LPX71" s="1"/>
      <c r="LPY71" s="1"/>
      <c r="LPZ71" s="1"/>
      <c r="LQA71" s="1"/>
      <c r="LQB71" s="1"/>
      <c r="LQC71" s="1"/>
      <c r="LQD71" s="1"/>
      <c r="LQE71" s="1"/>
      <c r="LQF71" s="1"/>
      <c r="LQG71" s="1"/>
      <c r="LQH71" s="1"/>
      <c r="LQI71" s="1"/>
      <c r="LQJ71" s="1"/>
      <c r="LQK71" s="1"/>
      <c r="LQL71" s="1"/>
      <c r="LQM71" s="1"/>
      <c r="LQN71" s="1"/>
      <c r="LQO71" s="1"/>
      <c r="LQP71" s="1"/>
      <c r="LQQ71" s="1"/>
      <c r="LQR71" s="1"/>
      <c r="LQS71" s="1"/>
      <c r="LQT71" s="1"/>
      <c r="LQU71" s="1"/>
      <c r="LQV71" s="1"/>
      <c r="LQW71" s="1"/>
      <c r="LQX71" s="1"/>
      <c r="LQY71" s="1"/>
      <c r="LQZ71" s="1"/>
      <c r="LRA71" s="1"/>
      <c r="LRB71" s="1"/>
      <c r="LRC71" s="1"/>
      <c r="LRD71" s="1"/>
      <c r="LRE71" s="1"/>
      <c r="LRF71" s="1"/>
      <c r="LRG71" s="1"/>
      <c r="LRH71" s="1"/>
      <c r="LRI71" s="1"/>
      <c r="LRJ71" s="1"/>
      <c r="LRK71" s="1"/>
      <c r="LRL71" s="1"/>
      <c r="LRM71" s="1"/>
      <c r="LRN71" s="1"/>
      <c r="LRO71" s="1"/>
      <c r="LRP71" s="1"/>
      <c r="LRQ71" s="1"/>
      <c r="LRR71" s="1"/>
      <c r="LRS71" s="1"/>
      <c r="LRT71" s="1"/>
      <c r="LRU71" s="1"/>
      <c r="LRV71" s="1"/>
      <c r="LRW71" s="1"/>
      <c r="LRX71" s="1"/>
      <c r="LRY71" s="1"/>
      <c r="LRZ71" s="1"/>
      <c r="LSA71" s="1"/>
      <c r="LSB71" s="1"/>
      <c r="LSC71" s="1"/>
      <c r="LSD71" s="1"/>
      <c r="LSE71" s="1"/>
      <c r="LSF71" s="1"/>
      <c r="LSG71" s="1"/>
      <c r="LSH71" s="1"/>
      <c r="LSI71" s="1"/>
      <c r="LSJ71" s="1"/>
      <c r="LSK71" s="1"/>
      <c r="LSL71" s="1"/>
      <c r="LSM71" s="1"/>
      <c r="LSN71" s="1"/>
      <c r="LSO71" s="1"/>
      <c r="LSP71" s="1"/>
      <c r="LSQ71" s="1"/>
      <c r="LSR71" s="1"/>
      <c r="LSS71" s="1"/>
      <c r="LST71" s="1"/>
      <c r="LSU71" s="1"/>
      <c r="LSV71" s="1"/>
      <c r="LSW71" s="1"/>
      <c r="LSX71" s="1"/>
      <c r="LSY71" s="1"/>
      <c r="LSZ71" s="1"/>
      <c r="LTA71" s="1"/>
      <c r="LTB71" s="1"/>
      <c r="LTC71" s="1"/>
      <c r="LTD71" s="1"/>
      <c r="LTE71" s="1"/>
      <c r="LTF71" s="1"/>
      <c r="LTG71" s="1"/>
      <c r="LTH71" s="1"/>
      <c r="LTI71" s="1"/>
      <c r="LTJ71" s="1"/>
      <c r="LTK71" s="1"/>
      <c r="LTL71" s="1"/>
      <c r="LTM71" s="1"/>
      <c r="LTN71" s="1"/>
      <c r="LTO71" s="1"/>
      <c r="LTP71" s="1"/>
      <c r="LTQ71" s="1"/>
      <c r="LTR71" s="1"/>
      <c r="LTS71" s="1"/>
      <c r="LTT71" s="1"/>
      <c r="LTU71" s="1"/>
      <c r="LTV71" s="1"/>
      <c r="LTW71" s="1"/>
      <c r="LTX71" s="1"/>
      <c r="LTY71" s="1"/>
      <c r="LTZ71" s="1"/>
      <c r="LUA71" s="1"/>
      <c r="LUB71" s="1"/>
      <c r="LUC71" s="1"/>
      <c r="LUD71" s="1"/>
      <c r="LUE71" s="1"/>
      <c r="LUF71" s="1"/>
      <c r="LUG71" s="1"/>
      <c r="LUH71" s="1"/>
      <c r="LUI71" s="1"/>
      <c r="LUJ71" s="1"/>
      <c r="LUK71" s="1"/>
      <c r="LUL71" s="1"/>
      <c r="LUM71" s="1"/>
      <c r="LUN71" s="1"/>
      <c r="LUO71" s="1"/>
      <c r="LUP71" s="1"/>
      <c r="LUQ71" s="1"/>
      <c r="LUR71" s="1"/>
      <c r="LUS71" s="1"/>
      <c r="LUT71" s="1"/>
      <c r="LUU71" s="1"/>
      <c r="LUV71" s="1"/>
      <c r="LUW71" s="1"/>
      <c r="LUX71" s="1"/>
      <c r="LUY71" s="1"/>
      <c r="LUZ71" s="1"/>
      <c r="LVA71" s="1"/>
      <c r="LVB71" s="1"/>
      <c r="LVC71" s="1"/>
      <c r="LVD71" s="1"/>
      <c r="LVE71" s="1"/>
      <c r="LVF71" s="1"/>
      <c r="LVG71" s="1"/>
      <c r="LVH71" s="1"/>
      <c r="LVI71" s="1"/>
      <c r="LVJ71" s="1"/>
      <c r="LVK71" s="1"/>
      <c r="LVL71" s="1"/>
      <c r="LVM71" s="1"/>
      <c r="LVN71" s="1"/>
      <c r="LVO71" s="1"/>
      <c r="LVP71" s="1"/>
      <c r="LVQ71" s="1"/>
      <c r="LVR71" s="1"/>
      <c r="LVS71" s="1"/>
      <c r="LVT71" s="1"/>
      <c r="LVU71" s="1"/>
      <c r="LVV71" s="1"/>
      <c r="LVW71" s="1"/>
      <c r="LVX71" s="1"/>
      <c r="LVY71" s="1"/>
      <c r="LVZ71" s="1"/>
      <c r="LWA71" s="1"/>
      <c r="LWB71" s="1"/>
      <c r="LWC71" s="1"/>
      <c r="LWD71" s="1"/>
      <c r="LWE71" s="1"/>
      <c r="LWF71" s="1"/>
      <c r="LWG71" s="1"/>
      <c r="LWH71" s="1"/>
      <c r="LWI71" s="1"/>
      <c r="LWJ71" s="1"/>
      <c r="LWK71" s="1"/>
      <c r="LWL71" s="1"/>
      <c r="LWM71" s="1"/>
      <c r="LWN71" s="1"/>
      <c r="LWO71" s="1"/>
      <c r="LWP71" s="1"/>
      <c r="LWQ71" s="1"/>
      <c r="LWR71" s="1"/>
      <c r="LWS71" s="1"/>
      <c r="LWT71" s="1"/>
      <c r="LWU71" s="1"/>
      <c r="LWV71" s="1"/>
      <c r="LWW71" s="1"/>
      <c r="LWX71" s="1"/>
      <c r="LWY71" s="1"/>
      <c r="LWZ71" s="1"/>
      <c r="LXA71" s="1"/>
      <c r="LXB71" s="1"/>
      <c r="LXC71" s="1"/>
      <c r="LXD71" s="1"/>
      <c r="LXE71" s="1"/>
      <c r="LXF71" s="1"/>
      <c r="LXG71" s="1"/>
      <c r="LXH71" s="1"/>
      <c r="LXI71" s="1"/>
      <c r="LXJ71" s="1"/>
      <c r="LXK71" s="1"/>
      <c r="LXL71" s="1"/>
      <c r="LXM71" s="1"/>
      <c r="LXN71" s="1"/>
      <c r="LXO71" s="1"/>
      <c r="LXP71" s="1"/>
      <c r="LXQ71" s="1"/>
      <c r="LXR71" s="1"/>
      <c r="LXS71" s="1"/>
      <c r="LXT71" s="1"/>
      <c r="LXU71" s="1"/>
      <c r="LXV71" s="1"/>
      <c r="LXW71" s="1"/>
      <c r="LXX71" s="1"/>
      <c r="LXY71" s="1"/>
      <c r="LXZ71" s="1"/>
      <c r="LYA71" s="1"/>
      <c r="LYB71" s="1"/>
      <c r="LYC71" s="1"/>
      <c r="LYD71" s="1"/>
      <c r="LYE71" s="1"/>
      <c r="LYF71" s="1"/>
      <c r="LYG71" s="1"/>
      <c r="LYH71" s="1"/>
      <c r="LYI71" s="1"/>
      <c r="LYJ71" s="1"/>
      <c r="LYK71" s="1"/>
      <c r="LYL71" s="1"/>
      <c r="LYM71" s="1"/>
      <c r="LYN71" s="1"/>
      <c r="LYO71" s="1"/>
      <c r="LYP71" s="1"/>
      <c r="LYQ71" s="1"/>
      <c r="LYR71" s="1"/>
      <c r="LYS71" s="1"/>
      <c r="LYT71" s="1"/>
      <c r="LYU71" s="1"/>
      <c r="LYV71" s="1"/>
      <c r="LYW71" s="1"/>
      <c r="LYX71" s="1"/>
      <c r="LYY71" s="1"/>
      <c r="LYZ71" s="1"/>
      <c r="LZA71" s="1"/>
      <c r="LZB71" s="1"/>
      <c r="LZC71" s="1"/>
      <c r="LZD71" s="1"/>
      <c r="LZE71" s="1"/>
      <c r="LZF71" s="1"/>
      <c r="LZG71" s="1"/>
      <c r="LZH71" s="1"/>
      <c r="LZI71" s="1"/>
      <c r="LZJ71" s="1"/>
      <c r="LZK71" s="1"/>
      <c r="LZL71" s="1"/>
      <c r="LZM71" s="1"/>
      <c r="LZN71" s="1"/>
      <c r="LZO71" s="1"/>
      <c r="LZP71" s="1"/>
      <c r="LZQ71" s="1"/>
      <c r="LZR71" s="1"/>
      <c r="LZS71" s="1"/>
      <c r="LZT71" s="1"/>
      <c r="LZU71" s="1"/>
      <c r="LZV71" s="1"/>
      <c r="LZW71" s="1"/>
      <c r="LZX71" s="1"/>
      <c r="LZY71" s="1"/>
      <c r="LZZ71" s="1"/>
      <c r="MAA71" s="1"/>
      <c r="MAB71" s="1"/>
      <c r="MAC71" s="1"/>
      <c r="MAD71" s="1"/>
      <c r="MAE71" s="1"/>
      <c r="MAF71" s="1"/>
      <c r="MAG71" s="1"/>
      <c r="MAH71" s="1"/>
      <c r="MAI71" s="1"/>
      <c r="MAJ71" s="1"/>
      <c r="MAK71" s="1"/>
      <c r="MAL71" s="1"/>
      <c r="MAM71" s="1"/>
      <c r="MAN71" s="1"/>
      <c r="MAO71" s="1"/>
      <c r="MAP71" s="1"/>
      <c r="MAQ71" s="1"/>
      <c r="MAR71" s="1"/>
      <c r="MAS71" s="1"/>
      <c r="MAT71" s="1"/>
      <c r="MAU71" s="1"/>
      <c r="MAV71" s="1"/>
      <c r="MAW71" s="1"/>
      <c r="MAX71" s="1"/>
      <c r="MAY71" s="1"/>
      <c r="MAZ71" s="1"/>
      <c r="MBA71" s="1"/>
      <c r="MBB71" s="1"/>
      <c r="MBC71" s="1"/>
      <c r="MBD71" s="1"/>
      <c r="MBE71" s="1"/>
      <c r="MBF71" s="1"/>
      <c r="MBG71" s="1"/>
      <c r="MBH71" s="1"/>
      <c r="MBI71" s="1"/>
      <c r="MBJ71" s="1"/>
      <c r="MBK71" s="1"/>
      <c r="MBL71" s="1"/>
      <c r="MBM71" s="1"/>
      <c r="MBN71" s="1"/>
      <c r="MBO71" s="1"/>
      <c r="MBP71" s="1"/>
      <c r="MBQ71" s="1"/>
      <c r="MBR71" s="1"/>
      <c r="MBS71" s="1"/>
      <c r="MBT71" s="1"/>
      <c r="MBU71" s="1"/>
      <c r="MBV71" s="1"/>
      <c r="MBW71" s="1"/>
      <c r="MBX71" s="1"/>
      <c r="MBY71" s="1"/>
      <c r="MBZ71" s="1"/>
      <c r="MCA71" s="1"/>
      <c r="MCB71" s="1"/>
      <c r="MCC71" s="1"/>
      <c r="MCD71" s="1"/>
      <c r="MCE71" s="1"/>
      <c r="MCF71" s="1"/>
      <c r="MCG71" s="1"/>
      <c r="MCH71" s="1"/>
      <c r="MCI71" s="1"/>
      <c r="MCJ71" s="1"/>
      <c r="MCK71" s="1"/>
      <c r="MCL71" s="1"/>
      <c r="MCM71" s="1"/>
      <c r="MCN71" s="1"/>
      <c r="MCO71" s="1"/>
      <c r="MCP71" s="1"/>
      <c r="MCQ71" s="1"/>
      <c r="MCR71" s="1"/>
      <c r="MCS71" s="1"/>
      <c r="MCT71" s="1"/>
      <c r="MCU71" s="1"/>
      <c r="MCV71" s="1"/>
      <c r="MCW71" s="1"/>
      <c r="MCX71" s="1"/>
      <c r="MCY71" s="1"/>
      <c r="MCZ71" s="1"/>
      <c r="MDA71" s="1"/>
      <c r="MDB71" s="1"/>
      <c r="MDC71" s="1"/>
      <c r="MDD71" s="1"/>
      <c r="MDE71" s="1"/>
      <c r="MDF71" s="1"/>
      <c r="MDG71" s="1"/>
      <c r="MDH71" s="1"/>
      <c r="MDI71" s="1"/>
      <c r="MDJ71" s="1"/>
      <c r="MDK71" s="1"/>
      <c r="MDL71" s="1"/>
      <c r="MDM71" s="1"/>
      <c r="MDN71" s="1"/>
      <c r="MDO71" s="1"/>
      <c r="MDP71" s="1"/>
      <c r="MDQ71" s="1"/>
      <c r="MDR71" s="1"/>
      <c r="MDS71" s="1"/>
      <c r="MDT71" s="1"/>
      <c r="MDU71" s="1"/>
      <c r="MDV71" s="1"/>
      <c r="MDW71" s="1"/>
      <c r="MDX71" s="1"/>
      <c r="MDY71" s="1"/>
      <c r="MDZ71" s="1"/>
      <c r="MEA71" s="1"/>
      <c r="MEB71" s="1"/>
      <c r="MEC71" s="1"/>
      <c r="MED71" s="1"/>
      <c r="MEE71" s="1"/>
      <c r="MEF71" s="1"/>
      <c r="MEG71" s="1"/>
      <c r="MEH71" s="1"/>
      <c r="MEI71" s="1"/>
      <c r="MEJ71" s="1"/>
      <c r="MEK71" s="1"/>
      <c r="MEL71" s="1"/>
      <c r="MEM71" s="1"/>
      <c r="MEN71" s="1"/>
      <c r="MEO71" s="1"/>
      <c r="MEP71" s="1"/>
      <c r="MEQ71" s="1"/>
      <c r="MER71" s="1"/>
      <c r="MES71" s="1"/>
      <c r="MET71" s="1"/>
      <c r="MEU71" s="1"/>
      <c r="MEV71" s="1"/>
      <c r="MEW71" s="1"/>
      <c r="MEX71" s="1"/>
      <c r="MEY71" s="1"/>
      <c r="MEZ71" s="1"/>
      <c r="MFA71" s="1"/>
      <c r="MFB71" s="1"/>
      <c r="MFC71" s="1"/>
      <c r="MFD71" s="1"/>
      <c r="MFE71" s="1"/>
      <c r="MFF71" s="1"/>
      <c r="MFG71" s="1"/>
      <c r="MFH71" s="1"/>
      <c r="MFI71" s="1"/>
      <c r="MFJ71" s="1"/>
      <c r="MFK71" s="1"/>
      <c r="MFL71" s="1"/>
      <c r="MFM71" s="1"/>
      <c r="MFN71" s="1"/>
      <c r="MFO71" s="1"/>
      <c r="MFP71" s="1"/>
      <c r="MFQ71" s="1"/>
      <c r="MFR71" s="1"/>
      <c r="MFS71" s="1"/>
      <c r="MFT71" s="1"/>
      <c r="MFU71" s="1"/>
      <c r="MFV71" s="1"/>
      <c r="MFW71" s="1"/>
      <c r="MFX71" s="1"/>
      <c r="MFY71" s="1"/>
      <c r="MFZ71" s="1"/>
      <c r="MGA71" s="1"/>
      <c r="MGB71" s="1"/>
      <c r="MGC71" s="1"/>
      <c r="MGD71" s="1"/>
      <c r="MGE71" s="1"/>
      <c r="MGF71" s="1"/>
      <c r="MGG71" s="1"/>
      <c r="MGH71" s="1"/>
      <c r="MGI71" s="1"/>
      <c r="MGJ71" s="1"/>
      <c r="MGK71" s="1"/>
      <c r="MGL71" s="1"/>
      <c r="MGM71" s="1"/>
      <c r="MGN71" s="1"/>
      <c r="MGO71" s="1"/>
      <c r="MGP71" s="1"/>
      <c r="MGQ71" s="1"/>
      <c r="MGR71" s="1"/>
      <c r="MGS71" s="1"/>
      <c r="MGT71" s="1"/>
      <c r="MGU71" s="1"/>
      <c r="MGV71" s="1"/>
      <c r="MGW71" s="1"/>
      <c r="MGX71" s="1"/>
      <c r="MGY71" s="1"/>
      <c r="MGZ71" s="1"/>
      <c r="MHA71" s="1"/>
      <c r="MHB71" s="1"/>
      <c r="MHC71" s="1"/>
      <c r="MHD71" s="1"/>
      <c r="MHE71" s="1"/>
      <c r="MHF71" s="1"/>
      <c r="MHG71" s="1"/>
      <c r="MHH71" s="1"/>
      <c r="MHI71" s="1"/>
      <c r="MHJ71" s="1"/>
      <c r="MHK71" s="1"/>
      <c r="MHL71" s="1"/>
      <c r="MHM71" s="1"/>
      <c r="MHN71" s="1"/>
      <c r="MHO71" s="1"/>
      <c r="MHP71" s="1"/>
      <c r="MHQ71" s="1"/>
      <c r="MHR71" s="1"/>
      <c r="MHS71" s="1"/>
      <c r="MHT71" s="1"/>
      <c r="MHU71" s="1"/>
      <c r="MHV71" s="1"/>
      <c r="MHW71" s="1"/>
      <c r="MHX71" s="1"/>
      <c r="MHY71" s="1"/>
      <c r="MHZ71" s="1"/>
      <c r="MIA71" s="1"/>
      <c r="MIB71" s="1"/>
      <c r="MIC71" s="1"/>
      <c r="MID71" s="1"/>
      <c r="MIE71" s="1"/>
      <c r="MIF71" s="1"/>
      <c r="MIG71" s="1"/>
      <c r="MIH71" s="1"/>
      <c r="MII71" s="1"/>
      <c r="MIJ71" s="1"/>
      <c r="MIK71" s="1"/>
      <c r="MIL71" s="1"/>
      <c r="MIM71" s="1"/>
      <c r="MIN71" s="1"/>
      <c r="MIO71" s="1"/>
      <c r="MIP71" s="1"/>
      <c r="MIQ71" s="1"/>
      <c r="MIR71" s="1"/>
      <c r="MIS71" s="1"/>
      <c r="MIT71" s="1"/>
      <c r="MIU71" s="1"/>
      <c r="MIV71" s="1"/>
      <c r="MIW71" s="1"/>
      <c r="MIX71" s="1"/>
      <c r="MIY71" s="1"/>
      <c r="MIZ71" s="1"/>
      <c r="MJA71" s="1"/>
      <c r="MJB71" s="1"/>
      <c r="MJC71" s="1"/>
      <c r="MJD71" s="1"/>
      <c r="MJE71" s="1"/>
      <c r="MJF71" s="1"/>
      <c r="MJG71" s="1"/>
      <c r="MJH71" s="1"/>
      <c r="MJI71" s="1"/>
      <c r="MJJ71" s="1"/>
      <c r="MJK71" s="1"/>
      <c r="MJL71" s="1"/>
      <c r="MJM71" s="1"/>
      <c r="MJN71" s="1"/>
      <c r="MJO71" s="1"/>
      <c r="MJP71" s="1"/>
      <c r="MJQ71" s="1"/>
      <c r="MJR71" s="1"/>
      <c r="MJS71" s="1"/>
      <c r="MJT71" s="1"/>
      <c r="MJU71" s="1"/>
      <c r="MJV71" s="1"/>
      <c r="MJW71" s="1"/>
      <c r="MJX71" s="1"/>
      <c r="MJY71" s="1"/>
      <c r="MJZ71" s="1"/>
      <c r="MKA71" s="1"/>
      <c r="MKB71" s="1"/>
      <c r="MKC71" s="1"/>
      <c r="MKD71" s="1"/>
      <c r="MKE71" s="1"/>
      <c r="MKF71" s="1"/>
      <c r="MKG71" s="1"/>
      <c r="MKH71" s="1"/>
      <c r="MKI71" s="1"/>
      <c r="MKJ71" s="1"/>
      <c r="MKK71" s="1"/>
      <c r="MKL71" s="1"/>
      <c r="MKM71" s="1"/>
      <c r="MKN71" s="1"/>
      <c r="MKO71" s="1"/>
      <c r="MKP71" s="1"/>
      <c r="MKQ71" s="1"/>
      <c r="MKR71" s="1"/>
      <c r="MKS71" s="1"/>
      <c r="MKT71" s="1"/>
      <c r="MKU71" s="1"/>
      <c r="MKV71" s="1"/>
      <c r="MKW71" s="1"/>
      <c r="MKX71" s="1"/>
      <c r="MKY71" s="1"/>
      <c r="MKZ71" s="1"/>
      <c r="MLA71" s="1"/>
      <c r="MLB71" s="1"/>
      <c r="MLC71" s="1"/>
      <c r="MLD71" s="1"/>
      <c r="MLE71" s="1"/>
      <c r="MLF71" s="1"/>
      <c r="MLG71" s="1"/>
      <c r="MLH71" s="1"/>
      <c r="MLI71" s="1"/>
      <c r="MLJ71" s="1"/>
      <c r="MLK71" s="1"/>
      <c r="MLL71" s="1"/>
      <c r="MLM71" s="1"/>
      <c r="MLN71" s="1"/>
      <c r="MLO71" s="1"/>
      <c r="MLP71" s="1"/>
      <c r="MLQ71" s="1"/>
      <c r="MLR71" s="1"/>
      <c r="MLS71" s="1"/>
      <c r="MLT71" s="1"/>
      <c r="MLU71" s="1"/>
      <c r="MLV71" s="1"/>
      <c r="MLW71" s="1"/>
      <c r="MLX71" s="1"/>
      <c r="MLY71" s="1"/>
      <c r="MLZ71" s="1"/>
      <c r="MMA71" s="1"/>
      <c r="MMB71" s="1"/>
      <c r="MMC71" s="1"/>
      <c r="MMD71" s="1"/>
      <c r="MME71" s="1"/>
      <c r="MMF71" s="1"/>
      <c r="MMG71" s="1"/>
      <c r="MMH71" s="1"/>
      <c r="MMI71" s="1"/>
      <c r="MMJ71" s="1"/>
      <c r="MMK71" s="1"/>
      <c r="MML71" s="1"/>
      <c r="MMM71" s="1"/>
      <c r="MMN71" s="1"/>
      <c r="MMO71" s="1"/>
      <c r="MMP71" s="1"/>
      <c r="MMQ71" s="1"/>
      <c r="MMR71" s="1"/>
      <c r="MMS71" s="1"/>
      <c r="MMT71" s="1"/>
      <c r="MMU71" s="1"/>
      <c r="MMV71" s="1"/>
      <c r="MMW71" s="1"/>
      <c r="MMX71" s="1"/>
      <c r="MMY71" s="1"/>
      <c r="MMZ71" s="1"/>
      <c r="MNA71" s="1"/>
      <c r="MNB71" s="1"/>
      <c r="MNC71" s="1"/>
      <c r="MND71" s="1"/>
      <c r="MNE71" s="1"/>
      <c r="MNF71" s="1"/>
      <c r="MNG71" s="1"/>
      <c r="MNH71" s="1"/>
      <c r="MNI71" s="1"/>
      <c r="MNJ71" s="1"/>
      <c r="MNK71" s="1"/>
      <c r="MNL71" s="1"/>
      <c r="MNM71" s="1"/>
      <c r="MNN71" s="1"/>
      <c r="MNO71" s="1"/>
      <c r="MNP71" s="1"/>
      <c r="MNQ71" s="1"/>
      <c r="MNR71" s="1"/>
      <c r="MNS71" s="1"/>
      <c r="MNT71" s="1"/>
      <c r="MNU71" s="1"/>
      <c r="MNV71" s="1"/>
      <c r="MNW71" s="1"/>
      <c r="MNX71" s="1"/>
      <c r="MNY71" s="1"/>
      <c r="MNZ71" s="1"/>
      <c r="MOA71" s="1"/>
      <c r="MOB71" s="1"/>
      <c r="MOC71" s="1"/>
      <c r="MOD71" s="1"/>
      <c r="MOE71" s="1"/>
      <c r="MOF71" s="1"/>
      <c r="MOG71" s="1"/>
      <c r="MOH71" s="1"/>
      <c r="MOI71" s="1"/>
      <c r="MOJ71" s="1"/>
      <c r="MOK71" s="1"/>
      <c r="MOL71" s="1"/>
      <c r="MOM71" s="1"/>
      <c r="MON71" s="1"/>
      <c r="MOO71" s="1"/>
      <c r="MOP71" s="1"/>
      <c r="MOQ71" s="1"/>
      <c r="MOR71" s="1"/>
      <c r="MOS71" s="1"/>
      <c r="MOT71" s="1"/>
      <c r="MOU71" s="1"/>
      <c r="MOV71" s="1"/>
      <c r="MOW71" s="1"/>
      <c r="MOX71" s="1"/>
      <c r="MOY71" s="1"/>
      <c r="MOZ71" s="1"/>
      <c r="MPA71" s="1"/>
      <c r="MPB71" s="1"/>
      <c r="MPC71" s="1"/>
      <c r="MPD71" s="1"/>
      <c r="MPE71" s="1"/>
      <c r="MPF71" s="1"/>
      <c r="MPG71" s="1"/>
      <c r="MPH71" s="1"/>
      <c r="MPI71" s="1"/>
      <c r="MPJ71" s="1"/>
      <c r="MPK71" s="1"/>
      <c r="MPL71" s="1"/>
      <c r="MPM71" s="1"/>
      <c r="MPN71" s="1"/>
      <c r="MPO71" s="1"/>
      <c r="MPP71" s="1"/>
      <c r="MPQ71" s="1"/>
      <c r="MPR71" s="1"/>
      <c r="MPS71" s="1"/>
      <c r="MPT71" s="1"/>
      <c r="MPU71" s="1"/>
      <c r="MPV71" s="1"/>
      <c r="MPW71" s="1"/>
      <c r="MPX71" s="1"/>
      <c r="MPY71" s="1"/>
      <c r="MPZ71" s="1"/>
      <c r="MQA71" s="1"/>
      <c r="MQB71" s="1"/>
      <c r="MQC71" s="1"/>
      <c r="MQD71" s="1"/>
      <c r="MQE71" s="1"/>
      <c r="MQF71" s="1"/>
      <c r="MQG71" s="1"/>
      <c r="MQH71" s="1"/>
      <c r="MQI71" s="1"/>
      <c r="MQJ71" s="1"/>
      <c r="MQK71" s="1"/>
      <c r="MQL71" s="1"/>
      <c r="MQM71" s="1"/>
      <c r="MQN71" s="1"/>
      <c r="MQO71" s="1"/>
      <c r="MQP71" s="1"/>
      <c r="MQQ71" s="1"/>
      <c r="MQR71" s="1"/>
      <c r="MQS71" s="1"/>
      <c r="MQT71" s="1"/>
      <c r="MQU71" s="1"/>
      <c r="MQV71" s="1"/>
      <c r="MQW71" s="1"/>
      <c r="MQX71" s="1"/>
      <c r="MQY71" s="1"/>
      <c r="MQZ71" s="1"/>
      <c r="MRA71" s="1"/>
      <c r="MRB71" s="1"/>
      <c r="MRC71" s="1"/>
      <c r="MRD71" s="1"/>
      <c r="MRE71" s="1"/>
      <c r="MRF71" s="1"/>
      <c r="MRG71" s="1"/>
      <c r="MRH71" s="1"/>
      <c r="MRI71" s="1"/>
      <c r="MRJ71" s="1"/>
      <c r="MRK71" s="1"/>
      <c r="MRL71" s="1"/>
      <c r="MRM71" s="1"/>
      <c r="MRN71" s="1"/>
      <c r="MRO71" s="1"/>
      <c r="MRP71" s="1"/>
      <c r="MRQ71" s="1"/>
      <c r="MRR71" s="1"/>
      <c r="MRS71" s="1"/>
      <c r="MRT71" s="1"/>
      <c r="MRU71" s="1"/>
      <c r="MRV71" s="1"/>
      <c r="MRW71" s="1"/>
      <c r="MRX71" s="1"/>
      <c r="MRY71" s="1"/>
      <c r="MRZ71" s="1"/>
      <c r="MSA71" s="1"/>
      <c r="MSB71" s="1"/>
      <c r="MSC71" s="1"/>
      <c r="MSD71" s="1"/>
      <c r="MSE71" s="1"/>
      <c r="MSF71" s="1"/>
      <c r="MSG71" s="1"/>
      <c r="MSH71" s="1"/>
      <c r="MSI71" s="1"/>
      <c r="MSJ71" s="1"/>
      <c r="MSK71" s="1"/>
      <c r="MSL71" s="1"/>
      <c r="MSM71" s="1"/>
      <c r="MSN71" s="1"/>
      <c r="MSO71" s="1"/>
      <c r="MSP71" s="1"/>
      <c r="MSQ71" s="1"/>
      <c r="MSR71" s="1"/>
      <c r="MSS71" s="1"/>
      <c r="MST71" s="1"/>
      <c r="MSU71" s="1"/>
      <c r="MSV71" s="1"/>
      <c r="MSW71" s="1"/>
      <c r="MSX71" s="1"/>
      <c r="MSY71" s="1"/>
      <c r="MSZ71" s="1"/>
      <c r="MTA71" s="1"/>
      <c r="MTB71" s="1"/>
      <c r="MTC71" s="1"/>
      <c r="MTD71" s="1"/>
      <c r="MTE71" s="1"/>
      <c r="MTF71" s="1"/>
      <c r="MTG71" s="1"/>
      <c r="MTH71" s="1"/>
      <c r="MTI71" s="1"/>
      <c r="MTJ71" s="1"/>
      <c r="MTK71" s="1"/>
      <c r="MTL71" s="1"/>
      <c r="MTM71" s="1"/>
      <c r="MTN71" s="1"/>
      <c r="MTO71" s="1"/>
      <c r="MTP71" s="1"/>
      <c r="MTQ71" s="1"/>
      <c r="MTR71" s="1"/>
      <c r="MTS71" s="1"/>
      <c r="MTT71" s="1"/>
      <c r="MTU71" s="1"/>
      <c r="MTV71" s="1"/>
      <c r="MTW71" s="1"/>
      <c r="MTX71" s="1"/>
      <c r="MTY71" s="1"/>
      <c r="MTZ71" s="1"/>
      <c r="MUA71" s="1"/>
      <c r="MUB71" s="1"/>
      <c r="MUC71" s="1"/>
      <c r="MUD71" s="1"/>
      <c r="MUE71" s="1"/>
      <c r="MUF71" s="1"/>
      <c r="MUG71" s="1"/>
      <c r="MUH71" s="1"/>
      <c r="MUI71" s="1"/>
      <c r="MUJ71" s="1"/>
      <c r="MUK71" s="1"/>
      <c r="MUL71" s="1"/>
      <c r="MUM71" s="1"/>
      <c r="MUN71" s="1"/>
      <c r="MUO71" s="1"/>
      <c r="MUP71" s="1"/>
      <c r="MUQ71" s="1"/>
      <c r="MUR71" s="1"/>
      <c r="MUS71" s="1"/>
      <c r="MUT71" s="1"/>
      <c r="MUU71" s="1"/>
      <c r="MUV71" s="1"/>
      <c r="MUW71" s="1"/>
      <c r="MUX71" s="1"/>
      <c r="MUY71" s="1"/>
      <c r="MUZ71" s="1"/>
      <c r="MVA71" s="1"/>
      <c r="MVB71" s="1"/>
      <c r="MVC71" s="1"/>
      <c r="MVD71" s="1"/>
      <c r="MVE71" s="1"/>
      <c r="MVF71" s="1"/>
      <c r="MVG71" s="1"/>
      <c r="MVH71" s="1"/>
      <c r="MVI71" s="1"/>
      <c r="MVJ71" s="1"/>
      <c r="MVK71" s="1"/>
      <c r="MVL71" s="1"/>
      <c r="MVM71" s="1"/>
      <c r="MVN71" s="1"/>
      <c r="MVO71" s="1"/>
      <c r="MVP71" s="1"/>
      <c r="MVQ71" s="1"/>
      <c r="MVR71" s="1"/>
      <c r="MVS71" s="1"/>
      <c r="MVT71" s="1"/>
      <c r="MVU71" s="1"/>
      <c r="MVV71" s="1"/>
      <c r="MVW71" s="1"/>
      <c r="MVX71" s="1"/>
      <c r="MVY71" s="1"/>
      <c r="MVZ71" s="1"/>
      <c r="MWA71" s="1"/>
      <c r="MWB71" s="1"/>
      <c r="MWC71" s="1"/>
      <c r="MWD71" s="1"/>
      <c r="MWE71" s="1"/>
      <c r="MWF71" s="1"/>
      <c r="MWG71" s="1"/>
      <c r="MWH71" s="1"/>
      <c r="MWI71" s="1"/>
      <c r="MWJ71" s="1"/>
      <c r="MWK71" s="1"/>
      <c r="MWL71" s="1"/>
      <c r="MWM71" s="1"/>
      <c r="MWN71" s="1"/>
      <c r="MWO71" s="1"/>
      <c r="MWP71" s="1"/>
      <c r="MWQ71" s="1"/>
      <c r="MWR71" s="1"/>
      <c r="MWS71" s="1"/>
      <c r="MWT71" s="1"/>
      <c r="MWU71" s="1"/>
      <c r="MWV71" s="1"/>
      <c r="MWW71" s="1"/>
      <c r="MWX71" s="1"/>
      <c r="MWY71" s="1"/>
      <c r="MWZ71" s="1"/>
      <c r="MXA71" s="1"/>
      <c r="MXB71" s="1"/>
      <c r="MXC71" s="1"/>
      <c r="MXD71" s="1"/>
      <c r="MXE71" s="1"/>
      <c r="MXF71" s="1"/>
      <c r="MXG71" s="1"/>
      <c r="MXH71" s="1"/>
      <c r="MXI71" s="1"/>
      <c r="MXJ71" s="1"/>
      <c r="MXK71" s="1"/>
      <c r="MXL71" s="1"/>
      <c r="MXM71" s="1"/>
      <c r="MXN71" s="1"/>
      <c r="MXO71" s="1"/>
      <c r="MXP71" s="1"/>
      <c r="MXQ71" s="1"/>
      <c r="MXR71" s="1"/>
      <c r="MXS71" s="1"/>
      <c r="MXT71" s="1"/>
      <c r="MXU71" s="1"/>
      <c r="MXV71" s="1"/>
      <c r="MXW71" s="1"/>
      <c r="MXX71" s="1"/>
      <c r="MXY71" s="1"/>
      <c r="MXZ71" s="1"/>
      <c r="MYA71" s="1"/>
      <c r="MYB71" s="1"/>
      <c r="MYC71" s="1"/>
      <c r="MYD71" s="1"/>
      <c r="MYE71" s="1"/>
      <c r="MYF71" s="1"/>
      <c r="MYG71" s="1"/>
      <c r="MYH71" s="1"/>
      <c r="MYI71" s="1"/>
      <c r="MYJ71" s="1"/>
      <c r="MYK71" s="1"/>
      <c r="MYL71" s="1"/>
      <c r="MYM71" s="1"/>
      <c r="MYN71" s="1"/>
      <c r="MYO71" s="1"/>
      <c r="MYP71" s="1"/>
      <c r="MYQ71" s="1"/>
      <c r="MYR71" s="1"/>
      <c r="MYS71" s="1"/>
      <c r="MYT71" s="1"/>
      <c r="MYU71" s="1"/>
      <c r="MYV71" s="1"/>
      <c r="MYW71" s="1"/>
      <c r="MYX71" s="1"/>
      <c r="MYY71" s="1"/>
      <c r="MYZ71" s="1"/>
      <c r="MZA71" s="1"/>
      <c r="MZB71" s="1"/>
      <c r="MZC71" s="1"/>
      <c r="MZD71" s="1"/>
      <c r="MZE71" s="1"/>
      <c r="MZF71" s="1"/>
      <c r="MZG71" s="1"/>
      <c r="MZH71" s="1"/>
      <c r="MZI71" s="1"/>
      <c r="MZJ71" s="1"/>
      <c r="MZK71" s="1"/>
      <c r="MZL71" s="1"/>
      <c r="MZM71" s="1"/>
      <c r="MZN71" s="1"/>
      <c r="MZO71" s="1"/>
      <c r="MZP71" s="1"/>
      <c r="MZQ71" s="1"/>
      <c r="MZR71" s="1"/>
      <c r="MZS71" s="1"/>
      <c r="MZT71" s="1"/>
      <c r="MZU71" s="1"/>
      <c r="MZV71" s="1"/>
      <c r="MZW71" s="1"/>
      <c r="MZX71" s="1"/>
      <c r="MZY71" s="1"/>
      <c r="MZZ71" s="1"/>
      <c r="NAA71" s="1"/>
      <c r="NAB71" s="1"/>
      <c r="NAC71" s="1"/>
      <c r="NAD71" s="1"/>
      <c r="NAE71" s="1"/>
      <c r="NAF71" s="1"/>
      <c r="NAG71" s="1"/>
      <c r="NAH71" s="1"/>
      <c r="NAI71" s="1"/>
      <c r="NAJ71" s="1"/>
      <c r="NAK71" s="1"/>
      <c r="NAL71" s="1"/>
      <c r="NAM71" s="1"/>
      <c r="NAN71" s="1"/>
      <c r="NAO71" s="1"/>
      <c r="NAP71" s="1"/>
      <c r="NAQ71" s="1"/>
      <c r="NAR71" s="1"/>
      <c r="NAS71" s="1"/>
      <c r="NAT71" s="1"/>
      <c r="NAU71" s="1"/>
      <c r="NAV71" s="1"/>
      <c r="NAW71" s="1"/>
      <c r="NAX71" s="1"/>
      <c r="NAY71" s="1"/>
      <c r="NAZ71" s="1"/>
      <c r="NBA71" s="1"/>
      <c r="NBB71" s="1"/>
      <c r="NBC71" s="1"/>
      <c r="NBD71" s="1"/>
      <c r="NBE71" s="1"/>
      <c r="NBF71" s="1"/>
      <c r="NBG71" s="1"/>
      <c r="NBH71" s="1"/>
      <c r="NBI71" s="1"/>
      <c r="NBJ71" s="1"/>
      <c r="NBK71" s="1"/>
      <c r="NBL71" s="1"/>
      <c r="NBM71" s="1"/>
      <c r="NBN71" s="1"/>
      <c r="NBO71" s="1"/>
      <c r="NBP71" s="1"/>
      <c r="NBQ71" s="1"/>
      <c r="NBR71" s="1"/>
      <c r="NBS71" s="1"/>
      <c r="NBT71" s="1"/>
      <c r="NBU71" s="1"/>
      <c r="NBV71" s="1"/>
      <c r="NBW71" s="1"/>
      <c r="NBX71" s="1"/>
      <c r="NBY71" s="1"/>
      <c r="NBZ71" s="1"/>
      <c r="NCA71" s="1"/>
      <c r="NCB71" s="1"/>
      <c r="NCC71" s="1"/>
      <c r="NCD71" s="1"/>
      <c r="NCE71" s="1"/>
      <c r="NCF71" s="1"/>
      <c r="NCG71" s="1"/>
      <c r="NCH71" s="1"/>
      <c r="NCI71" s="1"/>
      <c r="NCJ71" s="1"/>
      <c r="NCK71" s="1"/>
      <c r="NCL71" s="1"/>
      <c r="NCM71" s="1"/>
      <c r="NCN71" s="1"/>
      <c r="NCO71" s="1"/>
      <c r="NCP71" s="1"/>
      <c r="NCQ71" s="1"/>
      <c r="NCR71" s="1"/>
      <c r="NCS71" s="1"/>
      <c r="NCT71" s="1"/>
      <c r="NCU71" s="1"/>
      <c r="NCV71" s="1"/>
      <c r="NCW71" s="1"/>
      <c r="NCX71" s="1"/>
      <c r="NCY71" s="1"/>
      <c r="NCZ71" s="1"/>
      <c r="NDA71" s="1"/>
      <c r="NDB71" s="1"/>
      <c r="NDC71" s="1"/>
      <c r="NDD71" s="1"/>
      <c r="NDE71" s="1"/>
      <c r="NDF71" s="1"/>
      <c r="NDG71" s="1"/>
      <c r="NDH71" s="1"/>
      <c r="NDI71" s="1"/>
      <c r="NDJ71" s="1"/>
      <c r="NDK71" s="1"/>
      <c r="NDL71" s="1"/>
      <c r="NDM71" s="1"/>
      <c r="NDN71" s="1"/>
      <c r="NDO71" s="1"/>
      <c r="NDP71" s="1"/>
      <c r="NDQ71" s="1"/>
      <c r="NDR71" s="1"/>
      <c r="NDS71" s="1"/>
      <c r="NDT71" s="1"/>
      <c r="NDU71" s="1"/>
      <c r="NDV71" s="1"/>
      <c r="NDW71" s="1"/>
      <c r="NDX71" s="1"/>
      <c r="NDY71" s="1"/>
      <c r="NDZ71" s="1"/>
      <c r="NEA71" s="1"/>
      <c r="NEB71" s="1"/>
      <c r="NEC71" s="1"/>
      <c r="NED71" s="1"/>
      <c r="NEE71" s="1"/>
      <c r="NEF71" s="1"/>
      <c r="NEG71" s="1"/>
      <c r="NEH71" s="1"/>
      <c r="NEI71" s="1"/>
      <c r="NEJ71" s="1"/>
      <c r="NEK71" s="1"/>
      <c r="NEL71" s="1"/>
      <c r="NEM71" s="1"/>
      <c r="NEN71" s="1"/>
      <c r="NEO71" s="1"/>
      <c r="NEP71" s="1"/>
      <c r="NEQ71" s="1"/>
      <c r="NER71" s="1"/>
      <c r="NES71" s="1"/>
      <c r="NET71" s="1"/>
      <c r="NEU71" s="1"/>
      <c r="NEV71" s="1"/>
      <c r="NEW71" s="1"/>
      <c r="NEX71" s="1"/>
      <c r="NEY71" s="1"/>
      <c r="NEZ71" s="1"/>
      <c r="NFA71" s="1"/>
      <c r="NFB71" s="1"/>
      <c r="NFC71" s="1"/>
      <c r="NFD71" s="1"/>
      <c r="NFE71" s="1"/>
      <c r="NFF71" s="1"/>
      <c r="NFG71" s="1"/>
      <c r="NFH71" s="1"/>
      <c r="NFI71" s="1"/>
      <c r="NFJ71" s="1"/>
      <c r="NFK71" s="1"/>
      <c r="NFL71" s="1"/>
      <c r="NFM71" s="1"/>
      <c r="NFN71" s="1"/>
      <c r="NFO71" s="1"/>
      <c r="NFP71" s="1"/>
      <c r="NFQ71" s="1"/>
      <c r="NFR71" s="1"/>
      <c r="NFS71" s="1"/>
      <c r="NFT71" s="1"/>
      <c r="NFU71" s="1"/>
      <c r="NFV71" s="1"/>
      <c r="NFW71" s="1"/>
      <c r="NFX71" s="1"/>
      <c r="NFY71" s="1"/>
      <c r="NFZ71" s="1"/>
      <c r="NGA71" s="1"/>
      <c r="NGB71" s="1"/>
      <c r="NGC71" s="1"/>
      <c r="NGD71" s="1"/>
      <c r="NGE71" s="1"/>
      <c r="NGF71" s="1"/>
      <c r="NGG71" s="1"/>
      <c r="NGH71" s="1"/>
      <c r="NGI71" s="1"/>
      <c r="NGJ71" s="1"/>
      <c r="NGK71" s="1"/>
      <c r="NGL71" s="1"/>
      <c r="NGM71" s="1"/>
      <c r="NGN71" s="1"/>
      <c r="NGO71" s="1"/>
      <c r="NGP71" s="1"/>
      <c r="NGQ71" s="1"/>
      <c r="NGR71" s="1"/>
      <c r="NGS71" s="1"/>
      <c r="NGT71" s="1"/>
      <c r="NGU71" s="1"/>
      <c r="NGV71" s="1"/>
      <c r="NGW71" s="1"/>
      <c r="NGX71" s="1"/>
      <c r="NGY71" s="1"/>
      <c r="NGZ71" s="1"/>
      <c r="NHA71" s="1"/>
      <c r="NHB71" s="1"/>
      <c r="NHC71" s="1"/>
      <c r="NHD71" s="1"/>
      <c r="NHE71" s="1"/>
      <c r="NHF71" s="1"/>
      <c r="NHG71" s="1"/>
      <c r="NHH71" s="1"/>
      <c r="NHI71" s="1"/>
      <c r="NHJ71" s="1"/>
      <c r="NHK71" s="1"/>
      <c r="NHL71" s="1"/>
      <c r="NHM71" s="1"/>
      <c r="NHN71" s="1"/>
      <c r="NHO71" s="1"/>
      <c r="NHP71" s="1"/>
      <c r="NHQ71" s="1"/>
      <c r="NHR71" s="1"/>
      <c r="NHS71" s="1"/>
      <c r="NHT71" s="1"/>
      <c r="NHU71" s="1"/>
      <c r="NHV71" s="1"/>
      <c r="NHW71" s="1"/>
      <c r="NHX71" s="1"/>
      <c r="NHY71" s="1"/>
      <c r="NHZ71" s="1"/>
      <c r="NIA71" s="1"/>
      <c r="NIB71" s="1"/>
      <c r="NIC71" s="1"/>
      <c r="NID71" s="1"/>
      <c r="NIE71" s="1"/>
      <c r="NIF71" s="1"/>
      <c r="NIG71" s="1"/>
      <c r="NIH71" s="1"/>
      <c r="NII71" s="1"/>
      <c r="NIJ71" s="1"/>
      <c r="NIK71" s="1"/>
      <c r="NIL71" s="1"/>
      <c r="NIM71" s="1"/>
      <c r="NIN71" s="1"/>
      <c r="NIO71" s="1"/>
      <c r="NIP71" s="1"/>
      <c r="NIQ71" s="1"/>
      <c r="NIR71" s="1"/>
      <c r="NIS71" s="1"/>
      <c r="NIT71" s="1"/>
      <c r="NIU71" s="1"/>
      <c r="NIV71" s="1"/>
      <c r="NIW71" s="1"/>
      <c r="NIX71" s="1"/>
      <c r="NIY71" s="1"/>
      <c r="NIZ71" s="1"/>
      <c r="NJA71" s="1"/>
      <c r="NJB71" s="1"/>
      <c r="NJC71" s="1"/>
      <c r="NJD71" s="1"/>
      <c r="NJE71" s="1"/>
      <c r="NJF71" s="1"/>
      <c r="NJG71" s="1"/>
      <c r="NJH71" s="1"/>
      <c r="NJI71" s="1"/>
      <c r="NJJ71" s="1"/>
      <c r="NJK71" s="1"/>
      <c r="NJL71" s="1"/>
      <c r="NJM71" s="1"/>
      <c r="NJN71" s="1"/>
      <c r="NJO71" s="1"/>
      <c r="NJP71" s="1"/>
      <c r="NJQ71" s="1"/>
      <c r="NJR71" s="1"/>
      <c r="NJS71" s="1"/>
      <c r="NJT71" s="1"/>
      <c r="NJU71" s="1"/>
      <c r="NJV71" s="1"/>
      <c r="NJW71" s="1"/>
      <c r="NJX71" s="1"/>
      <c r="NJY71" s="1"/>
      <c r="NJZ71" s="1"/>
      <c r="NKA71" s="1"/>
      <c r="NKB71" s="1"/>
      <c r="NKC71" s="1"/>
      <c r="NKD71" s="1"/>
      <c r="NKE71" s="1"/>
      <c r="NKF71" s="1"/>
      <c r="NKG71" s="1"/>
      <c r="NKH71" s="1"/>
      <c r="NKI71" s="1"/>
      <c r="NKJ71" s="1"/>
      <c r="NKK71" s="1"/>
      <c r="NKL71" s="1"/>
      <c r="NKM71" s="1"/>
      <c r="NKN71" s="1"/>
      <c r="NKO71" s="1"/>
      <c r="NKP71" s="1"/>
      <c r="NKQ71" s="1"/>
      <c r="NKR71" s="1"/>
      <c r="NKS71" s="1"/>
      <c r="NKT71" s="1"/>
      <c r="NKU71" s="1"/>
      <c r="NKV71" s="1"/>
      <c r="NKW71" s="1"/>
      <c r="NKX71" s="1"/>
      <c r="NKY71" s="1"/>
      <c r="NKZ71" s="1"/>
      <c r="NLA71" s="1"/>
      <c r="NLB71" s="1"/>
      <c r="NLC71" s="1"/>
      <c r="NLD71" s="1"/>
      <c r="NLE71" s="1"/>
      <c r="NLF71" s="1"/>
      <c r="NLG71" s="1"/>
      <c r="NLH71" s="1"/>
      <c r="NLI71" s="1"/>
      <c r="NLJ71" s="1"/>
      <c r="NLK71" s="1"/>
      <c r="NLL71" s="1"/>
      <c r="NLM71" s="1"/>
      <c r="NLN71" s="1"/>
      <c r="NLO71" s="1"/>
      <c r="NLP71" s="1"/>
      <c r="NLQ71" s="1"/>
      <c r="NLR71" s="1"/>
      <c r="NLS71" s="1"/>
      <c r="NLT71" s="1"/>
      <c r="NLU71" s="1"/>
      <c r="NLV71" s="1"/>
      <c r="NLW71" s="1"/>
      <c r="NLX71" s="1"/>
      <c r="NLY71" s="1"/>
      <c r="NLZ71" s="1"/>
      <c r="NMA71" s="1"/>
      <c r="NMB71" s="1"/>
      <c r="NMC71" s="1"/>
      <c r="NMD71" s="1"/>
      <c r="NME71" s="1"/>
      <c r="NMF71" s="1"/>
      <c r="NMG71" s="1"/>
      <c r="NMH71" s="1"/>
      <c r="NMI71" s="1"/>
      <c r="NMJ71" s="1"/>
      <c r="NMK71" s="1"/>
      <c r="NML71" s="1"/>
      <c r="NMM71" s="1"/>
      <c r="NMN71" s="1"/>
      <c r="NMO71" s="1"/>
      <c r="NMP71" s="1"/>
      <c r="NMQ71" s="1"/>
      <c r="NMR71" s="1"/>
      <c r="NMS71" s="1"/>
      <c r="NMT71" s="1"/>
      <c r="NMU71" s="1"/>
      <c r="NMV71" s="1"/>
      <c r="NMW71" s="1"/>
      <c r="NMX71" s="1"/>
      <c r="NMY71" s="1"/>
      <c r="NMZ71" s="1"/>
      <c r="NNA71" s="1"/>
      <c r="NNB71" s="1"/>
      <c r="NNC71" s="1"/>
      <c r="NND71" s="1"/>
      <c r="NNE71" s="1"/>
      <c r="NNF71" s="1"/>
      <c r="NNG71" s="1"/>
      <c r="NNH71" s="1"/>
      <c r="NNI71" s="1"/>
      <c r="NNJ71" s="1"/>
      <c r="NNK71" s="1"/>
      <c r="NNL71" s="1"/>
      <c r="NNM71" s="1"/>
      <c r="NNN71" s="1"/>
      <c r="NNO71" s="1"/>
      <c r="NNP71" s="1"/>
      <c r="NNQ71" s="1"/>
      <c r="NNR71" s="1"/>
      <c r="NNS71" s="1"/>
      <c r="NNT71" s="1"/>
      <c r="NNU71" s="1"/>
      <c r="NNV71" s="1"/>
      <c r="NNW71" s="1"/>
      <c r="NNX71" s="1"/>
      <c r="NNY71" s="1"/>
      <c r="NNZ71" s="1"/>
      <c r="NOA71" s="1"/>
      <c r="NOB71" s="1"/>
      <c r="NOC71" s="1"/>
      <c r="NOD71" s="1"/>
      <c r="NOE71" s="1"/>
      <c r="NOF71" s="1"/>
      <c r="NOG71" s="1"/>
      <c r="NOH71" s="1"/>
      <c r="NOI71" s="1"/>
      <c r="NOJ71" s="1"/>
      <c r="NOK71" s="1"/>
      <c r="NOL71" s="1"/>
      <c r="NOM71" s="1"/>
      <c r="NON71" s="1"/>
      <c r="NOO71" s="1"/>
      <c r="NOP71" s="1"/>
      <c r="NOQ71" s="1"/>
      <c r="NOR71" s="1"/>
      <c r="NOS71" s="1"/>
      <c r="NOT71" s="1"/>
      <c r="NOU71" s="1"/>
      <c r="NOV71" s="1"/>
      <c r="NOW71" s="1"/>
      <c r="NOX71" s="1"/>
      <c r="NOY71" s="1"/>
      <c r="NOZ71" s="1"/>
      <c r="NPA71" s="1"/>
      <c r="NPB71" s="1"/>
      <c r="NPC71" s="1"/>
      <c r="NPD71" s="1"/>
      <c r="NPE71" s="1"/>
      <c r="NPF71" s="1"/>
      <c r="NPG71" s="1"/>
      <c r="NPH71" s="1"/>
      <c r="NPI71" s="1"/>
      <c r="NPJ71" s="1"/>
      <c r="NPK71" s="1"/>
      <c r="NPL71" s="1"/>
      <c r="NPM71" s="1"/>
      <c r="NPN71" s="1"/>
      <c r="NPO71" s="1"/>
      <c r="NPP71" s="1"/>
      <c r="NPQ71" s="1"/>
      <c r="NPR71" s="1"/>
      <c r="NPS71" s="1"/>
      <c r="NPT71" s="1"/>
      <c r="NPU71" s="1"/>
      <c r="NPV71" s="1"/>
      <c r="NPW71" s="1"/>
      <c r="NPX71" s="1"/>
      <c r="NPY71" s="1"/>
      <c r="NPZ71" s="1"/>
      <c r="NQA71" s="1"/>
      <c r="NQB71" s="1"/>
      <c r="NQC71" s="1"/>
      <c r="NQD71" s="1"/>
      <c r="NQE71" s="1"/>
      <c r="NQF71" s="1"/>
      <c r="NQG71" s="1"/>
      <c r="NQH71" s="1"/>
      <c r="NQI71" s="1"/>
      <c r="NQJ71" s="1"/>
      <c r="NQK71" s="1"/>
      <c r="NQL71" s="1"/>
      <c r="NQM71" s="1"/>
      <c r="NQN71" s="1"/>
      <c r="NQO71" s="1"/>
      <c r="NQP71" s="1"/>
      <c r="NQQ71" s="1"/>
      <c r="NQR71" s="1"/>
      <c r="NQS71" s="1"/>
      <c r="NQT71" s="1"/>
      <c r="NQU71" s="1"/>
      <c r="NQV71" s="1"/>
      <c r="NQW71" s="1"/>
      <c r="NQX71" s="1"/>
      <c r="NQY71" s="1"/>
      <c r="NQZ71" s="1"/>
      <c r="NRA71" s="1"/>
      <c r="NRB71" s="1"/>
      <c r="NRC71" s="1"/>
      <c r="NRD71" s="1"/>
      <c r="NRE71" s="1"/>
      <c r="NRF71" s="1"/>
      <c r="NRG71" s="1"/>
      <c r="NRH71" s="1"/>
      <c r="NRI71" s="1"/>
      <c r="NRJ71" s="1"/>
      <c r="NRK71" s="1"/>
      <c r="NRL71" s="1"/>
      <c r="NRM71" s="1"/>
      <c r="NRN71" s="1"/>
      <c r="NRO71" s="1"/>
      <c r="NRP71" s="1"/>
      <c r="NRQ71" s="1"/>
      <c r="NRR71" s="1"/>
      <c r="NRS71" s="1"/>
      <c r="NRT71" s="1"/>
      <c r="NRU71" s="1"/>
      <c r="NRV71" s="1"/>
      <c r="NRW71" s="1"/>
      <c r="NRX71" s="1"/>
      <c r="NRY71" s="1"/>
      <c r="NRZ71" s="1"/>
      <c r="NSA71" s="1"/>
      <c r="NSB71" s="1"/>
      <c r="NSC71" s="1"/>
      <c r="NSD71" s="1"/>
      <c r="NSE71" s="1"/>
      <c r="NSF71" s="1"/>
      <c r="NSG71" s="1"/>
      <c r="NSH71" s="1"/>
      <c r="NSI71" s="1"/>
      <c r="NSJ71" s="1"/>
      <c r="NSK71" s="1"/>
      <c r="NSL71" s="1"/>
      <c r="NSM71" s="1"/>
      <c r="NSN71" s="1"/>
      <c r="NSO71" s="1"/>
      <c r="NSP71" s="1"/>
      <c r="NSQ71" s="1"/>
      <c r="NSR71" s="1"/>
      <c r="NSS71" s="1"/>
      <c r="NST71" s="1"/>
      <c r="NSU71" s="1"/>
      <c r="NSV71" s="1"/>
      <c r="NSW71" s="1"/>
      <c r="NSX71" s="1"/>
      <c r="NSY71" s="1"/>
      <c r="NSZ71" s="1"/>
      <c r="NTA71" s="1"/>
      <c r="NTB71" s="1"/>
      <c r="NTC71" s="1"/>
      <c r="NTD71" s="1"/>
      <c r="NTE71" s="1"/>
      <c r="NTF71" s="1"/>
      <c r="NTG71" s="1"/>
      <c r="NTH71" s="1"/>
      <c r="NTI71" s="1"/>
      <c r="NTJ71" s="1"/>
      <c r="NTK71" s="1"/>
      <c r="NTL71" s="1"/>
      <c r="NTM71" s="1"/>
      <c r="NTN71" s="1"/>
      <c r="NTO71" s="1"/>
      <c r="NTP71" s="1"/>
      <c r="NTQ71" s="1"/>
      <c r="NTR71" s="1"/>
      <c r="NTS71" s="1"/>
      <c r="NTT71" s="1"/>
      <c r="NTU71" s="1"/>
      <c r="NTV71" s="1"/>
      <c r="NTW71" s="1"/>
      <c r="NTX71" s="1"/>
      <c r="NTY71" s="1"/>
      <c r="NTZ71" s="1"/>
      <c r="NUA71" s="1"/>
      <c r="NUB71" s="1"/>
      <c r="NUC71" s="1"/>
      <c r="NUD71" s="1"/>
      <c r="NUE71" s="1"/>
      <c r="NUF71" s="1"/>
      <c r="NUG71" s="1"/>
      <c r="NUH71" s="1"/>
      <c r="NUI71" s="1"/>
      <c r="NUJ71" s="1"/>
      <c r="NUK71" s="1"/>
      <c r="NUL71" s="1"/>
      <c r="NUM71" s="1"/>
      <c r="NUN71" s="1"/>
      <c r="NUO71" s="1"/>
      <c r="NUP71" s="1"/>
      <c r="NUQ71" s="1"/>
      <c r="NUR71" s="1"/>
      <c r="NUS71" s="1"/>
      <c r="NUT71" s="1"/>
      <c r="NUU71" s="1"/>
      <c r="NUV71" s="1"/>
      <c r="NUW71" s="1"/>
      <c r="NUX71" s="1"/>
      <c r="NUY71" s="1"/>
      <c r="NUZ71" s="1"/>
      <c r="NVA71" s="1"/>
      <c r="NVB71" s="1"/>
      <c r="NVC71" s="1"/>
      <c r="NVD71" s="1"/>
      <c r="NVE71" s="1"/>
      <c r="NVF71" s="1"/>
      <c r="NVG71" s="1"/>
      <c r="NVH71" s="1"/>
      <c r="NVI71" s="1"/>
      <c r="NVJ71" s="1"/>
      <c r="NVK71" s="1"/>
      <c r="NVL71" s="1"/>
      <c r="NVM71" s="1"/>
      <c r="NVN71" s="1"/>
      <c r="NVO71" s="1"/>
      <c r="NVP71" s="1"/>
      <c r="NVQ71" s="1"/>
      <c r="NVR71" s="1"/>
      <c r="NVS71" s="1"/>
      <c r="NVT71" s="1"/>
      <c r="NVU71" s="1"/>
      <c r="NVV71" s="1"/>
      <c r="NVW71" s="1"/>
      <c r="NVX71" s="1"/>
      <c r="NVY71" s="1"/>
      <c r="NVZ71" s="1"/>
      <c r="NWA71" s="1"/>
      <c r="NWB71" s="1"/>
      <c r="NWC71" s="1"/>
      <c r="NWD71" s="1"/>
      <c r="NWE71" s="1"/>
      <c r="NWF71" s="1"/>
      <c r="NWG71" s="1"/>
      <c r="NWH71" s="1"/>
      <c r="NWI71" s="1"/>
      <c r="NWJ71" s="1"/>
      <c r="NWK71" s="1"/>
      <c r="NWL71" s="1"/>
      <c r="NWM71" s="1"/>
      <c r="NWN71" s="1"/>
      <c r="NWO71" s="1"/>
      <c r="NWP71" s="1"/>
      <c r="NWQ71" s="1"/>
      <c r="NWR71" s="1"/>
      <c r="NWS71" s="1"/>
      <c r="NWT71" s="1"/>
      <c r="NWU71" s="1"/>
      <c r="NWV71" s="1"/>
      <c r="NWW71" s="1"/>
      <c r="NWX71" s="1"/>
      <c r="NWY71" s="1"/>
      <c r="NWZ71" s="1"/>
      <c r="NXA71" s="1"/>
      <c r="NXB71" s="1"/>
      <c r="NXC71" s="1"/>
      <c r="NXD71" s="1"/>
      <c r="NXE71" s="1"/>
      <c r="NXF71" s="1"/>
      <c r="NXG71" s="1"/>
      <c r="NXH71" s="1"/>
      <c r="NXI71" s="1"/>
      <c r="NXJ71" s="1"/>
      <c r="NXK71" s="1"/>
      <c r="NXL71" s="1"/>
      <c r="NXM71" s="1"/>
      <c r="NXN71" s="1"/>
      <c r="NXO71" s="1"/>
      <c r="NXP71" s="1"/>
      <c r="NXQ71" s="1"/>
      <c r="NXR71" s="1"/>
      <c r="NXS71" s="1"/>
      <c r="NXT71" s="1"/>
      <c r="NXU71" s="1"/>
      <c r="NXV71" s="1"/>
      <c r="NXW71" s="1"/>
      <c r="NXX71" s="1"/>
      <c r="NXY71" s="1"/>
      <c r="NXZ71" s="1"/>
      <c r="NYA71" s="1"/>
      <c r="NYB71" s="1"/>
      <c r="NYC71" s="1"/>
      <c r="NYD71" s="1"/>
      <c r="NYE71" s="1"/>
      <c r="NYF71" s="1"/>
      <c r="NYG71" s="1"/>
      <c r="NYH71" s="1"/>
      <c r="NYI71" s="1"/>
      <c r="NYJ71" s="1"/>
      <c r="NYK71" s="1"/>
      <c r="NYL71" s="1"/>
      <c r="NYM71" s="1"/>
      <c r="NYN71" s="1"/>
      <c r="NYO71" s="1"/>
      <c r="NYP71" s="1"/>
      <c r="NYQ71" s="1"/>
      <c r="NYR71" s="1"/>
      <c r="NYS71" s="1"/>
      <c r="NYT71" s="1"/>
      <c r="NYU71" s="1"/>
      <c r="NYV71" s="1"/>
      <c r="NYW71" s="1"/>
      <c r="NYX71" s="1"/>
      <c r="NYY71" s="1"/>
      <c r="NYZ71" s="1"/>
      <c r="NZA71" s="1"/>
      <c r="NZB71" s="1"/>
      <c r="NZC71" s="1"/>
      <c r="NZD71" s="1"/>
      <c r="NZE71" s="1"/>
      <c r="NZF71" s="1"/>
      <c r="NZG71" s="1"/>
      <c r="NZH71" s="1"/>
      <c r="NZI71" s="1"/>
      <c r="NZJ71" s="1"/>
      <c r="NZK71" s="1"/>
      <c r="NZL71" s="1"/>
      <c r="NZM71" s="1"/>
      <c r="NZN71" s="1"/>
      <c r="NZO71" s="1"/>
      <c r="NZP71" s="1"/>
      <c r="NZQ71" s="1"/>
      <c r="NZR71" s="1"/>
      <c r="NZS71" s="1"/>
      <c r="NZT71" s="1"/>
      <c r="NZU71" s="1"/>
      <c r="NZV71" s="1"/>
      <c r="NZW71" s="1"/>
      <c r="NZX71" s="1"/>
      <c r="NZY71" s="1"/>
      <c r="NZZ71" s="1"/>
      <c r="OAA71" s="1"/>
      <c r="OAB71" s="1"/>
      <c r="OAC71" s="1"/>
      <c r="OAD71" s="1"/>
      <c r="OAE71" s="1"/>
      <c r="OAF71" s="1"/>
      <c r="OAG71" s="1"/>
      <c r="OAH71" s="1"/>
      <c r="OAI71" s="1"/>
      <c r="OAJ71" s="1"/>
      <c r="OAK71" s="1"/>
      <c r="OAL71" s="1"/>
      <c r="OAM71" s="1"/>
      <c r="OAN71" s="1"/>
      <c r="OAO71" s="1"/>
      <c r="OAP71" s="1"/>
      <c r="OAQ71" s="1"/>
      <c r="OAR71" s="1"/>
      <c r="OAS71" s="1"/>
      <c r="OAT71" s="1"/>
      <c r="OAU71" s="1"/>
      <c r="OAV71" s="1"/>
      <c r="OAW71" s="1"/>
      <c r="OAX71" s="1"/>
      <c r="OAY71" s="1"/>
      <c r="OAZ71" s="1"/>
      <c r="OBA71" s="1"/>
      <c r="OBB71" s="1"/>
      <c r="OBC71" s="1"/>
      <c r="OBD71" s="1"/>
      <c r="OBE71" s="1"/>
      <c r="OBF71" s="1"/>
      <c r="OBG71" s="1"/>
      <c r="OBH71" s="1"/>
      <c r="OBI71" s="1"/>
      <c r="OBJ71" s="1"/>
      <c r="OBK71" s="1"/>
      <c r="OBL71" s="1"/>
      <c r="OBM71" s="1"/>
      <c r="OBN71" s="1"/>
      <c r="OBO71" s="1"/>
      <c r="OBP71" s="1"/>
      <c r="OBQ71" s="1"/>
      <c r="OBR71" s="1"/>
      <c r="OBS71" s="1"/>
      <c r="OBT71" s="1"/>
      <c r="OBU71" s="1"/>
      <c r="OBV71" s="1"/>
      <c r="OBW71" s="1"/>
      <c r="OBX71" s="1"/>
      <c r="OBY71" s="1"/>
      <c r="OBZ71" s="1"/>
      <c r="OCA71" s="1"/>
      <c r="OCB71" s="1"/>
      <c r="OCC71" s="1"/>
      <c r="OCD71" s="1"/>
      <c r="OCE71" s="1"/>
      <c r="OCF71" s="1"/>
      <c r="OCG71" s="1"/>
      <c r="OCH71" s="1"/>
      <c r="OCI71" s="1"/>
      <c r="OCJ71" s="1"/>
      <c r="OCK71" s="1"/>
      <c r="OCL71" s="1"/>
      <c r="OCM71" s="1"/>
      <c r="OCN71" s="1"/>
      <c r="OCO71" s="1"/>
      <c r="OCP71" s="1"/>
      <c r="OCQ71" s="1"/>
      <c r="OCR71" s="1"/>
      <c r="OCS71" s="1"/>
      <c r="OCT71" s="1"/>
      <c r="OCU71" s="1"/>
      <c r="OCV71" s="1"/>
      <c r="OCW71" s="1"/>
      <c r="OCX71" s="1"/>
      <c r="OCY71" s="1"/>
      <c r="OCZ71" s="1"/>
      <c r="ODA71" s="1"/>
      <c r="ODB71" s="1"/>
      <c r="ODC71" s="1"/>
      <c r="ODD71" s="1"/>
      <c r="ODE71" s="1"/>
      <c r="ODF71" s="1"/>
      <c r="ODG71" s="1"/>
      <c r="ODH71" s="1"/>
      <c r="ODI71" s="1"/>
      <c r="ODJ71" s="1"/>
      <c r="ODK71" s="1"/>
      <c r="ODL71" s="1"/>
      <c r="ODM71" s="1"/>
      <c r="ODN71" s="1"/>
      <c r="ODO71" s="1"/>
      <c r="ODP71" s="1"/>
      <c r="ODQ71" s="1"/>
      <c r="ODR71" s="1"/>
      <c r="ODS71" s="1"/>
      <c r="ODT71" s="1"/>
      <c r="ODU71" s="1"/>
      <c r="ODV71" s="1"/>
      <c r="ODW71" s="1"/>
      <c r="ODX71" s="1"/>
      <c r="ODY71" s="1"/>
      <c r="ODZ71" s="1"/>
      <c r="OEA71" s="1"/>
      <c r="OEB71" s="1"/>
      <c r="OEC71" s="1"/>
      <c r="OED71" s="1"/>
      <c r="OEE71" s="1"/>
      <c r="OEF71" s="1"/>
      <c r="OEG71" s="1"/>
      <c r="OEH71" s="1"/>
      <c r="OEI71" s="1"/>
      <c r="OEJ71" s="1"/>
      <c r="OEK71" s="1"/>
      <c r="OEL71" s="1"/>
      <c r="OEM71" s="1"/>
      <c r="OEN71" s="1"/>
      <c r="OEO71" s="1"/>
      <c r="OEP71" s="1"/>
      <c r="OEQ71" s="1"/>
      <c r="OER71" s="1"/>
      <c r="OES71" s="1"/>
      <c r="OET71" s="1"/>
      <c r="OEU71" s="1"/>
      <c r="OEV71" s="1"/>
      <c r="OEW71" s="1"/>
      <c r="OEX71" s="1"/>
      <c r="OEY71" s="1"/>
      <c r="OEZ71" s="1"/>
      <c r="OFA71" s="1"/>
      <c r="OFB71" s="1"/>
      <c r="OFC71" s="1"/>
      <c r="OFD71" s="1"/>
      <c r="OFE71" s="1"/>
      <c r="OFF71" s="1"/>
      <c r="OFG71" s="1"/>
      <c r="OFH71" s="1"/>
      <c r="OFI71" s="1"/>
      <c r="OFJ71" s="1"/>
      <c r="OFK71" s="1"/>
      <c r="OFL71" s="1"/>
      <c r="OFM71" s="1"/>
      <c r="OFN71" s="1"/>
      <c r="OFO71" s="1"/>
      <c r="OFP71" s="1"/>
      <c r="OFQ71" s="1"/>
      <c r="OFR71" s="1"/>
      <c r="OFS71" s="1"/>
      <c r="OFT71" s="1"/>
      <c r="OFU71" s="1"/>
      <c r="OFV71" s="1"/>
      <c r="OFW71" s="1"/>
      <c r="OFX71" s="1"/>
      <c r="OFY71" s="1"/>
      <c r="OFZ71" s="1"/>
      <c r="OGA71" s="1"/>
      <c r="OGB71" s="1"/>
      <c r="OGC71" s="1"/>
      <c r="OGD71" s="1"/>
      <c r="OGE71" s="1"/>
      <c r="OGF71" s="1"/>
      <c r="OGG71" s="1"/>
      <c r="OGH71" s="1"/>
      <c r="OGI71" s="1"/>
      <c r="OGJ71" s="1"/>
      <c r="OGK71" s="1"/>
      <c r="OGL71" s="1"/>
      <c r="OGM71" s="1"/>
      <c r="OGN71" s="1"/>
      <c r="OGO71" s="1"/>
      <c r="OGP71" s="1"/>
      <c r="OGQ71" s="1"/>
      <c r="OGR71" s="1"/>
      <c r="OGS71" s="1"/>
      <c r="OGT71" s="1"/>
      <c r="OGU71" s="1"/>
      <c r="OGV71" s="1"/>
      <c r="OGW71" s="1"/>
      <c r="OGX71" s="1"/>
      <c r="OGY71" s="1"/>
      <c r="OGZ71" s="1"/>
      <c r="OHA71" s="1"/>
      <c r="OHB71" s="1"/>
      <c r="OHC71" s="1"/>
      <c r="OHD71" s="1"/>
      <c r="OHE71" s="1"/>
      <c r="OHF71" s="1"/>
      <c r="OHG71" s="1"/>
      <c r="OHH71" s="1"/>
      <c r="OHI71" s="1"/>
      <c r="OHJ71" s="1"/>
      <c r="OHK71" s="1"/>
      <c r="OHL71" s="1"/>
      <c r="OHM71" s="1"/>
      <c r="OHN71" s="1"/>
      <c r="OHO71" s="1"/>
      <c r="OHP71" s="1"/>
      <c r="OHQ71" s="1"/>
      <c r="OHR71" s="1"/>
      <c r="OHS71" s="1"/>
      <c r="OHT71" s="1"/>
      <c r="OHU71" s="1"/>
      <c r="OHV71" s="1"/>
      <c r="OHW71" s="1"/>
      <c r="OHX71" s="1"/>
      <c r="OHY71" s="1"/>
      <c r="OHZ71" s="1"/>
      <c r="OIA71" s="1"/>
      <c r="OIB71" s="1"/>
      <c r="OIC71" s="1"/>
      <c r="OID71" s="1"/>
      <c r="OIE71" s="1"/>
      <c r="OIF71" s="1"/>
      <c r="OIG71" s="1"/>
      <c r="OIH71" s="1"/>
      <c r="OII71" s="1"/>
      <c r="OIJ71" s="1"/>
      <c r="OIK71" s="1"/>
      <c r="OIL71" s="1"/>
      <c r="OIM71" s="1"/>
      <c r="OIN71" s="1"/>
      <c r="OIO71" s="1"/>
      <c r="OIP71" s="1"/>
      <c r="OIQ71" s="1"/>
      <c r="OIR71" s="1"/>
      <c r="OIS71" s="1"/>
      <c r="OIT71" s="1"/>
      <c r="OIU71" s="1"/>
      <c r="OIV71" s="1"/>
      <c r="OIW71" s="1"/>
      <c r="OIX71" s="1"/>
      <c r="OIY71" s="1"/>
      <c r="OIZ71" s="1"/>
      <c r="OJA71" s="1"/>
      <c r="OJB71" s="1"/>
      <c r="OJC71" s="1"/>
      <c r="OJD71" s="1"/>
      <c r="OJE71" s="1"/>
      <c r="OJF71" s="1"/>
      <c r="OJG71" s="1"/>
      <c r="OJH71" s="1"/>
      <c r="OJI71" s="1"/>
      <c r="OJJ71" s="1"/>
      <c r="OJK71" s="1"/>
      <c r="OJL71" s="1"/>
      <c r="OJM71" s="1"/>
      <c r="OJN71" s="1"/>
      <c r="OJO71" s="1"/>
      <c r="OJP71" s="1"/>
      <c r="OJQ71" s="1"/>
      <c r="OJR71" s="1"/>
      <c r="OJS71" s="1"/>
      <c r="OJT71" s="1"/>
      <c r="OJU71" s="1"/>
      <c r="OJV71" s="1"/>
      <c r="OJW71" s="1"/>
      <c r="OJX71" s="1"/>
      <c r="OJY71" s="1"/>
      <c r="OJZ71" s="1"/>
      <c r="OKA71" s="1"/>
      <c r="OKB71" s="1"/>
      <c r="OKC71" s="1"/>
      <c r="OKD71" s="1"/>
      <c r="OKE71" s="1"/>
      <c r="OKF71" s="1"/>
      <c r="OKG71" s="1"/>
      <c r="OKH71" s="1"/>
      <c r="OKI71" s="1"/>
      <c r="OKJ71" s="1"/>
      <c r="OKK71" s="1"/>
      <c r="OKL71" s="1"/>
      <c r="OKM71" s="1"/>
      <c r="OKN71" s="1"/>
      <c r="OKO71" s="1"/>
      <c r="OKP71" s="1"/>
      <c r="OKQ71" s="1"/>
      <c r="OKR71" s="1"/>
      <c r="OKS71" s="1"/>
      <c r="OKT71" s="1"/>
      <c r="OKU71" s="1"/>
      <c r="OKV71" s="1"/>
      <c r="OKW71" s="1"/>
      <c r="OKX71" s="1"/>
      <c r="OKY71" s="1"/>
      <c r="OKZ71" s="1"/>
      <c r="OLA71" s="1"/>
      <c r="OLB71" s="1"/>
      <c r="OLC71" s="1"/>
      <c r="OLD71" s="1"/>
      <c r="OLE71" s="1"/>
      <c r="OLF71" s="1"/>
      <c r="OLG71" s="1"/>
      <c r="OLH71" s="1"/>
      <c r="OLI71" s="1"/>
      <c r="OLJ71" s="1"/>
      <c r="OLK71" s="1"/>
      <c r="OLL71" s="1"/>
      <c r="OLM71" s="1"/>
      <c r="OLN71" s="1"/>
      <c r="OLO71" s="1"/>
      <c r="OLP71" s="1"/>
      <c r="OLQ71" s="1"/>
      <c r="OLR71" s="1"/>
      <c r="OLS71" s="1"/>
      <c r="OLT71" s="1"/>
      <c r="OLU71" s="1"/>
      <c r="OLV71" s="1"/>
      <c r="OLW71" s="1"/>
      <c r="OLX71" s="1"/>
      <c r="OLY71" s="1"/>
      <c r="OLZ71" s="1"/>
      <c r="OMA71" s="1"/>
      <c r="OMB71" s="1"/>
      <c r="OMC71" s="1"/>
      <c r="OMD71" s="1"/>
      <c r="OME71" s="1"/>
      <c r="OMF71" s="1"/>
      <c r="OMG71" s="1"/>
      <c r="OMH71" s="1"/>
      <c r="OMI71" s="1"/>
      <c r="OMJ71" s="1"/>
      <c r="OMK71" s="1"/>
      <c r="OML71" s="1"/>
      <c r="OMM71" s="1"/>
      <c r="OMN71" s="1"/>
      <c r="OMO71" s="1"/>
      <c r="OMP71" s="1"/>
      <c r="OMQ71" s="1"/>
      <c r="OMR71" s="1"/>
      <c r="OMS71" s="1"/>
      <c r="OMT71" s="1"/>
      <c r="OMU71" s="1"/>
      <c r="OMV71" s="1"/>
      <c r="OMW71" s="1"/>
      <c r="OMX71" s="1"/>
      <c r="OMY71" s="1"/>
      <c r="OMZ71" s="1"/>
      <c r="ONA71" s="1"/>
      <c r="ONB71" s="1"/>
      <c r="ONC71" s="1"/>
      <c r="OND71" s="1"/>
      <c r="ONE71" s="1"/>
      <c r="ONF71" s="1"/>
      <c r="ONG71" s="1"/>
      <c r="ONH71" s="1"/>
      <c r="ONI71" s="1"/>
      <c r="ONJ71" s="1"/>
      <c r="ONK71" s="1"/>
      <c r="ONL71" s="1"/>
      <c r="ONM71" s="1"/>
      <c r="ONN71" s="1"/>
      <c r="ONO71" s="1"/>
      <c r="ONP71" s="1"/>
      <c r="ONQ71" s="1"/>
      <c r="ONR71" s="1"/>
      <c r="ONS71" s="1"/>
      <c r="ONT71" s="1"/>
      <c r="ONU71" s="1"/>
      <c r="ONV71" s="1"/>
      <c r="ONW71" s="1"/>
      <c r="ONX71" s="1"/>
      <c r="ONY71" s="1"/>
      <c r="ONZ71" s="1"/>
      <c r="OOA71" s="1"/>
      <c r="OOB71" s="1"/>
      <c r="OOC71" s="1"/>
      <c r="OOD71" s="1"/>
      <c r="OOE71" s="1"/>
      <c r="OOF71" s="1"/>
      <c r="OOG71" s="1"/>
      <c r="OOH71" s="1"/>
      <c r="OOI71" s="1"/>
      <c r="OOJ71" s="1"/>
      <c r="OOK71" s="1"/>
      <c r="OOL71" s="1"/>
      <c r="OOM71" s="1"/>
      <c r="OON71" s="1"/>
      <c r="OOO71" s="1"/>
      <c r="OOP71" s="1"/>
      <c r="OOQ71" s="1"/>
      <c r="OOR71" s="1"/>
      <c r="OOS71" s="1"/>
      <c r="OOT71" s="1"/>
      <c r="OOU71" s="1"/>
      <c r="OOV71" s="1"/>
      <c r="OOW71" s="1"/>
      <c r="OOX71" s="1"/>
      <c r="OOY71" s="1"/>
      <c r="OOZ71" s="1"/>
      <c r="OPA71" s="1"/>
      <c r="OPB71" s="1"/>
      <c r="OPC71" s="1"/>
      <c r="OPD71" s="1"/>
      <c r="OPE71" s="1"/>
      <c r="OPF71" s="1"/>
      <c r="OPG71" s="1"/>
      <c r="OPH71" s="1"/>
      <c r="OPI71" s="1"/>
      <c r="OPJ71" s="1"/>
      <c r="OPK71" s="1"/>
      <c r="OPL71" s="1"/>
      <c r="OPM71" s="1"/>
      <c r="OPN71" s="1"/>
      <c r="OPO71" s="1"/>
      <c r="OPP71" s="1"/>
      <c r="OPQ71" s="1"/>
      <c r="OPR71" s="1"/>
      <c r="OPS71" s="1"/>
      <c r="OPT71" s="1"/>
      <c r="OPU71" s="1"/>
      <c r="OPV71" s="1"/>
      <c r="OPW71" s="1"/>
      <c r="OPX71" s="1"/>
      <c r="OPY71" s="1"/>
      <c r="OPZ71" s="1"/>
      <c r="OQA71" s="1"/>
      <c r="OQB71" s="1"/>
      <c r="OQC71" s="1"/>
      <c r="OQD71" s="1"/>
      <c r="OQE71" s="1"/>
      <c r="OQF71" s="1"/>
      <c r="OQG71" s="1"/>
      <c r="OQH71" s="1"/>
      <c r="OQI71" s="1"/>
      <c r="OQJ71" s="1"/>
      <c r="OQK71" s="1"/>
      <c r="OQL71" s="1"/>
      <c r="OQM71" s="1"/>
      <c r="OQN71" s="1"/>
      <c r="OQO71" s="1"/>
      <c r="OQP71" s="1"/>
      <c r="OQQ71" s="1"/>
      <c r="OQR71" s="1"/>
      <c r="OQS71" s="1"/>
      <c r="OQT71" s="1"/>
      <c r="OQU71" s="1"/>
      <c r="OQV71" s="1"/>
      <c r="OQW71" s="1"/>
      <c r="OQX71" s="1"/>
      <c r="OQY71" s="1"/>
      <c r="OQZ71" s="1"/>
      <c r="ORA71" s="1"/>
      <c r="ORB71" s="1"/>
      <c r="ORC71" s="1"/>
      <c r="ORD71" s="1"/>
      <c r="ORE71" s="1"/>
      <c r="ORF71" s="1"/>
      <c r="ORG71" s="1"/>
      <c r="ORH71" s="1"/>
      <c r="ORI71" s="1"/>
      <c r="ORJ71" s="1"/>
      <c r="ORK71" s="1"/>
      <c r="ORL71" s="1"/>
      <c r="ORM71" s="1"/>
      <c r="ORN71" s="1"/>
      <c r="ORO71" s="1"/>
      <c r="ORP71" s="1"/>
      <c r="ORQ71" s="1"/>
      <c r="ORR71" s="1"/>
      <c r="ORS71" s="1"/>
      <c r="ORT71" s="1"/>
      <c r="ORU71" s="1"/>
      <c r="ORV71" s="1"/>
      <c r="ORW71" s="1"/>
      <c r="ORX71" s="1"/>
      <c r="ORY71" s="1"/>
      <c r="ORZ71" s="1"/>
      <c r="OSA71" s="1"/>
      <c r="OSB71" s="1"/>
      <c r="OSC71" s="1"/>
      <c r="OSD71" s="1"/>
      <c r="OSE71" s="1"/>
      <c r="OSF71" s="1"/>
      <c r="OSG71" s="1"/>
      <c r="OSH71" s="1"/>
      <c r="OSI71" s="1"/>
      <c r="OSJ71" s="1"/>
      <c r="OSK71" s="1"/>
      <c r="OSL71" s="1"/>
      <c r="OSM71" s="1"/>
      <c r="OSN71" s="1"/>
      <c r="OSO71" s="1"/>
      <c r="OSP71" s="1"/>
      <c r="OSQ71" s="1"/>
      <c r="OSR71" s="1"/>
      <c r="OSS71" s="1"/>
      <c r="OST71" s="1"/>
      <c r="OSU71" s="1"/>
      <c r="OSV71" s="1"/>
      <c r="OSW71" s="1"/>
      <c r="OSX71" s="1"/>
      <c r="OSY71" s="1"/>
      <c r="OSZ71" s="1"/>
      <c r="OTA71" s="1"/>
      <c r="OTB71" s="1"/>
      <c r="OTC71" s="1"/>
      <c r="OTD71" s="1"/>
      <c r="OTE71" s="1"/>
      <c r="OTF71" s="1"/>
      <c r="OTG71" s="1"/>
      <c r="OTH71" s="1"/>
      <c r="OTI71" s="1"/>
      <c r="OTJ71" s="1"/>
      <c r="OTK71" s="1"/>
      <c r="OTL71" s="1"/>
      <c r="OTM71" s="1"/>
      <c r="OTN71" s="1"/>
      <c r="OTO71" s="1"/>
      <c r="OTP71" s="1"/>
      <c r="OTQ71" s="1"/>
      <c r="OTR71" s="1"/>
      <c r="OTS71" s="1"/>
      <c r="OTT71" s="1"/>
      <c r="OTU71" s="1"/>
      <c r="OTV71" s="1"/>
      <c r="OTW71" s="1"/>
      <c r="OTX71" s="1"/>
      <c r="OTY71" s="1"/>
      <c r="OTZ71" s="1"/>
      <c r="OUA71" s="1"/>
      <c r="OUB71" s="1"/>
      <c r="OUC71" s="1"/>
      <c r="OUD71" s="1"/>
      <c r="OUE71" s="1"/>
      <c r="OUF71" s="1"/>
      <c r="OUG71" s="1"/>
      <c r="OUH71" s="1"/>
      <c r="OUI71" s="1"/>
      <c r="OUJ71" s="1"/>
      <c r="OUK71" s="1"/>
      <c r="OUL71" s="1"/>
      <c r="OUM71" s="1"/>
      <c r="OUN71" s="1"/>
      <c r="OUO71" s="1"/>
      <c r="OUP71" s="1"/>
      <c r="OUQ71" s="1"/>
      <c r="OUR71" s="1"/>
      <c r="OUS71" s="1"/>
      <c r="OUT71" s="1"/>
      <c r="OUU71" s="1"/>
      <c r="OUV71" s="1"/>
      <c r="OUW71" s="1"/>
      <c r="OUX71" s="1"/>
      <c r="OUY71" s="1"/>
      <c r="OUZ71" s="1"/>
      <c r="OVA71" s="1"/>
      <c r="OVB71" s="1"/>
      <c r="OVC71" s="1"/>
      <c r="OVD71" s="1"/>
      <c r="OVE71" s="1"/>
      <c r="OVF71" s="1"/>
      <c r="OVG71" s="1"/>
      <c r="OVH71" s="1"/>
      <c r="OVI71" s="1"/>
      <c r="OVJ71" s="1"/>
      <c r="OVK71" s="1"/>
      <c r="OVL71" s="1"/>
      <c r="OVM71" s="1"/>
      <c r="OVN71" s="1"/>
      <c r="OVO71" s="1"/>
      <c r="OVP71" s="1"/>
      <c r="OVQ71" s="1"/>
      <c r="OVR71" s="1"/>
      <c r="OVS71" s="1"/>
      <c r="OVT71" s="1"/>
      <c r="OVU71" s="1"/>
      <c r="OVV71" s="1"/>
      <c r="OVW71" s="1"/>
      <c r="OVX71" s="1"/>
      <c r="OVY71" s="1"/>
      <c r="OVZ71" s="1"/>
      <c r="OWA71" s="1"/>
      <c r="OWB71" s="1"/>
      <c r="OWC71" s="1"/>
      <c r="OWD71" s="1"/>
      <c r="OWE71" s="1"/>
      <c r="OWF71" s="1"/>
      <c r="OWG71" s="1"/>
      <c r="OWH71" s="1"/>
      <c r="OWI71" s="1"/>
      <c r="OWJ71" s="1"/>
      <c r="OWK71" s="1"/>
      <c r="OWL71" s="1"/>
      <c r="OWM71" s="1"/>
      <c r="OWN71" s="1"/>
      <c r="OWO71" s="1"/>
      <c r="OWP71" s="1"/>
      <c r="OWQ71" s="1"/>
      <c r="OWR71" s="1"/>
      <c r="OWS71" s="1"/>
      <c r="OWT71" s="1"/>
      <c r="OWU71" s="1"/>
      <c r="OWV71" s="1"/>
      <c r="OWW71" s="1"/>
      <c r="OWX71" s="1"/>
      <c r="OWY71" s="1"/>
      <c r="OWZ71" s="1"/>
      <c r="OXA71" s="1"/>
      <c r="OXB71" s="1"/>
      <c r="OXC71" s="1"/>
      <c r="OXD71" s="1"/>
      <c r="OXE71" s="1"/>
      <c r="OXF71" s="1"/>
      <c r="OXG71" s="1"/>
      <c r="OXH71" s="1"/>
      <c r="OXI71" s="1"/>
      <c r="OXJ71" s="1"/>
      <c r="OXK71" s="1"/>
      <c r="OXL71" s="1"/>
      <c r="OXM71" s="1"/>
      <c r="OXN71" s="1"/>
      <c r="OXO71" s="1"/>
      <c r="OXP71" s="1"/>
      <c r="OXQ71" s="1"/>
      <c r="OXR71" s="1"/>
      <c r="OXS71" s="1"/>
      <c r="OXT71" s="1"/>
      <c r="OXU71" s="1"/>
      <c r="OXV71" s="1"/>
      <c r="OXW71" s="1"/>
      <c r="OXX71" s="1"/>
      <c r="OXY71" s="1"/>
      <c r="OXZ71" s="1"/>
      <c r="OYA71" s="1"/>
      <c r="OYB71" s="1"/>
      <c r="OYC71" s="1"/>
      <c r="OYD71" s="1"/>
      <c r="OYE71" s="1"/>
      <c r="OYF71" s="1"/>
      <c r="OYG71" s="1"/>
      <c r="OYH71" s="1"/>
      <c r="OYI71" s="1"/>
      <c r="OYJ71" s="1"/>
      <c r="OYK71" s="1"/>
      <c r="OYL71" s="1"/>
      <c r="OYM71" s="1"/>
      <c r="OYN71" s="1"/>
      <c r="OYO71" s="1"/>
      <c r="OYP71" s="1"/>
      <c r="OYQ71" s="1"/>
      <c r="OYR71" s="1"/>
      <c r="OYS71" s="1"/>
      <c r="OYT71" s="1"/>
      <c r="OYU71" s="1"/>
      <c r="OYV71" s="1"/>
      <c r="OYW71" s="1"/>
      <c r="OYX71" s="1"/>
      <c r="OYY71" s="1"/>
      <c r="OYZ71" s="1"/>
      <c r="OZA71" s="1"/>
      <c r="OZB71" s="1"/>
      <c r="OZC71" s="1"/>
      <c r="OZD71" s="1"/>
      <c r="OZE71" s="1"/>
      <c r="OZF71" s="1"/>
      <c r="OZG71" s="1"/>
      <c r="OZH71" s="1"/>
      <c r="OZI71" s="1"/>
      <c r="OZJ71" s="1"/>
      <c r="OZK71" s="1"/>
      <c r="OZL71" s="1"/>
      <c r="OZM71" s="1"/>
      <c r="OZN71" s="1"/>
      <c r="OZO71" s="1"/>
      <c r="OZP71" s="1"/>
      <c r="OZQ71" s="1"/>
      <c r="OZR71" s="1"/>
      <c r="OZS71" s="1"/>
      <c r="OZT71" s="1"/>
      <c r="OZU71" s="1"/>
      <c r="OZV71" s="1"/>
      <c r="OZW71" s="1"/>
      <c r="OZX71" s="1"/>
      <c r="OZY71" s="1"/>
      <c r="OZZ71" s="1"/>
      <c r="PAA71" s="1"/>
      <c r="PAB71" s="1"/>
      <c r="PAC71" s="1"/>
      <c r="PAD71" s="1"/>
      <c r="PAE71" s="1"/>
      <c r="PAF71" s="1"/>
      <c r="PAG71" s="1"/>
      <c r="PAH71" s="1"/>
      <c r="PAI71" s="1"/>
      <c r="PAJ71" s="1"/>
      <c r="PAK71" s="1"/>
      <c r="PAL71" s="1"/>
      <c r="PAM71" s="1"/>
      <c r="PAN71" s="1"/>
      <c r="PAO71" s="1"/>
      <c r="PAP71" s="1"/>
      <c r="PAQ71" s="1"/>
      <c r="PAR71" s="1"/>
      <c r="PAS71" s="1"/>
      <c r="PAT71" s="1"/>
      <c r="PAU71" s="1"/>
      <c r="PAV71" s="1"/>
      <c r="PAW71" s="1"/>
      <c r="PAX71" s="1"/>
      <c r="PAY71" s="1"/>
      <c r="PAZ71" s="1"/>
      <c r="PBA71" s="1"/>
      <c r="PBB71" s="1"/>
      <c r="PBC71" s="1"/>
      <c r="PBD71" s="1"/>
      <c r="PBE71" s="1"/>
      <c r="PBF71" s="1"/>
      <c r="PBG71" s="1"/>
      <c r="PBH71" s="1"/>
      <c r="PBI71" s="1"/>
      <c r="PBJ71" s="1"/>
      <c r="PBK71" s="1"/>
      <c r="PBL71" s="1"/>
      <c r="PBM71" s="1"/>
      <c r="PBN71" s="1"/>
      <c r="PBO71" s="1"/>
      <c r="PBP71" s="1"/>
      <c r="PBQ71" s="1"/>
      <c r="PBR71" s="1"/>
      <c r="PBS71" s="1"/>
      <c r="PBT71" s="1"/>
      <c r="PBU71" s="1"/>
      <c r="PBV71" s="1"/>
      <c r="PBW71" s="1"/>
      <c r="PBX71" s="1"/>
      <c r="PBY71" s="1"/>
      <c r="PBZ71" s="1"/>
      <c r="PCA71" s="1"/>
      <c r="PCB71" s="1"/>
      <c r="PCC71" s="1"/>
      <c r="PCD71" s="1"/>
      <c r="PCE71" s="1"/>
      <c r="PCF71" s="1"/>
      <c r="PCG71" s="1"/>
      <c r="PCH71" s="1"/>
      <c r="PCI71" s="1"/>
      <c r="PCJ71" s="1"/>
      <c r="PCK71" s="1"/>
      <c r="PCL71" s="1"/>
      <c r="PCM71" s="1"/>
      <c r="PCN71" s="1"/>
      <c r="PCO71" s="1"/>
      <c r="PCP71" s="1"/>
      <c r="PCQ71" s="1"/>
      <c r="PCR71" s="1"/>
      <c r="PCS71" s="1"/>
      <c r="PCT71" s="1"/>
      <c r="PCU71" s="1"/>
      <c r="PCV71" s="1"/>
      <c r="PCW71" s="1"/>
      <c r="PCX71" s="1"/>
      <c r="PCY71" s="1"/>
      <c r="PCZ71" s="1"/>
      <c r="PDA71" s="1"/>
      <c r="PDB71" s="1"/>
      <c r="PDC71" s="1"/>
      <c r="PDD71" s="1"/>
      <c r="PDE71" s="1"/>
      <c r="PDF71" s="1"/>
      <c r="PDG71" s="1"/>
      <c r="PDH71" s="1"/>
      <c r="PDI71" s="1"/>
      <c r="PDJ71" s="1"/>
      <c r="PDK71" s="1"/>
      <c r="PDL71" s="1"/>
      <c r="PDM71" s="1"/>
      <c r="PDN71" s="1"/>
      <c r="PDO71" s="1"/>
      <c r="PDP71" s="1"/>
      <c r="PDQ71" s="1"/>
      <c r="PDR71" s="1"/>
      <c r="PDS71" s="1"/>
      <c r="PDT71" s="1"/>
      <c r="PDU71" s="1"/>
      <c r="PDV71" s="1"/>
      <c r="PDW71" s="1"/>
      <c r="PDX71" s="1"/>
      <c r="PDY71" s="1"/>
      <c r="PDZ71" s="1"/>
      <c r="PEA71" s="1"/>
      <c r="PEB71" s="1"/>
      <c r="PEC71" s="1"/>
      <c r="PED71" s="1"/>
      <c r="PEE71" s="1"/>
      <c r="PEF71" s="1"/>
      <c r="PEG71" s="1"/>
      <c r="PEH71" s="1"/>
      <c r="PEI71" s="1"/>
      <c r="PEJ71" s="1"/>
      <c r="PEK71" s="1"/>
      <c r="PEL71" s="1"/>
      <c r="PEM71" s="1"/>
      <c r="PEN71" s="1"/>
      <c r="PEO71" s="1"/>
      <c r="PEP71" s="1"/>
      <c r="PEQ71" s="1"/>
      <c r="PER71" s="1"/>
      <c r="PES71" s="1"/>
      <c r="PET71" s="1"/>
      <c r="PEU71" s="1"/>
      <c r="PEV71" s="1"/>
      <c r="PEW71" s="1"/>
      <c r="PEX71" s="1"/>
      <c r="PEY71" s="1"/>
      <c r="PEZ71" s="1"/>
      <c r="PFA71" s="1"/>
      <c r="PFB71" s="1"/>
      <c r="PFC71" s="1"/>
      <c r="PFD71" s="1"/>
      <c r="PFE71" s="1"/>
      <c r="PFF71" s="1"/>
      <c r="PFG71" s="1"/>
      <c r="PFH71" s="1"/>
      <c r="PFI71" s="1"/>
      <c r="PFJ71" s="1"/>
      <c r="PFK71" s="1"/>
      <c r="PFL71" s="1"/>
      <c r="PFM71" s="1"/>
      <c r="PFN71" s="1"/>
      <c r="PFO71" s="1"/>
      <c r="PFP71" s="1"/>
      <c r="PFQ71" s="1"/>
      <c r="PFR71" s="1"/>
      <c r="PFS71" s="1"/>
      <c r="PFT71" s="1"/>
      <c r="PFU71" s="1"/>
      <c r="PFV71" s="1"/>
      <c r="PFW71" s="1"/>
      <c r="PFX71" s="1"/>
      <c r="PFY71" s="1"/>
      <c r="PFZ71" s="1"/>
      <c r="PGA71" s="1"/>
      <c r="PGB71" s="1"/>
      <c r="PGC71" s="1"/>
      <c r="PGD71" s="1"/>
      <c r="PGE71" s="1"/>
      <c r="PGF71" s="1"/>
      <c r="PGG71" s="1"/>
      <c r="PGH71" s="1"/>
      <c r="PGI71" s="1"/>
      <c r="PGJ71" s="1"/>
      <c r="PGK71" s="1"/>
      <c r="PGL71" s="1"/>
      <c r="PGM71" s="1"/>
      <c r="PGN71" s="1"/>
      <c r="PGO71" s="1"/>
      <c r="PGP71" s="1"/>
      <c r="PGQ71" s="1"/>
      <c r="PGR71" s="1"/>
      <c r="PGS71" s="1"/>
      <c r="PGT71" s="1"/>
      <c r="PGU71" s="1"/>
      <c r="PGV71" s="1"/>
      <c r="PGW71" s="1"/>
      <c r="PGX71" s="1"/>
      <c r="PGY71" s="1"/>
      <c r="PGZ71" s="1"/>
      <c r="PHA71" s="1"/>
      <c r="PHB71" s="1"/>
      <c r="PHC71" s="1"/>
      <c r="PHD71" s="1"/>
      <c r="PHE71" s="1"/>
      <c r="PHF71" s="1"/>
      <c r="PHG71" s="1"/>
      <c r="PHH71" s="1"/>
      <c r="PHI71" s="1"/>
      <c r="PHJ71" s="1"/>
      <c r="PHK71" s="1"/>
      <c r="PHL71" s="1"/>
      <c r="PHM71" s="1"/>
      <c r="PHN71" s="1"/>
      <c r="PHO71" s="1"/>
      <c r="PHP71" s="1"/>
      <c r="PHQ71" s="1"/>
      <c r="PHR71" s="1"/>
      <c r="PHS71" s="1"/>
      <c r="PHT71" s="1"/>
      <c r="PHU71" s="1"/>
      <c r="PHV71" s="1"/>
      <c r="PHW71" s="1"/>
      <c r="PHX71" s="1"/>
      <c r="PHY71" s="1"/>
      <c r="PHZ71" s="1"/>
      <c r="PIA71" s="1"/>
      <c r="PIB71" s="1"/>
      <c r="PIC71" s="1"/>
      <c r="PID71" s="1"/>
      <c r="PIE71" s="1"/>
      <c r="PIF71" s="1"/>
      <c r="PIG71" s="1"/>
      <c r="PIH71" s="1"/>
      <c r="PII71" s="1"/>
      <c r="PIJ71" s="1"/>
      <c r="PIK71" s="1"/>
      <c r="PIL71" s="1"/>
      <c r="PIM71" s="1"/>
      <c r="PIN71" s="1"/>
      <c r="PIO71" s="1"/>
      <c r="PIP71" s="1"/>
      <c r="PIQ71" s="1"/>
      <c r="PIR71" s="1"/>
      <c r="PIS71" s="1"/>
      <c r="PIT71" s="1"/>
      <c r="PIU71" s="1"/>
      <c r="PIV71" s="1"/>
      <c r="PIW71" s="1"/>
      <c r="PIX71" s="1"/>
      <c r="PIY71" s="1"/>
      <c r="PIZ71" s="1"/>
      <c r="PJA71" s="1"/>
      <c r="PJB71" s="1"/>
      <c r="PJC71" s="1"/>
      <c r="PJD71" s="1"/>
      <c r="PJE71" s="1"/>
      <c r="PJF71" s="1"/>
      <c r="PJG71" s="1"/>
      <c r="PJH71" s="1"/>
      <c r="PJI71" s="1"/>
      <c r="PJJ71" s="1"/>
      <c r="PJK71" s="1"/>
      <c r="PJL71" s="1"/>
      <c r="PJM71" s="1"/>
      <c r="PJN71" s="1"/>
      <c r="PJO71" s="1"/>
      <c r="PJP71" s="1"/>
      <c r="PJQ71" s="1"/>
      <c r="PJR71" s="1"/>
      <c r="PJS71" s="1"/>
      <c r="PJT71" s="1"/>
      <c r="PJU71" s="1"/>
      <c r="PJV71" s="1"/>
      <c r="PJW71" s="1"/>
      <c r="PJX71" s="1"/>
      <c r="PJY71" s="1"/>
      <c r="PJZ71" s="1"/>
      <c r="PKA71" s="1"/>
      <c r="PKB71" s="1"/>
      <c r="PKC71" s="1"/>
      <c r="PKD71" s="1"/>
      <c r="PKE71" s="1"/>
      <c r="PKF71" s="1"/>
      <c r="PKG71" s="1"/>
      <c r="PKH71" s="1"/>
      <c r="PKI71" s="1"/>
      <c r="PKJ71" s="1"/>
      <c r="PKK71" s="1"/>
      <c r="PKL71" s="1"/>
      <c r="PKM71" s="1"/>
      <c r="PKN71" s="1"/>
      <c r="PKO71" s="1"/>
      <c r="PKP71" s="1"/>
      <c r="PKQ71" s="1"/>
      <c r="PKR71" s="1"/>
      <c r="PKS71" s="1"/>
      <c r="PKT71" s="1"/>
      <c r="PKU71" s="1"/>
      <c r="PKV71" s="1"/>
      <c r="PKW71" s="1"/>
      <c r="PKX71" s="1"/>
      <c r="PKY71" s="1"/>
      <c r="PKZ71" s="1"/>
      <c r="PLA71" s="1"/>
      <c r="PLB71" s="1"/>
      <c r="PLC71" s="1"/>
      <c r="PLD71" s="1"/>
      <c r="PLE71" s="1"/>
      <c r="PLF71" s="1"/>
      <c r="PLG71" s="1"/>
      <c r="PLH71" s="1"/>
      <c r="PLI71" s="1"/>
      <c r="PLJ71" s="1"/>
      <c r="PLK71" s="1"/>
      <c r="PLL71" s="1"/>
      <c r="PLM71" s="1"/>
      <c r="PLN71" s="1"/>
      <c r="PLO71" s="1"/>
      <c r="PLP71" s="1"/>
      <c r="PLQ71" s="1"/>
      <c r="PLR71" s="1"/>
      <c r="PLS71" s="1"/>
      <c r="PLT71" s="1"/>
      <c r="PLU71" s="1"/>
      <c r="PLV71" s="1"/>
      <c r="PLW71" s="1"/>
      <c r="PLX71" s="1"/>
      <c r="PLY71" s="1"/>
      <c r="PLZ71" s="1"/>
      <c r="PMA71" s="1"/>
      <c r="PMB71" s="1"/>
      <c r="PMC71" s="1"/>
      <c r="PMD71" s="1"/>
      <c r="PME71" s="1"/>
      <c r="PMF71" s="1"/>
      <c r="PMG71" s="1"/>
      <c r="PMH71" s="1"/>
      <c r="PMI71" s="1"/>
      <c r="PMJ71" s="1"/>
      <c r="PMK71" s="1"/>
      <c r="PML71" s="1"/>
      <c r="PMM71" s="1"/>
      <c r="PMN71" s="1"/>
      <c r="PMO71" s="1"/>
      <c r="PMP71" s="1"/>
      <c r="PMQ71" s="1"/>
      <c r="PMR71" s="1"/>
      <c r="PMS71" s="1"/>
      <c r="PMT71" s="1"/>
      <c r="PMU71" s="1"/>
      <c r="PMV71" s="1"/>
      <c r="PMW71" s="1"/>
      <c r="PMX71" s="1"/>
      <c r="PMY71" s="1"/>
      <c r="PMZ71" s="1"/>
      <c r="PNA71" s="1"/>
      <c r="PNB71" s="1"/>
      <c r="PNC71" s="1"/>
      <c r="PND71" s="1"/>
      <c r="PNE71" s="1"/>
      <c r="PNF71" s="1"/>
      <c r="PNG71" s="1"/>
      <c r="PNH71" s="1"/>
      <c r="PNI71" s="1"/>
      <c r="PNJ71" s="1"/>
      <c r="PNK71" s="1"/>
      <c r="PNL71" s="1"/>
      <c r="PNM71" s="1"/>
      <c r="PNN71" s="1"/>
      <c r="PNO71" s="1"/>
      <c r="PNP71" s="1"/>
      <c r="PNQ71" s="1"/>
      <c r="PNR71" s="1"/>
      <c r="PNS71" s="1"/>
      <c r="PNT71" s="1"/>
      <c r="PNU71" s="1"/>
      <c r="PNV71" s="1"/>
      <c r="PNW71" s="1"/>
      <c r="PNX71" s="1"/>
      <c r="PNY71" s="1"/>
      <c r="PNZ71" s="1"/>
      <c r="POA71" s="1"/>
      <c r="POB71" s="1"/>
      <c r="POC71" s="1"/>
      <c r="POD71" s="1"/>
      <c r="POE71" s="1"/>
      <c r="POF71" s="1"/>
      <c r="POG71" s="1"/>
      <c r="POH71" s="1"/>
      <c r="POI71" s="1"/>
      <c r="POJ71" s="1"/>
      <c r="POK71" s="1"/>
      <c r="POL71" s="1"/>
      <c r="POM71" s="1"/>
      <c r="PON71" s="1"/>
      <c r="POO71" s="1"/>
      <c r="POP71" s="1"/>
      <c r="POQ71" s="1"/>
      <c r="POR71" s="1"/>
      <c r="POS71" s="1"/>
      <c r="POT71" s="1"/>
      <c r="POU71" s="1"/>
      <c r="POV71" s="1"/>
      <c r="POW71" s="1"/>
      <c r="POX71" s="1"/>
      <c r="POY71" s="1"/>
      <c r="POZ71" s="1"/>
      <c r="PPA71" s="1"/>
      <c r="PPB71" s="1"/>
      <c r="PPC71" s="1"/>
      <c r="PPD71" s="1"/>
      <c r="PPE71" s="1"/>
      <c r="PPF71" s="1"/>
      <c r="PPG71" s="1"/>
      <c r="PPH71" s="1"/>
      <c r="PPI71" s="1"/>
      <c r="PPJ71" s="1"/>
      <c r="PPK71" s="1"/>
      <c r="PPL71" s="1"/>
      <c r="PPM71" s="1"/>
      <c r="PPN71" s="1"/>
      <c r="PPO71" s="1"/>
      <c r="PPP71" s="1"/>
      <c r="PPQ71" s="1"/>
      <c r="PPR71" s="1"/>
      <c r="PPS71" s="1"/>
      <c r="PPT71" s="1"/>
      <c r="PPU71" s="1"/>
      <c r="PPV71" s="1"/>
      <c r="PPW71" s="1"/>
      <c r="PPX71" s="1"/>
      <c r="PPY71" s="1"/>
      <c r="PPZ71" s="1"/>
      <c r="PQA71" s="1"/>
      <c r="PQB71" s="1"/>
      <c r="PQC71" s="1"/>
      <c r="PQD71" s="1"/>
      <c r="PQE71" s="1"/>
      <c r="PQF71" s="1"/>
      <c r="PQG71" s="1"/>
      <c r="PQH71" s="1"/>
      <c r="PQI71" s="1"/>
      <c r="PQJ71" s="1"/>
      <c r="PQK71" s="1"/>
      <c r="PQL71" s="1"/>
      <c r="PQM71" s="1"/>
      <c r="PQN71" s="1"/>
      <c r="PQO71" s="1"/>
      <c r="PQP71" s="1"/>
      <c r="PQQ71" s="1"/>
      <c r="PQR71" s="1"/>
      <c r="PQS71" s="1"/>
      <c r="PQT71" s="1"/>
      <c r="PQU71" s="1"/>
      <c r="PQV71" s="1"/>
      <c r="PQW71" s="1"/>
      <c r="PQX71" s="1"/>
      <c r="PQY71" s="1"/>
      <c r="PQZ71" s="1"/>
      <c r="PRA71" s="1"/>
      <c r="PRB71" s="1"/>
      <c r="PRC71" s="1"/>
      <c r="PRD71" s="1"/>
      <c r="PRE71" s="1"/>
      <c r="PRF71" s="1"/>
      <c r="PRG71" s="1"/>
      <c r="PRH71" s="1"/>
      <c r="PRI71" s="1"/>
      <c r="PRJ71" s="1"/>
      <c r="PRK71" s="1"/>
      <c r="PRL71" s="1"/>
      <c r="PRM71" s="1"/>
      <c r="PRN71" s="1"/>
      <c r="PRO71" s="1"/>
      <c r="PRP71" s="1"/>
      <c r="PRQ71" s="1"/>
      <c r="PRR71" s="1"/>
      <c r="PRS71" s="1"/>
      <c r="PRT71" s="1"/>
      <c r="PRU71" s="1"/>
      <c r="PRV71" s="1"/>
      <c r="PRW71" s="1"/>
      <c r="PRX71" s="1"/>
      <c r="PRY71" s="1"/>
      <c r="PRZ71" s="1"/>
      <c r="PSA71" s="1"/>
      <c r="PSB71" s="1"/>
      <c r="PSC71" s="1"/>
      <c r="PSD71" s="1"/>
      <c r="PSE71" s="1"/>
      <c r="PSF71" s="1"/>
      <c r="PSG71" s="1"/>
      <c r="PSH71" s="1"/>
      <c r="PSI71" s="1"/>
      <c r="PSJ71" s="1"/>
      <c r="PSK71" s="1"/>
      <c r="PSL71" s="1"/>
      <c r="PSM71" s="1"/>
      <c r="PSN71" s="1"/>
      <c r="PSO71" s="1"/>
      <c r="PSP71" s="1"/>
      <c r="PSQ71" s="1"/>
      <c r="PSR71" s="1"/>
      <c r="PSS71" s="1"/>
      <c r="PST71" s="1"/>
      <c r="PSU71" s="1"/>
      <c r="PSV71" s="1"/>
      <c r="PSW71" s="1"/>
      <c r="PSX71" s="1"/>
      <c r="PSY71" s="1"/>
      <c r="PSZ71" s="1"/>
      <c r="PTA71" s="1"/>
      <c r="PTB71" s="1"/>
      <c r="PTC71" s="1"/>
      <c r="PTD71" s="1"/>
      <c r="PTE71" s="1"/>
      <c r="PTF71" s="1"/>
      <c r="PTG71" s="1"/>
      <c r="PTH71" s="1"/>
      <c r="PTI71" s="1"/>
      <c r="PTJ71" s="1"/>
      <c r="PTK71" s="1"/>
      <c r="PTL71" s="1"/>
      <c r="PTM71" s="1"/>
      <c r="PTN71" s="1"/>
      <c r="PTO71" s="1"/>
      <c r="PTP71" s="1"/>
      <c r="PTQ71" s="1"/>
      <c r="PTR71" s="1"/>
      <c r="PTS71" s="1"/>
      <c r="PTT71" s="1"/>
      <c r="PTU71" s="1"/>
      <c r="PTV71" s="1"/>
      <c r="PTW71" s="1"/>
      <c r="PTX71" s="1"/>
      <c r="PTY71" s="1"/>
      <c r="PTZ71" s="1"/>
      <c r="PUA71" s="1"/>
      <c r="PUB71" s="1"/>
      <c r="PUC71" s="1"/>
      <c r="PUD71" s="1"/>
      <c r="PUE71" s="1"/>
      <c r="PUF71" s="1"/>
      <c r="PUG71" s="1"/>
      <c r="PUH71" s="1"/>
      <c r="PUI71" s="1"/>
      <c r="PUJ71" s="1"/>
      <c r="PUK71" s="1"/>
      <c r="PUL71" s="1"/>
      <c r="PUM71" s="1"/>
      <c r="PUN71" s="1"/>
      <c r="PUO71" s="1"/>
      <c r="PUP71" s="1"/>
      <c r="PUQ71" s="1"/>
      <c r="PUR71" s="1"/>
      <c r="PUS71" s="1"/>
      <c r="PUT71" s="1"/>
      <c r="PUU71" s="1"/>
      <c r="PUV71" s="1"/>
      <c r="PUW71" s="1"/>
      <c r="PUX71" s="1"/>
      <c r="PUY71" s="1"/>
      <c r="PUZ71" s="1"/>
      <c r="PVA71" s="1"/>
      <c r="PVB71" s="1"/>
      <c r="PVC71" s="1"/>
      <c r="PVD71" s="1"/>
      <c r="PVE71" s="1"/>
      <c r="PVF71" s="1"/>
      <c r="PVG71" s="1"/>
      <c r="PVH71" s="1"/>
      <c r="PVI71" s="1"/>
      <c r="PVJ71" s="1"/>
      <c r="PVK71" s="1"/>
      <c r="PVL71" s="1"/>
      <c r="PVM71" s="1"/>
      <c r="PVN71" s="1"/>
      <c r="PVO71" s="1"/>
      <c r="PVP71" s="1"/>
      <c r="PVQ71" s="1"/>
      <c r="PVR71" s="1"/>
      <c r="PVS71" s="1"/>
      <c r="PVT71" s="1"/>
      <c r="PVU71" s="1"/>
      <c r="PVV71" s="1"/>
      <c r="PVW71" s="1"/>
      <c r="PVX71" s="1"/>
      <c r="PVY71" s="1"/>
      <c r="PVZ71" s="1"/>
      <c r="PWA71" s="1"/>
      <c r="PWB71" s="1"/>
      <c r="PWC71" s="1"/>
      <c r="PWD71" s="1"/>
      <c r="PWE71" s="1"/>
      <c r="PWF71" s="1"/>
      <c r="PWG71" s="1"/>
      <c r="PWH71" s="1"/>
      <c r="PWI71" s="1"/>
      <c r="PWJ71" s="1"/>
      <c r="PWK71" s="1"/>
      <c r="PWL71" s="1"/>
      <c r="PWM71" s="1"/>
      <c r="PWN71" s="1"/>
      <c r="PWO71" s="1"/>
      <c r="PWP71" s="1"/>
      <c r="PWQ71" s="1"/>
      <c r="PWR71" s="1"/>
      <c r="PWS71" s="1"/>
      <c r="PWT71" s="1"/>
      <c r="PWU71" s="1"/>
      <c r="PWV71" s="1"/>
      <c r="PWW71" s="1"/>
      <c r="PWX71" s="1"/>
      <c r="PWY71" s="1"/>
      <c r="PWZ71" s="1"/>
      <c r="PXA71" s="1"/>
      <c r="PXB71" s="1"/>
      <c r="PXC71" s="1"/>
      <c r="PXD71" s="1"/>
      <c r="PXE71" s="1"/>
      <c r="PXF71" s="1"/>
      <c r="PXG71" s="1"/>
      <c r="PXH71" s="1"/>
      <c r="PXI71" s="1"/>
      <c r="PXJ71" s="1"/>
      <c r="PXK71" s="1"/>
      <c r="PXL71" s="1"/>
      <c r="PXM71" s="1"/>
      <c r="PXN71" s="1"/>
      <c r="PXO71" s="1"/>
      <c r="PXP71" s="1"/>
      <c r="PXQ71" s="1"/>
      <c r="PXR71" s="1"/>
      <c r="PXS71" s="1"/>
      <c r="PXT71" s="1"/>
      <c r="PXU71" s="1"/>
      <c r="PXV71" s="1"/>
      <c r="PXW71" s="1"/>
      <c r="PXX71" s="1"/>
      <c r="PXY71" s="1"/>
      <c r="PXZ71" s="1"/>
      <c r="PYA71" s="1"/>
      <c r="PYB71" s="1"/>
      <c r="PYC71" s="1"/>
      <c r="PYD71" s="1"/>
      <c r="PYE71" s="1"/>
      <c r="PYF71" s="1"/>
      <c r="PYG71" s="1"/>
      <c r="PYH71" s="1"/>
      <c r="PYI71" s="1"/>
      <c r="PYJ71" s="1"/>
      <c r="PYK71" s="1"/>
      <c r="PYL71" s="1"/>
      <c r="PYM71" s="1"/>
      <c r="PYN71" s="1"/>
      <c r="PYO71" s="1"/>
      <c r="PYP71" s="1"/>
      <c r="PYQ71" s="1"/>
      <c r="PYR71" s="1"/>
      <c r="PYS71" s="1"/>
      <c r="PYT71" s="1"/>
      <c r="PYU71" s="1"/>
      <c r="PYV71" s="1"/>
      <c r="PYW71" s="1"/>
      <c r="PYX71" s="1"/>
      <c r="PYY71" s="1"/>
      <c r="PYZ71" s="1"/>
      <c r="PZA71" s="1"/>
      <c r="PZB71" s="1"/>
      <c r="PZC71" s="1"/>
      <c r="PZD71" s="1"/>
      <c r="PZE71" s="1"/>
      <c r="PZF71" s="1"/>
      <c r="PZG71" s="1"/>
      <c r="PZH71" s="1"/>
      <c r="PZI71" s="1"/>
      <c r="PZJ71" s="1"/>
      <c r="PZK71" s="1"/>
      <c r="PZL71" s="1"/>
      <c r="PZM71" s="1"/>
      <c r="PZN71" s="1"/>
      <c r="PZO71" s="1"/>
      <c r="PZP71" s="1"/>
      <c r="PZQ71" s="1"/>
      <c r="PZR71" s="1"/>
      <c r="PZS71" s="1"/>
      <c r="PZT71" s="1"/>
      <c r="PZU71" s="1"/>
      <c r="PZV71" s="1"/>
      <c r="PZW71" s="1"/>
      <c r="PZX71" s="1"/>
      <c r="PZY71" s="1"/>
      <c r="PZZ71" s="1"/>
      <c r="QAA71" s="1"/>
      <c r="QAB71" s="1"/>
      <c r="QAC71" s="1"/>
      <c r="QAD71" s="1"/>
      <c r="QAE71" s="1"/>
      <c r="QAF71" s="1"/>
      <c r="QAG71" s="1"/>
      <c r="QAH71" s="1"/>
      <c r="QAI71" s="1"/>
      <c r="QAJ71" s="1"/>
      <c r="QAK71" s="1"/>
      <c r="QAL71" s="1"/>
      <c r="QAM71" s="1"/>
      <c r="QAN71" s="1"/>
      <c r="QAO71" s="1"/>
      <c r="QAP71" s="1"/>
      <c r="QAQ71" s="1"/>
      <c r="QAR71" s="1"/>
      <c r="QAS71" s="1"/>
      <c r="QAT71" s="1"/>
      <c r="QAU71" s="1"/>
      <c r="QAV71" s="1"/>
      <c r="QAW71" s="1"/>
      <c r="QAX71" s="1"/>
      <c r="QAY71" s="1"/>
      <c r="QAZ71" s="1"/>
      <c r="QBA71" s="1"/>
      <c r="QBB71" s="1"/>
      <c r="QBC71" s="1"/>
      <c r="QBD71" s="1"/>
      <c r="QBE71" s="1"/>
      <c r="QBF71" s="1"/>
      <c r="QBG71" s="1"/>
      <c r="QBH71" s="1"/>
      <c r="QBI71" s="1"/>
      <c r="QBJ71" s="1"/>
      <c r="QBK71" s="1"/>
      <c r="QBL71" s="1"/>
      <c r="QBM71" s="1"/>
      <c r="QBN71" s="1"/>
      <c r="QBO71" s="1"/>
      <c r="QBP71" s="1"/>
      <c r="QBQ71" s="1"/>
      <c r="QBR71" s="1"/>
      <c r="QBS71" s="1"/>
      <c r="QBT71" s="1"/>
      <c r="QBU71" s="1"/>
      <c r="QBV71" s="1"/>
      <c r="QBW71" s="1"/>
      <c r="QBX71" s="1"/>
      <c r="QBY71" s="1"/>
      <c r="QBZ71" s="1"/>
      <c r="QCA71" s="1"/>
      <c r="QCB71" s="1"/>
      <c r="QCC71" s="1"/>
      <c r="QCD71" s="1"/>
      <c r="QCE71" s="1"/>
      <c r="QCF71" s="1"/>
      <c r="QCG71" s="1"/>
      <c r="QCH71" s="1"/>
      <c r="QCI71" s="1"/>
      <c r="QCJ71" s="1"/>
      <c r="QCK71" s="1"/>
      <c r="QCL71" s="1"/>
      <c r="QCM71" s="1"/>
      <c r="QCN71" s="1"/>
      <c r="QCO71" s="1"/>
      <c r="QCP71" s="1"/>
      <c r="QCQ71" s="1"/>
      <c r="QCR71" s="1"/>
      <c r="QCS71" s="1"/>
      <c r="QCT71" s="1"/>
      <c r="QCU71" s="1"/>
      <c r="QCV71" s="1"/>
      <c r="QCW71" s="1"/>
      <c r="QCX71" s="1"/>
      <c r="QCY71" s="1"/>
      <c r="QCZ71" s="1"/>
      <c r="QDA71" s="1"/>
      <c r="QDB71" s="1"/>
      <c r="QDC71" s="1"/>
      <c r="QDD71" s="1"/>
      <c r="QDE71" s="1"/>
      <c r="QDF71" s="1"/>
      <c r="QDG71" s="1"/>
      <c r="QDH71" s="1"/>
      <c r="QDI71" s="1"/>
      <c r="QDJ71" s="1"/>
      <c r="QDK71" s="1"/>
      <c r="QDL71" s="1"/>
      <c r="QDM71" s="1"/>
      <c r="QDN71" s="1"/>
      <c r="QDO71" s="1"/>
      <c r="QDP71" s="1"/>
      <c r="QDQ71" s="1"/>
      <c r="QDR71" s="1"/>
      <c r="QDS71" s="1"/>
      <c r="QDT71" s="1"/>
      <c r="QDU71" s="1"/>
      <c r="QDV71" s="1"/>
      <c r="QDW71" s="1"/>
      <c r="QDX71" s="1"/>
      <c r="QDY71" s="1"/>
      <c r="QDZ71" s="1"/>
      <c r="QEA71" s="1"/>
      <c r="QEB71" s="1"/>
      <c r="QEC71" s="1"/>
      <c r="QED71" s="1"/>
      <c r="QEE71" s="1"/>
      <c r="QEF71" s="1"/>
      <c r="QEG71" s="1"/>
      <c r="QEH71" s="1"/>
      <c r="QEI71" s="1"/>
      <c r="QEJ71" s="1"/>
      <c r="QEK71" s="1"/>
      <c r="QEL71" s="1"/>
      <c r="QEM71" s="1"/>
      <c r="QEN71" s="1"/>
      <c r="QEO71" s="1"/>
      <c r="QEP71" s="1"/>
      <c r="QEQ71" s="1"/>
      <c r="QER71" s="1"/>
      <c r="QES71" s="1"/>
      <c r="QET71" s="1"/>
      <c r="QEU71" s="1"/>
      <c r="QEV71" s="1"/>
      <c r="QEW71" s="1"/>
      <c r="QEX71" s="1"/>
      <c r="QEY71" s="1"/>
      <c r="QEZ71" s="1"/>
      <c r="QFA71" s="1"/>
      <c r="QFB71" s="1"/>
      <c r="QFC71" s="1"/>
      <c r="QFD71" s="1"/>
      <c r="QFE71" s="1"/>
      <c r="QFF71" s="1"/>
      <c r="QFG71" s="1"/>
      <c r="QFH71" s="1"/>
      <c r="QFI71" s="1"/>
      <c r="QFJ71" s="1"/>
      <c r="QFK71" s="1"/>
      <c r="QFL71" s="1"/>
      <c r="QFM71" s="1"/>
      <c r="QFN71" s="1"/>
      <c r="QFO71" s="1"/>
      <c r="QFP71" s="1"/>
      <c r="QFQ71" s="1"/>
      <c r="QFR71" s="1"/>
      <c r="QFS71" s="1"/>
      <c r="QFT71" s="1"/>
      <c r="QFU71" s="1"/>
      <c r="QFV71" s="1"/>
      <c r="QFW71" s="1"/>
      <c r="QFX71" s="1"/>
      <c r="QFY71" s="1"/>
      <c r="QFZ71" s="1"/>
      <c r="QGA71" s="1"/>
      <c r="QGB71" s="1"/>
      <c r="QGC71" s="1"/>
      <c r="QGD71" s="1"/>
      <c r="QGE71" s="1"/>
      <c r="QGF71" s="1"/>
      <c r="QGG71" s="1"/>
      <c r="QGH71" s="1"/>
      <c r="QGI71" s="1"/>
      <c r="QGJ71" s="1"/>
      <c r="QGK71" s="1"/>
      <c r="QGL71" s="1"/>
      <c r="QGM71" s="1"/>
      <c r="QGN71" s="1"/>
      <c r="QGO71" s="1"/>
      <c r="QGP71" s="1"/>
      <c r="QGQ71" s="1"/>
      <c r="QGR71" s="1"/>
      <c r="QGS71" s="1"/>
      <c r="QGT71" s="1"/>
      <c r="QGU71" s="1"/>
      <c r="QGV71" s="1"/>
      <c r="QGW71" s="1"/>
      <c r="QGX71" s="1"/>
      <c r="QGY71" s="1"/>
      <c r="QGZ71" s="1"/>
      <c r="QHA71" s="1"/>
      <c r="QHB71" s="1"/>
      <c r="QHC71" s="1"/>
      <c r="QHD71" s="1"/>
      <c r="QHE71" s="1"/>
      <c r="QHF71" s="1"/>
      <c r="QHG71" s="1"/>
      <c r="QHH71" s="1"/>
      <c r="QHI71" s="1"/>
      <c r="QHJ71" s="1"/>
      <c r="QHK71" s="1"/>
      <c r="QHL71" s="1"/>
      <c r="QHM71" s="1"/>
      <c r="QHN71" s="1"/>
      <c r="QHO71" s="1"/>
      <c r="QHP71" s="1"/>
      <c r="QHQ71" s="1"/>
      <c r="QHR71" s="1"/>
      <c r="QHS71" s="1"/>
      <c r="QHT71" s="1"/>
      <c r="QHU71" s="1"/>
      <c r="QHV71" s="1"/>
      <c r="QHW71" s="1"/>
      <c r="QHX71" s="1"/>
      <c r="QHY71" s="1"/>
      <c r="QHZ71" s="1"/>
      <c r="QIA71" s="1"/>
      <c r="QIB71" s="1"/>
      <c r="QIC71" s="1"/>
      <c r="QID71" s="1"/>
      <c r="QIE71" s="1"/>
      <c r="QIF71" s="1"/>
      <c r="QIG71" s="1"/>
      <c r="QIH71" s="1"/>
      <c r="QII71" s="1"/>
      <c r="QIJ71" s="1"/>
      <c r="QIK71" s="1"/>
      <c r="QIL71" s="1"/>
      <c r="QIM71" s="1"/>
      <c r="QIN71" s="1"/>
      <c r="QIO71" s="1"/>
      <c r="QIP71" s="1"/>
      <c r="QIQ71" s="1"/>
      <c r="QIR71" s="1"/>
      <c r="QIS71" s="1"/>
      <c r="QIT71" s="1"/>
      <c r="QIU71" s="1"/>
      <c r="QIV71" s="1"/>
      <c r="QIW71" s="1"/>
      <c r="QIX71" s="1"/>
      <c r="QIY71" s="1"/>
      <c r="QIZ71" s="1"/>
      <c r="QJA71" s="1"/>
      <c r="QJB71" s="1"/>
      <c r="QJC71" s="1"/>
      <c r="QJD71" s="1"/>
      <c r="QJE71" s="1"/>
      <c r="QJF71" s="1"/>
      <c r="QJG71" s="1"/>
      <c r="QJH71" s="1"/>
      <c r="QJI71" s="1"/>
      <c r="QJJ71" s="1"/>
      <c r="QJK71" s="1"/>
      <c r="QJL71" s="1"/>
      <c r="QJM71" s="1"/>
      <c r="QJN71" s="1"/>
      <c r="QJO71" s="1"/>
      <c r="QJP71" s="1"/>
      <c r="QJQ71" s="1"/>
      <c r="QJR71" s="1"/>
      <c r="QJS71" s="1"/>
      <c r="QJT71" s="1"/>
      <c r="QJU71" s="1"/>
      <c r="QJV71" s="1"/>
      <c r="QJW71" s="1"/>
      <c r="QJX71" s="1"/>
      <c r="QJY71" s="1"/>
      <c r="QJZ71" s="1"/>
      <c r="QKA71" s="1"/>
      <c r="QKB71" s="1"/>
      <c r="QKC71" s="1"/>
      <c r="QKD71" s="1"/>
      <c r="QKE71" s="1"/>
      <c r="QKF71" s="1"/>
      <c r="QKG71" s="1"/>
      <c r="QKH71" s="1"/>
      <c r="QKI71" s="1"/>
      <c r="QKJ71" s="1"/>
      <c r="QKK71" s="1"/>
      <c r="QKL71" s="1"/>
      <c r="QKM71" s="1"/>
      <c r="QKN71" s="1"/>
      <c r="QKO71" s="1"/>
      <c r="QKP71" s="1"/>
      <c r="QKQ71" s="1"/>
      <c r="QKR71" s="1"/>
      <c r="QKS71" s="1"/>
      <c r="QKT71" s="1"/>
      <c r="QKU71" s="1"/>
      <c r="QKV71" s="1"/>
      <c r="QKW71" s="1"/>
      <c r="QKX71" s="1"/>
      <c r="QKY71" s="1"/>
      <c r="QKZ71" s="1"/>
      <c r="QLA71" s="1"/>
      <c r="QLB71" s="1"/>
      <c r="QLC71" s="1"/>
      <c r="QLD71" s="1"/>
      <c r="QLE71" s="1"/>
      <c r="QLF71" s="1"/>
      <c r="QLG71" s="1"/>
      <c r="QLH71" s="1"/>
      <c r="QLI71" s="1"/>
      <c r="QLJ71" s="1"/>
      <c r="QLK71" s="1"/>
      <c r="QLL71" s="1"/>
      <c r="QLM71" s="1"/>
      <c r="QLN71" s="1"/>
      <c r="QLO71" s="1"/>
      <c r="QLP71" s="1"/>
      <c r="QLQ71" s="1"/>
      <c r="QLR71" s="1"/>
      <c r="QLS71" s="1"/>
      <c r="QLT71" s="1"/>
      <c r="QLU71" s="1"/>
      <c r="QLV71" s="1"/>
      <c r="QLW71" s="1"/>
      <c r="QLX71" s="1"/>
      <c r="QLY71" s="1"/>
      <c r="QLZ71" s="1"/>
      <c r="QMA71" s="1"/>
      <c r="QMB71" s="1"/>
      <c r="QMC71" s="1"/>
      <c r="QMD71" s="1"/>
      <c r="QME71" s="1"/>
      <c r="QMF71" s="1"/>
      <c r="QMG71" s="1"/>
      <c r="QMH71" s="1"/>
      <c r="QMI71" s="1"/>
      <c r="QMJ71" s="1"/>
      <c r="QMK71" s="1"/>
      <c r="QML71" s="1"/>
      <c r="QMM71" s="1"/>
      <c r="QMN71" s="1"/>
      <c r="QMO71" s="1"/>
      <c r="QMP71" s="1"/>
      <c r="QMQ71" s="1"/>
      <c r="QMR71" s="1"/>
      <c r="QMS71" s="1"/>
      <c r="QMT71" s="1"/>
      <c r="QMU71" s="1"/>
      <c r="QMV71" s="1"/>
      <c r="QMW71" s="1"/>
      <c r="QMX71" s="1"/>
      <c r="QMY71" s="1"/>
      <c r="QMZ71" s="1"/>
      <c r="QNA71" s="1"/>
      <c r="QNB71" s="1"/>
      <c r="QNC71" s="1"/>
      <c r="QND71" s="1"/>
      <c r="QNE71" s="1"/>
      <c r="QNF71" s="1"/>
      <c r="QNG71" s="1"/>
      <c r="QNH71" s="1"/>
      <c r="QNI71" s="1"/>
      <c r="QNJ71" s="1"/>
      <c r="QNK71" s="1"/>
      <c r="QNL71" s="1"/>
      <c r="QNM71" s="1"/>
      <c r="QNN71" s="1"/>
      <c r="QNO71" s="1"/>
      <c r="QNP71" s="1"/>
      <c r="QNQ71" s="1"/>
      <c r="QNR71" s="1"/>
      <c r="QNS71" s="1"/>
      <c r="QNT71" s="1"/>
      <c r="QNU71" s="1"/>
      <c r="QNV71" s="1"/>
      <c r="QNW71" s="1"/>
      <c r="QNX71" s="1"/>
      <c r="QNY71" s="1"/>
      <c r="QNZ71" s="1"/>
      <c r="QOA71" s="1"/>
      <c r="QOB71" s="1"/>
      <c r="QOC71" s="1"/>
      <c r="QOD71" s="1"/>
      <c r="QOE71" s="1"/>
      <c r="QOF71" s="1"/>
      <c r="QOG71" s="1"/>
      <c r="QOH71" s="1"/>
      <c r="QOI71" s="1"/>
      <c r="QOJ71" s="1"/>
      <c r="QOK71" s="1"/>
      <c r="QOL71" s="1"/>
      <c r="QOM71" s="1"/>
      <c r="QON71" s="1"/>
      <c r="QOO71" s="1"/>
      <c r="QOP71" s="1"/>
      <c r="QOQ71" s="1"/>
      <c r="QOR71" s="1"/>
      <c r="QOS71" s="1"/>
      <c r="QOT71" s="1"/>
      <c r="QOU71" s="1"/>
      <c r="QOV71" s="1"/>
      <c r="QOW71" s="1"/>
      <c r="QOX71" s="1"/>
      <c r="QOY71" s="1"/>
      <c r="QOZ71" s="1"/>
      <c r="QPA71" s="1"/>
      <c r="QPB71" s="1"/>
      <c r="QPC71" s="1"/>
      <c r="QPD71" s="1"/>
      <c r="QPE71" s="1"/>
      <c r="QPF71" s="1"/>
      <c r="QPG71" s="1"/>
      <c r="QPH71" s="1"/>
      <c r="QPI71" s="1"/>
      <c r="QPJ71" s="1"/>
      <c r="QPK71" s="1"/>
      <c r="QPL71" s="1"/>
      <c r="QPM71" s="1"/>
      <c r="QPN71" s="1"/>
      <c r="QPO71" s="1"/>
      <c r="QPP71" s="1"/>
      <c r="QPQ71" s="1"/>
      <c r="QPR71" s="1"/>
      <c r="QPS71" s="1"/>
      <c r="QPT71" s="1"/>
      <c r="QPU71" s="1"/>
      <c r="QPV71" s="1"/>
      <c r="QPW71" s="1"/>
      <c r="QPX71" s="1"/>
      <c r="QPY71" s="1"/>
      <c r="QPZ71" s="1"/>
      <c r="QQA71" s="1"/>
      <c r="QQB71" s="1"/>
      <c r="QQC71" s="1"/>
      <c r="QQD71" s="1"/>
      <c r="QQE71" s="1"/>
      <c r="QQF71" s="1"/>
      <c r="QQG71" s="1"/>
      <c r="QQH71" s="1"/>
      <c r="QQI71" s="1"/>
      <c r="QQJ71" s="1"/>
      <c r="QQK71" s="1"/>
      <c r="QQL71" s="1"/>
      <c r="QQM71" s="1"/>
      <c r="QQN71" s="1"/>
      <c r="QQO71" s="1"/>
      <c r="QQP71" s="1"/>
      <c r="QQQ71" s="1"/>
      <c r="QQR71" s="1"/>
      <c r="QQS71" s="1"/>
      <c r="QQT71" s="1"/>
      <c r="QQU71" s="1"/>
      <c r="QQV71" s="1"/>
      <c r="QQW71" s="1"/>
      <c r="QQX71" s="1"/>
      <c r="QQY71" s="1"/>
      <c r="QQZ71" s="1"/>
      <c r="QRA71" s="1"/>
      <c r="QRB71" s="1"/>
      <c r="QRC71" s="1"/>
      <c r="QRD71" s="1"/>
      <c r="QRE71" s="1"/>
      <c r="QRF71" s="1"/>
      <c r="QRG71" s="1"/>
      <c r="QRH71" s="1"/>
      <c r="QRI71" s="1"/>
      <c r="QRJ71" s="1"/>
      <c r="QRK71" s="1"/>
      <c r="QRL71" s="1"/>
      <c r="QRM71" s="1"/>
      <c r="QRN71" s="1"/>
      <c r="QRO71" s="1"/>
      <c r="QRP71" s="1"/>
      <c r="QRQ71" s="1"/>
      <c r="QRR71" s="1"/>
      <c r="QRS71" s="1"/>
      <c r="QRT71" s="1"/>
      <c r="QRU71" s="1"/>
      <c r="QRV71" s="1"/>
      <c r="QRW71" s="1"/>
      <c r="QRX71" s="1"/>
      <c r="QRY71" s="1"/>
      <c r="QRZ71" s="1"/>
      <c r="QSA71" s="1"/>
      <c r="QSB71" s="1"/>
      <c r="QSC71" s="1"/>
      <c r="QSD71" s="1"/>
      <c r="QSE71" s="1"/>
      <c r="QSF71" s="1"/>
      <c r="QSG71" s="1"/>
      <c r="QSH71" s="1"/>
      <c r="QSI71" s="1"/>
      <c r="QSJ71" s="1"/>
      <c r="QSK71" s="1"/>
      <c r="QSL71" s="1"/>
      <c r="QSM71" s="1"/>
      <c r="QSN71" s="1"/>
      <c r="QSO71" s="1"/>
      <c r="QSP71" s="1"/>
      <c r="QSQ71" s="1"/>
      <c r="QSR71" s="1"/>
      <c r="QSS71" s="1"/>
      <c r="QST71" s="1"/>
      <c r="QSU71" s="1"/>
      <c r="QSV71" s="1"/>
      <c r="QSW71" s="1"/>
      <c r="QSX71" s="1"/>
      <c r="QSY71" s="1"/>
      <c r="QSZ71" s="1"/>
      <c r="QTA71" s="1"/>
      <c r="QTB71" s="1"/>
      <c r="QTC71" s="1"/>
      <c r="QTD71" s="1"/>
      <c r="QTE71" s="1"/>
      <c r="QTF71" s="1"/>
      <c r="QTG71" s="1"/>
      <c r="QTH71" s="1"/>
      <c r="QTI71" s="1"/>
      <c r="QTJ71" s="1"/>
      <c r="QTK71" s="1"/>
      <c r="QTL71" s="1"/>
      <c r="QTM71" s="1"/>
      <c r="QTN71" s="1"/>
      <c r="QTO71" s="1"/>
      <c r="QTP71" s="1"/>
      <c r="QTQ71" s="1"/>
      <c r="QTR71" s="1"/>
      <c r="QTS71" s="1"/>
      <c r="QTT71" s="1"/>
      <c r="QTU71" s="1"/>
      <c r="QTV71" s="1"/>
      <c r="QTW71" s="1"/>
      <c r="QTX71" s="1"/>
      <c r="QTY71" s="1"/>
      <c r="QTZ71" s="1"/>
      <c r="QUA71" s="1"/>
      <c r="QUB71" s="1"/>
      <c r="QUC71" s="1"/>
      <c r="QUD71" s="1"/>
      <c r="QUE71" s="1"/>
      <c r="QUF71" s="1"/>
      <c r="QUG71" s="1"/>
      <c r="QUH71" s="1"/>
      <c r="QUI71" s="1"/>
      <c r="QUJ71" s="1"/>
      <c r="QUK71" s="1"/>
      <c r="QUL71" s="1"/>
      <c r="QUM71" s="1"/>
      <c r="QUN71" s="1"/>
      <c r="QUO71" s="1"/>
      <c r="QUP71" s="1"/>
      <c r="QUQ71" s="1"/>
      <c r="QUR71" s="1"/>
      <c r="QUS71" s="1"/>
      <c r="QUT71" s="1"/>
      <c r="QUU71" s="1"/>
      <c r="QUV71" s="1"/>
      <c r="QUW71" s="1"/>
      <c r="QUX71" s="1"/>
      <c r="QUY71" s="1"/>
      <c r="QUZ71" s="1"/>
      <c r="QVA71" s="1"/>
      <c r="QVB71" s="1"/>
      <c r="QVC71" s="1"/>
      <c r="QVD71" s="1"/>
      <c r="QVE71" s="1"/>
      <c r="QVF71" s="1"/>
      <c r="QVG71" s="1"/>
      <c r="QVH71" s="1"/>
      <c r="QVI71" s="1"/>
      <c r="QVJ71" s="1"/>
      <c r="QVK71" s="1"/>
      <c r="QVL71" s="1"/>
      <c r="QVM71" s="1"/>
      <c r="QVN71" s="1"/>
      <c r="QVO71" s="1"/>
      <c r="QVP71" s="1"/>
      <c r="QVQ71" s="1"/>
      <c r="QVR71" s="1"/>
      <c r="QVS71" s="1"/>
      <c r="QVT71" s="1"/>
      <c r="QVU71" s="1"/>
      <c r="QVV71" s="1"/>
      <c r="QVW71" s="1"/>
      <c r="QVX71" s="1"/>
      <c r="QVY71" s="1"/>
      <c r="QVZ71" s="1"/>
      <c r="QWA71" s="1"/>
      <c r="QWB71" s="1"/>
      <c r="QWC71" s="1"/>
      <c r="QWD71" s="1"/>
      <c r="QWE71" s="1"/>
      <c r="QWF71" s="1"/>
      <c r="QWG71" s="1"/>
      <c r="QWH71" s="1"/>
      <c r="QWI71" s="1"/>
      <c r="QWJ71" s="1"/>
      <c r="QWK71" s="1"/>
      <c r="QWL71" s="1"/>
      <c r="QWM71" s="1"/>
      <c r="QWN71" s="1"/>
      <c r="QWO71" s="1"/>
      <c r="QWP71" s="1"/>
      <c r="QWQ71" s="1"/>
      <c r="QWR71" s="1"/>
      <c r="QWS71" s="1"/>
      <c r="QWT71" s="1"/>
      <c r="QWU71" s="1"/>
      <c r="QWV71" s="1"/>
      <c r="QWW71" s="1"/>
      <c r="QWX71" s="1"/>
      <c r="QWY71" s="1"/>
      <c r="QWZ71" s="1"/>
      <c r="QXA71" s="1"/>
      <c r="QXB71" s="1"/>
      <c r="QXC71" s="1"/>
      <c r="QXD71" s="1"/>
      <c r="QXE71" s="1"/>
      <c r="QXF71" s="1"/>
      <c r="QXG71" s="1"/>
      <c r="QXH71" s="1"/>
      <c r="QXI71" s="1"/>
      <c r="QXJ71" s="1"/>
      <c r="QXK71" s="1"/>
      <c r="QXL71" s="1"/>
      <c r="QXM71" s="1"/>
      <c r="QXN71" s="1"/>
      <c r="QXO71" s="1"/>
      <c r="QXP71" s="1"/>
      <c r="QXQ71" s="1"/>
      <c r="QXR71" s="1"/>
      <c r="QXS71" s="1"/>
      <c r="QXT71" s="1"/>
      <c r="QXU71" s="1"/>
      <c r="QXV71" s="1"/>
      <c r="QXW71" s="1"/>
      <c r="QXX71" s="1"/>
      <c r="QXY71" s="1"/>
      <c r="QXZ71" s="1"/>
      <c r="QYA71" s="1"/>
      <c r="QYB71" s="1"/>
      <c r="QYC71" s="1"/>
      <c r="QYD71" s="1"/>
      <c r="QYE71" s="1"/>
      <c r="QYF71" s="1"/>
      <c r="QYG71" s="1"/>
      <c r="QYH71" s="1"/>
      <c r="QYI71" s="1"/>
      <c r="QYJ71" s="1"/>
      <c r="QYK71" s="1"/>
      <c r="QYL71" s="1"/>
      <c r="QYM71" s="1"/>
      <c r="QYN71" s="1"/>
      <c r="QYO71" s="1"/>
      <c r="QYP71" s="1"/>
      <c r="QYQ71" s="1"/>
      <c r="QYR71" s="1"/>
      <c r="QYS71" s="1"/>
      <c r="QYT71" s="1"/>
      <c r="QYU71" s="1"/>
      <c r="QYV71" s="1"/>
      <c r="QYW71" s="1"/>
      <c r="QYX71" s="1"/>
      <c r="QYY71" s="1"/>
      <c r="QYZ71" s="1"/>
      <c r="QZA71" s="1"/>
      <c r="QZB71" s="1"/>
      <c r="QZC71" s="1"/>
      <c r="QZD71" s="1"/>
      <c r="QZE71" s="1"/>
      <c r="QZF71" s="1"/>
      <c r="QZG71" s="1"/>
      <c r="QZH71" s="1"/>
      <c r="QZI71" s="1"/>
      <c r="QZJ71" s="1"/>
      <c r="QZK71" s="1"/>
      <c r="QZL71" s="1"/>
      <c r="QZM71" s="1"/>
      <c r="QZN71" s="1"/>
      <c r="QZO71" s="1"/>
      <c r="QZP71" s="1"/>
      <c r="QZQ71" s="1"/>
      <c r="QZR71" s="1"/>
      <c r="QZS71" s="1"/>
      <c r="QZT71" s="1"/>
      <c r="QZU71" s="1"/>
      <c r="QZV71" s="1"/>
      <c r="QZW71" s="1"/>
      <c r="QZX71" s="1"/>
      <c r="QZY71" s="1"/>
      <c r="QZZ71" s="1"/>
      <c r="RAA71" s="1"/>
      <c r="RAB71" s="1"/>
      <c r="RAC71" s="1"/>
      <c r="RAD71" s="1"/>
      <c r="RAE71" s="1"/>
      <c r="RAF71" s="1"/>
      <c r="RAG71" s="1"/>
      <c r="RAH71" s="1"/>
      <c r="RAI71" s="1"/>
      <c r="RAJ71" s="1"/>
      <c r="RAK71" s="1"/>
      <c r="RAL71" s="1"/>
      <c r="RAM71" s="1"/>
      <c r="RAN71" s="1"/>
      <c r="RAO71" s="1"/>
      <c r="RAP71" s="1"/>
      <c r="RAQ71" s="1"/>
      <c r="RAR71" s="1"/>
      <c r="RAS71" s="1"/>
      <c r="RAT71" s="1"/>
      <c r="RAU71" s="1"/>
      <c r="RAV71" s="1"/>
      <c r="RAW71" s="1"/>
      <c r="RAX71" s="1"/>
      <c r="RAY71" s="1"/>
      <c r="RAZ71" s="1"/>
      <c r="RBA71" s="1"/>
      <c r="RBB71" s="1"/>
      <c r="RBC71" s="1"/>
      <c r="RBD71" s="1"/>
      <c r="RBE71" s="1"/>
      <c r="RBF71" s="1"/>
      <c r="RBG71" s="1"/>
      <c r="RBH71" s="1"/>
      <c r="RBI71" s="1"/>
      <c r="RBJ71" s="1"/>
      <c r="RBK71" s="1"/>
      <c r="RBL71" s="1"/>
      <c r="RBM71" s="1"/>
      <c r="RBN71" s="1"/>
      <c r="RBO71" s="1"/>
      <c r="RBP71" s="1"/>
      <c r="RBQ71" s="1"/>
      <c r="RBR71" s="1"/>
      <c r="RBS71" s="1"/>
      <c r="RBT71" s="1"/>
      <c r="RBU71" s="1"/>
      <c r="RBV71" s="1"/>
      <c r="RBW71" s="1"/>
      <c r="RBX71" s="1"/>
      <c r="RBY71" s="1"/>
      <c r="RBZ71" s="1"/>
      <c r="RCA71" s="1"/>
      <c r="RCB71" s="1"/>
      <c r="RCC71" s="1"/>
      <c r="RCD71" s="1"/>
      <c r="RCE71" s="1"/>
      <c r="RCF71" s="1"/>
      <c r="RCG71" s="1"/>
      <c r="RCH71" s="1"/>
      <c r="RCI71" s="1"/>
      <c r="RCJ71" s="1"/>
      <c r="RCK71" s="1"/>
      <c r="RCL71" s="1"/>
      <c r="RCM71" s="1"/>
      <c r="RCN71" s="1"/>
      <c r="RCO71" s="1"/>
      <c r="RCP71" s="1"/>
      <c r="RCQ71" s="1"/>
      <c r="RCR71" s="1"/>
      <c r="RCS71" s="1"/>
      <c r="RCT71" s="1"/>
      <c r="RCU71" s="1"/>
      <c r="RCV71" s="1"/>
      <c r="RCW71" s="1"/>
      <c r="RCX71" s="1"/>
      <c r="RCY71" s="1"/>
      <c r="RCZ71" s="1"/>
      <c r="RDA71" s="1"/>
      <c r="RDB71" s="1"/>
      <c r="RDC71" s="1"/>
      <c r="RDD71" s="1"/>
      <c r="RDE71" s="1"/>
      <c r="RDF71" s="1"/>
      <c r="RDG71" s="1"/>
      <c r="RDH71" s="1"/>
      <c r="RDI71" s="1"/>
      <c r="RDJ71" s="1"/>
      <c r="RDK71" s="1"/>
      <c r="RDL71" s="1"/>
      <c r="RDM71" s="1"/>
      <c r="RDN71" s="1"/>
      <c r="RDO71" s="1"/>
      <c r="RDP71" s="1"/>
      <c r="RDQ71" s="1"/>
      <c r="RDR71" s="1"/>
      <c r="RDS71" s="1"/>
      <c r="RDT71" s="1"/>
      <c r="RDU71" s="1"/>
      <c r="RDV71" s="1"/>
      <c r="RDW71" s="1"/>
      <c r="RDX71" s="1"/>
      <c r="RDY71" s="1"/>
      <c r="RDZ71" s="1"/>
      <c r="REA71" s="1"/>
      <c r="REB71" s="1"/>
      <c r="REC71" s="1"/>
      <c r="RED71" s="1"/>
      <c r="REE71" s="1"/>
      <c r="REF71" s="1"/>
      <c r="REG71" s="1"/>
      <c r="REH71" s="1"/>
      <c r="REI71" s="1"/>
      <c r="REJ71" s="1"/>
      <c r="REK71" s="1"/>
      <c r="REL71" s="1"/>
      <c r="REM71" s="1"/>
      <c r="REN71" s="1"/>
      <c r="REO71" s="1"/>
      <c r="REP71" s="1"/>
      <c r="REQ71" s="1"/>
      <c r="RER71" s="1"/>
      <c r="RES71" s="1"/>
      <c r="RET71" s="1"/>
      <c r="REU71" s="1"/>
      <c r="REV71" s="1"/>
      <c r="REW71" s="1"/>
      <c r="REX71" s="1"/>
      <c r="REY71" s="1"/>
      <c r="REZ71" s="1"/>
      <c r="RFA71" s="1"/>
      <c r="RFB71" s="1"/>
      <c r="RFC71" s="1"/>
      <c r="RFD71" s="1"/>
      <c r="RFE71" s="1"/>
      <c r="RFF71" s="1"/>
      <c r="RFG71" s="1"/>
      <c r="RFH71" s="1"/>
      <c r="RFI71" s="1"/>
      <c r="RFJ71" s="1"/>
      <c r="RFK71" s="1"/>
      <c r="RFL71" s="1"/>
      <c r="RFM71" s="1"/>
      <c r="RFN71" s="1"/>
      <c r="RFO71" s="1"/>
      <c r="RFP71" s="1"/>
      <c r="RFQ71" s="1"/>
      <c r="RFR71" s="1"/>
      <c r="RFS71" s="1"/>
      <c r="RFT71" s="1"/>
      <c r="RFU71" s="1"/>
      <c r="RFV71" s="1"/>
      <c r="RFW71" s="1"/>
      <c r="RFX71" s="1"/>
      <c r="RFY71" s="1"/>
      <c r="RFZ71" s="1"/>
      <c r="RGA71" s="1"/>
      <c r="RGB71" s="1"/>
      <c r="RGC71" s="1"/>
      <c r="RGD71" s="1"/>
      <c r="RGE71" s="1"/>
      <c r="RGF71" s="1"/>
      <c r="RGG71" s="1"/>
      <c r="RGH71" s="1"/>
      <c r="RGI71" s="1"/>
      <c r="RGJ71" s="1"/>
      <c r="RGK71" s="1"/>
      <c r="RGL71" s="1"/>
      <c r="RGM71" s="1"/>
      <c r="RGN71" s="1"/>
      <c r="RGO71" s="1"/>
      <c r="RGP71" s="1"/>
      <c r="RGQ71" s="1"/>
      <c r="RGR71" s="1"/>
      <c r="RGS71" s="1"/>
      <c r="RGT71" s="1"/>
      <c r="RGU71" s="1"/>
      <c r="RGV71" s="1"/>
      <c r="RGW71" s="1"/>
      <c r="RGX71" s="1"/>
      <c r="RGY71" s="1"/>
      <c r="RGZ71" s="1"/>
      <c r="RHA71" s="1"/>
      <c r="RHB71" s="1"/>
      <c r="RHC71" s="1"/>
      <c r="RHD71" s="1"/>
      <c r="RHE71" s="1"/>
      <c r="RHF71" s="1"/>
      <c r="RHG71" s="1"/>
      <c r="RHH71" s="1"/>
      <c r="RHI71" s="1"/>
      <c r="RHJ71" s="1"/>
      <c r="RHK71" s="1"/>
      <c r="RHL71" s="1"/>
      <c r="RHM71" s="1"/>
      <c r="RHN71" s="1"/>
      <c r="RHO71" s="1"/>
      <c r="RHP71" s="1"/>
      <c r="RHQ71" s="1"/>
      <c r="RHR71" s="1"/>
      <c r="RHS71" s="1"/>
      <c r="RHT71" s="1"/>
      <c r="RHU71" s="1"/>
      <c r="RHV71" s="1"/>
      <c r="RHW71" s="1"/>
      <c r="RHX71" s="1"/>
      <c r="RHY71" s="1"/>
      <c r="RHZ71" s="1"/>
      <c r="RIA71" s="1"/>
      <c r="RIB71" s="1"/>
      <c r="RIC71" s="1"/>
      <c r="RID71" s="1"/>
      <c r="RIE71" s="1"/>
      <c r="RIF71" s="1"/>
      <c r="RIG71" s="1"/>
      <c r="RIH71" s="1"/>
      <c r="RII71" s="1"/>
      <c r="RIJ71" s="1"/>
      <c r="RIK71" s="1"/>
      <c r="RIL71" s="1"/>
      <c r="RIM71" s="1"/>
      <c r="RIN71" s="1"/>
      <c r="RIO71" s="1"/>
      <c r="RIP71" s="1"/>
      <c r="RIQ71" s="1"/>
      <c r="RIR71" s="1"/>
      <c r="RIS71" s="1"/>
      <c r="RIT71" s="1"/>
      <c r="RIU71" s="1"/>
      <c r="RIV71" s="1"/>
      <c r="RIW71" s="1"/>
      <c r="RIX71" s="1"/>
      <c r="RIY71" s="1"/>
      <c r="RIZ71" s="1"/>
      <c r="RJA71" s="1"/>
      <c r="RJB71" s="1"/>
      <c r="RJC71" s="1"/>
      <c r="RJD71" s="1"/>
      <c r="RJE71" s="1"/>
      <c r="RJF71" s="1"/>
      <c r="RJG71" s="1"/>
      <c r="RJH71" s="1"/>
      <c r="RJI71" s="1"/>
      <c r="RJJ71" s="1"/>
      <c r="RJK71" s="1"/>
      <c r="RJL71" s="1"/>
      <c r="RJM71" s="1"/>
      <c r="RJN71" s="1"/>
      <c r="RJO71" s="1"/>
      <c r="RJP71" s="1"/>
      <c r="RJQ71" s="1"/>
      <c r="RJR71" s="1"/>
      <c r="RJS71" s="1"/>
      <c r="RJT71" s="1"/>
      <c r="RJU71" s="1"/>
      <c r="RJV71" s="1"/>
      <c r="RJW71" s="1"/>
      <c r="RJX71" s="1"/>
      <c r="RJY71" s="1"/>
      <c r="RJZ71" s="1"/>
      <c r="RKA71" s="1"/>
      <c r="RKB71" s="1"/>
      <c r="RKC71" s="1"/>
      <c r="RKD71" s="1"/>
      <c r="RKE71" s="1"/>
      <c r="RKF71" s="1"/>
      <c r="RKG71" s="1"/>
      <c r="RKH71" s="1"/>
      <c r="RKI71" s="1"/>
      <c r="RKJ71" s="1"/>
      <c r="RKK71" s="1"/>
      <c r="RKL71" s="1"/>
      <c r="RKM71" s="1"/>
      <c r="RKN71" s="1"/>
      <c r="RKO71" s="1"/>
      <c r="RKP71" s="1"/>
      <c r="RKQ71" s="1"/>
      <c r="RKR71" s="1"/>
      <c r="RKS71" s="1"/>
      <c r="RKT71" s="1"/>
      <c r="RKU71" s="1"/>
      <c r="RKV71" s="1"/>
      <c r="RKW71" s="1"/>
      <c r="RKX71" s="1"/>
      <c r="RKY71" s="1"/>
      <c r="RKZ71" s="1"/>
      <c r="RLA71" s="1"/>
      <c r="RLB71" s="1"/>
      <c r="RLC71" s="1"/>
      <c r="RLD71" s="1"/>
      <c r="RLE71" s="1"/>
      <c r="RLF71" s="1"/>
      <c r="RLG71" s="1"/>
      <c r="RLH71" s="1"/>
      <c r="RLI71" s="1"/>
      <c r="RLJ71" s="1"/>
      <c r="RLK71" s="1"/>
      <c r="RLL71" s="1"/>
      <c r="RLM71" s="1"/>
      <c r="RLN71" s="1"/>
      <c r="RLO71" s="1"/>
      <c r="RLP71" s="1"/>
      <c r="RLQ71" s="1"/>
      <c r="RLR71" s="1"/>
      <c r="RLS71" s="1"/>
      <c r="RLT71" s="1"/>
      <c r="RLU71" s="1"/>
      <c r="RLV71" s="1"/>
      <c r="RLW71" s="1"/>
      <c r="RLX71" s="1"/>
      <c r="RLY71" s="1"/>
      <c r="RLZ71" s="1"/>
      <c r="RMA71" s="1"/>
      <c r="RMB71" s="1"/>
      <c r="RMC71" s="1"/>
      <c r="RMD71" s="1"/>
      <c r="RME71" s="1"/>
      <c r="RMF71" s="1"/>
      <c r="RMG71" s="1"/>
      <c r="RMH71" s="1"/>
      <c r="RMI71" s="1"/>
      <c r="RMJ71" s="1"/>
      <c r="RMK71" s="1"/>
      <c r="RML71" s="1"/>
      <c r="RMM71" s="1"/>
      <c r="RMN71" s="1"/>
      <c r="RMO71" s="1"/>
      <c r="RMP71" s="1"/>
      <c r="RMQ71" s="1"/>
      <c r="RMR71" s="1"/>
      <c r="RMS71" s="1"/>
      <c r="RMT71" s="1"/>
      <c r="RMU71" s="1"/>
      <c r="RMV71" s="1"/>
      <c r="RMW71" s="1"/>
      <c r="RMX71" s="1"/>
      <c r="RMY71" s="1"/>
      <c r="RMZ71" s="1"/>
      <c r="RNA71" s="1"/>
      <c r="RNB71" s="1"/>
      <c r="RNC71" s="1"/>
      <c r="RND71" s="1"/>
      <c r="RNE71" s="1"/>
      <c r="RNF71" s="1"/>
      <c r="RNG71" s="1"/>
      <c r="RNH71" s="1"/>
      <c r="RNI71" s="1"/>
      <c r="RNJ71" s="1"/>
      <c r="RNK71" s="1"/>
      <c r="RNL71" s="1"/>
      <c r="RNM71" s="1"/>
      <c r="RNN71" s="1"/>
      <c r="RNO71" s="1"/>
      <c r="RNP71" s="1"/>
      <c r="RNQ71" s="1"/>
      <c r="RNR71" s="1"/>
      <c r="RNS71" s="1"/>
      <c r="RNT71" s="1"/>
      <c r="RNU71" s="1"/>
      <c r="RNV71" s="1"/>
      <c r="RNW71" s="1"/>
      <c r="RNX71" s="1"/>
      <c r="RNY71" s="1"/>
      <c r="RNZ71" s="1"/>
      <c r="ROA71" s="1"/>
      <c r="ROB71" s="1"/>
      <c r="ROC71" s="1"/>
      <c r="ROD71" s="1"/>
      <c r="ROE71" s="1"/>
      <c r="ROF71" s="1"/>
      <c r="ROG71" s="1"/>
      <c r="ROH71" s="1"/>
      <c r="ROI71" s="1"/>
      <c r="ROJ71" s="1"/>
      <c r="ROK71" s="1"/>
      <c r="ROL71" s="1"/>
      <c r="ROM71" s="1"/>
      <c r="RON71" s="1"/>
      <c r="ROO71" s="1"/>
      <c r="ROP71" s="1"/>
      <c r="ROQ71" s="1"/>
      <c r="ROR71" s="1"/>
      <c r="ROS71" s="1"/>
      <c r="ROT71" s="1"/>
      <c r="ROU71" s="1"/>
      <c r="ROV71" s="1"/>
      <c r="ROW71" s="1"/>
      <c r="ROX71" s="1"/>
      <c r="ROY71" s="1"/>
      <c r="ROZ71" s="1"/>
      <c r="RPA71" s="1"/>
      <c r="RPB71" s="1"/>
      <c r="RPC71" s="1"/>
      <c r="RPD71" s="1"/>
      <c r="RPE71" s="1"/>
      <c r="RPF71" s="1"/>
      <c r="RPG71" s="1"/>
      <c r="RPH71" s="1"/>
      <c r="RPI71" s="1"/>
      <c r="RPJ71" s="1"/>
      <c r="RPK71" s="1"/>
      <c r="RPL71" s="1"/>
      <c r="RPM71" s="1"/>
      <c r="RPN71" s="1"/>
      <c r="RPO71" s="1"/>
      <c r="RPP71" s="1"/>
      <c r="RPQ71" s="1"/>
      <c r="RPR71" s="1"/>
      <c r="RPS71" s="1"/>
      <c r="RPT71" s="1"/>
      <c r="RPU71" s="1"/>
      <c r="RPV71" s="1"/>
      <c r="RPW71" s="1"/>
      <c r="RPX71" s="1"/>
      <c r="RPY71" s="1"/>
      <c r="RPZ71" s="1"/>
      <c r="RQA71" s="1"/>
      <c r="RQB71" s="1"/>
      <c r="RQC71" s="1"/>
      <c r="RQD71" s="1"/>
      <c r="RQE71" s="1"/>
      <c r="RQF71" s="1"/>
      <c r="RQG71" s="1"/>
      <c r="RQH71" s="1"/>
      <c r="RQI71" s="1"/>
      <c r="RQJ71" s="1"/>
      <c r="RQK71" s="1"/>
      <c r="RQL71" s="1"/>
      <c r="RQM71" s="1"/>
      <c r="RQN71" s="1"/>
      <c r="RQO71" s="1"/>
      <c r="RQP71" s="1"/>
      <c r="RQQ71" s="1"/>
      <c r="RQR71" s="1"/>
      <c r="RQS71" s="1"/>
      <c r="RQT71" s="1"/>
      <c r="RQU71" s="1"/>
      <c r="RQV71" s="1"/>
      <c r="RQW71" s="1"/>
      <c r="RQX71" s="1"/>
      <c r="RQY71" s="1"/>
      <c r="RQZ71" s="1"/>
      <c r="RRA71" s="1"/>
      <c r="RRB71" s="1"/>
      <c r="RRC71" s="1"/>
      <c r="RRD71" s="1"/>
      <c r="RRE71" s="1"/>
      <c r="RRF71" s="1"/>
      <c r="RRG71" s="1"/>
      <c r="RRH71" s="1"/>
      <c r="RRI71" s="1"/>
      <c r="RRJ71" s="1"/>
      <c r="RRK71" s="1"/>
      <c r="RRL71" s="1"/>
      <c r="RRM71" s="1"/>
      <c r="RRN71" s="1"/>
      <c r="RRO71" s="1"/>
      <c r="RRP71" s="1"/>
      <c r="RRQ71" s="1"/>
      <c r="RRR71" s="1"/>
      <c r="RRS71" s="1"/>
      <c r="RRT71" s="1"/>
      <c r="RRU71" s="1"/>
      <c r="RRV71" s="1"/>
      <c r="RRW71" s="1"/>
      <c r="RRX71" s="1"/>
      <c r="RRY71" s="1"/>
      <c r="RRZ71" s="1"/>
      <c r="RSA71" s="1"/>
      <c r="RSB71" s="1"/>
      <c r="RSC71" s="1"/>
      <c r="RSD71" s="1"/>
      <c r="RSE71" s="1"/>
      <c r="RSF71" s="1"/>
      <c r="RSG71" s="1"/>
      <c r="RSH71" s="1"/>
      <c r="RSI71" s="1"/>
      <c r="RSJ71" s="1"/>
      <c r="RSK71" s="1"/>
      <c r="RSL71" s="1"/>
      <c r="RSM71" s="1"/>
      <c r="RSN71" s="1"/>
      <c r="RSO71" s="1"/>
      <c r="RSP71" s="1"/>
      <c r="RSQ71" s="1"/>
      <c r="RSR71" s="1"/>
      <c r="RSS71" s="1"/>
      <c r="RST71" s="1"/>
      <c r="RSU71" s="1"/>
      <c r="RSV71" s="1"/>
      <c r="RSW71" s="1"/>
      <c r="RSX71" s="1"/>
      <c r="RSY71" s="1"/>
      <c r="RSZ71" s="1"/>
      <c r="RTA71" s="1"/>
      <c r="RTB71" s="1"/>
      <c r="RTC71" s="1"/>
      <c r="RTD71" s="1"/>
      <c r="RTE71" s="1"/>
      <c r="RTF71" s="1"/>
      <c r="RTG71" s="1"/>
      <c r="RTH71" s="1"/>
      <c r="RTI71" s="1"/>
      <c r="RTJ71" s="1"/>
      <c r="RTK71" s="1"/>
      <c r="RTL71" s="1"/>
      <c r="RTM71" s="1"/>
      <c r="RTN71" s="1"/>
      <c r="RTO71" s="1"/>
      <c r="RTP71" s="1"/>
      <c r="RTQ71" s="1"/>
      <c r="RTR71" s="1"/>
      <c r="RTS71" s="1"/>
      <c r="RTT71" s="1"/>
      <c r="RTU71" s="1"/>
      <c r="RTV71" s="1"/>
      <c r="RTW71" s="1"/>
      <c r="RTX71" s="1"/>
      <c r="RTY71" s="1"/>
      <c r="RTZ71" s="1"/>
      <c r="RUA71" s="1"/>
      <c r="RUB71" s="1"/>
      <c r="RUC71" s="1"/>
      <c r="RUD71" s="1"/>
      <c r="RUE71" s="1"/>
      <c r="RUF71" s="1"/>
      <c r="RUG71" s="1"/>
      <c r="RUH71" s="1"/>
      <c r="RUI71" s="1"/>
      <c r="RUJ71" s="1"/>
      <c r="RUK71" s="1"/>
      <c r="RUL71" s="1"/>
      <c r="RUM71" s="1"/>
      <c r="RUN71" s="1"/>
      <c r="RUO71" s="1"/>
      <c r="RUP71" s="1"/>
      <c r="RUQ71" s="1"/>
      <c r="RUR71" s="1"/>
      <c r="RUS71" s="1"/>
      <c r="RUT71" s="1"/>
      <c r="RUU71" s="1"/>
      <c r="RUV71" s="1"/>
      <c r="RUW71" s="1"/>
      <c r="RUX71" s="1"/>
      <c r="RUY71" s="1"/>
      <c r="RUZ71" s="1"/>
      <c r="RVA71" s="1"/>
      <c r="RVB71" s="1"/>
      <c r="RVC71" s="1"/>
      <c r="RVD71" s="1"/>
      <c r="RVE71" s="1"/>
      <c r="RVF71" s="1"/>
      <c r="RVG71" s="1"/>
      <c r="RVH71" s="1"/>
      <c r="RVI71" s="1"/>
      <c r="RVJ71" s="1"/>
      <c r="RVK71" s="1"/>
      <c r="RVL71" s="1"/>
      <c r="RVM71" s="1"/>
      <c r="RVN71" s="1"/>
      <c r="RVO71" s="1"/>
      <c r="RVP71" s="1"/>
      <c r="RVQ71" s="1"/>
      <c r="RVR71" s="1"/>
      <c r="RVS71" s="1"/>
      <c r="RVT71" s="1"/>
      <c r="RVU71" s="1"/>
      <c r="RVV71" s="1"/>
      <c r="RVW71" s="1"/>
      <c r="RVX71" s="1"/>
      <c r="RVY71" s="1"/>
      <c r="RVZ71" s="1"/>
      <c r="RWA71" s="1"/>
      <c r="RWB71" s="1"/>
      <c r="RWC71" s="1"/>
      <c r="RWD71" s="1"/>
      <c r="RWE71" s="1"/>
      <c r="RWF71" s="1"/>
      <c r="RWG71" s="1"/>
      <c r="RWH71" s="1"/>
      <c r="RWI71" s="1"/>
      <c r="RWJ71" s="1"/>
      <c r="RWK71" s="1"/>
      <c r="RWL71" s="1"/>
      <c r="RWM71" s="1"/>
      <c r="RWN71" s="1"/>
      <c r="RWO71" s="1"/>
      <c r="RWP71" s="1"/>
      <c r="RWQ71" s="1"/>
      <c r="RWR71" s="1"/>
      <c r="RWS71" s="1"/>
      <c r="RWT71" s="1"/>
      <c r="RWU71" s="1"/>
      <c r="RWV71" s="1"/>
      <c r="RWW71" s="1"/>
      <c r="RWX71" s="1"/>
      <c r="RWY71" s="1"/>
      <c r="RWZ71" s="1"/>
      <c r="RXA71" s="1"/>
      <c r="RXB71" s="1"/>
      <c r="RXC71" s="1"/>
      <c r="RXD71" s="1"/>
      <c r="RXE71" s="1"/>
      <c r="RXF71" s="1"/>
      <c r="RXG71" s="1"/>
      <c r="RXH71" s="1"/>
      <c r="RXI71" s="1"/>
      <c r="RXJ71" s="1"/>
      <c r="RXK71" s="1"/>
      <c r="RXL71" s="1"/>
      <c r="RXM71" s="1"/>
      <c r="RXN71" s="1"/>
      <c r="RXO71" s="1"/>
      <c r="RXP71" s="1"/>
      <c r="RXQ71" s="1"/>
      <c r="RXR71" s="1"/>
      <c r="RXS71" s="1"/>
      <c r="RXT71" s="1"/>
      <c r="RXU71" s="1"/>
      <c r="RXV71" s="1"/>
      <c r="RXW71" s="1"/>
      <c r="RXX71" s="1"/>
      <c r="RXY71" s="1"/>
      <c r="RXZ71" s="1"/>
      <c r="RYA71" s="1"/>
      <c r="RYB71" s="1"/>
      <c r="RYC71" s="1"/>
      <c r="RYD71" s="1"/>
      <c r="RYE71" s="1"/>
      <c r="RYF71" s="1"/>
      <c r="RYG71" s="1"/>
      <c r="RYH71" s="1"/>
      <c r="RYI71" s="1"/>
      <c r="RYJ71" s="1"/>
      <c r="RYK71" s="1"/>
      <c r="RYL71" s="1"/>
      <c r="RYM71" s="1"/>
      <c r="RYN71" s="1"/>
      <c r="RYO71" s="1"/>
      <c r="RYP71" s="1"/>
      <c r="RYQ71" s="1"/>
      <c r="RYR71" s="1"/>
      <c r="RYS71" s="1"/>
      <c r="RYT71" s="1"/>
      <c r="RYU71" s="1"/>
      <c r="RYV71" s="1"/>
      <c r="RYW71" s="1"/>
      <c r="RYX71" s="1"/>
      <c r="RYY71" s="1"/>
      <c r="RYZ71" s="1"/>
      <c r="RZA71" s="1"/>
      <c r="RZB71" s="1"/>
      <c r="RZC71" s="1"/>
      <c r="RZD71" s="1"/>
      <c r="RZE71" s="1"/>
      <c r="RZF71" s="1"/>
      <c r="RZG71" s="1"/>
      <c r="RZH71" s="1"/>
      <c r="RZI71" s="1"/>
      <c r="RZJ71" s="1"/>
      <c r="RZK71" s="1"/>
      <c r="RZL71" s="1"/>
      <c r="RZM71" s="1"/>
      <c r="RZN71" s="1"/>
      <c r="RZO71" s="1"/>
      <c r="RZP71" s="1"/>
      <c r="RZQ71" s="1"/>
      <c r="RZR71" s="1"/>
      <c r="RZS71" s="1"/>
      <c r="RZT71" s="1"/>
      <c r="RZU71" s="1"/>
      <c r="RZV71" s="1"/>
      <c r="RZW71" s="1"/>
      <c r="RZX71" s="1"/>
      <c r="RZY71" s="1"/>
      <c r="RZZ71" s="1"/>
      <c r="SAA71" s="1"/>
      <c r="SAB71" s="1"/>
      <c r="SAC71" s="1"/>
      <c r="SAD71" s="1"/>
      <c r="SAE71" s="1"/>
      <c r="SAF71" s="1"/>
      <c r="SAG71" s="1"/>
      <c r="SAH71" s="1"/>
      <c r="SAI71" s="1"/>
      <c r="SAJ71" s="1"/>
      <c r="SAK71" s="1"/>
      <c r="SAL71" s="1"/>
      <c r="SAM71" s="1"/>
      <c r="SAN71" s="1"/>
      <c r="SAO71" s="1"/>
      <c r="SAP71" s="1"/>
      <c r="SAQ71" s="1"/>
      <c r="SAR71" s="1"/>
      <c r="SAS71" s="1"/>
      <c r="SAT71" s="1"/>
      <c r="SAU71" s="1"/>
      <c r="SAV71" s="1"/>
      <c r="SAW71" s="1"/>
      <c r="SAX71" s="1"/>
      <c r="SAY71" s="1"/>
      <c r="SAZ71" s="1"/>
      <c r="SBA71" s="1"/>
      <c r="SBB71" s="1"/>
      <c r="SBC71" s="1"/>
      <c r="SBD71" s="1"/>
      <c r="SBE71" s="1"/>
      <c r="SBF71" s="1"/>
      <c r="SBG71" s="1"/>
      <c r="SBH71" s="1"/>
      <c r="SBI71" s="1"/>
      <c r="SBJ71" s="1"/>
      <c r="SBK71" s="1"/>
      <c r="SBL71" s="1"/>
      <c r="SBM71" s="1"/>
      <c r="SBN71" s="1"/>
      <c r="SBO71" s="1"/>
      <c r="SBP71" s="1"/>
      <c r="SBQ71" s="1"/>
      <c r="SBR71" s="1"/>
      <c r="SBS71" s="1"/>
      <c r="SBT71" s="1"/>
      <c r="SBU71" s="1"/>
      <c r="SBV71" s="1"/>
      <c r="SBW71" s="1"/>
      <c r="SBX71" s="1"/>
      <c r="SBY71" s="1"/>
      <c r="SBZ71" s="1"/>
      <c r="SCA71" s="1"/>
      <c r="SCB71" s="1"/>
      <c r="SCC71" s="1"/>
      <c r="SCD71" s="1"/>
      <c r="SCE71" s="1"/>
      <c r="SCF71" s="1"/>
      <c r="SCG71" s="1"/>
      <c r="SCH71" s="1"/>
      <c r="SCI71" s="1"/>
      <c r="SCJ71" s="1"/>
      <c r="SCK71" s="1"/>
      <c r="SCL71" s="1"/>
      <c r="SCM71" s="1"/>
      <c r="SCN71" s="1"/>
      <c r="SCO71" s="1"/>
      <c r="SCP71" s="1"/>
      <c r="SCQ71" s="1"/>
      <c r="SCR71" s="1"/>
      <c r="SCS71" s="1"/>
      <c r="SCT71" s="1"/>
      <c r="SCU71" s="1"/>
      <c r="SCV71" s="1"/>
      <c r="SCW71" s="1"/>
      <c r="SCX71" s="1"/>
      <c r="SCY71" s="1"/>
      <c r="SCZ71" s="1"/>
      <c r="SDA71" s="1"/>
      <c r="SDB71" s="1"/>
      <c r="SDC71" s="1"/>
      <c r="SDD71" s="1"/>
      <c r="SDE71" s="1"/>
      <c r="SDF71" s="1"/>
      <c r="SDG71" s="1"/>
      <c r="SDH71" s="1"/>
      <c r="SDI71" s="1"/>
      <c r="SDJ71" s="1"/>
      <c r="SDK71" s="1"/>
      <c r="SDL71" s="1"/>
      <c r="SDM71" s="1"/>
      <c r="SDN71" s="1"/>
      <c r="SDO71" s="1"/>
      <c r="SDP71" s="1"/>
      <c r="SDQ71" s="1"/>
      <c r="SDR71" s="1"/>
      <c r="SDS71" s="1"/>
      <c r="SDT71" s="1"/>
      <c r="SDU71" s="1"/>
      <c r="SDV71" s="1"/>
      <c r="SDW71" s="1"/>
      <c r="SDX71" s="1"/>
      <c r="SDY71" s="1"/>
      <c r="SDZ71" s="1"/>
      <c r="SEA71" s="1"/>
      <c r="SEB71" s="1"/>
      <c r="SEC71" s="1"/>
      <c r="SED71" s="1"/>
      <c r="SEE71" s="1"/>
      <c r="SEF71" s="1"/>
      <c r="SEG71" s="1"/>
      <c r="SEH71" s="1"/>
      <c r="SEI71" s="1"/>
      <c r="SEJ71" s="1"/>
      <c r="SEK71" s="1"/>
      <c r="SEL71" s="1"/>
      <c r="SEM71" s="1"/>
      <c r="SEN71" s="1"/>
      <c r="SEO71" s="1"/>
      <c r="SEP71" s="1"/>
      <c r="SEQ71" s="1"/>
      <c r="SER71" s="1"/>
      <c r="SES71" s="1"/>
      <c r="SET71" s="1"/>
      <c r="SEU71" s="1"/>
      <c r="SEV71" s="1"/>
      <c r="SEW71" s="1"/>
      <c r="SEX71" s="1"/>
      <c r="SEY71" s="1"/>
      <c r="SEZ71" s="1"/>
      <c r="SFA71" s="1"/>
      <c r="SFB71" s="1"/>
      <c r="SFC71" s="1"/>
      <c r="SFD71" s="1"/>
      <c r="SFE71" s="1"/>
      <c r="SFF71" s="1"/>
      <c r="SFG71" s="1"/>
      <c r="SFH71" s="1"/>
      <c r="SFI71" s="1"/>
      <c r="SFJ71" s="1"/>
      <c r="SFK71" s="1"/>
      <c r="SFL71" s="1"/>
      <c r="SFM71" s="1"/>
      <c r="SFN71" s="1"/>
      <c r="SFO71" s="1"/>
      <c r="SFP71" s="1"/>
      <c r="SFQ71" s="1"/>
      <c r="SFR71" s="1"/>
      <c r="SFS71" s="1"/>
      <c r="SFT71" s="1"/>
      <c r="SFU71" s="1"/>
      <c r="SFV71" s="1"/>
      <c r="SFW71" s="1"/>
      <c r="SFX71" s="1"/>
      <c r="SFY71" s="1"/>
      <c r="SFZ71" s="1"/>
      <c r="SGA71" s="1"/>
      <c r="SGB71" s="1"/>
      <c r="SGC71" s="1"/>
      <c r="SGD71" s="1"/>
      <c r="SGE71" s="1"/>
      <c r="SGF71" s="1"/>
      <c r="SGG71" s="1"/>
      <c r="SGH71" s="1"/>
      <c r="SGI71" s="1"/>
      <c r="SGJ71" s="1"/>
      <c r="SGK71" s="1"/>
      <c r="SGL71" s="1"/>
      <c r="SGM71" s="1"/>
      <c r="SGN71" s="1"/>
      <c r="SGO71" s="1"/>
      <c r="SGP71" s="1"/>
      <c r="SGQ71" s="1"/>
      <c r="SGR71" s="1"/>
      <c r="SGS71" s="1"/>
      <c r="SGT71" s="1"/>
      <c r="SGU71" s="1"/>
      <c r="SGV71" s="1"/>
      <c r="SGW71" s="1"/>
      <c r="SGX71" s="1"/>
      <c r="SGY71" s="1"/>
      <c r="SGZ71" s="1"/>
      <c r="SHA71" s="1"/>
      <c r="SHB71" s="1"/>
      <c r="SHC71" s="1"/>
      <c r="SHD71" s="1"/>
      <c r="SHE71" s="1"/>
      <c r="SHF71" s="1"/>
      <c r="SHG71" s="1"/>
      <c r="SHH71" s="1"/>
      <c r="SHI71" s="1"/>
      <c r="SHJ71" s="1"/>
      <c r="SHK71" s="1"/>
      <c r="SHL71" s="1"/>
      <c r="SHM71" s="1"/>
      <c r="SHN71" s="1"/>
      <c r="SHO71" s="1"/>
      <c r="SHP71" s="1"/>
      <c r="SHQ71" s="1"/>
      <c r="SHR71" s="1"/>
      <c r="SHS71" s="1"/>
      <c r="SHT71" s="1"/>
      <c r="SHU71" s="1"/>
      <c r="SHV71" s="1"/>
      <c r="SHW71" s="1"/>
      <c r="SHX71" s="1"/>
      <c r="SHY71" s="1"/>
      <c r="SHZ71" s="1"/>
      <c r="SIA71" s="1"/>
      <c r="SIB71" s="1"/>
      <c r="SIC71" s="1"/>
      <c r="SID71" s="1"/>
      <c r="SIE71" s="1"/>
      <c r="SIF71" s="1"/>
      <c r="SIG71" s="1"/>
      <c r="SIH71" s="1"/>
      <c r="SII71" s="1"/>
      <c r="SIJ71" s="1"/>
      <c r="SIK71" s="1"/>
      <c r="SIL71" s="1"/>
      <c r="SIM71" s="1"/>
      <c r="SIN71" s="1"/>
      <c r="SIO71" s="1"/>
      <c r="SIP71" s="1"/>
      <c r="SIQ71" s="1"/>
      <c r="SIR71" s="1"/>
      <c r="SIS71" s="1"/>
      <c r="SIT71" s="1"/>
      <c r="SIU71" s="1"/>
      <c r="SIV71" s="1"/>
      <c r="SIW71" s="1"/>
      <c r="SIX71" s="1"/>
      <c r="SIY71" s="1"/>
      <c r="SIZ71" s="1"/>
      <c r="SJA71" s="1"/>
      <c r="SJB71" s="1"/>
      <c r="SJC71" s="1"/>
      <c r="SJD71" s="1"/>
      <c r="SJE71" s="1"/>
      <c r="SJF71" s="1"/>
      <c r="SJG71" s="1"/>
      <c r="SJH71" s="1"/>
      <c r="SJI71" s="1"/>
      <c r="SJJ71" s="1"/>
      <c r="SJK71" s="1"/>
      <c r="SJL71" s="1"/>
      <c r="SJM71" s="1"/>
      <c r="SJN71" s="1"/>
      <c r="SJO71" s="1"/>
      <c r="SJP71" s="1"/>
      <c r="SJQ71" s="1"/>
      <c r="SJR71" s="1"/>
      <c r="SJS71" s="1"/>
      <c r="SJT71" s="1"/>
      <c r="SJU71" s="1"/>
      <c r="SJV71" s="1"/>
      <c r="SJW71" s="1"/>
      <c r="SJX71" s="1"/>
      <c r="SJY71" s="1"/>
      <c r="SJZ71" s="1"/>
      <c r="SKA71" s="1"/>
      <c r="SKB71" s="1"/>
      <c r="SKC71" s="1"/>
      <c r="SKD71" s="1"/>
      <c r="SKE71" s="1"/>
      <c r="SKF71" s="1"/>
      <c r="SKG71" s="1"/>
      <c r="SKH71" s="1"/>
      <c r="SKI71" s="1"/>
      <c r="SKJ71" s="1"/>
      <c r="SKK71" s="1"/>
      <c r="SKL71" s="1"/>
      <c r="SKM71" s="1"/>
      <c r="SKN71" s="1"/>
      <c r="SKO71" s="1"/>
      <c r="SKP71" s="1"/>
      <c r="SKQ71" s="1"/>
      <c r="SKR71" s="1"/>
      <c r="SKS71" s="1"/>
      <c r="SKT71" s="1"/>
      <c r="SKU71" s="1"/>
      <c r="SKV71" s="1"/>
      <c r="SKW71" s="1"/>
      <c r="SKX71" s="1"/>
      <c r="SKY71" s="1"/>
      <c r="SKZ71" s="1"/>
      <c r="SLA71" s="1"/>
      <c r="SLB71" s="1"/>
      <c r="SLC71" s="1"/>
      <c r="SLD71" s="1"/>
      <c r="SLE71" s="1"/>
      <c r="SLF71" s="1"/>
      <c r="SLG71" s="1"/>
      <c r="SLH71" s="1"/>
      <c r="SLI71" s="1"/>
      <c r="SLJ71" s="1"/>
      <c r="SLK71" s="1"/>
      <c r="SLL71" s="1"/>
      <c r="SLM71" s="1"/>
      <c r="SLN71" s="1"/>
      <c r="SLO71" s="1"/>
      <c r="SLP71" s="1"/>
      <c r="SLQ71" s="1"/>
      <c r="SLR71" s="1"/>
      <c r="SLS71" s="1"/>
      <c r="SLT71" s="1"/>
      <c r="SLU71" s="1"/>
      <c r="SLV71" s="1"/>
      <c r="SLW71" s="1"/>
      <c r="SLX71" s="1"/>
      <c r="SLY71" s="1"/>
      <c r="SLZ71" s="1"/>
      <c r="SMA71" s="1"/>
      <c r="SMB71" s="1"/>
      <c r="SMC71" s="1"/>
      <c r="SMD71" s="1"/>
      <c r="SME71" s="1"/>
      <c r="SMF71" s="1"/>
      <c r="SMG71" s="1"/>
      <c r="SMH71" s="1"/>
      <c r="SMI71" s="1"/>
      <c r="SMJ71" s="1"/>
      <c r="SMK71" s="1"/>
      <c r="SML71" s="1"/>
      <c r="SMM71" s="1"/>
      <c r="SMN71" s="1"/>
      <c r="SMO71" s="1"/>
      <c r="SMP71" s="1"/>
      <c r="SMQ71" s="1"/>
      <c r="SMR71" s="1"/>
      <c r="SMS71" s="1"/>
      <c r="SMT71" s="1"/>
      <c r="SMU71" s="1"/>
      <c r="SMV71" s="1"/>
      <c r="SMW71" s="1"/>
      <c r="SMX71" s="1"/>
      <c r="SMY71" s="1"/>
      <c r="SMZ71" s="1"/>
      <c r="SNA71" s="1"/>
      <c r="SNB71" s="1"/>
      <c r="SNC71" s="1"/>
      <c r="SND71" s="1"/>
      <c r="SNE71" s="1"/>
      <c r="SNF71" s="1"/>
      <c r="SNG71" s="1"/>
      <c r="SNH71" s="1"/>
      <c r="SNI71" s="1"/>
      <c r="SNJ71" s="1"/>
      <c r="SNK71" s="1"/>
      <c r="SNL71" s="1"/>
      <c r="SNM71" s="1"/>
      <c r="SNN71" s="1"/>
      <c r="SNO71" s="1"/>
      <c r="SNP71" s="1"/>
      <c r="SNQ71" s="1"/>
      <c r="SNR71" s="1"/>
      <c r="SNS71" s="1"/>
      <c r="SNT71" s="1"/>
      <c r="SNU71" s="1"/>
      <c r="SNV71" s="1"/>
      <c r="SNW71" s="1"/>
      <c r="SNX71" s="1"/>
      <c r="SNY71" s="1"/>
      <c r="SNZ71" s="1"/>
      <c r="SOA71" s="1"/>
      <c r="SOB71" s="1"/>
      <c r="SOC71" s="1"/>
      <c r="SOD71" s="1"/>
      <c r="SOE71" s="1"/>
      <c r="SOF71" s="1"/>
      <c r="SOG71" s="1"/>
      <c r="SOH71" s="1"/>
      <c r="SOI71" s="1"/>
      <c r="SOJ71" s="1"/>
      <c r="SOK71" s="1"/>
      <c r="SOL71" s="1"/>
      <c r="SOM71" s="1"/>
      <c r="SON71" s="1"/>
      <c r="SOO71" s="1"/>
      <c r="SOP71" s="1"/>
      <c r="SOQ71" s="1"/>
      <c r="SOR71" s="1"/>
      <c r="SOS71" s="1"/>
      <c r="SOT71" s="1"/>
      <c r="SOU71" s="1"/>
      <c r="SOV71" s="1"/>
      <c r="SOW71" s="1"/>
      <c r="SOX71" s="1"/>
      <c r="SOY71" s="1"/>
      <c r="SOZ71" s="1"/>
      <c r="SPA71" s="1"/>
      <c r="SPB71" s="1"/>
      <c r="SPC71" s="1"/>
      <c r="SPD71" s="1"/>
      <c r="SPE71" s="1"/>
      <c r="SPF71" s="1"/>
      <c r="SPG71" s="1"/>
      <c r="SPH71" s="1"/>
      <c r="SPI71" s="1"/>
      <c r="SPJ71" s="1"/>
      <c r="SPK71" s="1"/>
      <c r="SPL71" s="1"/>
      <c r="SPM71" s="1"/>
      <c r="SPN71" s="1"/>
      <c r="SPO71" s="1"/>
      <c r="SPP71" s="1"/>
      <c r="SPQ71" s="1"/>
      <c r="SPR71" s="1"/>
      <c r="SPS71" s="1"/>
      <c r="SPT71" s="1"/>
      <c r="SPU71" s="1"/>
      <c r="SPV71" s="1"/>
      <c r="SPW71" s="1"/>
      <c r="SPX71" s="1"/>
      <c r="SPY71" s="1"/>
      <c r="SPZ71" s="1"/>
      <c r="SQA71" s="1"/>
      <c r="SQB71" s="1"/>
      <c r="SQC71" s="1"/>
      <c r="SQD71" s="1"/>
      <c r="SQE71" s="1"/>
      <c r="SQF71" s="1"/>
      <c r="SQG71" s="1"/>
      <c r="SQH71" s="1"/>
      <c r="SQI71" s="1"/>
      <c r="SQJ71" s="1"/>
      <c r="SQK71" s="1"/>
      <c r="SQL71" s="1"/>
      <c r="SQM71" s="1"/>
      <c r="SQN71" s="1"/>
      <c r="SQO71" s="1"/>
      <c r="SQP71" s="1"/>
      <c r="SQQ71" s="1"/>
      <c r="SQR71" s="1"/>
      <c r="SQS71" s="1"/>
      <c r="SQT71" s="1"/>
      <c r="SQU71" s="1"/>
      <c r="SQV71" s="1"/>
      <c r="SQW71" s="1"/>
      <c r="SQX71" s="1"/>
      <c r="SQY71" s="1"/>
      <c r="SQZ71" s="1"/>
      <c r="SRA71" s="1"/>
      <c r="SRB71" s="1"/>
      <c r="SRC71" s="1"/>
      <c r="SRD71" s="1"/>
      <c r="SRE71" s="1"/>
      <c r="SRF71" s="1"/>
      <c r="SRG71" s="1"/>
      <c r="SRH71" s="1"/>
      <c r="SRI71" s="1"/>
      <c r="SRJ71" s="1"/>
      <c r="SRK71" s="1"/>
      <c r="SRL71" s="1"/>
      <c r="SRM71" s="1"/>
      <c r="SRN71" s="1"/>
      <c r="SRO71" s="1"/>
      <c r="SRP71" s="1"/>
      <c r="SRQ71" s="1"/>
      <c r="SRR71" s="1"/>
      <c r="SRS71" s="1"/>
      <c r="SRT71" s="1"/>
      <c r="SRU71" s="1"/>
      <c r="SRV71" s="1"/>
      <c r="SRW71" s="1"/>
      <c r="SRX71" s="1"/>
      <c r="SRY71" s="1"/>
      <c r="SRZ71" s="1"/>
      <c r="SSA71" s="1"/>
      <c r="SSB71" s="1"/>
      <c r="SSC71" s="1"/>
      <c r="SSD71" s="1"/>
      <c r="SSE71" s="1"/>
      <c r="SSF71" s="1"/>
      <c r="SSG71" s="1"/>
      <c r="SSH71" s="1"/>
      <c r="SSI71" s="1"/>
      <c r="SSJ71" s="1"/>
      <c r="SSK71" s="1"/>
      <c r="SSL71" s="1"/>
      <c r="SSM71" s="1"/>
      <c r="SSN71" s="1"/>
      <c r="SSO71" s="1"/>
      <c r="SSP71" s="1"/>
      <c r="SSQ71" s="1"/>
      <c r="SSR71" s="1"/>
      <c r="SSS71" s="1"/>
      <c r="SST71" s="1"/>
      <c r="SSU71" s="1"/>
      <c r="SSV71" s="1"/>
      <c r="SSW71" s="1"/>
      <c r="SSX71" s="1"/>
      <c r="SSY71" s="1"/>
      <c r="SSZ71" s="1"/>
      <c r="STA71" s="1"/>
      <c r="STB71" s="1"/>
      <c r="STC71" s="1"/>
      <c r="STD71" s="1"/>
      <c r="STE71" s="1"/>
      <c r="STF71" s="1"/>
      <c r="STG71" s="1"/>
      <c r="STH71" s="1"/>
      <c r="STI71" s="1"/>
      <c r="STJ71" s="1"/>
      <c r="STK71" s="1"/>
      <c r="STL71" s="1"/>
      <c r="STM71" s="1"/>
      <c r="STN71" s="1"/>
      <c r="STO71" s="1"/>
      <c r="STP71" s="1"/>
      <c r="STQ71" s="1"/>
      <c r="STR71" s="1"/>
      <c r="STS71" s="1"/>
      <c r="STT71" s="1"/>
      <c r="STU71" s="1"/>
      <c r="STV71" s="1"/>
      <c r="STW71" s="1"/>
      <c r="STX71" s="1"/>
      <c r="STY71" s="1"/>
      <c r="STZ71" s="1"/>
      <c r="SUA71" s="1"/>
      <c r="SUB71" s="1"/>
      <c r="SUC71" s="1"/>
      <c r="SUD71" s="1"/>
      <c r="SUE71" s="1"/>
      <c r="SUF71" s="1"/>
      <c r="SUG71" s="1"/>
      <c r="SUH71" s="1"/>
      <c r="SUI71" s="1"/>
      <c r="SUJ71" s="1"/>
      <c r="SUK71" s="1"/>
      <c r="SUL71" s="1"/>
      <c r="SUM71" s="1"/>
      <c r="SUN71" s="1"/>
      <c r="SUO71" s="1"/>
      <c r="SUP71" s="1"/>
      <c r="SUQ71" s="1"/>
      <c r="SUR71" s="1"/>
      <c r="SUS71" s="1"/>
      <c r="SUT71" s="1"/>
      <c r="SUU71" s="1"/>
      <c r="SUV71" s="1"/>
      <c r="SUW71" s="1"/>
      <c r="SUX71" s="1"/>
      <c r="SUY71" s="1"/>
      <c r="SUZ71" s="1"/>
      <c r="SVA71" s="1"/>
      <c r="SVB71" s="1"/>
      <c r="SVC71" s="1"/>
      <c r="SVD71" s="1"/>
      <c r="SVE71" s="1"/>
      <c r="SVF71" s="1"/>
      <c r="SVG71" s="1"/>
      <c r="SVH71" s="1"/>
      <c r="SVI71" s="1"/>
      <c r="SVJ71" s="1"/>
      <c r="SVK71" s="1"/>
      <c r="SVL71" s="1"/>
      <c r="SVM71" s="1"/>
      <c r="SVN71" s="1"/>
      <c r="SVO71" s="1"/>
      <c r="SVP71" s="1"/>
      <c r="SVQ71" s="1"/>
      <c r="SVR71" s="1"/>
      <c r="SVS71" s="1"/>
      <c r="SVT71" s="1"/>
      <c r="SVU71" s="1"/>
      <c r="SVV71" s="1"/>
      <c r="SVW71" s="1"/>
      <c r="SVX71" s="1"/>
      <c r="SVY71" s="1"/>
      <c r="SVZ71" s="1"/>
      <c r="SWA71" s="1"/>
      <c r="SWB71" s="1"/>
      <c r="SWC71" s="1"/>
      <c r="SWD71" s="1"/>
      <c r="SWE71" s="1"/>
      <c r="SWF71" s="1"/>
      <c r="SWG71" s="1"/>
      <c r="SWH71" s="1"/>
      <c r="SWI71" s="1"/>
      <c r="SWJ71" s="1"/>
      <c r="SWK71" s="1"/>
      <c r="SWL71" s="1"/>
      <c r="SWM71" s="1"/>
      <c r="SWN71" s="1"/>
      <c r="SWO71" s="1"/>
      <c r="SWP71" s="1"/>
      <c r="SWQ71" s="1"/>
      <c r="SWR71" s="1"/>
      <c r="SWS71" s="1"/>
      <c r="SWT71" s="1"/>
      <c r="SWU71" s="1"/>
      <c r="SWV71" s="1"/>
      <c r="SWW71" s="1"/>
      <c r="SWX71" s="1"/>
      <c r="SWY71" s="1"/>
      <c r="SWZ71" s="1"/>
      <c r="SXA71" s="1"/>
      <c r="SXB71" s="1"/>
      <c r="SXC71" s="1"/>
      <c r="SXD71" s="1"/>
      <c r="SXE71" s="1"/>
      <c r="SXF71" s="1"/>
      <c r="SXG71" s="1"/>
      <c r="SXH71" s="1"/>
      <c r="SXI71" s="1"/>
      <c r="SXJ71" s="1"/>
      <c r="SXK71" s="1"/>
      <c r="SXL71" s="1"/>
      <c r="SXM71" s="1"/>
      <c r="SXN71" s="1"/>
      <c r="SXO71" s="1"/>
      <c r="SXP71" s="1"/>
      <c r="SXQ71" s="1"/>
      <c r="SXR71" s="1"/>
      <c r="SXS71" s="1"/>
      <c r="SXT71" s="1"/>
      <c r="SXU71" s="1"/>
      <c r="SXV71" s="1"/>
      <c r="SXW71" s="1"/>
      <c r="SXX71" s="1"/>
      <c r="SXY71" s="1"/>
      <c r="SXZ71" s="1"/>
      <c r="SYA71" s="1"/>
      <c r="SYB71" s="1"/>
      <c r="SYC71" s="1"/>
      <c r="SYD71" s="1"/>
      <c r="SYE71" s="1"/>
      <c r="SYF71" s="1"/>
      <c r="SYG71" s="1"/>
      <c r="SYH71" s="1"/>
      <c r="SYI71" s="1"/>
      <c r="SYJ71" s="1"/>
      <c r="SYK71" s="1"/>
      <c r="SYL71" s="1"/>
      <c r="SYM71" s="1"/>
      <c r="SYN71" s="1"/>
      <c r="SYO71" s="1"/>
      <c r="SYP71" s="1"/>
      <c r="SYQ71" s="1"/>
      <c r="SYR71" s="1"/>
      <c r="SYS71" s="1"/>
      <c r="SYT71" s="1"/>
      <c r="SYU71" s="1"/>
      <c r="SYV71" s="1"/>
      <c r="SYW71" s="1"/>
      <c r="SYX71" s="1"/>
      <c r="SYY71" s="1"/>
      <c r="SYZ71" s="1"/>
      <c r="SZA71" s="1"/>
      <c r="SZB71" s="1"/>
      <c r="SZC71" s="1"/>
      <c r="SZD71" s="1"/>
      <c r="SZE71" s="1"/>
      <c r="SZF71" s="1"/>
      <c r="SZG71" s="1"/>
      <c r="SZH71" s="1"/>
      <c r="SZI71" s="1"/>
      <c r="SZJ71" s="1"/>
      <c r="SZK71" s="1"/>
      <c r="SZL71" s="1"/>
      <c r="SZM71" s="1"/>
      <c r="SZN71" s="1"/>
      <c r="SZO71" s="1"/>
      <c r="SZP71" s="1"/>
      <c r="SZQ71" s="1"/>
      <c r="SZR71" s="1"/>
      <c r="SZS71" s="1"/>
      <c r="SZT71" s="1"/>
      <c r="SZU71" s="1"/>
      <c r="SZV71" s="1"/>
      <c r="SZW71" s="1"/>
      <c r="SZX71" s="1"/>
      <c r="SZY71" s="1"/>
      <c r="SZZ71" s="1"/>
      <c r="TAA71" s="1"/>
      <c r="TAB71" s="1"/>
      <c r="TAC71" s="1"/>
      <c r="TAD71" s="1"/>
      <c r="TAE71" s="1"/>
      <c r="TAF71" s="1"/>
      <c r="TAG71" s="1"/>
      <c r="TAH71" s="1"/>
      <c r="TAI71" s="1"/>
      <c r="TAJ71" s="1"/>
      <c r="TAK71" s="1"/>
      <c r="TAL71" s="1"/>
      <c r="TAM71" s="1"/>
      <c r="TAN71" s="1"/>
      <c r="TAO71" s="1"/>
      <c r="TAP71" s="1"/>
      <c r="TAQ71" s="1"/>
      <c r="TAR71" s="1"/>
      <c r="TAS71" s="1"/>
      <c r="TAT71" s="1"/>
      <c r="TAU71" s="1"/>
      <c r="TAV71" s="1"/>
      <c r="TAW71" s="1"/>
      <c r="TAX71" s="1"/>
      <c r="TAY71" s="1"/>
      <c r="TAZ71" s="1"/>
      <c r="TBA71" s="1"/>
      <c r="TBB71" s="1"/>
      <c r="TBC71" s="1"/>
      <c r="TBD71" s="1"/>
      <c r="TBE71" s="1"/>
      <c r="TBF71" s="1"/>
      <c r="TBG71" s="1"/>
      <c r="TBH71" s="1"/>
      <c r="TBI71" s="1"/>
      <c r="TBJ71" s="1"/>
      <c r="TBK71" s="1"/>
      <c r="TBL71" s="1"/>
      <c r="TBM71" s="1"/>
      <c r="TBN71" s="1"/>
      <c r="TBO71" s="1"/>
      <c r="TBP71" s="1"/>
      <c r="TBQ71" s="1"/>
      <c r="TBR71" s="1"/>
      <c r="TBS71" s="1"/>
      <c r="TBT71" s="1"/>
      <c r="TBU71" s="1"/>
      <c r="TBV71" s="1"/>
      <c r="TBW71" s="1"/>
      <c r="TBX71" s="1"/>
      <c r="TBY71" s="1"/>
      <c r="TBZ71" s="1"/>
      <c r="TCA71" s="1"/>
      <c r="TCB71" s="1"/>
      <c r="TCC71" s="1"/>
      <c r="TCD71" s="1"/>
      <c r="TCE71" s="1"/>
      <c r="TCF71" s="1"/>
      <c r="TCG71" s="1"/>
      <c r="TCH71" s="1"/>
      <c r="TCI71" s="1"/>
      <c r="TCJ71" s="1"/>
      <c r="TCK71" s="1"/>
      <c r="TCL71" s="1"/>
      <c r="TCM71" s="1"/>
      <c r="TCN71" s="1"/>
      <c r="TCO71" s="1"/>
      <c r="TCP71" s="1"/>
      <c r="TCQ71" s="1"/>
      <c r="TCR71" s="1"/>
      <c r="TCS71" s="1"/>
      <c r="TCT71" s="1"/>
      <c r="TCU71" s="1"/>
      <c r="TCV71" s="1"/>
      <c r="TCW71" s="1"/>
      <c r="TCX71" s="1"/>
      <c r="TCY71" s="1"/>
      <c r="TCZ71" s="1"/>
      <c r="TDA71" s="1"/>
      <c r="TDB71" s="1"/>
      <c r="TDC71" s="1"/>
      <c r="TDD71" s="1"/>
      <c r="TDE71" s="1"/>
      <c r="TDF71" s="1"/>
      <c r="TDG71" s="1"/>
      <c r="TDH71" s="1"/>
      <c r="TDI71" s="1"/>
      <c r="TDJ71" s="1"/>
      <c r="TDK71" s="1"/>
      <c r="TDL71" s="1"/>
      <c r="TDM71" s="1"/>
      <c r="TDN71" s="1"/>
      <c r="TDO71" s="1"/>
      <c r="TDP71" s="1"/>
      <c r="TDQ71" s="1"/>
      <c r="TDR71" s="1"/>
      <c r="TDS71" s="1"/>
      <c r="TDT71" s="1"/>
      <c r="TDU71" s="1"/>
      <c r="TDV71" s="1"/>
      <c r="TDW71" s="1"/>
      <c r="TDX71" s="1"/>
      <c r="TDY71" s="1"/>
      <c r="TDZ71" s="1"/>
      <c r="TEA71" s="1"/>
      <c r="TEB71" s="1"/>
      <c r="TEC71" s="1"/>
      <c r="TED71" s="1"/>
      <c r="TEE71" s="1"/>
      <c r="TEF71" s="1"/>
      <c r="TEG71" s="1"/>
      <c r="TEH71" s="1"/>
      <c r="TEI71" s="1"/>
      <c r="TEJ71" s="1"/>
      <c r="TEK71" s="1"/>
      <c r="TEL71" s="1"/>
      <c r="TEM71" s="1"/>
      <c r="TEN71" s="1"/>
      <c r="TEO71" s="1"/>
      <c r="TEP71" s="1"/>
      <c r="TEQ71" s="1"/>
      <c r="TER71" s="1"/>
      <c r="TES71" s="1"/>
      <c r="TET71" s="1"/>
      <c r="TEU71" s="1"/>
      <c r="TEV71" s="1"/>
      <c r="TEW71" s="1"/>
      <c r="TEX71" s="1"/>
      <c r="TEY71" s="1"/>
      <c r="TEZ71" s="1"/>
      <c r="TFA71" s="1"/>
      <c r="TFB71" s="1"/>
      <c r="TFC71" s="1"/>
      <c r="TFD71" s="1"/>
      <c r="TFE71" s="1"/>
      <c r="TFF71" s="1"/>
      <c r="TFG71" s="1"/>
      <c r="TFH71" s="1"/>
      <c r="TFI71" s="1"/>
      <c r="TFJ71" s="1"/>
      <c r="TFK71" s="1"/>
      <c r="TFL71" s="1"/>
      <c r="TFM71" s="1"/>
      <c r="TFN71" s="1"/>
      <c r="TFO71" s="1"/>
      <c r="TFP71" s="1"/>
      <c r="TFQ71" s="1"/>
      <c r="TFR71" s="1"/>
      <c r="TFS71" s="1"/>
      <c r="TFT71" s="1"/>
      <c r="TFU71" s="1"/>
      <c r="TFV71" s="1"/>
      <c r="TFW71" s="1"/>
      <c r="TFX71" s="1"/>
      <c r="TFY71" s="1"/>
      <c r="TFZ71" s="1"/>
      <c r="TGA71" s="1"/>
      <c r="TGB71" s="1"/>
      <c r="TGC71" s="1"/>
      <c r="TGD71" s="1"/>
      <c r="TGE71" s="1"/>
      <c r="TGF71" s="1"/>
      <c r="TGG71" s="1"/>
      <c r="TGH71" s="1"/>
      <c r="TGI71" s="1"/>
      <c r="TGJ71" s="1"/>
      <c r="TGK71" s="1"/>
      <c r="TGL71" s="1"/>
      <c r="TGM71" s="1"/>
      <c r="TGN71" s="1"/>
      <c r="TGO71" s="1"/>
      <c r="TGP71" s="1"/>
      <c r="TGQ71" s="1"/>
      <c r="TGR71" s="1"/>
      <c r="TGS71" s="1"/>
      <c r="TGT71" s="1"/>
      <c r="TGU71" s="1"/>
      <c r="TGV71" s="1"/>
      <c r="TGW71" s="1"/>
      <c r="TGX71" s="1"/>
      <c r="TGY71" s="1"/>
      <c r="TGZ71" s="1"/>
      <c r="THA71" s="1"/>
      <c r="THB71" s="1"/>
      <c r="THC71" s="1"/>
      <c r="THD71" s="1"/>
      <c r="THE71" s="1"/>
      <c r="THF71" s="1"/>
      <c r="THG71" s="1"/>
      <c r="THH71" s="1"/>
      <c r="THI71" s="1"/>
      <c r="THJ71" s="1"/>
      <c r="THK71" s="1"/>
      <c r="THL71" s="1"/>
      <c r="THM71" s="1"/>
      <c r="THN71" s="1"/>
      <c r="THO71" s="1"/>
      <c r="THP71" s="1"/>
      <c r="THQ71" s="1"/>
      <c r="THR71" s="1"/>
      <c r="THS71" s="1"/>
      <c r="THT71" s="1"/>
      <c r="THU71" s="1"/>
      <c r="THV71" s="1"/>
      <c r="THW71" s="1"/>
      <c r="THX71" s="1"/>
      <c r="THY71" s="1"/>
      <c r="THZ71" s="1"/>
      <c r="TIA71" s="1"/>
      <c r="TIB71" s="1"/>
      <c r="TIC71" s="1"/>
      <c r="TID71" s="1"/>
      <c r="TIE71" s="1"/>
      <c r="TIF71" s="1"/>
      <c r="TIG71" s="1"/>
      <c r="TIH71" s="1"/>
      <c r="TII71" s="1"/>
      <c r="TIJ71" s="1"/>
      <c r="TIK71" s="1"/>
      <c r="TIL71" s="1"/>
      <c r="TIM71" s="1"/>
      <c r="TIN71" s="1"/>
      <c r="TIO71" s="1"/>
      <c r="TIP71" s="1"/>
      <c r="TIQ71" s="1"/>
      <c r="TIR71" s="1"/>
      <c r="TIS71" s="1"/>
      <c r="TIT71" s="1"/>
      <c r="TIU71" s="1"/>
      <c r="TIV71" s="1"/>
      <c r="TIW71" s="1"/>
      <c r="TIX71" s="1"/>
      <c r="TIY71" s="1"/>
      <c r="TIZ71" s="1"/>
      <c r="TJA71" s="1"/>
      <c r="TJB71" s="1"/>
      <c r="TJC71" s="1"/>
      <c r="TJD71" s="1"/>
      <c r="TJE71" s="1"/>
      <c r="TJF71" s="1"/>
      <c r="TJG71" s="1"/>
      <c r="TJH71" s="1"/>
      <c r="TJI71" s="1"/>
      <c r="TJJ71" s="1"/>
      <c r="TJK71" s="1"/>
      <c r="TJL71" s="1"/>
      <c r="TJM71" s="1"/>
      <c r="TJN71" s="1"/>
      <c r="TJO71" s="1"/>
      <c r="TJP71" s="1"/>
      <c r="TJQ71" s="1"/>
      <c r="TJR71" s="1"/>
      <c r="TJS71" s="1"/>
      <c r="TJT71" s="1"/>
      <c r="TJU71" s="1"/>
      <c r="TJV71" s="1"/>
      <c r="TJW71" s="1"/>
      <c r="TJX71" s="1"/>
      <c r="TJY71" s="1"/>
      <c r="TJZ71" s="1"/>
      <c r="TKA71" s="1"/>
      <c r="TKB71" s="1"/>
      <c r="TKC71" s="1"/>
      <c r="TKD71" s="1"/>
      <c r="TKE71" s="1"/>
      <c r="TKF71" s="1"/>
      <c r="TKG71" s="1"/>
      <c r="TKH71" s="1"/>
      <c r="TKI71" s="1"/>
      <c r="TKJ71" s="1"/>
      <c r="TKK71" s="1"/>
      <c r="TKL71" s="1"/>
      <c r="TKM71" s="1"/>
      <c r="TKN71" s="1"/>
      <c r="TKO71" s="1"/>
      <c r="TKP71" s="1"/>
      <c r="TKQ71" s="1"/>
      <c r="TKR71" s="1"/>
      <c r="TKS71" s="1"/>
      <c r="TKT71" s="1"/>
      <c r="TKU71" s="1"/>
      <c r="TKV71" s="1"/>
      <c r="TKW71" s="1"/>
      <c r="TKX71" s="1"/>
      <c r="TKY71" s="1"/>
      <c r="TKZ71" s="1"/>
      <c r="TLA71" s="1"/>
      <c r="TLB71" s="1"/>
      <c r="TLC71" s="1"/>
      <c r="TLD71" s="1"/>
      <c r="TLE71" s="1"/>
      <c r="TLF71" s="1"/>
      <c r="TLG71" s="1"/>
      <c r="TLH71" s="1"/>
      <c r="TLI71" s="1"/>
      <c r="TLJ71" s="1"/>
      <c r="TLK71" s="1"/>
      <c r="TLL71" s="1"/>
      <c r="TLM71" s="1"/>
      <c r="TLN71" s="1"/>
      <c r="TLO71" s="1"/>
      <c r="TLP71" s="1"/>
      <c r="TLQ71" s="1"/>
      <c r="TLR71" s="1"/>
      <c r="TLS71" s="1"/>
      <c r="TLT71" s="1"/>
      <c r="TLU71" s="1"/>
      <c r="TLV71" s="1"/>
      <c r="TLW71" s="1"/>
      <c r="TLX71" s="1"/>
      <c r="TLY71" s="1"/>
      <c r="TLZ71" s="1"/>
      <c r="TMA71" s="1"/>
      <c r="TMB71" s="1"/>
      <c r="TMC71" s="1"/>
      <c r="TMD71" s="1"/>
      <c r="TME71" s="1"/>
      <c r="TMF71" s="1"/>
      <c r="TMG71" s="1"/>
      <c r="TMH71" s="1"/>
      <c r="TMI71" s="1"/>
      <c r="TMJ71" s="1"/>
      <c r="TMK71" s="1"/>
      <c r="TML71" s="1"/>
      <c r="TMM71" s="1"/>
      <c r="TMN71" s="1"/>
      <c r="TMO71" s="1"/>
      <c r="TMP71" s="1"/>
      <c r="TMQ71" s="1"/>
      <c r="TMR71" s="1"/>
      <c r="TMS71" s="1"/>
      <c r="TMT71" s="1"/>
      <c r="TMU71" s="1"/>
      <c r="TMV71" s="1"/>
      <c r="TMW71" s="1"/>
      <c r="TMX71" s="1"/>
      <c r="TMY71" s="1"/>
      <c r="TMZ71" s="1"/>
      <c r="TNA71" s="1"/>
      <c r="TNB71" s="1"/>
      <c r="TNC71" s="1"/>
      <c r="TND71" s="1"/>
      <c r="TNE71" s="1"/>
      <c r="TNF71" s="1"/>
      <c r="TNG71" s="1"/>
      <c r="TNH71" s="1"/>
      <c r="TNI71" s="1"/>
      <c r="TNJ71" s="1"/>
      <c r="TNK71" s="1"/>
      <c r="TNL71" s="1"/>
      <c r="TNM71" s="1"/>
      <c r="TNN71" s="1"/>
      <c r="TNO71" s="1"/>
      <c r="TNP71" s="1"/>
      <c r="TNQ71" s="1"/>
      <c r="TNR71" s="1"/>
      <c r="TNS71" s="1"/>
      <c r="TNT71" s="1"/>
      <c r="TNU71" s="1"/>
      <c r="TNV71" s="1"/>
      <c r="TNW71" s="1"/>
      <c r="TNX71" s="1"/>
      <c r="TNY71" s="1"/>
      <c r="TNZ71" s="1"/>
      <c r="TOA71" s="1"/>
      <c r="TOB71" s="1"/>
      <c r="TOC71" s="1"/>
      <c r="TOD71" s="1"/>
      <c r="TOE71" s="1"/>
      <c r="TOF71" s="1"/>
      <c r="TOG71" s="1"/>
      <c r="TOH71" s="1"/>
      <c r="TOI71" s="1"/>
      <c r="TOJ71" s="1"/>
      <c r="TOK71" s="1"/>
      <c r="TOL71" s="1"/>
      <c r="TOM71" s="1"/>
      <c r="TON71" s="1"/>
      <c r="TOO71" s="1"/>
      <c r="TOP71" s="1"/>
      <c r="TOQ71" s="1"/>
      <c r="TOR71" s="1"/>
      <c r="TOS71" s="1"/>
      <c r="TOT71" s="1"/>
      <c r="TOU71" s="1"/>
      <c r="TOV71" s="1"/>
      <c r="TOW71" s="1"/>
      <c r="TOX71" s="1"/>
      <c r="TOY71" s="1"/>
      <c r="TOZ71" s="1"/>
      <c r="TPA71" s="1"/>
      <c r="TPB71" s="1"/>
      <c r="TPC71" s="1"/>
      <c r="TPD71" s="1"/>
      <c r="TPE71" s="1"/>
      <c r="TPF71" s="1"/>
      <c r="TPG71" s="1"/>
      <c r="TPH71" s="1"/>
      <c r="TPI71" s="1"/>
      <c r="TPJ71" s="1"/>
      <c r="TPK71" s="1"/>
      <c r="TPL71" s="1"/>
      <c r="TPM71" s="1"/>
      <c r="TPN71" s="1"/>
      <c r="TPO71" s="1"/>
      <c r="TPP71" s="1"/>
      <c r="TPQ71" s="1"/>
      <c r="TPR71" s="1"/>
      <c r="TPS71" s="1"/>
      <c r="TPT71" s="1"/>
      <c r="TPU71" s="1"/>
      <c r="TPV71" s="1"/>
      <c r="TPW71" s="1"/>
      <c r="TPX71" s="1"/>
      <c r="TPY71" s="1"/>
      <c r="TPZ71" s="1"/>
      <c r="TQA71" s="1"/>
      <c r="TQB71" s="1"/>
      <c r="TQC71" s="1"/>
      <c r="TQD71" s="1"/>
      <c r="TQE71" s="1"/>
      <c r="TQF71" s="1"/>
      <c r="TQG71" s="1"/>
      <c r="TQH71" s="1"/>
      <c r="TQI71" s="1"/>
      <c r="TQJ71" s="1"/>
      <c r="TQK71" s="1"/>
      <c r="TQL71" s="1"/>
      <c r="TQM71" s="1"/>
      <c r="TQN71" s="1"/>
      <c r="TQO71" s="1"/>
      <c r="TQP71" s="1"/>
      <c r="TQQ71" s="1"/>
      <c r="TQR71" s="1"/>
      <c r="TQS71" s="1"/>
      <c r="TQT71" s="1"/>
      <c r="TQU71" s="1"/>
      <c r="TQV71" s="1"/>
      <c r="TQW71" s="1"/>
      <c r="TQX71" s="1"/>
      <c r="TQY71" s="1"/>
      <c r="TQZ71" s="1"/>
      <c r="TRA71" s="1"/>
      <c r="TRB71" s="1"/>
      <c r="TRC71" s="1"/>
      <c r="TRD71" s="1"/>
      <c r="TRE71" s="1"/>
      <c r="TRF71" s="1"/>
      <c r="TRG71" s="1"/>
      <c r="TRH71" s="1"/>
      <c r="TRI71" s="1"/>
      <c r="TRJ71" s="1"/>
      <c r="TRK71" s="1"/>
      <c r="TRL71" s="1"/>
      <c r="TRM71" s="1"/>
      <c r="TRN71" s="1"/>
      <c r="TRO71" s="1"/>
      <c r="TRP71" s="1"/>
      <c r="TRQ71" s="1"/>
      <c r="TRR71" s="1"/>
      <c r="TRS71" s="1"/>
      <c r="TRT71" s="1"/>
      <c r="TRU71" s="1"/>
      <c r="TRV71" s="1"/>
      <c r="TRW71" s="1"/>
      <c r="TRX71" s="1"/>
      <c r="TRY71" s="1"/>
      <c r="TRZ71" s="1"/>
      <c r="TSA71" s="1"/>
      <c r="TSB71" s="1"/>
      <c r="TSC71" s="1"/>
      <c r="TSD71" s="1"/>
      <c r="TSE71" s="1"/>
      <c r="TSF71" s="1"/>
      <c r="TSG71" s="1"/>
      <c r="TSH71" s="1"/>
      <c r="TSI71" s="1"/>
      <c r="TSJ71" s="1"/>
      <c r="TSK71" s="1"/>
      <c r="TSL71" s="1"/>
      <c r="TSM71" s="1"/>
      <c r="TSN71" s="1"/>
      <c r="TSO71" s="1"/>
      <c r="TSP71" s="1"/>
      <c r="TSQ71" s="1"/>
      <c r="TSR71" s="1"/>
      <c r="TSS71" s="1"/>
      <c r="TST71" s="1"/>
      <c r="TSU71" s="1"/>
      <c r="TSV71" s="1"/>
      <c r="TSW71" s="1"/>
      <c r="TSX71" s="1"/>
      <c r="TSY71" s="1"/>
      <c r="TSZ71" s="1"/>
      <c r="TTA71" s="1"/>
      <c r="TTB71" s="1"/>
      <c r="TTC71" s="1"/>
      <c r="TTD71" s="1"/>
      <c r="TTE71" s="1"/>
      <c r="TTF71" s="1"/>
      <c r="TTG71" s="1"/>
      <c r="TTH71" s="1"/>
      <c r="TTI71" s="1"/>
      <c r="TTJ71" s="1"/>
      <c r="TTK71" s="1"/>
      <c r="TTL71" s="1"/>
      <c r="TTM71" s="1"/>
      <c r="TTN71" s="1"/>
      <c r="TTO71" s="1"/>
      <c r="TTP71" s="1"/>
      <c r="TTQ71" s="1"/>
      <c r="TTR71" s="1"/>
      <c r="TTS71" s="1"/>
      <c r="TTT71" s="1"/>
      <c r="TTU71" s="1"/>
      <c r="TTV71" s="1"/>
      <c r="TTW71" s="1"/>
      <c r="TTX71" s="1"/>
      <c r="TTY71" s="1"/>
      <c r="TTZ71" s="1"/>
      <c r="TUA71" s="1"/>
      <c r="TUB71" s="1"/>
      <c r="TUC71" s="1"/>
      <c r="TUD71" s="1"/>
      <c r="TUE71" s="1"/>
      <c r="TUF71" s="1"/>
      <c r="TUG71" s="1"/>
      <c r="TUH71" s="1"/>
      <c r="TUI71" s="1"/>
      <c r="TUJ71" s="1"/>
      <c r="TUK71" s="1"/>
      <c r="TUL71" s="1"/>
      <c r="TUM71" s="1"/>
      <c r="TUN71" s="1"/>
      <c r="TUO71" s="1"/>
      <c r="TUP71" s="1"/>
      <c r="TUQ71" s="1"/>
      <c r="TUR71" s="1"/>
      <c r="TUS71" s="1"/>
      <c r="TUT71" s="1"/>
      <c r="TUU71" s="1"/>
      <c r="TUV71" s="1"/>
      <c r="TUW71" s="1"/>
      <c r="TUX71" s="1"/>
      <c r="TUY71" s="1"/>
      <c r="TUZ71" s="1"/>
      <c r="TVA71" s="1"/>
      <c r="TVB71" s="1"/>
      <c r="TVC71" s="1"/>
      <c r="TVD71" s="1"/>
      <c r="TVE71" s="1"/>
      <c r="TVF71" s="1"/>
      <c r="TVG71" s="1"/>
      <c r="TVH71" s="1"/>
      <c r="TVI71" s="1"/>
      <c r="TVJ71" s="1"/>
      <c r="TVK71" s="1"/>
      <c r="TVL71" s="1"/>
      <c r="TVM71" s="1"/>
      <c r="TVN71" s="1"/>
      <c r="TVO71" s="1"/>
      <c r="TVP71" s="1"/>
      <c r="TVQ71" s="1"/>
      <c r="TVR71" s="1"/>
      <c r="TVS71" s="1"/>
      <c r="TVT71" s="1"/>
      <c r="TVU71" s="1"/>
      <c r="TVV71" s="1"/>
      <c r="TVW71" s="1"/>
      <c r="TVX71" s="1"/>
      <c r="TVY71" s="1"/>
      <c r="TVZ71" s="1"/>
      <c r="TWA71" s="1"/>
      <c r="TWB71" s="1"/>
      <c r="TWC71" s="1"/>
      <c r="TWD71" s="1"/>
      <c r="TWE71" s="1"/>
      <c r="TWF71" s="1"/>
      <c r="TWG71" s="1"/>
      <c r="TWH71" s="1"/>
      <c r="TWI71" s="1"/>
      <c r="TWJ71" s="1"/>
      <c r="TWK71" s="1"/>
      <c r="TWL71" s="1"/>
      <c r="TWM71" s="1"/>
      <c r="TWN71" s="1"/>
      <c r="TWO71" s="1"/>
      <c r="TWP71" s="1"/>
      <c r="TWQ71" s="1"/>
      <c r="TWR71" s="1"/>
      <c r="TWS71" s="1"/>
      <c r="TWT71" s="1"/>
      <c r="TWU71" s="1"/>
      <c r="TWV71" s="1"/>
      <c r="TWW71" s="1"/>
      <c r="TWX71" s="1"/>
      <c r="TWY71" s="1"/>
      <c r="TWZ71" s="1"/>
      <c r="TXA71" s="1"/>
      <c r="TXB71" s="1"/>
      <c r="TXC71" s="1"/>
      <c r="TXD71" s="1"/>
      <c r="TXE71" s="1"/>
      <c r="TXF71" s="1"/>
      <c r="TXG71" s="1"/>
      <c r="TXH71" s="1"/>
      <c r="TXI71" s="1"/>
      <c r="TXJ71" s="1"/>
      <c r="TXK71" s="1"/>
      <c r="TXL71" s="1"/>
      <c r="TXM71" s="1"/>
      <c r="TXN71" s="1"/>
      <c r="TXO71" s="1"/>
      <c r="TXP71" s="1"/>
      <c r="TXQ71" s="1"/>
      <c r="TXR71" s="1"/>
      <c r="TXS71" s="1"/>
      <c r="TXT71" s="1"/>
      <c r="TXU71" s="1"/>
      <c r="TXV71" s="1"/>
      <c r="TXW71" s="1"/>
      <c r="TXX71" s="1"/>
      <c r="TXY71" s="1"/>
      <c r="TXZ71" s="1"/>
      <c r="TYA71" s="1"/>
      <c r="TYB71" s="1"/>
      <c r="TYC71" s="1"/>
      <c r="TYD71" s="1"/>
      <c r="TYE71" s="1"/>
      <c r="TYF71" s="1"/>
      <c r="TYG71" s="1"/>
      <c r="TYH71" s="1"/>
      <c r="TYI71" s="1"/>
      <c r="TYJ71" s="1"/>
      <c r="TYK71" s="1"/>
      <c r="TYL71" s="1"/>
      <c r="TYM71" s="1"/>
      <c r="TYN71" s="1"/>
      <c r="TYO71" s="1"/>
      <c r="TYP71" s="1"/>
      <c r="TYQ71" s="1"/>
      <c r="TYR71" s="1"/>
      <c r="TYS71" s="1"/>
      <c r="TYT71" s="1"/>
      <c r="TYU71" s="1"/>
      <c r="TYV71" s="1"/>
      <c r="TYW71" s="1"/>
      <c r="TYX71" s="1"/>
      <c r="TYY71" s="1"/>
      <c r="TYZ71" s="1"/>
      <c r="TZA71" s="1"/>
      <c r="TZB71" s="1"/>
      <c r="TZC71" s="1"/>
      <c r="TZD71" s="1"/>
      <c r="TZE71" s="1"/>
      <c r="TZF71" s="1"/>
      <c r="TZG71" s="1"/>
      <c r="TZH71" s="1"/>
      <c r="TZI71" s="1"/>
      <c r="TZJ71" s="1"/>
      <c r="TZK71" s="1"/>
      <c r="TZL71" s="1"/>
      <c r="TZM71" s="1"/>
      <c r="TZN71" s="1"/>
      <c r="TZO71" s="1"/>
      <c r="TZP71" s="1"/>
      <c r="TZQ71" s="1"/>
      <c r="TZR71" s="1"/>
      <c r="TZS71" s="1"/>
      <c r="TZT71" s="1"/>
      <c r="TZU71" s="1"/>
      <c r="TZV71" s="1"/>
      <c r="TZW71" s="1"/>
      <c r="TZX71" s="1"/>
      <c r="TZY71" s="1"/>
      <c r="TZZ71" s="1"/>
      <c r="UAA71" s="1"/>
      <c r="UAB71" s="1"/>
      <c r="UAC71" s="1"/>
      <c r="UAD71" s="1"/>
      <c r="UAE71" s="1"/>
      <c r="UAF71" s="1"/>
      <c r="UAG71" s="1"/>
      <c r="UAH71" s="1"/>
      <c r="UAI71" s="1"/>
      <c r="UAJ71" s="1"/>
      <c r="UAK71" s="1"/>
      <c r="UAL71" s="1"/>
      <c r="UAM71" s="1"/>
      <c r="UAN71" s="1"/>
      <c r="UAO71" s="1"/>
      <c r="UAP71" s="1"/>
      <c r="UAQ71" s="1"/>
      <c r="UAR71" s="1"/>
      <c r="UAS71" s="1"/>
      <c r="UAT71" s="1"/>
      <c r="UAU71" s="1"/>
      <c r="UAV71" s="1"/>
      <c r="UAW71" s="1"/>
      <c r="UAX71" s="1"/>
      <c r="UAY71" s="1"/>
      <c r="UAZ71" s="1"/>
      <c r="UBA71" s="1"/>
      <c r="UBB71" s="1"/>
      <c r="UBC71" s="1"/>
      <c r="UBD71" s="1"/>
      <c r="UBE71" s="1"/>
      <c r="UBF71" s="1"/>
      <c r="UBG71" s="1"/>
      <c r="UBH71" s="1"/>
      <c r="UBI71" s="1"/>
      <c r="UBJ71" s="1"/>
      <c r="UBK71" s="1"/>
      <c r="UBL71" s="1"/>
      <c r="UBM71" s="1"/>
      <c r="UBN71" s="1"/>
      <c r="UBO71" s="1"/>
      <c r="UBP71" s="1"/>
      <c r="UBQ71" s="1"/>
      <c r="UBR71" s="1"/>
      <c r="UBS71" s="1"/>
      <c r="UBT71" s="1"/>
      <c r="UBU71" s="1"/>
      <c r="UBV71" s="1"/>
      <c r="UBW71" s="1"/>
      <c r="UBX71" s="1"/>
      <c r="UBY71" s="1"/>
      <c r="UBZ71" s="1"/>
      <c r="UCA71" s="1"/>
      <c r="UCB71" s="1"/>
      <c r="UCC71" s="1"/>
      <c r="UCD71" s="1"/>
      <c r="UCE71" s="1"/>
      <c r="UCF71" s="1"/>
      <c r="UCG71" s="1"/>
      <c r="UCH71" s="1"/>
      <c r="UCI71" s="1"/>
      <c r="UCJ71" s="1"/>
      <c r="UCK71" s="1"/>
      <c r="UCL71" s="1"/>
      <c r="UCM71" s="1"/>
      <c r="UCN71" s="1"/>
      <c r="UCO71" s="1"/>
      <c r="UCP71" s="1"/>
      <c r="UCQ71" s="1"/>
      <c r="UCR71" s="1"/>
      <c r="UCS71" s="1"/>
      <c r="UCT71" s="1"/>
      <c r="UCU71" s="1"/>
      <c r="UCV71" s="1"/>
      <c r="UCW71" s="1"/>
      <c r="UCX71" s="1"/>
      <c r="UCY71" s="1"/>
      <c r="UCZ71" s="1"/>
      <c r="UDA71" s="1"/>
      <c r="UDB71" s="1"/>
      <c r="UDC71" s="1"/>
      <c r="UDD71" s="1"/>
      <c r="UDE71" s="1"/>
      <c r="UDF71" s="1"/>
      <c r="UDG71" s="1"/>
      <c r="UDH71" s="1"/>
      <c r="UDI71" s="1"/>
      <c r="UDJ71" s="1"/>
      <c r="UDK71" s="1"/>
      <c r="UDL71" s="1"/>
      <c r="UDM71" s="1"/>
      <c r="UDN71" s="1"/>
      <c r="UDO71" s="1"/>
      <c r="UDP71" s="1"/>
      <c r="UDQ71" s="1"/>
      <c r="UDR71" s="1"/>
      <c r="UDS71" s="1"/>
      <c r="UDT71" s="1"/>
      <c r="UDU71" s="1"/>
      <c r="UDV71" s="1"/>
      <c r="UDW71" s="1"/>
      <c r="UDX71" s="1"/>
      <c r="UDY71" s="1"/>
      <c r="UDZ71" s="1"/>
      <c r="UEA71" s="1"/>
      <c r="UEB71" s="1"/>
      <c r="UEC71" s="1"/>
      <c r="UED71" s="1"/>
      <c r="UEE71" s="1"/>
      <c r="UEF71" s="1"/>
      <c r="UEG71" s="1"/>
      <c r="UEH71" s="1"/>
      <c r="UEI71" s="1"/>
      <c r="UEJ71" s="1"/>
      <c r="UEK71" s="1"/>
      <c r="UEL71" s="1"/>
      <c r="UEM71" s="1"/>
      <c r="UEN71" s="1"/>
      <c r="UEO71" s="1"/>
      <c r="UEP71" s="1"/>
      <c r="UEQ71" s="1"/>
      <c r="UER71" s="1"/>
      <c r="UES71" s="1"/>
      <c r="UET71" s="1"/>
      <c r="UEU71" s="1"/>
      <c r="UEV71" s="1"/>
      <c r="UEW71" s="1"/>
      <c r="UEX71" s="1"/>
      <c r="UEY71" s="1"/>
      <c r="UEZ71" s="1"/>
      <c r="UFA71" s="1"/>
      <c r="UFB71" s="1"/>
      <c r="UFC71" s="1"/>
      <c r="UFD71" s="1"/>
      <c r="UFE71" s="1"/>
      <c r="UFF71" s="1"/>
      <c r="UFG71" s="1"/>
      <c r="UFH71" s="1"/>
      <c r="UFI71" s="1"/>
      <c r="UFJ71" s="1"/>
      <c r="UFK71" s="1"/>
      <c r="UFL71" s="1"/>
      <c r="UFM71" s="1"/>
      <c r="UFN71" s="1"/>
      <c r="UFO71" s="1"/>
      <c r="UFP71" s="1"/>
      <c r="UFQ71" s="1"/>
      <c r="UFR71" s="1"/>
      <c r="UFS71" s="1"/>
      <c r="UFT71" s="1"/>
      <c r="UFU71" s="1"/>
      <c r="UFV71" s="1"/>
      <c r="UFW71" s="1"/>
      <c r="UFX71" s="1"/>
      <c r="UFY71" s="1"/>
      <c r="UFZ71" s="1"/>
      <c r="UGA71" s="1"/>
      <c r="UGB71" s="1"/>
      <c r="UGC71" s="1"/>
      <c r="UGD71" s="1"/>
      <c r="UGE71" s="1"/>
      <c r="UGF71" s="1"/>
      <c r="UGG71" s="1"/>
      <c r="UGH71" s="1"/>
      <c r="UGI71" s="1"/>
      <c r="UGJ71" s="1"/>
      <c r="UGK71" s="1"/>
      <c r="UGL71" s="1"/>
      <c r="UGM71" s="1"/>
      <c r="UGN71" s="1"/>
      <c r="UGO71" s="1"/>
      <c r="UGP71" s="1"/>
      <c r="UGQ71" s="1"/>
      <c r="UGR71" s="1"/>
      <c r="UGS71" s="1"/>
      <c r="UGT71" s="1"/>
      <c r="UGU71" s="1"/>
      <c r="UGV71" s="1"/>
      <c r="UGW71" s="1"/>
      <c r="UGX71" s="1"/>
      <c r="UGY71" s="1"/>
      <c r="UGZ71" s="1"/>
      <c r="UHA71" s="1"/>
      <c r="UHB71" s="1"/>
      <c r="UHC71" s="1"/>
      <c r="UHD71" s="1"/>
      <c r="UHE71" s="1"/>
      <c r="UHF71" s="1"/>
      <c r="UHG71" s="1"/>
      <c r="UHH71" s="1"/>
      <c r="UHI71" s="1"/>
      <c r="UHJ71" s="1"/>
      <c r="UHK71" s="1"/>
      <c r="UHL71" s="1"/>
      <c r="UHM71" s="1"/>
      <c r="UHN71" s="1"/>
      <c r="UHO71" s="1"/>
      <c r="UHP71" s="1"/>
      <c r="UHQ71" s="1"/>
      <c r="UHR71" s="1"/>
      <c r="UHS71" s="1"/>
      <c r="UHT71" s="1"/>
      <c r="UHU71" s="1"/>
      <c r="UHV71" s="1"/>
      <c r="UHW71" s="1"/>
      <c r="UHX71" s="1"/>
      <c r="UHY71" s="1"/>
      <c r="UHZ71" s="1"/>
      <c r="UIA71" s="1"/>
      <c r="UIB71" s="1"/>
      <c r="UIC71" s="1"/>
      <c r="UID71" s="1"/>
      <c r="UIE71" s="1"/>
      <c r="UIF71" s="1"/>
      <c r="UIG71" s="1"/>
      <c r="UIH71" s="1"/>
      <c r="UII71" s="1"/>
      <c r="UIJ71" s="1"/>
      <c r="UIK71" s="1"/>
      <c r="UIL71" s="1"/>
      <c r="UIM71" s="1"/>
      <c r="UIN71" s="1"/>
      <c r="UIO71" s="1"/>
      <c r="UIP71" s="1"/>
      <c r="UIQ71" s="1"/>
      <c r="UIR71" s="1"/>
      <c r="UIS71" s="1"/>
      <c r="UIT71" s="1"/>
      <c r="UIU71" s="1"/>
      <c r="UIV71" s="1"/>
      <c r="UIW71" s="1"/>
      <c r="UIX71" s="1"/>
      <c r="UIY71" s="1"/>
      <c r="UIZ71" s="1"/>
      <c r="UJA71" s="1"/>
      <c r="UJB71" s="1"/>
      <c r="UJC71" s="1"/>
      <c r="UJD71" s="1"/>
      <c r="UJE71" s="1"/>
      <c r="UJF71" s="1"/>
      <c r="UJG71" s="1"/>
      <c r="UJH71" s="1"/>
      <c r="UJI71" s="1"/>
      <c r="UJJ71" s="1"/>
      <c r="UJK71" s="1"/>
      <c r="UJL71" s="1"/>
      <c r="UJM71" s="1"/>
      <c r="UJN71" s="1"/>
      <c r="UJO71" s="1"/>
      <c r="UJP71" s="1"/>
      <c r="UJQ71" s="1"/>
      <c r="UJR71" s="1"/>
      <c r="UJS71" s="1"/>
      <c r="UJT71" s="1"/>
      <c r="UJU71" s="1"/>
      <c r="UJV71" s="1"/>
      <c r="UJW71" s="1"/>
      <c r="UJX71" s="1"/>
      <c r="UJY71" s="1"/>
      <c r="UJZ71" s="1"/>
      <c r="UKA71" s="1"/>
      <c r="UKB71" s="1"/>
      <c r="UKC71" s="1"/>
      <c r="UKD71" s="1"/>
      <c r="UKE71" s="1"/>
      <c r="UKF71" s="1"/>
      <c r="UKG71" s="1"/>
      <c r="UKH71" s="1"/>
      <c r="UKI71" s="1"/>
      <c r="UKJ71" s="1"/>
      <c r="UKK71" s="1"/>
      <c r="UKL71" s="1"/>
      <c r="UKM71" s="1"/>
      <c r="UKN71" s="1"/>
      <c r="UKO71" s="1"/>
      <c r="UKP71" s="1"/>
      <c r="UKQ71" s="1"/>
      <c r="UKR71" s="1"/>
      <c r="UKS71" s="1"/>
      <c r="UKT71" s="1"/>
      <c r="UKU71" s="1"/>
      <c r="UKV71" s="1"/>
      <c r="UKW71" s="1"/>
      <c r="UKX71" s="1"/>
      <c r="UKY71" s="1"/>
      <c r="UKZ71" s="1"/>
      <c r="ULA71" s="1"/>
      <c r="ULB71" s="1"/>
      <c r="ULC71" s="1"/>
      <c r="ULD71" s="1"/>
      <c r="ULE71" s="1"/>
      <c r="ULF71" s="1"/>
      <c r="ULG71" s="1"/>
      <c r="ULH71" s="1"/>
      <c r="ULI71" s="1"/>
      <c r="ULJ71" s="1"/>
      <c r="ULK71" s="1"/>
      <c r="ULL71" s="1"/>
      <c r="ULM71" s="1"/>
      <c r="ULN71" s="1"/>
      <c r="ULO71" s="1"/>
      <c r="ULP71" s="1"/>
      <c r="ULQ71" s="1"/>
      <c r="ULR71" s="1"/>
      <c r="ULS71" s="1"/>
      <c r="ULT71" s="1"/>
      <c r="ULU71" s="1"/>
      <c r="ULV71" s="1"/>
      <c r="ULW71" s="1"/>
      <c r="ULX71" s="1"/>
      <c r="ULY71" s="1"/>
      <c r="ULZ71" s="1"/>
      <c r="UMA71" s="1"/>
      <c r="UMB71" s="1"/>
      <c r="UMC71" s="1"/>
      <c r="UMD71" s="1"/>
      <c r="UME71" s="1"/>
      <c r="UMF71" s="1"/>
      <c r="UMG71" s="1"/>
      <c r="UMH71" s="1"/>
      <c r="UMI71" s="1"/>
      <c r="UMJ71" s="1"/>
      <c r="UMK71" s="1"/>
      <c r="UML71" s="1"/>
      <c r="UMM71" s="1"/>
      <c r="UMN71" s="1"/>
      <c r="UMO71" s="1"/>
      <c r="UMP71" s="1"/>
      <c r="UMQ71" s="1"/>
      <c r="UMR71" s="1"/>
      <c r="UMS71" s="1"/>
      <c r="UMT71" s="1"/>
      <c r="UMU71" s="1"/>
      <c r="UMV71" s="1"/>
      <c r="UMW71" s="1"/>
      <c r="UMX71" s="1"/>
      <c r="UMY71" s="1"/>
      <c r="UMZ71" s="1"/>
      <c r="UNA71" s="1"/>
      <c r="UNB71" s="1"/>
      <c r="UNC71" s="1"/>
      <c r="UND71" s="1"/>
      <c r="UNE71" s="1"/>
      <c r="UNF71" s="1"/>
      <c r="UNG71" s="1"/>
      <c r="UNH71" s="1"/>
      <c r="UNI71" s="1"/>
      <c r="UNJ71" s="1"/>
      <c r="UNK71" s="1"/>
      <c r="UNL71" s="1"/>
      <c r="UNM71" s="1"/>
      <c r="UNN71" s="1"/>
      <c r="UNO71" s="1"/>
      <c r="UNP71" s="1"/>
      <c r="UNQ71" s="1"/>
      <c r="UNR71" s="1"/>
      <c r="UNS71" s="1"/>
      <c r="UNT71" s="1"/>
      <c r="UNU71" s="1"/>
      <c r="UNV71" s="1"/>
      <c r="UNW71" s="1"/>
      <c r="UNX71" s="1"/>
      <c r="UNY71" s="1"/>
      <c r="UNZ71" s="1"/>
      <c r="UOA71" s="1"/>
      <c r="UOB71" s="1"/>
      <c r="UOC71" s="1"/>
      <c r="UOD71" s="1"/>
      <c r="UOE71" s="1"/>
      <c r="UOF71" s="1"/>
      <c r="UOG71" s="1"/>
      <c r="UOH71" s="1"/>
      <c r="UOI71" s="1"/>
      <c r="UOJ71" s="1"/>
      <c r="UOK71" s="1"/>
      <c r="UOL71" s="1"/>
      <c r="UOM71" s="1"/>
      <c r="UON71" s="1"/>
      <c r="UOO71" s="1"/>
      <c r="UOP71" s="1"/>
      <c r="UOQ71" s="1"/>
      <c r="UOR71" s="1"/>
      <c r="UOS71" s="1"/>
      <c r="UOT71" s="1"/>
      <c r="UOU71" s="1"/>
      <c r="UOV71" s="1"/>
      <c r="UOW71" s="1"/>
      <c r="UOX71" s="1"/>
      <c r="UOY71" s="1"/>
      <c r="UOZ71" s="1"/>
      <c r="UPA71" s="1"/>
      <c r="UPB71" s="1"/>
      <c r="UPC71" s="1"/>
      <c r="UPD71" s="1"/>
      <c r="UPE71" s="1"/>
      <c r="UPF71" s="1"/>
      <c r="UPG71" s="1"/>
      <c r="UPH71" s="1"/>
      <c r="UPI71" s="1"/>
      <c r="UPJ71" s="1"/>
      <c r="UPK71" s="1"/>
      <c r="UPL71" s="1"/>
      <c r="UPM71" s="1"/>
      <c r="UPN71" s="1"/>
      <c r="UPO71" s="1"/>
      <c r="UPP71" s="1"/>
      <c r="UPQ71" s="1"/>
      <c r="UPR71" s="1"/>
      <c r="UPS71" s="1"/>
      <c r="UPT71" s="1"/>
      <c r="UPU71" s="1"/>
      <c r="UPV71" s="1"/>
      <c r="UPW71" s="1"/>
      <c r="UPX71" s="1"/>
      <c r="UPY71" s="1"/>
      <c r="UPZ71" s="1"/>
      <c r="UQA71" s="1"/>
      <c r="UQB71" s="1"/>
      <c r="UQC71" s="1"/>
      <c r="UQD71" s="1"/>
      <c r="UQE71" s="1"/>
      <c r="UQF71" s="1"/>
      <c r="UQG71" s="1"/>
      <c r="UQH71" s="1"/>
      <c r="UQI71" s="1"/>
      <c r="UQJ71" s="1"/>
      <c r="UQK71" s="1"/>
      <c r="UQL71" s="1"/>
      <c r="UQM71" s="1"/>
      <c r="UQN71" s="1"/>
      <c r="UQO71" s="1"/>
      <c r="UQP71" s="1"/>
      <c r="UQQ71" s="1"/>
      <c r="UQR71" s="1"/>
      <c r="UQS71" s="1"/>
      <c r="UQT71" s="1"/>
      <c r="UQU71" s="1"/>
      <c r="UQV71" s="1"/>
      <c r="UQW71" s="1"/>
      <c r="UQX71" s="1"/>
      <c r="UQY71" s="1"/>
      <c r="UQZ71" s="1"/>
      <c r="URA71" s="1"/>
      <c r="URB71" s="1"/>
      <c r="URC71" s="1"/>
      <c r="URD71" s="1"/>
      <c r="URE71" s="1"/>
      <c r="URF71" s="1"/>
      <c r="URG71" s="1"/>
      <c r="URH71" s="1"/>
      <c r="URI71" s="1"/>
      <c r="URJ71" s="1"/>
      <c r="URK71" s="1"/>
      <c r="URL71" s="1"/>
      <c r="URM71" s="1"/>
      <c r="URN71" s="1"/>
      <c r="URO71" s="1"/>
      <c r="URP71" s="1"/>
      <c r="URQ71" s="1"/>
      <c r="URR71" s="1"/>
      <c r="URS71" s="1"/>
      <c r="URT71" s="1"/>
      <c r="URU71" s="1"/>
      <c r="URV71" s="1"/>
      <c r="URW71" s="1"/>
      <c r="URX71" s="1"/>
      <c r="URY71" s="1"/>
      <c r="URZ71" s="1"/>
      <c r="USA71" s="1"/>
      <c r="USB71" s="1"/>
      <c r="USC71" s="1"/>
      <c r="USD71" s="1"/>
      <c r="USE71" s="1"/>
      <c r="USF71" s="1"/>
      <c r="USG71" s="1"/>
      <c r="USH71" s="1"/>
      <c r="USI71" s="1"/>
      <c r="USJ71" s="1"/>
      <c r="USK71" s="1"/>
      <c r="USL71" s="1"/>
      <c r="USM71" s="1"/>
      <c r="USN71" s="1"/>
      <c r="USO71" s="1"/>
      <c r="USP71" s="1"/>
      <c r="USQ71" s="1"/>
      <c r="USR71" s="1"/>
      <c r="USS71" s="1"/>
      <c r="UST71" s="1"/>
      <c r="USU71" s="1"/>
      <c r="USV71" s="1"/>
      <c r="USW71" s="1"/>
      <c r="USX71" s="1"/>
      <c r="USY71" s="1"/>
      <c r="USZ71" s="1"/>
      <c r="UTA71" s="1"/>
      <c r="UTB71" s="1"/>
      <c r="UTC71" s="1"/>
      <c r="UTD71" s="1"/>
      <c r="UTE71" s="1"/>
      <c r="UTF71" s="1"/>
      <c r="UTG71" s="1"/>
      <c r="UTH71" s="1"/>
      <c r="UTI71" s="1"/>
      <c r="UTJ71" s="1"/>
      <c r="UTK71" s="1"/>
      <c r="UTL71" s="1"/>
      <c r="UTM71" s="1"/>
      <c r="UTN71" s="1"/>
      <c r="UTO71" s="1"/>
      <c r="UTP71" s="1"/>
      <c r="UTQ71" s="1"/>
      <c r="UTR71" s="1"/>
      <c r="UTS71" s="1"/>
      <c r="UTT71" s="1"/>
      <c r="UTU71" s="1"/>
      <c r="UTV71" s="1"/>
      <c r="UTW71" s="1"/>
      <c r="UTX71" s="1"/>
      <c r="UTY71" s="1"/>
      <c r="UTZ71" s="1"/>
      <c r="UUA71" s="1"/>
      <c r="UUB71" s="1"/>
      <c r="UUC71" s="1"/>
      <c r="UUD71" s="1"/>
      <c r="UUE71" s="1"/>
      <c r="UUF71" s="1"/>
      <c r="UUG71" s="1"/>
      <c r="UUH71" s="1"/>
      <c r="UUI71" s="1"/>
      <c r="UUJ71" s="1"/>
      <c r="UUK71" s="1"/>
      <c r="UUL71" s="1"/>
      <c r="UUM71" s="1"/>
      <c r="UUN71" s="1"/>
      <c r="UUO71" s="1"/>
      <c r="UUP71" s="1"/>
      <c r="UUQ71" s="1"/>
      <c r="UUR71" s="1"/>
      <c r="UUS71" s="1"/>
      <c r="UUT71" s="1"/>
      <c r="UUU71" s="1"/>
      <c r="UUV71" s="1"/>
      <c r="UUW71" s="1"/>
      <c r="UUX71" s="1"/>
      <c r="UUY71" s="1"/>
      <c r="UUZ71" s="1"/>
      <c r="UVA71" s="1"/>
      <c r="UVB71" s="1"/>
      <c r="UVC71" s="1"/>
      <c r="UVD71" s="1"/>
      <c r="UVE71" s="1"/>
      <c r="UVF71" s="1"/>
      <c r="UVG71" s="1"/>
      <c r="UVH71" s="1"/>
      <c r="UVI71" s="1"/>
      <c r="UVJ71" s="1"/>
      <c r="UVK71" s="1"/>
      <c r="UVL71" s="1"/>
      <c r="UVM71" s="1"/>
      <c r="UVN71" s="1"/>
      <c r="UVO71" s="1"/>
      <c r="UVP71" s="1"/>
      <c r="UVQ71" s="1"/>
      <c r="UVR71" s="1"/>
      <c r="UVS71" s="1"/>
      <c r="UVT71" s="1"/>
      <c r="UVU71" s="1"/>
      <c r="UVV71" s="1"/>
      <c r="UVW71" s="1"/>
      <c r="UVX71" s="1"/>
      <c r="UVY71" s="1"/>
      <c r="UVZ71" s="1"/>
      <c r="UWA71" s="1"/>
      <c r="UWB71" s="1"/>
      <c r="UWC71" s="1"/>
      <c r="UWD71" s="1"/>
      <c r="UWE71" s="1"/>
      <c r="UWF71" s="1"/>
      <c r="UWG71" s="1"/>
      <c r="UWH71" s="1"/>
      <c r="UWI71" s="1"/>
      <c r="UWJ71" s="1"/>
      <c r="UWK71" s="1"/>
      <c r="UWL71" s="1"/>
      <c r="UWM71" s="1"/>
      <c r="UWN71" s="1"/>
      <c r="UWO71" s="1"/>
      <c r="UWP71" s="1"/>
      <c r="UWQ71" s="1"/>
      <c r="UWR71" s="1"/>
      <c r="UWS71" s="1"/>
      <c r="UWT71" s="1"/>
      <c r="UWU71" s="1"/>
      <c r="UWV71" s="1"/>
      <c r="UWW71" s="1"/>
      <c r="UWX71" s="1"/>
      <c r="UWY71" s="1"/>
      <c r="UWZ71" s="1"/>
      <c r="UXA71" s="1"/>
      <c r="UXB71" s="1"/>
      <c r="UXC71" s="1"/>
      <c r="UXD71" s="1"/>
      <c r="UXE71" s="1"/>
      <c r="UXF71" s="1"/>
      <c r="UXG71" s="1"/>
      <c r="UXH71" s="1"/>
      <c r="UXI71" s="1"/>
      <c r="UXJ71" s="1"/>
      <c r="UXK71" s="1"/>
      <c r="UXL71" s="1"/>
      <c r="UXM71" s="1"/>
      <c r="UXN71" s="1"/>
      <c r="UXO71" s="1"/>
      <c r="UXP71" s="1"/>
      <c r="UXQ71" s="1"/>
      <c r="UXR71" s="1"/>
      <c r="UXS71" s="1"/>
      <c r="UXT71" s="1"/>
      <c r="UXU71" s="1"/>
      <c r="UXV71" s="1"/>
      <c r="UXW71" s="1"/>
      <c r="UXX71" s="1"/>
      <c r="UXY71" s="1"/>
      <c r="UXZ71" s="1"/>
      <c r="UYA71" s="1"/>
      <c r="UYB71" s="1"/>
      <c r="UYC71" s="1"/>
      <c r="UYD71" s="1"/>
      <c r="UYE71" s="1"/>
      <c r="UYF71" s="1"/>
      <c r="UYG71" s="1"/>
      <c r="UYH71" s="1"/>
      <c r="UYI71" s="1"/>
      <c r="UYJ71" s="1"/>
      <c r="UYK71" s="1"/>
      <c r="UYL71" s="1"/>
      <c r="UYM71" s="1"/>
      <c r="UYN71" s="1"/>
      <c r="UYO71" s="1"/>
      <c r="UYP71" s="1"/>
      <c r="UYQ71" s="1"/>
      <c r="UYR71" s="1"/>
      <c r="UYS71" s="1"/>
      <c r="UYT71" s="1"/>
      <c r="UYU71" s="1"/>
      <c r="UYV71" s="1"/>
      <c r="UYW71" s="1"/>
      <c r="UYX71" s="1"/>
      <c r="UYY71" s="1"/>
      <c r="UYZ71" s="1"/>
      <c r="UZA71" s="1"/>
      <c r="UZB71" s="1"/>
      <c r="UZC71" s="1"/>
      <c r="UZD71" s="1"/>
      <c r="UZE71" s="1"/>
      <c r="UZF71" s="1"/>
      <c r="UZG71" s="1"/>
      <c r="UZH71" s="1"/>
      <c r="UZI71" s="1"/>
      <c r="UZJ71" s="1"/>
      <c r="UZK71" s="1"/>
      <c r="UZL71" s="1"/>
      <c r="UZM71" s="1"/>
      <c r="UZN71" s="1"/>
      <c r="UZO71" s="1"/>
      <c r="UZP71" s="1"/>
      <c r="UZQ71" s="1"/>
      <c r="UZR71" s="1"/>
      <c r="UZS71" s="1"/>
      <c r="UZT71" s="1"/>
      <c r="UZU71" s="1"/>
      <c r="UZV71" s="1"/>
      <c r="UZW71" s="1"/>
      <c r="UZX71" s="1"/>
      <c r="UZY71" s="1"/>
      <c r="UZZ71" s="1"/>
      <c r="VAA71" s="1"/>
      <c r="VAB71" s="1"/>
      <c r="VAC71" s="1"/>
      <c r="VAD71" s="1"/>
      <c r="VAE71" s="1"/>
      <c r="VAF71" s="1"/>
      <c r="VAG71" s="1"/>
      <c r="VAH71" s="1"/>
      <c r="VAI71" s="1"/>
      <c r="VAJ71" s="1"/>
      <c r="VAK71" s="1"/>
      <c r="VAL71" s="1"/>
      <c r="VAM71" s="1"/>
      <c r="VAN71" s="1"/>
      <c r="VAO71" s="1"/>
      <c r="VAP71" s="1"/>
      <c r="VAQ71" s="1"/>
      <c r="VAR71" s="1"/>
      <c r="VAS71" s="1"/>
      <c r="VAT71" s="1"/>
      <c r="VAU71" s="1"/>
      <c r="VAV71" s="1"/>
      <c r="VAW71" s="1"/>
      <c r="VAX71" s="1"/>
      <c r="VAY71" s="1"/>
      <c r="VAZ71" s="1"/>
      <c r="VBA71" s="1"/>
      <c r="VBB71" s="1"/>
      <c r="VBC71" s="1"/>
      <c r="VBD71" s="1"/>
      <c r="VBE71" s="1"/>
      <c r="VBF71" s="1"/>
      <c r="VBG71" s="1"/>
      <c r="VBH71" s="1"/>
      <c r="VBI71" s="1"/>
      <c r="VBJ71" s="1"/>
      <c r="VBK71" s="1"/>
      <c r="VBL71" s="1"/>
      <c r="VBM71" s="1"/>
      <c r="VBN71" s="1"/>
      <c r="VBO71" s="1"/>
      <c r="VBP71" s="1"/>
      <c r="VBQ71" s="1"/>
      <c r="VBR71" s="1"/>
      <c r="VBS71" s="1"/>
      <c r="VBT71" s="1"/>
      <c r="VBU71" s="1"/>
      <c r="VBV71" s="1"/>
      <c r="VBW71" s="1"/>
      <c r="VBX71" s="1"/>
      <c r="VBY71" s="1"/>
      <c r="VBZ71" s="1"/>
      <c r="VCA71" s="1"/>
      <c r="VCB71" s="1"/>
      <c r="VCC71" s="1"/>
      <c r="VCD71" s="1"/>
      <c r="VCE71" s="1"/>
      <c r="VCF71" s="1"/>
      <c r="VCG71" s="1"/>
      <c r="VCH71" s="1"/>
      <c r="VCI71" s="1"/>
      <c r="VCJ71" s="1"/>
      <c r="VCK71" s="1"/>
      <c r="VCL71" s="1"/>
      <c r="VCM71" s="1"/>
      <c r="VCN71" s="1"/>
      <c r="VCO71" s="1"/>
      <c r="VCP71" s="1"/>
      <c r="VCQ71" s="1"/>
      <c r="VCR71" s="1"/>
      <c r="VCS71" s="1"/>
      <c r="VCT71" s="1"/>
      <c r="VCU71" s="1"/>
      <c r="VCV71" s="1"/>
      <c r="VCW71" s="1"/>
      <c r="VCX71" s="1"/>
      <c r="VCY71" s="1"/>
      <c r="VCZ71" s="1"/>
      <c r="VDA71" s="1"/>
      <c r="VDB71" s="1"/>
      <c r="VDC71" s="1"/>
      <c r="VDD71" s="1"/>
      <c r="VDE71" s="1"/>
      <c r="VDF71" s="1"/>
      <c r="VDG71" s="1"/>
      <c r="VDH71" s="1"/>
      <c r="VDI71" s="1"/>
      <c r="VDJ71" s="1"/>
      <c r="VDK71" s="1"/>
      <c r="VDL71" s="1"/>
      <c r="VDM71" s="1"/>
      <c r="VDN71" s="1"/>
      <c r="VDO71" s="1"/>
      <c r="VDP71" s="1"/>
      <c r="VDQ71" s="1"/>
      <c r="VDR71" s="1"/>
      <c r="VDS71" s="1"/>
      <c r="VDT71" s="1"/>
      <c r="VDU71" s="1"/>
      <c r="VDV71" s="1"/>
      <c r="VDW71" s="1"/>
      <c r="VDX71" s="1"/>
      <c r="VDY71" s="1"/>
      <c r="VDZ71" s="1"/>
      <c r="VEA71" s="1"/>
      <c r="VEB71" s="1"/>
      <c r="VEC71" s="1"/>
      <c r="VED71" s="1"/>
      <c r="VEE71" s="1"/>
      <c r="VEF71" s="1"/>
      <c r="VEG71" s="1"/>
      <c r="VEH71" s="1"/>
      <c r="VEI71" s="1"/>
      <c r="VEJ71" s="1"/>
      <c r="VEK71" s="1"/>
      <c r="VEL71" s="1"/>
      <c r="VEM71" s="1"/>
      <c r="VEN71" s="1"/>
      <c r="VEO71" s="1"/>
      <c r="VEP71" s="1"/>
      <c r="VEQ71" s="1"/>
      <c r="VER71" s="1"/>
      <c r="VES71" s="1"/>
      <c r="VET71" s="1"/>
      <c r="VEU71" s="1"/>
      <c r="VEV71" s="1"/>
      <c r="VEW71" s="1"/>
      <c r="VEX71" s="1"/>
      <c r="VEY71" s="1"/>
      <c r="VEZ71" s="1"/>
      <c r="VFA71" s="1"/>
      <c r="VFB71" s="1"/>
      <c r="VFC71" s="1"/>
      <c r="VFD71" s="1"/>
      <c r="VFE71" s="1"/>
      <c r="VFF71" s="1"/>
      <c r="VFG71" s="1"/>
      <c r="VFH71" s="1"/>
      <c r="VFI71" s="1"/>
      <c r="VFJ71" s="1"/>
      <c r="VFK71" s="1"/>
      <c r="VFL71" s="1"/>
      <c r="VFM71" s="1"/>
      <c r="VFN71" s="1"/>
      <c r="VFO71" s="1"/>
      <c r="VFP71" s="1"/>
      <c r="VFQ71" s="1"/>
      <c r="VFR71" s="1"/>
      <c r="VFS71" s="1"/>
      <c r="VFT71" s="1"/>
      <c r="VFU71" s="1"/>
      <c r="VFV71" s="1"/>
      <c r="VFW71" s="1"/>
      <c r="VFX71" s="1"/>
      <c r="VFY71" s="1"/>
      <c r="VFZ71" s="1"/>
      <c r="VGA71" s="1"/>
      <c r="VGB71" s="1"/>
      <c r="VGC71" s="1"/>
      <c r="VGD71" s="1"/>
      <c r="VGE71" s="1"/>
      <c r="VGF71" s="1"/>
      <c r="VGG71" s="1"/>
      <c r="VGH71" s="1"/>
      <c r="VGI71" s="1"/>
      <c r="VGJ71" s="1"/>
      <c r="VGK71" s="1"/>
      <c r="VGL71" s="1"/>
      <c r="VGM71" s="1"/>
      <c r="VGN71" s="1"/>
      <c r="VGO71" s="1"/>
      <c r="VGP71" s="1"/>
      <c r="VGQ71" s="1"/>
      <c r="VGR71" s="1"/>
      <c r="VGS71" s="1"/>
      <c r="VGT71" s="1"/>
      <c r="VGU71" s="1"/>
      <c r="VGV71" s="1"/>
      <c r="VGW71" s="1"/>
      <c r="VGX71" s="1"/>
      <c r="VGY71" s="1"/>
      <c r="VGZ71" s="1"/>
      <c r="VHA71" s="1"/>
      <c r="VHB71" s="1"/>
      <c r="VHC71" s="1"/>
      <c r="VHD71" s="1"/>
      <c r="VHE71" s="1"/>
      <c r="VHF71" s="1"/>
      <c r="VHG71" s="1"/>
      <c r="VHH71" s="1"/>
      <c r="VHI71" s="1"/>
      <c r="VHJ71" s="1"/>
      <c r="VHK71" s="1"/>
      <c r="VHL71" s="1"/>
      <c r="VHM71" s="1"/>
      <c r="VHN71" s="1"/>
      <c r="VHO71" s="1"/>
      <c r="VHP71" s="1"/>
      <c r="VHQ71" s="1"/>
      <c r="VHR71" s="1"/>
      <c r="VHS71" s="1"/>
      <c r="VHT71" s="1"/>
      <c r="VHU71" s="1"/>
      <c r="VHV71" s="1"/>
      <c r="VHW71" s="1"/>
      <c r="VHX71" s="1"/>
      <c r="VHY71" s="1"/>
      <c r="VHZ71" s="1"/>
      <c r="VIA71" s="1"/>
      <c r="VIB71" s="1"/>
      <c r="VIC71" s="1"/>
      <c r="VID71" s="1"/>
      <c r="VIE71" s="1"/>
      <c r="VIF71" s="1"/>
      <c r="VIG71" s="1"/>
      <c r="VIH71" s="1"/>
      <c r="VII71" s="1"/>
      <c r="VIJ71" s="1"/>
      <c r="VIK71" s="1"/>
      <c r="VIL71" s="1"/>
      <c r="VIM71" s="1"/>
      <c r="VIN71" s="1"/>
      <c r="VIO71" s="1"/>
      <c r="VIP71" s="1"/>
      <c r="VIQ71" s="1"/>
      <c r="VIR71" s="1"/>
      <c r="VIS71" s="1"/>
      <c r="VIT71" s="1"/>
      <c r="VIU71" s="1"/>
      <c r="VIV71" s="1"/>
      <c r="VIW71" s="1"/>
      <c r="VIX71" s="1"/>
      <c r="VIY71" s="1"/>
      <c r="VIZ71" s="1"/>
      <c r="VJA71" s="1"/>
      <c r="VJB71" s="1"/>
      <c r="VJC71" s="1"/>
      <c r="VJD71" s="1"/>
      <c r="VJE71" s="1"/>
      <c r="VJF71" s="1"/>
      <c r="VJG71" s="1"/>
      <c r="VJH71" s="1"/>
      <c r="VJI71" s="1"/>
      <c r="VJJ71" s="1"/>
      <c r="VJK71" s="1"/>
      <c r="VJL71" s="1"/>
      <c r="VJM71" s="1"/>
      <c r="VJN71" s="1"/>
      <c r="VJO71" s="1"/>
      <c r="VJP71" s="1"/>
      <c r="VJQ71" s="1"/>
      <c r="VJR71" s="1"/>
      <c r="VJS71" s="1"/>
      <c r="VJT71" s="1"/>
      <c r="VJU71" s="1"/>
      <c r="VJV71" s="1"/>
      <c r="VJW71" s="1"/>
      <c r="VJX71" s="1"/>
      <c r="VJY71" s="1"/>
      <c r="VJZ71" s="1"/>
      <c r="VKA71" s="1"/>
      <c r="VKB71" s="1"/>
      <c r="VKC71" s="1"/>
      <c r="VKD71" s="1"/>
      <c r="VKE71" s="1"/>
      <c r="VKF71" s="1"/>
      <c r="VKG71" s="1"/>
      <c r="VKH71" s="1"/>
      <c r="VKI71" s="1"/>
      <c r="VKJ71" s="1"/>
      <c r="VKK71" s="1"/>
      <c r="VKL71" s="1"/>
      <c r="VKM71" s="1"/>
      <c r="VKN71" s="1"/>
      <c r="VKO71" s="1"/>
      <c r="VKP71" s="1"/>
      <c r="VKQ71" s="1"/>
      <c r="VKR71" s="1"/>
      <c r="VKS71" s="1"/>
      <c r="VKT71" s="1"/>
      <c r="VKU71" s="1"/>
      <c r="VKV71" s="1"/>
      <c r="VKW71" s="1"/>
      <c r="VKX71" s="1"/>
      <c r="VKY71" s="1"/>
      <c r="VKZ71" s="1"/>
      <c r="VLA71" s="1"/>
      <c r="VLB71" s="1"/>
      <c r="VLC71" s="1"/>
      <c r="VLD71" s="1"/>
      <c r="VLE71" s="1"/>
      <c r="VLF71" s="1"/>
      <c r="VLG71" s="1"/>
      <c r="VLH71" s="1"/>
      <c r="VLI71" s="1"/>
      <c r="VLJ71" s="1"/>
      <c r="VLK71" s="1"/>
      <c r="VLL71" s="1"/>
      <c r="VLM71" s="1"/>
      <c r="VLN71" s="1"/>
      <c r="VLO71" s="1"/>
      <c r="VLP71" s="1"/>
      <c r="VLQ71" s="1"/>
      <c r="VLR71" s="1"/>
      <c r="VLS71" s="1"/>
      <c r="VLT71" s="1"/>
      <c r="VLU71" s="1"/>
      <c r="VLV71" s="1"/>
      <c r="VLW71" s="1"/>
      <c r="VLX71" s="1"/>
      <c r="VLY71" s="1"/>
      <c r="VLZ71" s="1"/>
      <c r="VMA71" s="1"/>
      <c r="VMB71" s="1"/>
      <c r="VMC71" s="1"/>
      <c r="VMD71" s="1"/>
      <c r="VME71" s="1"/>
      <c r="VMF71" s="1"/>
      <c r="VMG71" s="1"/>
      <c r="VMH71" s="1"/>
      <c r="VMI71" s="1"/>
      <c r="VMJ71" s="1"/>
      <c r="VMK71" s="1"/>
      <c r="VML71" s="1"/>
      <c r="VMM71" s="1"/>
      <c r="VMN71" s="1"/>
      <c r="VMO71" s="1"/>
      <c r="VMP71" s="1"/>
      <c r="VMQ71" s="1"/>
      <c r="VMR71" s="1"/>
      <c r="VMS71" s="1"/>
      <c r="VMT71" s="1"/>
      <c r="VMU71" s="1"/>
      <c r="VMV71" s="1"/>
      <c r="VMW71" s="1"/>
      <c r="VMX71" s="1"/>
      <c r="VMY71" s="1"/>
      <c r="VMZ71" s="1"/>
      <c r="VNA71" s="1"/>
      <c r="VNB71" s="1"/>
      <c r="VNC71" s="1"/>
      <c r="VND71" s="1"/>
      <c r="VNE71" s="1"/>
      <c r="VNF71" s="1"/>
      <c r="VNG71" s="1"/>
      <c r="VNH71" s="1"/>
      <c r="VNI71" s="1"/>
      <c r="VNJ71" s="1"/>
      <c r="VNK71" s="1"/>
      <c r="VNL71" s="1"/>
      <c r="VNM71" s="1"/>
      <c r="VNN71" s="1"/>
      <c r="VNO71" s="1"/>
      <c r="VNP71" s="1"/>
      <c r="VNQ71" s="1"/>
      <c r="VNR71" s="1"/>
      <c r="VNS71" s="1"/>
      <c r="VNT71" s="1"/>
      <c r="VNU71" s="1"/>
      <c r="VNV71" s="1"/>
      <c r="VNW71" s="1"/>
      <c r="VNX71" s="1"/>
      <c r="VNY71" s="1"/>
      <c r="VNZ71" s="1"/>
      <c r="VOA71" s="1"/>
      <c r="VOB71" s="1"/>
      <c r="VOC71" s="1"/>
      <c r="VOD71" s="1"/>
      <c r="VOE71" s="1"/>
      <c r="VOF71" s="1"/>
      <c r="VOG71" s="1"/>
      <c r="VOH71" s="1"/>
      <c r="VOI71" s="1"/>
      <c r="VOJ71" s="1"/>
      <c r="VOK71" s="1"/>
      <c r="VOL71" s="1"/>
      <c r="VOM71" s="1"/>
      <c r="VON71" s="1"/>
      <c r="VOO71" s="1"/>
      <c r="VOP71" s="1"/>
      <c r="VOQ71" s="1"/>
      <c r="VOR71" s="1"/>
      <c r="VOS71" s="1"/>
      <c r="VOT71" s="1"/>
      <c r="VOU71" s="1"/>
      <c r="VOV71" s="1"/>
      <c r="VOW71" s="1"/>
      <c r="VOX71" s="1"/>
      <c r="VOY71" s="1"/>
      <c r="VOZ71" s="1"/>
      <c r="VPA71" s="1"/>
      <c r="VPB71" s="1"/>
      <c r="VPC71" s="1"/>
      <c r="VPD71" s="1"/>
      <c r="VPE71" s="1"/>
      <c r="VPF71" s="1"/>
      <c r="VPG71" s="1"/>
      <c r="VPH71" s="1"/>
      <c r="VPI71" s="1"/>
      <c r="VPJ71" s="1"/>
      <c r="VPK71" s="1"/>
      <c r="VPL71" s="1"/>
      <c r="VPM71" s="1"/>
      <c r="VPN71" s="1"/>
      <c r="VPO71" s="1"/>
      <c r="VPP71" s="1"/>
      <c r="VPQ71" s="1"/>
      <c r="VPR71" s="1"/>
      <c r="VPS71" s="1"/>
      <c r="VPT71" s="1"/>
      <c r="VPU71" s="1"/>
      <c r="VPV71" s="1"/>
      <c r="VPW71" s="1"/>
      <c r="VPX71" s="1"/>
      <c r="VPY71" s="1"/>
      <c r="VPZ71" s="1"/>
      <c r="VQA71" s="1"/>
      <c r="VQB71" s="1"/>
      <c r="VQC71" s="1"/>
      <c r="VQD71" s="1"/>
      <c r="VQE71" s="1"/>
      <c r="VQF71" s="1"/>
      <c r="VQG71" s="1"/>
      <c r="VQH71" s="1"/>
      <c r="VQI71" s="1"/>
      <c r="VQJ71" s="1"/>
      <c r="VQK71" s="1"/>
      <c r="VQL71" s="1"/>
      <c r="VQM71" s="1"/>
      <c r="VQN71" s="1"/>
      <c r="VQO71" s="1"/>
      <c r="VQP71" s="1"/>
      <c r="VQQ71" s="1"/>
      <c r="VQR71" s="1"/>
      <c r="VQS71" s="1"/>
      <c r="VQT71" s="1"/>
      <c r="VQU71" s="1"/>
      <c r="VQV71" s="1"/>
      <c r="VQW71" s="1"/>
      <c r="VQX71" s="1"/>
      <c r="VQY71" s="1"/>
      <c r="VQZ71" s="1"/>
      <c r="VRA71" s="1"/>
      <c r="VRB71" s="1"/>
      <c r="VRC71" s="1"/>
      <c r="VRD71" s="1"/>
      <c r="VRE71" s="1"/>
      <c r="VRF71" s="1"/>
      <c r="VRG71" s="1"/>
      <c r="VRH71" s="1"/>
      <c r="VRI71" s="1"/>
      <c r="VRJ71" s="1"/>
      <c r="VRK71" s="1"/>
      <c r="VRL71" s="1"/>
      <c r="VRM71" s="1"/>
      <c r="VRN71" s="1"/>
      <c r="VRO71" s="1"/>
      <c r="VRP71" s="1"/>
      <c r="VRQ71" s="1"/>
      <c r="VRR71" s="1"/>
      <c r="VRS71" s="1"/>
      <c r="VRT71" s="1"/>
      <c r="VRU71" s="1"/>
      <c r="VRV71" s="1"/>
      <c r="VRW71" s="1"/>
      <c r="VRX71" s="1"/>
      <c r="VRY71" s="1"/>
      <c r="VRZ71" s="1"/>
      <c r="VSA71" s="1"/>
      <c r="VSB71" s="1"/>
      <c r="VSC71" s="1"/>
      <c r="VSD71" s="1"/>
      <c r="VSE71" s="1"/>
      <c r="VSF71" s="1"/>
      <c r="VSG71" s="1"/>
      <c r="VSH71" s="1"/>
      <c r="VSI71" s="1"/>
      <c r="VSJ71" s="1"/>
      <c r="VSK71" s="1"/>
      <c r="VSL71" s="1"/>
      <c r="VSM71" s="1"/>
      <c r="VSN71" s="1"/>
      <c r="VSO71" s="1"/>
      <c r="VSP71" s="1"/>
      <c r="VSQ71" s="1"/>
      <c r="VSR71" s="1"/>
      <c r="VSS71" s="1"/>
      <c r="VST71" s="1"/>
      <c r="VSU71" s="1"/>
      <c r="VSV71" s="1"/>
      <c r="VSW71" s="1"/>
      <c r="VSX71" s="1"/>
      <c r="VSY71" s="1"/>
      <c r="VSZ71" s="1"/>
      <c r="VTA71" s="1"/>
      <c r="VTB71" s="1"/>
      <c r="VTC71" s="1"/>
      <c r="VTD71" s="1"/>
      <c r="VTE71" s="1"/>
      <c r="VTF71" s="1"/>
      <c r="VTG71" s="1"/>
      <c r="VTH71" s="1"/>
      <c r="VTI71" s="1"/>
      <c r="VTJ71" s="1"/>
      <c r="VTK71" s="1"/>
      <c r="VTL71" s="1"/>
      <c r="VTM71" s="1"/>
      <c r="VTN71" s="1"/>
      <c r="VTO71" s="1"/>
      <c r="VTP71" s="1"/>
      <c r="VTQ71" s="1"/>
      <c r="VTR71" s="1"/>
      <c r="VTS71" s="1"/>
      <c r="VTT71" s="1"/>
      <c r="VTU71" s="1"/>
      <c r="VTV71" s="1"/>
      <c r="VTW71" s="1"/>
      <c r="VTX71" s="1"/>
      <c r="VTY71" s="1"/>
      <c r="VTZ71" s="1"/>
      <c r="VUA71" s="1"/>
      <c r="VUB71" s="1"/>
      <c r="VUC71" s="1"/>
      <c r="VUD71" s="1"/>
      <c r="VUE71" s="1"/>
      <c r="VUF71" s="1"/>
      <c r="VUG71" s="1"/>
      <c r="VUH71" s="1"/>
      <c r="VUI71" s="1"/>
      <c r="VUJ71" s="1"/>
      <c r="VUK71" s="1"/>
      <c r="VUL71" s="1"/>
      <c r="VUM71" s="1"/>
      <c r="VUN71" s="1"/>
      <c r="VUO71" s="1"/>
      <c r="VUP71" s="1"/>
      <c r="VUQ71" s="1"/>
      <c r="VUR71" s="1"/>
      <c r="VUS71" s="1"/>
      <c r="VUT71" s="1"/>
      <c r="VUU71" s="1"/>
      <c r="VUV71" s="1"/>
      <c r="VUW71" s="1"/>
      <c r="VUX71" s="1"/>
      <c r="VUY71" s="1"/>
      <c r="VUZ71" s="1"/>
      <c r="VVA71" s="1"/>
      <c r="VVB71" s="1"/>
      <c r="VVC71" s="1"/>
      <c r="VVD71" s="1"/>
      <c r="VVE71" s="1"/>
      <c r="VVF71" s="1"/>
      <c r="VVG71" s="1"/>
      <c r="VVH71" s="1"/>
      <c r="VVI71" s="1"/>
      <c r="VVJ71" s="1"/>
      <c r="VVK71" s="1"/>
      <c r="VVL71" s="1"/>
      <c r="VVM71" s="1"/>
      <c r="VVN71" s="1"/>
      <c r="VVO71" s="1"/>
      <c r="VVP71" s="1"/>
      <c r="VVQ71" s="1"/>
      <c r="VVR71" s="1"/>
      <c r="VVS71" s="1"/>
      <c r="VVT71" s="1"/>
      <c r="VVU71" s="1"/>
      <c r="VVV71" s="1"/>
      <c r="VVW71" s="1"/>
      <c r="VVX71" s="1"/>
      <c r="VVY71" s="1"/>
      <c r="VVZ71" s="1"/>
      <c r="VWA71" s="1"/>
      <c r="VWB71" s="1"/>
      <c r="VWC71" s="1"/>
      <c r="VWD71" s="1"/>
      <c r="VWE71" s="1"/>
      <c r="VWF71" s="1"/>
      <c r="VWG71" s="1"/>
      <c r="VWH71" s="1"/>
      <c r="VWI71" s="1"/>
      <c r="VWJ71" s="1"/>
      <c r="VWK71" s="1"/>
      <c r="VWL71" s="1"/>
      <c r="VWM71" s="1"/>
      <c r="VWN71" s="1"/>
      <c r="VWO71" s="1"/>
      <c r="VWP71" s="1"/>
      <c r="VWQ71" s="1"/>
      <c r="VWR71" s="1"/>
      <c r="VWS71" s="1"/>
      <c r="VWT71" s="1"/>
      <c r="VWU71" s="1"/>
      <c r="VWV71" s="1"/>
      <c r="VWW71" s="1"/>
      <c r="VWX71" s="1"/>
      <c r="VWY71" s="1"/>
      <c r="VWZ71" s="1"/>
      <c r="VXA71" s="1"/>
      <c r="VXB71" s="1"/>
      <c r="VXC71" s="1"/>
      <c r="VXD71" s="1"/>
      <c r="VXE71" s="1"/>
      <c r="VXF71" s="1"/>
      <c r="VXG71" s="1"/>
      <c r="VXH71" s="1"/>
      <c r="VXI71" s="1"/>
      <c r="VXJ71" s="1"/>
      <c r="VXK71" s="1"/>
      <c r="VXL71" s="1"/>
      <c r="VXM71" s="1"/>
      <c r="VXN71" s="1"/>
      <c r="VXO71" s="1"/>
      <c r="VXP71" s="1"/>
      <c r="VXQ71" s="1"/>
      <c r="VXR71" s="1"/>
      <c r="VXS71" s="1"/>
      <c r="VXT71" s="1"/>
      <c r="VXU71" s="1"/>
      <c r="VXV71" s="1"/>
      <c r="VXW71" s="1"/>
      <c r="VXX71" s="1"/>
      <c r="VXY71" s="1"/>
      <c r="VXZ71" s="1"/>
      <c r="VYA71" s="1"/>
      <c r="VYB71" s="1"/>
      <c r="VYC71" s="1"/>
      <c r="VYD71" s="1"/>
      <c r="VYE71" s="1"/>
      <c r="VYF71" s="1"/>
      <c r="VYG71" s="1"/>
      <c r="VYH71" s="1"/>
      <c r="VYI71" s="1"/>
      <c r="VYJ71" s="1"/>
      <c r="VYK71" s="1"/>
      <c r="VYL71" s="1"/>
      <c r="VYM71" s="1"/>
      <c r="VYN71" s="1"/>
      <c r="VYO71" s="1"/>
      <c r="VYP71" s="1"/>
      <c r="VYQ71" s="1"/>
      <c r="VYR71" s="1"/>
      <c r="VYS71" s="1"/>
      <c r="VYT71" s="1"/>
      <c r="VYU71" s="1"/>
      <c r="VYV71" s="1"/>
      <c r="VYW71" s="1"/>
      <c r="VYX71" s="1"/>
      <c r="VYY71" s="1"/>
      <c r="VYZ71" s="1"/>
      <c r="VZA71" s="1"/>
      <c r="VZB71" s="1"/>
      <c r="VZC71" s="1"/>
      <c r="VZD71" s="1"/>
      <c r="VZE71" s="1"/>
      <c r="VZF71" s="1"/>
      <c r="VZG71" s="1"/>
      <c r="VZH71" s="1"/>
      <c r="VZI71" s="1"/>
      <c r="VZJ71" s="1"/>
      <c r="VZK71" s="1"/>
      <c r="VZL71" s="1"/>
      <c r="VZM71" s="1"/>
      <c r="VZN71" s="1"/>
      <c r="VZO71" s="1"/>
      <c r="VZP71" s="1"/>
      <c r="VZQ71" s="1"/>
      <c r="VZR71" s="1"/>
      <c r="VZS71" s="1"/>
      <c r="VZT71" s="1"/>
      <c r="VZU71" s="1"/>
      <c r="VZV71" s="1"/>
      <c r="VZW71" s="1"/>
      <c r="VZX71" s="1"/>
      <c r="VZY71" s="1"/>
      <c r="VZZ71" s="1"/>
      <c r="WAA71" s="1"/>
      <c r="WAB71" s="1"/>
      <c r="WAC71" s="1"/>
      <c r="WAD71" s="1"/>
      <c r="WAE71" s="1"/>
      <c r="WAF71" s="1"/>
      <c r="WAG71" s="1"/>
      <c r="WAH71" s="1"/>
      <c r="WAI71" s="1"/>
      <c r="WAJ71" s="1"/>
      <c r="WAK71" s="1"/>
      <c r="WAL71" s="1"/>
      <c r="WAM71" s="1"/>
      <c r="WAN71" s="1"/>
      <c r="WAO71" s="1"/>
      <c r="WAP71" s="1"/>
      <c r="WAQ71" s="1"/>
      <c r="WAR71" s="1"/>
      <c r="WAS71" s="1"/>
      <c r="WAT71" s="1"/>
      <c r="WAU71" s="1"/>
      <c r="WAV71" s="1"/>
      <c r="WAW71" s="1"/>
      <c r="WAX71" s="1"/>
      <c r="WAY71" s="1"/>
      <c r="WAZ71" s="1"/>
      <c r="WBA71" s="1"/>
      <c r="WBB71" s="1"/>
      <c r="WBC71" s="1"/>
      <c r="WBD71" s="1"/>
      <c r="WBE71" s="1"/>
      <c r="WBF71" s="1"/>
      <c r="WBG71" s="1"/>
      <c r="WBH71" s="1"/>
      <c r="WBI71" s="1"/>
      <c r="WBJ71" s="1"/>
      <c r="WBK71" s="1"/>
      <c r="WBL71" s="1"/>
      <c r="WBM71" s="1"/>
      <c r="WBN71" s="1"/>
      <c r="WBO71" s="1"/>
      <c r="WBP71" s="1"/>
      <c r="WBQ71" s="1"/>
      <c r="WBR71" s="1"/>
      <c r="WBS71" s="1"/>
      <c r="WBT71" s="1"/>
      <c r="WBU71" s="1"/>
      <c r="WBV71" s="1"/>
      <c r="WBW71" s="1"/>
      <c r="WBX71" s="1"/>
      <c r="WBY71" s="1"/>
      <c r="WBZ71" s="1"/>
      <c r="WCA71" s="1"/>
      <c r="WCB71" s="1"/>
      <c r="WCC71" s="1"/>
      <c r="WCD71" s="1"/>
      <c r="WCE71" s="1"/>
      <c r="WCF71" s="1"/>
      <c r="WCG71" s="1"/>
      <c r="WCH71" s="1"/>
      <c r="WCI71" s="1"/>
      <c r="WCJ71" s="1"/>
      <c r="WCK71" s="1"/>
      <c r="WCL71" s="1"/>
      <c r="WCM71" s="1"/>
      <c r="WCN71" s="1"/>
      <c r="WCO71" s="1"/>
      <c r="WCP71" s="1"/>
      <c r="WCQ71" s="1"/>
      <c r="WCR71" s="1"/>
      <c r="WCS71" s="1"/>
      <c r="WCT71" s="1"/>
      <c r="WCU71" s="1"/>
      <c r="WCV71" s="1"/>
      <c r="WCW71" s="1"/>
      <c r="WCX71" s="1"/>
      <c r="WCY71" s="1"/>
      <c r="WCZ71" s="1"/>
      <c r="WDA71" s="1"/>
      <c r="WDB71" s="1"/>
      <c r="WDC71" s="1"/>
      <c r="WDD71" s="1"/>
      <c r="WDE71" s="1"/>
      <c r="WDF71" s="1"/>
      <c r="WDG71" s="1"/>
      <c r="WDH71" s="1"/>
      <c r="WDI71" s="1"/>
      <c r="WDJ71" s="1"/>
      <c r="WDK71" s="1"/>
      <c r="WDL71" s="1"/>
      <c r="WDM71" s="1"/>
      <c r="WDN71" s="1"/>
      <c r="WDO71" s="1"/>
      <c r="WDP71" s="1"/>
      <c r="WDQ71" s="1"/>
      <c r="WDR71" s="1"/>
      <c r="WDS71" s="1"/>
      <c r="WDT71" s="1"/>
      <c r="WDU71" s="1"/>
      <c r="WDV71" s="1"/>
      <c r="WDW71" s="1"/>
      <c r="WDX71" s="1"/>
      <c r="WDY71" s="1"/>
      <c r="WDZ71" s="1"/>
      <c r="WEA71" s="1"/>
      <c r="WEB71" s="1"/>
      <c r="WEC71" s="1"/>
      <c r="WED71" s="1"/>
      <c r="WEE71" s="1"/>
      <c r="WEF71" s="1"/>
      <c r="WEG71" s="1"/>
      <c r="WEH71" s="1"/>
      <c r="WEI71" s="1"/>
      <c r="WEJ71" s="1"/>
      <c r="WEK71" s="1"/>
      <c r="WEL71" s="1"/>
      <c r="WEM71" s="1"/>
      <c r="WEN71" s="1"/>
      <c r="WEO71" s="1"/>
      <c r="WEP71" s="1"/>
      <c r="WEQ71" s="1"/>
      <c r="WER71" s="1"/>
      <c r="WES71" s="1"/>
      <c r="WET71" s="1"/>
      <c r="WEU71" s="1"/>
      <c r="WEV71" s="1"/>
      <c r="WEW71" s="1"/>
      <c r="WEX71" s="1"/>
      <c r="WEY71" s="1"/>
      <c r="WEZ71" s="1"/>
      <c r="WFA71" s="1"/>
      <c r="WFB71" s="1"/>
      <c r="WFC71" s="1"/>
      <c r="WFD71" s="1"/>
      <c r="WFE71" s="1"/>
      <c r="WFF71" s="1"/>
      <c r="WFG71" s="1"/>
      <c r="WFH71" s="1"/>
      <c r="WFI71" s="1"/>
      <c r="WFJ71" s="1"/>
      <c r="WFK71" s="1"/>
      <c r="WFL71" s="1"/>
      <c r="WFM71" s="1"/>
      <c r="WFN71" s="1"/>
      <c r="WFO71" s="1"/>
      <c r="WFP71" s="1"/>
      <c r="WFQ71" s="1"/>
      <c r="WFR71" s="1"/>
      <c r="WFS71" s="1"/>
      <c r="WFT71" s="1"/>
      <c r="WFU71" s="1"/>
      <c r="WFV71" s="1"/>
      <c r="WFW71" s="1"/>
      <c r="WFX71" s="1"/>
      <c r="WFY71" s="1"/>
      <c r="WFZ71" s="1"/>
      <c r="WGA71" s="1"/>
      <c r="WGB71" s="1"/>
      <c r="WGC71" s="1"/>
      <c r="WGD71" s="1"/>
      <c r="WGE71" s="1"/>
      <c r="WGF71" s="1"/>
      <c r="WGG71" s="1"/>
      <c r="WGH71" s="1"/>
      <c r="WGI71" s="1"/>
      <c r="WGJ71" s="1"/>
      <c r="WGK71" s="1"/>
      <c r="WGL71" s="1"/>
      <c r="WGM71" s="1"/>
      <c r="WGN71" s="1"/>
      <c r="WGO71" s="1"/>
      <c r="WGP71" s="1"/>
      <c r="WGQ71" s="1"/>
      <c r="WGR71" s="1"/>
      <c r="WGS71" s="1"/>
      <c r="WGT71" s="1"/>
      <c r="WGU71" s="1"/>
      <c r="WGV71" s="1"/>
      <c r="WGW71" s="1"/>
      <c r="WGX71" s="1"/>
      <c r="WGY71" s="1"/>
      <c r="WGZ71" s="1"/>
      <c r="WHA71" s="1"/>
      <c r="WHB71" s="1"/>
      <c r="WHC71" s="1"/>
      <c r="WHD71" s="1"/>
      <c r="WHE71" s="1"/>
      <c r="WHF71" s="1"/>
      <c r="WHG71" s="1"/>
      <c r="WHH71" s="1"/>
      <c r="WHI71" s="1"/>
      <c r="WHJ71" s="1"/>
      <c r="WHK71" s="1"/>
      <c r="WHL71" s="1"/>
      <c r="WHM71" s="1"/>
      <c r="WHN71" s="1"/>
      <c r="WHO71" s="1"/>
      <c r="WHP71" s="1"/>
      <c r="WHQ71" s="1"/>
      <c r="WHR71" s="1"/>
      <c r="WHS71" s="1"/>
      <c r="WHT71" s="1"/>
      <c r="WHU71" s="1"/>
      <c r="WHV71" s="1"/>
      <c r="WHW71" s="1"/>
      <c r="WHX71" s="1"/>
      <c r="WHY71" s="1"/>
      <c r="WHZ71" s="1"/>
      <c r="WIA71" s="1"/>
      <c r="WIB71" s="1"/>
      <c r="WIC71" s="1"/>
      <c r="WID71" s="1"/>
      <c r="WIE71" s="1"/>
      <c r="WIF71" s="1"/>
      <c r="WIG71" s="1"/>
      <c r="WIH71" s="1"/>
      <c r="WII71" s="1"/>
      <c r="WIJ71" s="1"/>
      <c r="WIK71" s="1"/>
      <c r="WIL71" s="1"/>
      <c r="WIM71" s="1"/>
      <c r="WIN71" s="1"/>
      <c r="WIO71" s="1"/>
      <c r="WIP71" s="1"/>
      <c r="WIQ71" s="1"/>
      <c r="WIR71" s="1"/>
      <c r="WIS71" s="1"/>
      <c r="WIT71" s="1"/>
      <c r="WIU71" s="1"/>
      <c r="WIV71" s="1"/>
      <c r="WIW71" s="1"/>
      <c r="WIX71" s="1"/>
      <c r="WIY71" s="1"/>
      <c r="WIZ71" s="1"/>
      <c r="WJA71" s="1"/>
      <c r="WJB71" s="1"/>
      <c r="WJC71" s="1"/>
      <c r="WJD71" s="1"/>
      <c r="WJE71" s="1"/>
      <c r="WJF71" s="1"/>
      <c r="WJG71" s="1"/>
      <c r="WJH71" s="1"/>
      <c r="WJI71" s="1"/>
      <c r="WJJ71" s="1"/>
      <c r="WJK71" s="1"/>
      <c r="WJL71" s="1"/>
      <c r="WJM71" s="1"/>
      <c r="WJN71" s="1"/>
      <c r="WJO71" s="1"/>
      <c r="WJP71" s="1"/>
      <c r="WJQ71" s="1"/>
      <c r="WJR71" s="1"/>
      <c r="WJS71" s="1"/>
      <c r="WJT71" s="1"/>
      <c r="WJU71" s="1"/>
      <c r="WJV71" s="1"/>
      <c r="WJW71" s="1"/>
      <c r="WJX71" s="1"/>
      <c r="WJY71" s="1"/>
      <c r="WJZ71" s="1"/>
      <c r="WKA71" s="1"/>
      <c r="WKB71" s="1"/>
      <c r="WKC71" s="1"/>
      <c r="WKD71" s="1"/>
      <c r="WKE71" s="1"/>
      <c r="WKF71" s="1"/>
      <c r="WKG71" s="1"/>
      <c r="WKH71" s="1"/>
      <c r="WKI71" s="1"/>
      <c r="WKJ71" s="1"/>
      <c r="WKK71" s="1"/>
      <c r="WKL71" s="1"/>
      <c r="WKM71" s="1"/>
      <c r="WKN71" s="1"/>
      <c r="WKO71" s="1"/>
      <c r="WKP71" s="1"/>
      <c r="WKQ71" s="1"/>
      <c r="WKR71" s="1"/>
      <c r="WKS71" s="1"/>
      <c r="WKT71" s="1"/>
      <c r="WKU71" s="1"/>
      <c r="WKV71" s="1"/>
      <c r="WKW71" s="1"/>
      <c r="WKX71" s="1"/>
      <c r="WKY71" s="1"/>
      <c r="WKZ71" s="1"/>
      <c r="WLA71" s="1"/>
      <c r="WLB71" s="1"/>
      <c r="WLC71" s="1"/>
      <c r="WLD71" s="1"/>
      <c r="WLE71" s="1"/>
      <c r="WLF71" s="1"/>
      <c r="WLG71" s="1"/>
      <c r="WLH71" s="1"/>
      <c r="WLI71" s="1"/>
      <c r="WLJ71" s="1"/>
      <c r="WLK71" s="1"/>
      <c r="WLL71" s="1"/>
      <c r="WLM71" s="1"/>
      <c r="WLN71" s="1"/>
      <c r="WLO71" s="1"/>
      <c r="WLP71" s="1"/>
      <c r="WLQ71" s="1"/>
      <c r="WLR71" s="1"/>
      <c r="WLS71" s="1"/>
      <c r="WLT71" s="1"/>
      <c r="WLU71" s="1"/>
      <c r="WLV71" s="1"/>
      <c r="WLW71" s="1"/>
      <c r="WLX71" s="1"/>
      <c r="WLY71" s="1"/>
      <c r="WLZ71" s="1"/>
      <c r="WMA71" s="1"/>
      <c r="WMB71" s="1"/>
      <c r="WMC71" s="1"/>
      <c r="WMD71" s="1"/>
      <c r="WME71" s="1"/>
      <c r="WMF71" s="1"/>
      <c r="WMG71" s="1"/>
      <c r="WMH71" s="1"/>
      <c r="WMI71" s="1"/>
      <c r="WMJ71" s="1"/>
      <c r="WMK71" s="1"/>
      <c r="WML71" s="1"/>
      <c r="WMM71" s="1"/>
      <c r="WMN71" s="1"/>
      <c r="WMO71" s="1"/>
      <c r="WMP71" s="1"/>
      <c r="WMQ71" s="1"/>
      <c r="WMR71" s="1"/>
      <c r="WMS71" s="1"/>
      <c r="WMT71" s="1"/>
      <c r="WMU71" s="1"/>
      <c r="WMV71" s="1"/>
      <c r="WMW71" s="1"/>
      <c r="WMX71" s="1"/>
      <c r="WMY71" s="1"/>
      <c r="WMZ71" s="1"/>
      <c r="WNA71" s="1"/>
      <c r="WNB71" s="1"/>
      <c r="WNC71" s="1"/>
      <c r="WND71" s="1"/>
      <c r="WNE71" s="1"/>
      <c r="WNF71" s="1"/>
      <c r="WNG71" s="1"/>
      <c r="WNH71" s="1"/>
      <c r="WNI71" s="1"/>
      <c r="WNJ71" s="1"/>
      <c r="WNK71" s="1"/>
      <c r="WNL71" s="1"/>
      <c r="WNM71" s="1"/>
      <c r="WNN71" s="1"/>
      <c r="WNO71" s="1"/>
      <c r="WNP71" s="1"/>
      <c r="WNQ71" s="1"/>
      <c r="WNR71" s="1"/>
      <c r="WNS71" s="1"/>
      <c r="WNT71" s="1"/>
      <c r="WNU71" s="1"/>
      <c r="WNV71" s="1"/>
      <c r="WNW71" s="1"/>
      <c r="WNX71" s="1"/>
      <c r="WNY71" s="1"/>
      <c r="WNZ71" s="1"/>
      <c r="WOA71" s="1"/>
      <c r="WOB71" s="1"/>
      <c r="WOC71" s="1"/>
      <c r="WOD71" s="1"/>
      <c r="WOE71" s="1"/>
      <c r="WOF71" s="1"/>
      <c r="WOG71" s="1"/>
      <c r="WOH71" s="1"/>
      <c r="WOI71" s="1"/>
      <c r="WOJ71" s="1"/>
      <c r="WOK71" s="1"/>
      <c r="WOL71" s="1"/>
      <c r="WOM71" s="1"/>
      <c r="WON71" s="1"/>
      <c r="WOO71" s="1"/>
      <c r="WOP71" s="1"/>
      <c r="WOQ71" s="1"/>
      <c r="WOR71" s="1"/>
      <c r="WOS71" s="1"/>
      <c r="WOT71" s="1"/>
      <c r="WOU71" s="1"/>
      <c r="WOV71" s="1"/>
      <c r="WOW71" s="1"/>
      <c r="WOX71" s="1"/>
      <c r="WOY71" s="1"/>
      <c r="WOZ71" s="1"/>
      <c r="WPA71" s="1"/>
      <c r="WPB71" s="1"/>
      <c r="WPC71" s="1"/>
      <c r="WPD71" s="1"/>
      <c r="WPE71" s="1"/>
      <c r="WPF71" s="1"/>
      <c r="WPG71" s="1"/>
      <c r="WPH71" s="1"/>
      <c r="WPI71" s="1"/>
      <c r="WPJ71" s="1"/>
      <c r="WPK71" s="1"/>
      <c r="WPL71" s="1"/>
      <c r="WPM71" s="1"/>
      <c r="WPN71" s="1"/>
      <c r="WPO71" s="1"/>
      <c r="WPP71" s="1"/>
      <c r="WPQ71" s="1"/>
      <c r="WPR71" s="1"/>
      <c r="WPS71" s="1"/>
      <c r="WPT71" s="1"/>
      <c r="WPU71" s="1"/>
      <c r="WPV71" s="1"/>
      <c r="WPW71" s="1"/>
      <c r="WPX71" s="1"/>
      <c r="WPY71" s="1"/>
      <c r="WPZ71" s="1"/>
      <c r="WQA71" s="1"/>
      <c r="WQB71" s="1"/>
      <c r="WQC71" s="1"/>
      <c r="WQD71" s="1"/>
      <c r="WQE71" s="1"/>
      <c r="WQF71" s="1"/>
      <c r="WQG71" s="1"/>
      <c r="WQH71" s="1"/>
      <c r="WQI71" s="1"/>
      <c r="WQJ71" s="1"/>
      <c r="WQK71" s="1"/>
      <c r="WQL71" s="1"/>
      <c r="WQM71" s="1"/>
      <c r="WQN71" s="1"/>
      <c r="WQO71" s="1"/>
      <c r="WQP71" s="1"/>
      <c r="WQQ71" s="1"/>
      <c r="WQR71" s="1"/>
      <c r="WQS71" s="1"/>
      <c r="WQT71" s="1"/>
      <c r="WQU71" s="1"/>
      <c r="WQV71" s="1"/>
      <c r="WQW71" s="1"/>
      <c r="WQX71" s="1"/>
      <c r="WQY71" s="1"/>
      <c r="WQZ71" s="1"/>
      <c r="WRA71" s="1"/>
      <c r="WRB71" s="1"/>
      <c r="WRC71" s="1"/>
      <c r="WRD71" s="1"/>
      <c r="WRE71" s="1"/>
      <c r="WRF71" s="1"/>
      <c r="WRG71" s="1"/>
      <c r="WRH71" s="1"/>
      <c r="WRI71" s="1"/>
      <c r="WRJ71" s="1"/>
      <c r="WRK71" s="1"/>
      <c r="WRL71" s="1"/>
      <c r="WRM71" s="1"/>
      <c r="WRN71" s="1"/>
      <c r="WRO71" s="1"/>
      <c r="WRP71" s="1"/>
      <c r="WRQ71" s="1"/>
      <c r="WRR71" s="1"/>
      <c r="WRS71" s="1"/>
      <c r="WRT71" s="1"/>
      <c r="WRU71" s="1"/>
      <c r="WRV71" s="1"/>
      <c r="WRW71" s="1"/>
      <c r="WRX71" s="1"/>
      <c r="WRY71" s="1"/>
      <c r="WRZ71" s="1"/>
      <c r="WSA71" s="1"/>
      <c r="WSB71" s="1"/>
      <c r="WSC71" s="1"/>
      <c r="WSD71" s="1"/>
      <c r="WSE71" s="1"/>
      <c r="WSF71" s="1"/>
      <c r="WSG71" s="1"/>
      <c r="WSH71" s="1"/>
      <c r="WSI71" s="1"/>
      <c r="WSJ71" s="1"/>
      <c r="WSK71" s="1"/>
      <c r="WSL71" s="1"/>
      <c r="WSM71" s="1"/>
      <c r="WSN71" s="1"/>
      <c r="WSO71" s="1"/>
      <c r="WSP71" s="1"/>
      <c r="WSQ71" s="1"/>
      <c r="WSR71" s="1"/>
      <c r="WSS71" s="1"/>
      <c r="WST71" s="1"/>
      <c r="WSU71" s="1"/>
      <c r="WSV71" s="1"/>
      <c r="WSW71" s="1"/>
      <c r="WSX71" s="1"/>
      <c r="WSY71" s="1"/>
      <c r="WSZ71" s="1"/>
      <c r="WTA71" s="1"/>
      <c r="WTB71" s="1"/>
      <c r="WTC71" s="1"/>
      <c r="WTD71" s="1"/>
      <c r="WTE71" s="1"/>
      <c r="WTF71" s="1"/>
      <c r="WTG71" s="1"/>
      <c r="WTH71" s="1"/>
      <c r="WTI71" s="1"/>
      <c r="WTJ71" s="1"/>
      <c r="WTK71" s="1"/>
      <c r="WTL71" s="1"/>
      <c r="WTM71" s="1"/>
      <c r="WTN71" s="1"/>
      <c r="WTO71" s="1"/>
      <c r="WTP71" s="1"/>
      <c r="WTQ71" s="1"/>
      <c r="WTR71" s="1"/>
      <c r="WTS71" s="1"/>
      <c r="WTT71" s="1"/>
      <c r="WTU71" s="1"/>
      <c r="WTV71" s="1"/>
      <c r="WTW71" s="1"/>
      <c r="WTX71" s="1"/>
      <c r="WTY71" s="1"/>
      <c r="WTZ71" s="1"/>
      <c r="WUA71" s="1"/>
      <c r="WUB71" s="1"/>
      <c r="WUC71" s="1"/>
      <c r="WUD71" s="1"/>
      <c r="WUE71" s="1"/>
      <c r="WUF71" s="1"/>
      <c r="WUG71" s="1"/>
      <c r="WUH71" s="1"/>
      <c r="WUI71" s="1"/>
      <c r="WUJ71" s="1"/>
      <c r="WUK71" s="1"/>
      <c r="WUL71" s="1"/>
      <c r="WUM71" s="1"/>
      <c r="WUN71" s="1"/>
    </row>
    <row r="89" spans="2:12">
      <c r="B89" s="1059"/>
      <c r="C89" s="1059"/>
      <c r="D89" s="1059"/>
      <c r="E89" s="1059"/>
      <c r="F89" s="1059"/>
      <c r="G89" s="1059"/>
      <c r="H89" s="1059"/>
      <c r="I89" s="1059"/>
      <c r="J89" s="1059"/>
      <c r="K89" s="1059"/>
      <c r="L89" s="1059"/>
    </row>
    <row r="90" spans="2:12">
      <c r="B90" s="1059"/>
      <c r="C90" s="1059"/>
      <c r="D90" s="1059"/>
      <c r="E90" s="1059"/>
      <c r="F90" s="1059"/>
      <c r="G90" s="1059"/>
      <c r="H90" s="1059"/>
      <c r="I90" s="1059"/>
      <c r="J90" s="1059"/>
      <c r="K90" s="1059"/>
      <c r="L90" s="1059"/>
    </row>
    <row r="91" spans="2:12">
      <c r="B91" s="1059"/>
      <c r="C91" s="1059"/>
      <c r="D91" s="1059"/>
      <c r="E91" s="1059"/>
      <c r="F91" s="1059"/>
      <c r="G91" s="1059"/>
      <c r="H91" s="1059"/>
      <c r="I91" s="1059"/>
      <c r="J91" s="1059"/>
      <c r="K91" s="1059"/>
      <c r="L91" s="1059"/>
    </row>
  </sheetData>
  <mergeCells count="7">
    <mergeCell ref="B91:L91"/>
    <mergeCell ref="B2:L2"/>
    <mergeCell ref="B3:L3"/>
    <mergeCell ref="B4:L4"/>
    <mergeCell ref="B5:L5"/>
    <mergeCell ref="B89:L89"/>
    <mergeCell ref="B90:L90"/>
  </mergeCells>
  <printOptions horizontalCentered="1"/>
  <pageMargins left="0.39370078740157483" right="0.39370078740157483" top="0.98425196850393704" bottom="0.78740157480314965" header="0.39370078740157483" footer="0.39370078740157483"/>
  <pageSetup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84"/>
  <sheetViews>
    <sheetView topLeftCell="A274" workbookViewId="0">
      <selection activeCell="A286" sqref="A286"/>
    </sheetView>
  </sheetViews>
  <sheetFormatPr defaultRowHeight="14.45"/>
  <cols>
    <col min="2" max="2" width="14.28515625" bestFit="1" customWidth="1"/>
    <col min="3" max="3" width="10.7109375" bestFit="1" customWidth="1"/>
    <col min="4" max="4" width="10.140625" bestFit="1" customWidth="1"/>
    <col min="6" max="6" width="10.140625" bestFit="1" customWidth="1"/>
  </cols>
  <sheetData>
    <row r="1" spans="1:4" ht="27" thickBot="1">
      <c r="A1" s="686" t="s">
        <v>213</v>
      </c>
      <c r="B1" s="687"/>
      <c r="C1" s="688" t="s">
        <v>214</v>
      </c>
      <c r="D1" s="627">
        <v>45657</v>
      </c>
    </row>
    <row r="2" spans="1:4" ht="105.6">
      <c r="A2" s="689" t="s">
        <v>215</v>
      </c>
      <c r="B2" s="690"/>
      <c r="C2" s="691">
        <v>12452</v>
      </c>
      <c r="D2" s="692">
        <v>5552</v>
      </c>
    </row>
    <row r="3" spans="1:4" ht="40.15" thickBot="1">
      <c r="A3" s="693" t="s">
        <v>216</v>
      </c>
      <c r="B3" s="642"/>
      <c r="C3" s="694">
        <v>38591</v>
      </c>
      <c r="D3" s="682">
        <v>38916</v>
      </c>
    </row>
    <row r="4" spans="1:4">
      <c r="A4" s="695" t="s">
        <v>118</v>
      </c>
      <c r="B4" s="626"/>
      <c r="C4" s="652">
        <f>SUM(C2:C3)</f>
        <v>51043</v>
      </c>
      <c r="D4" s="652">
        <f>SUM(D2:D3)</f>
        <v>44468</v>
      </c>
    </row>
    <row r="6" spans="1:4">
      <c r="C6" s="652">
        <v>51043</v>
      </c>
      <c r="D6" s="652">
        <v>44468</v>
      </c>
    </row>
    <row r="8" spans="1:4" ht="27" thickBot="1">
      <c r="A8" s="697" t="s">
        <v>213</v>
      </c>
      <c r="B8" s="687"/>
      <c r="C8" s="627">
        <v>45838</v>
      </c>
      <c r="D8" s="627">
        <v>45657</v>
      </c>
    </row>
    <row r="9" spans="1:4" ht="53.45" thickBot="1">
      <c r="A9" s="698" t="s">
        <v>217</v>
      </c>
      <c r="B9" s="699"/>
      <c r="C9" s="700">
        <v>2</v>
      </c>
      <c r="D9" s="700">
        <v>2</v>
      </c>
    </row>
    <row r="10" spans="1:4" ht="40.15" thickBot="1">
      <c r="A10" s="698" t="s">
        <v>218</v>
      </c>
      <c r="B10" s="699"/>
      <c r="C10" s="700">
        <v>179</v>
      </c>
      <c r="D10" s="700" t="s">
        <v>115</v>
      </c>
    </row>
    <row r="11" spans="1:4" ht="40.15" thickBot="1">
      <c r="A11" s="698" t="s">
        <v>219</v>
      </c>
      <c r="B11" s="699"/>
      <c r="C11" s="700">
        <v>67</v>
      </c>
      <c r="D11" s="700" t="s">
        <v>115</v>
      </c>
    </row>
    <row r="12" spans="1:4" ht="40.15" thickBot="1">
      <c r="A12" s="698" t="s">
        <v>220</v>
      </c>
      <c r="B12" s="699"/>
      <c r="C12" s="700">
        <v>604</v>
      </c>
      <c r="D12" s="700">
        <v>569</v>
      </c>
    </row>
    <row r="13" spans="1:4" ht="40.15" thickBot="1">
      <c r="A13" s="698" t="s">
        <v>221</v>
      </c>
      <c r="B13" s="699"/>
      <c r="C13" s="700">
        <v>205</v>
      </c>
      <c r="D13" s="700">
        <v>193</v>
      </c>
    </row>
    <row r="14" spans="1:4" ht="40.15" thickBot="1">
      <c r="A14" s="698" t="s">
        <v>222</v>
      </c>
      <c r="B14" s="699"/>
      <c r="C14" s="700">
        <v>838</v>
      </c>
      <c r="D14" s="700">
        <v>794</v>
      </c>
    </row>
    <row r="15" spans="1:4" ht="40.15" thickBot="1">
      <c r="A15" s="698" t="s">
        <v>223</v>
      </c>
      <c r="B15" s="699"/>
      <c r="C15" s="700">
        <v>391</v>
      </c>
      <c r="D15" s="700">
        <v>370</v>
      </c>
    </row>
    <row r="16" spans="1:4" ht="40.15" thickBot="1">
      <c r="A16" s="701" t="s">
        <v>224</v>
      </c>
      <c r="B16" s="700"/>
      <c r="C16" s="700">
        <v>150</v>
      </c>
      <c r="D16" s="700">
        <v>143</v>
      </c>
    </row>
    <row r="17" spans="1:4" ht="40.15" thickBot="1">
      <c r="A17" s="698" t="s">
        <v>225</v>
      </c>
      <c r="B17" s="699"/>
      <c r="C17" s="700">
        <v>220</v>
      </c>
      <c r="D17" s="700">
        <v>210</v>
      </c>
    </row>
    <row r="18" spans="1:4" ht="79.900000000000006" thickBot="1">
      <c r="A18" s="698" t="s">
        <v>226</v>
      </c>
      <c r="B18" s="699"/>
      <c r="C18" s="700">
        <v>26</v>
      </c>
      <c r="D18" s="700">
        <v>25</v>
      </c>
    </row>
    <row r="19" spans="1:4" ht="79.900000000000006" thickBot="1">
      <c r="A19" s="698" t="s">
        <v>227</v>
      </c>
      <c r="B19" s="699"/>
      <c r="C19" s="700">
        <v>172</v>
      </c>
      <c r="D19" s="700">
        <v>164</v>
      </c>
    </row>
    <row r="20" spans="1:4" ht="15" thickBot="1">
      <c r="A20" s="698" t="s">
        <v>228</v>
      </c>
      <c r="B20" s="699"/>
      <c r="C20" s="700">
        <v>3</v>
      </c>
      <c r="D20" s="700">
        <v>2</v>
      </c>
    </row>
    <row r="21" spans="1:4" ht="27" thickBot="1">
      <c r="A21" s="698" t="s">
        <v>229</v>
      </c>
      <c r="B21" s="699"/>
      <c r="C21" s="700">
        <v>4</v>
      </c>
      <c r="D21" s="700">
        <v>4</v>
      </c>
    </row>
    <row r="22" spans="1:4" ht="40.15" thickBot="1">
      <c r="A22" s="698" t="s">
        <v>230</v>
      </c>
      <c r="B22" s="699"/>
      <c r="C22" s="723">
        <v>1050</v>
      </c>
      <c r="D22" s="700">
        <v>998</v>
      </c>
    </row>
    <row r="23" spans="1:4" ht="26.45">
      <c r="A23" s="702" t="s">
        <v>231</v>
      </c>
      <c r="B23" s="690"/>
      <c r="C23" s="703">
        <v>5</v>
      </c>
      <c r="D23" s="703">
        <v>5</v>
      </c>
    </row>
    <row r="24" spans="1:4" ht="39.6">
      <c r="A24" s="702" t="s">
        <v>232</v>
      </c>
      <c r="B24" s="690"/>
      <c r="C24" s="703">
        <v>1</v>
      </c>
      <c r="D24" s="703" t="s">
        <v>115</v>
      </c>
    </row>
    <row r="25" spans="1:4" ht="15" thickBot="1">
      <c r="A25" s="697" t="s">
        <v>118</v>
      </c>
      <c r="B25" s="704"/>
      <c r="C25" s="705">
        <f>SUM(C9:C24)</f>
        <v>3917</v>
      </c>
      <c r="D25" s="705">
        <f>SUM(D9:D24)</f>
        <v>3479</v>
      </c>
    </row>
    <row r="26" spans="1:4">
      <c r="A26" s="707"/>
    </row>
    <row r="27" spans="1:4" ht="15" thickBot="1">
      <c r="A27" s="706" t="s">
        <v>233</v>
      </c>
      <c r="C27" s="705">
        <v>3917</v>
      </c>
      <c r="D27" s="705">
        <v>3479</v>
      </c>
    </row>
    <row r="28" spans="1:4">
      <c r="A28" s="707"/>
    </row>
    <row r="29" spans="1:4" ht="27" thickBot="1">
      <c r="A29" s="708" t="s">
        <v>213</v>
      </c>
      <c r="B29" s="687"/>
      <c r="C29" s="627">
        <v>45838</v>
      </c>
      <c r="D29" s="627">
        <v>45657</v>
      </c>
    </row>
    <row r="30" spans="1:4" ht="40.15" thickBot="1">
      <c r="A30" s="698" t="s">
        <v>234</v>
      </c>
      <c r="B30" s="699"/>
      <c r="C30" s="700">
        <v>783</v>
      </c>
      <c r="D30" s="723">
        <v>1363</v>
      </c>
    </row>
    <row r="31" spans="1:4" ht="40.15" thickBot="1">
      <c r="A31" s="698" t="s">
        <v>235</v>
      </c>
      <c r="B31" s="699"/>
      <c r="C31" s="700">
        <v>272</v>
      </c>
      <c r="D31" s="700">
        <v>563</v>
      </c>
    </row>
    <row r="32" spans="1:4" ht="15" thickBot="1">
      <c r="A32" s="698" t="s">
        <v>236</v>
      </c>
      <c r="B32" s="699"/>
      <c r="C32" s="700">
        <v>1</v>
      </c>
      <c r="D32" s="700" t="s">
        <v>115</v>
      </c>
    </row>
    <row r="33" spans="1:4" ht="15" thickBot="1">
      <c r="A33" s="697" t="s">
        <v>118</v>
      </c>
      <c r="B33" s="626"/>
      <c r="C33" s="709">
        <f>SUM(C30:C32)</f>
        <v>1056</v>
      </c>
      <c r="D33" s="709">
        <f>SUM(D30:D32)</f>
        <v>1926</v>
      </c>
    </row>
    <row r="34" spans="1:4">
      <c r="A34" s="710"/>
    </row>
    <row r="35" spans="1:4" ht="15" thickBot="1">
      <c r="A35" s="706" t="s">
        <v>237</v>
      </c>
      <c r="C35" s="709">
        <v>1056</v>
      </c>
      <c r="D35" s="709">
        <v>1926</v>
      </c>
    </row>
    <row r="36" spans="1:4">
      <c r="A36" s="710"/>
    </row>
    <row r="37" spans="1:4" ht="27" thickBot="1">
      <c r="A37" s="708" t="s">
        <v>213</v>
      </c>
      <c r="B37" s="687"/>
      <c r="C37" s="627">
        <v>45838</v>
      </c>
      <c r="D37" s="627">
        <v>45657</v>
      </c>
    </row>
    <row r="38" spans="1:4" ht="40.15" thickBot="1">
      <c r="A38" s="990" t="s">
        <v>234</v>
      </c>
      <c r="B38" s="684"/>
      <c r="C38" s="682">
        <v>1208</v>
      </c>
      <c r="D38" s="684">
        <v>353</v>
      </c>
    </row>
    <row r="39" spans="1:4" ht="40.15" thickBot="1">
      <c r="A39" s="990" t="s">
        <v>235</v>
      </c>
      <c r="B39" s="684"/>
      <c r="C39" s="684">
        <v>391</v>
      </c>
      <c r="D39" s="684" t="s">
        <v>115</v>
      </c>
    </row>
    <row r="40" spans="1:4" ht="93" thickBot="1">
      <c r="A40" s="698" t="s">
        <v>238</v>
      </c>
      <c r="B40" s="699"/>
      <c r="C40" s="700">
        <v>172</v>
      </c>
      <c r="D40" s="700">
        <v>164</v>
      </c>
    </row>
    <row r="41" spans="1:4" ht="40.15" thickBot="1">
      <c r="A41" s="711" t="s">
        <v>239</v>
      </c>
      <c r="B41" s="699"/>
      <c r="C41" s="750">
        <v>1050</v>
      </c>
      <c r="D41" s="704">
        <v>998</v>
      </c>
    </row>
    <row r="42" spans="1:4" ht="15" thickBot="1">
      <c r="A42" s="711" t="s">
        <v>236</v>
      </c>
      <c r="B42" s="699"/>
      <c r="C42" s="704">
        <v>40</v>
      </c>
      <c r="D42" s="704">
        <v>38</v>
      </c>
    </row>
    <row r="43" spans="1:4" ht="15" thickBot="1">
      <c r="A43" s="697" t="s">
        <v>118</v>
      </c>
      <c r="B43" s="712"/>
      <c r="C43" s="705">
        <f>SUM(C38:C42)</f>
        <v>2861</v>
      </c>
      <c r="D43" s="705">
        <f>SUM(D38:D42)</f>
        <v>1553</v>
      </c>
    </row>
    <row r="45" spans="1:4" ht="15" thickBot="1">
      <c r="C45" s="705">
        <v>2861</v>
      </c>
      <c r="D45" s="705">
        <v>1553</v>
      </c>
    </row>
    <row r="47" spans="1:4" ht="15" thickBot="1">
      <c r="A47" s="714"/>
      <c r="B47" s="687"/>
      <c r="C47" s="625">
        <v>45838</v>
      </c>
      <c r="D47" s="625">
        <v>45657</v>
      </c>
    </row>
    <row r="48" spans="1:4" ht="40.15" thickBot="1">
      <c r="A48" s="715" t="s">
        <v>240</v>
      </c>
      <c r="B48" s="716"/>
      <c r="C48" s="717">
        <v>206</v>
      </c>
      <c r="D48" s="717">
        <v>773</v>
      </c>
    </row>
    <row r="49" spans="1:4" ht="53.45" thickBot="1">
      <c r="A49" s="715" t="s">
        <v>241</v>
      </c>
      <c r="B49" s="716"/>
      <c r="C49" s="718">
        <v>3471</v>
      </c>
      <c r="D49" s="719" t="s">
        <v>242</v>
      </c>
    </row>
    <row r="50" spans="1:4" ht="15" thickBot="1">
      <c r="A50" s="720" t="s">
        <v>118</v>
      </c>
      <c r="B50" s="671"/>
      <c r="C50" s="721">
        <f>SUM(C48:C49)</f>
        <v>3677</v>
      </c>
      <c r="D50" s="721">
        <f>SUM(D48:D49)</f>
        <v>773</v>
      </c>
    </row>
    <row r="52" spans="1:4" ht="15" thickBot="1">
      <c r="C52" s="721">
        <v>3677</v>
      </c>
      <c r="D52" s="722">
        <v>773</v>
      </c>
    </row>
    <row r="54" spans="1:4" ht="27" thickBot="1">
      <c r="A54" s="697" t="s">
        <v>213</v>
      </c>
      <c r="B54" s="687"/>
      <c r="C54" s="627">
        <v>45838</v>
      </c>
      <c r="D54" s="627">
        <v>45657</v>
      </c>
    </row>
    <row r="55" spans="1:4" ht="40.15" thickBot="1">
      <c r="A55" s="698" t="s">
        <v>243</v>
      </c>
      <c r="B55" s="699"/>
      <c r="C55" s="700">
        <v>87</v>
      </c>
      <c r="D55" s="991">
        <v>183</v>
      </c>
    </row>
    <row r="56" spans="1:4" ht="53.45" thickBot="1">
      <c r="A56" s="698" t="s">
        <v>244</v>
      </c>
      <c r="B56" s="699"/>
      <c r="C56" s="700">
        <v>757</v>
      </c>
      <c r="D56" s="723">
        <v>1073</v>
      </c>
    </row>
    <row r="57" spans="1:4" ht="53.45" thickBot="1">
      <c r="A57" s="701" t="s">
        <v>245</v>
      </c>
      <c r="B57" s="699"/>
      <c r="C57" s="700">
        <v>64</v>
      </c>
      <c r="D57" s="700">
        <v>204</v>
      </c>
    </row>
    <row r="58" spans="1:4" ht="27" thickBot="1">
      <c r="A58" s="701" t="s">
        <v>246</v>
      </c>
      <c r="B58" s="699"/>
      <c r="C58" s="700">
        <v>253</v>
      </c>
      <c r="D58" s="700" t="s">
        <v>115</v>
      </c>
    </row>
    <row r="59" spans="1:4" ht="40.15" thickBot="1">
      <c r="A59" s="701" t="s">
        <v>247</v>
      </c>
      <c r="B59" s="699"/>
      <c r="C59" s="723">
        <v>2825</v>
      </c>
      <c r="D59" s="723">
        <v>3302</v>
      </c>
    </row>
    <row r="60" spans="1:4" ht="15" thickBot="1">
      <c r="A60" s="697" t="s">
        <v>248</v>
      </c>
      <c r="B60" s="704"/>
      <c r="C60" s="705">
        <f>SUM(C55:C59)</f>
        <v>3986</v>
      </c>
      <c r="D60" s="705">
        <f>SUM(D55:D59)</f>
        <v>4762</v>
      </c>
    </row>
    <row r="61" spans="1:4">
      <c r="A61" s="992"/>
    </row>
    <row r="62" spans="1:4" ht="15" thickBot="1">
      <c r="C62" s="705">
        <v>3986</v>
      </c>
      <c r="D62" s="705">
        <v>4762</v>
      </c>
    </row>
    <row r="64" spans="1:4" ht="27" thickBot="1">
      <c r="A64" s="686" t="s">
        <v>213</v>
      </c>
      <c r="B64" s="626"/>
      <c r="C64" s="625">
        <v>45838</v>
      </c>
      <c r="D64" s="625">
        <v>45657</v>
      </c>
    </row>
    <row r="65" spans="1:9" ht="27" thickBot="1">
      <c r="A65" s="715" t="s">
        <v>249</v>
      </c>
      <c r="B65" s="712"/>
      <c r="C65" s="725">
        <v>4439</v>
      </c>
      <c r="D65" s="718">
        <v>4307</v>
      </c>
    </row>
    <row r="66" spans="1:9" ht="27" thickBot="1">
      <c r="A66" s="715" t="s">
        <v>250</v>
      </c>
      <c r="B66" s="712"/>
      <c r="C66" s="725">
        <v>1268</v>
      </c>
      <c r="D66" s="718">
        <v>2274</v>
      </c>
    </row>
    <row r="67" spans="1:9" ht="27" thickBot="1">
      <c r="A67" s="693" t="s">
        <v>251</v>
      </c>
      <c r="B67" s="712"/>
      <c r="C67" s="726">
        <v>182</v>
      </c>
      <c r="D67" s="726">
        <v>177</v>
      </c>
    </row>
    <row r="68" spans="1:9" ht="15" thickBot="1">
      <c r="A68" s="720" t="s">
        <v>118</v>
      </c>
      <c r="B68" s="671"/>
      <c r="C68" s="721">
        <f>SUM(C65:C67)</f>
        <v>5889</v>
      </c>
      <c r="D68" s="721">
        <f>SUM(D65:D67)</f>
        <v>6758</v>
      </c>
    </row>
    <row r="70" spans="1:9" ht="15" thickBot="1">
      <c r="C70" s="721">
        <v>5889</v>
      </c>
      <c r="D70" s="721">
        <v>6758</v>
      </c>
    </row>
    <row r="72" spans="1:9" ht="36" customHeight="1">
      <c r="A72" s="729"/>
      <c r="B72" s="1067" t="s">
        <v>252</v>
      </c>
      <c r="C72" s="731" t="s">
        <v>253</v>
      </c>
      <c r="D72" s="729"/>
      <c r="E72" s="731" t="s">
        <v>254</v>
      </c>
      <c r="F72" s="729"/>
      <c r="G72" s="731" t="s">
        <v>255</v>
      </c>
      <c r="H72" s="729"/>
      <c r="I72" s="731" t="s">
        <v>256</v>
      </c>
    </row>
    <row r="73" spans="1:9">
      <c r="A73" s="732" t="s">
        <v>213</v>
      </c>
      <c r="B73" s="1067"/>
      <c r="C73" s="731" t="s">
        <v>257</v>
      </c>
      <c r="D73" s="729"/>
      <c r="E73" s="731" t="s">
        <v>258</v>
      </c>
      <c r="F73" s="729"/>
      <c r="G73" s="731" t="s">
        <v>259</v>
      </c>
      <c r="H73" s="729"/>
      <c r="I73" s="731" t="s">
        <v>259</v>
      </c>
    </row>
    <row r="74" spans="1:9">
      <c r="A74" s="707" t="s">
        <v>260</v>
      </c>
      <c r="B74" s="733">
        <v>0.1</v>
      </c>
      <c r="C74" s="631">
        <v>2565</v>
      </c>
      <c r="D74" s="636"/>
      <c r="E74" s="631">
        <v>-1088</v>
      </c>
      <c r="F74" s="636"/>
      <c r="G74" s="631">
        <v>1477</v>
      </c>
      <c r="H74" s="636"/>
      <c r="I74" s="631">
        <v>1604</v>
      </c>
    </row>
    <row r="75" spans="1:9">
      <c r="A75" s="707" t="s">
        <v>261</v>
      </c>
      <c r="B75" s="733">
        <v>0.1</v>
      </c>
      <c r="C75" s="636">
        <v>823</v>
      </c>
      <c r="D75" s="636"/>
      <c r="E75" s="636">
        <v>-766</v>
      </c>
      <c r="F75" s="636"/>
      <c r="G75" s="636">
        <v>57</v>
      </c>
      <c r="H75" s="636"/>
      <c r="I75" s="636">
        <v>68</v>
      </c>
    </row>
    <row r="76" spans="1:9">
      <c r="A76" s="707" t="s">
        <v>262</v>
      </c>
      <c r="B76" s="733">
        <v>0.2</v>
      </c>
      <c r="C76" s="631">
        <v>13810</v>
      </c>
      <c r="D76" s="636"/>
      <c r="E76" s="631">
        <v>-10214</v>
      </c>
      <c r="F76" s="636"/>
      <c r="G76" s="631">
        <v>3596</v>
      </c>
      <c r="H76" s="636"/>
      <c r="I76" s="639">
        <v>3697</v>
      </c>
    </row>
    <row r="77" spans="1:9" ht="15" thickBot="1">
      <c r="A77" s="707" t="s">
        <v>263</v>
      </c>
      <c r="B77" s="733">
        <v>0.1</v>
      </c>
      <c r="C77" s="631">
        <v>2799</v>
      </c>
      <c r="D77" s="636"/>
      <c r="E77" s="631">
        <v>-2090</v>
      </c>
      <c r="F77" s="636"/>
      <c r="G77" s="636">
        <v>709</v>
      </c>
      <c r="H77" s="636"/>
      <c r="I77" s="636">
        <v>759</v>
      </c>
    </row>
    <row r="78" spans="1:9" ht="15" thickBot="1">
      <c r="A78" s="734" t="s">
        <v>118</v>
      </c>
      <c r="B78" s="735"/>
      <c r="C78" s="634">
        <f>SUM(C74:C77)</f>
        <v>19997</v>
      </c>
      <c r="D78" s="736"/>
      <c r="E78" s="634">
        <f>SUM(E74:E77)</f>
        <v>-14158</v>
      </c>
      <c r="F78" s="736"/>
      <c r="G78" s="634">
        <f>SUM(G74:G77)</f>
        <v>5839</v>
      </c>
      <c r="H78" s="736"/>
      <c r="I78" s="634">
        <f>SUM(I74:I77)</f>
        <v>6128</v>
      </c>
    </row>
    <row r="79" spans="1:9" ht="15" thickBot="1"/>
    <row r="80" spans="1:9" ht="15" thickBot="1">
      <c r="C80" s="634">
        <v>19997</v>
      </c>
      <c r="D80" s="736"/>
      <c r="E80" s="634">
        <v>-14158</v>
      </c>
      <c r="F80" s="736"/>
      <c r="G80" s="634">
        <v>5839</v>
      </c>
      <c r="H80" s="736"/>
      <c r="I80" s="634">
        <v>6128</v>
      </c>
    </row>
    <row r="82" spans="1:7">
      <c r="A82" s="729"/>
      <c r="B82" s="993" t="s">
        <v>256</v>
      </c>
      <c r="C82" s="993"/>
      <c r="D82" s="1068" t="s">
        <v>264</v>
      </c>
      <c r="E82" s="1068" t="s">
        <v>254</v>
      </c>
      <c r="F82" s="729"/>
      <c r="G82" s="994" t="s">
        <v>255</v>
      </c>
    </row>
    <row r="83" spans="1:7">
      <c r="A83" s="732" t="s">
        <v>213</v>
      </c>
      <c r="B83" s="993" t="s">
        <v>259</v>
      </c>
      <c r="C83" s="993"/>
      <c r="D83" s="1068"/>
      <c r="E83" s="1068"/>
      <c r="F83" s="729"/>
      <c r="G83" s="994" t="s">
        <v>259</v>
      </c>
    </row>
    <row r="84" spans="1:7">
      <c r="A84" s="707" t="s">
        <v>260</v>
      </c>
      <c r="B84" s="739">
        <v>1604</v>
      </c>
      <c r="C84" s="712"/>
      <c r="D84" s="636" t="s">
        <v>115</v>
      </c>
      <c r="E84" s="636">
        <v>-127</v>
      </c>
      <c r="F84" s="636"/>
      <c r="G84" s="631">
        <v>1477</v>
      </c>
    </row>
    <row r="85" spans="1:7">
      <c r="A85" s="707" t="s">
        <v>261</v>
      </c>
      <c r="B85" s="712">
        <v>68</v>
      </c>
      <c r="C85" s="712"/>
      <c r="D85" s="636" t="s">
        <v>115</v>
      </c>
      <c r="E85" s="636">
        <v>-11</v>
      </c>
      <c r="F85" s="636"/>
      <c r="G85" s="636">
        <v>57</v>
      </c>
    </row>
    <row r="86" spans="1:7">
      <c r="A86" s="707" t="s">
        <v>262</v>
      </c>
      <c r="B86" s="648">
        <v>3697</v>
      </c>
      <c r="C86" s="642"/>
      <c r="D86" s="636">
        <v>635</v>
      </c>
      <c r="E86" s="636">
        <v>-736</v>
      </c>
      <c r="F86" s="636"/>
      <c r="G86" s="631">
        <v>3596</v>
      </c>
    </row>
    <row r="87" spans="1:7" ht="15" thickBot="1">
      <c r="A87" s="707" t="s">
        <v>263</v>
      </c>
      <c r="B87" s="712">
        <v>759</v>
      </c>
      <c r="C87" s="712"/>
      <c r="D87" s="636" t="s">
        <v>115</v>
      </c>
      <c r="E87" s="636">
        <v>-50</v>
      </c>
      <c r="F87" s="636"/>
      <c r="G87" s="636">
        <v>709</v>
      </c>
    </row>
    <row r="88" spans="1:7" ht="15" thickBot="1">
      <c r="A88" s="734" t="s">
        <v>118</v>
      </c>
      <c r="B88" s="740">
        <f>SUM(B84:B87)</f>
        <v>6128</v>
      </c>
      <c r="C88" s="735"/>
      <c r="D88" s="740">
        <f>SUM(D84:D87)</f>
        <v>635</v>
      </c>
      <c r="E88" s="740">
        <f>SUM(E84:E87)</f>
        <v>-924</v>
      </c>
      <c r="F88" s="736"/>
      <c r="G88" s="740">
        <f>SUM(G84:G87)</f>
        <v>5839</v>
      </c>
    </row>
    <row r="89" spans="1:7" ht="15" thickBot="1"/>
    <row r="90" spans="1:7" ht="15" thickBot="1">
      <c r="B90" s="740">
        <v>6128</v>
      </c>
      <c r="C90" s="735"/>
      <c r="D90" s="736">
        <v>635</v>
      </c>
      <c r="E90" s="736">
        <v>-924</v>
      </c>
      <c r="F90" s="736"/>
      <c r="G90" s="634">
        <v>5839</v>
      </c>
    </row>
    <row r="92" spans="1:7">
      <c r="A92" s="729"/>
      <c r="B92" s="637" t="s">
        <v>265</v>
      </c>
      <c r="C92" s="637" t="s">
        <v>266</v>
      </c>
      <c r="D92" s="637" t="s">
        <v>267</v>
      </c>
      <c r="E92" s="637" t="s">
        <v>265</v>
      </c>
    </row>
    <row r="93" spans="1:7">
      <c r="A93" s="732" t="s">
        <v>268</v>
      </c>
      <c r="B93" s="637" t="s">
        <v>269</v>
      </c>
      <c r="C93" s="637" t="s">
        <v>270</v>
      </c>
      <c r="D93" s="637" t="s">
        <v>271</v>
      </c>
      <c r="E93" s="637" t="s">
        <v>271</v>
      </c>
    </row>
    <row r="94" spans="1:7" ht="15" thickBot="1">
      <c r="A94" s="707" t="s">
        <v>272</v>
      </c>
      <c r="B94" s="631">
        <v>23739</v>
      </c>
      <c r="C94" s="631">
        <v>-9775</v>
      </c>
      <c r="D94" s="631">
        <v>13964</v>
      </c>
      <c r="E94" s="631">
        <v>15360</v>
      </c>
    </row>
    <row r="95" spans="1:7" ht="15" thickBot="1">
      <c r="A95" s="734" t="s">
        <v>273</v>
      </c>
      <c r="B95" s="634">
        <v>23739</v>
      </c>
      <c r="C95" s="634">
        <v>-9775</v>
      </c>
      <c r="D95" s="634">
        <v>13964</v>
      </c>
      <c r="E95" s="634">
        <v>15360</v>
      </c>
    </row>
    <row r="97" spans="1:5" ht="15" thickBot="1">
      <c r="A97" s="729"/>
      <c r="B97" s="729"/>
      <c r="C97" s="767">
        <v>45838</v>
      </c>
      <c r="D97" s="729"/>
      <c r="E97" s="767">
        <v>45657</v>
      </c>
    </row>
    <row r="98" spans="1:5">
      <c r="A98" s="632"/>
      <c r="B98" s="632"/>
      <c r="C98" s="632"/>
      <c r="D98" s="632"/>
      <c r="E98" s="632"/>
    </row>
    <row r="99" spans="1:5" ht="52.9">
      <c r="A99" s="743" t="s">
        <v>274</v>
      </c>
      <c r="B99" s="632"/>
      <c r="C99" s="631">
        <v>2838</v>
      </c>
      <c r="D99" s="632"/>
      <c r="E99" s="631">
        <v>2770</v>
      </c>
    </row>
    <row r="100" spans="1:5" ht="53.45" thickBot="1">
      <c r="A100" s="743" t="s">
        <v>275</v>
      </c>
      <c r="B100" s="632"/>
      <c r="C100" s="631">
        <v>12845</v>
      </c>
      <c r="D100" s="632"/>
      <c r="E100" s="631">
        <v>14281</v>
      </c>
    </row>
    <row r="101" spans="1:5" ht="15" thickBot="1">
      <c r="A101" s="632"/>
      <c r="B101" s="632"/>
      <c r="C101" s="744">
        <f>SUM(C99:C100)</f>
        <v>15683</v>
      </c>
      <c r="D101" s="632"/>
      <c r="E101" s="744">
        <f>SUM(E99:E100)</f>
        <v>17051</v>
      </c>
    </row>
    <row r="102" spans="1:5" ht="15.6" thickTop="1" thickBot="1"/>
    <row r="103" spans="1:5" ht="15" thickBot="1">
      <c r="C103" s="744">
        <v>15683</v>
      </c>
      <c r="D103" s="632"/>
      <c r="E103" s="744">
        <v>17051</v>
      </c>
    </row>
    <row r="104" spans="1:5" ht="15" thickTop="1"/>
    <row r="105" spans="1:5" ht="15.6">
      <c r="A105" s="986">
        <v>18987</v>
      </c>
      <c r="B105" s="1062"/>
      <c r="C105" s="1062"/>
    </row>
    <row r="106" spans="1:5" ht="15.6">
      <c r="A106" s="632"/>
      <c r="B106" s="1062"/>
      <c r="C106" s="1062"/>
    </row>
    <row r="107" spans="1:5" ht="15.6">
      <c r="A107" s="631">
        <v>-1708</v>
      </c>
      <c r="B107" s="1062"/>
      <c r="C107" s="1062"/>
    </row>
    <row r="108" spans="1:5" ht="16.149999999999999" thickBot="1">
      <c r="A108" s="636">
        <v>452</v>
      </c>
      <c r="B108" s="1062"/>
      <c r="C108" s="1062"/>
    </row>
    <row r="109" spans="1:5" ht="16.149999999999999" thickBot="1">
      <c r="A109" s="744">
        <f>A105+A107+A108</f>
        <v>17731</v>
      </c>
      <c r="B109" s="1062"/>
      <c r="C109" s="1062"/>
    </row>
    <row r="110" spans="1:5" ht="16.149999999999999" thickTop="1">
      <c r="A110" s="636" t="s">
        <v>276</v>
      </c>
      <c r="B110" s="1062">
        <v>17731</v>
      </c>
      <c r="C110" s="1062"/>
    </row>
    <row r="111" spans="1:5" ht="15" thickBot="1">
      <c r="A111" s="995">
        <v>17051</v>
      </c>
      <c r="B111" s="632"/>
    </row>
    <row r="112" spans="1:5" ht="16.149999999999999" thickTop="1">
      <c r="A112" s="631">
        <v>-1771</v>
      </c>
      <c r="B112" s="1062"/>
      <c r="C112" s="1062"/>
    </row>
    <row r="113" spans="1:5" ht="16.149999999999999" thickBot="1">
      <c r="A113" s="636">
        <v>403</v>
      </c>
      <c r="B113" s="1062"/>
      <c r="C113" s="1062"/>
    </row>
    <row r="114" spans="1:5" ht="16.149999999999999" thickBot="1">
      <c r="A114" s="744">
        <f>A111+A112+A113</f>
        <v>15683</v>
      </c>
      <c r="B114" s="1062"/>
      <c r="C114" s="1062"/>
    </row>
    <row r="115" spans="1:5" ht="15.6" thickTop="1" thickBot="1"/>
    <row r="116" spans="1:5" ht="15" thickBot="1">
      <c r="A116" s="744">
        <v>15683</v>
      </c>
    </row>
    <row r="117" spans="1:5" ht="15" thickTop="1"/>
    <row r="118" spans="1:5" ht="15" thickBot="1">
      <c r="A118" s="747" t="s">
        <v>73</v>
      </c>
      <c r="B118" s="766"/>
      <c r="C118" s="767">
        <v>45838</v>
      </c>
      <c r="D118" s="713"/>
      <c r="E118" s="802">
        <v>45657</v>
      </c>
    </row>
    <row r="119" spans="1:5" ht="15" thickBot="1">
      <c r="A119" s="745" t="s">
        <v>277</v>
      </c>
      <c r="B119" s="996"/>
      <c r="C119" s="726">
        <v>416</v>
      </c>
      <c r="D119" s="704"/>
      <c r="E119" s="704" t="s">
        <v>115</v>
      </c>
    </row>
    <row r="120" spans="1:5" ht="15" thickBot="1">
      <c r="A120" s="745" t="s">
        <v>278</v>
      </c>
      <c r="B120" s="996"/>
      <c r="C120" s="726">
        <v>201</v>
      </c>
      <c r="D120" s="704"/>
      <c r="E120" s="704" t="s">
        <v>115</v>
      </c>
    </row>
    <row r="121" spans="1:5" ht="15" thickBot="1">
      <c r="A121" s="745" t="s">
        <v>279</v>
      </c>
      <c r="B121" s="996"/>
      <c r="C121" s="726" t="s">
        <v>115</v>
      </c>
      <c r="D121" s="704"/>
      <c r="E121" s="704">
        <v>195</v>
      </c>
    </row>
    <row r="122" spans="1:5" ht="15" thickBot="1">
      <c r="A122" s="745" t="s">
        <v>280</v>
      </c>
      <c r="B122" s="996"/>
      <c r="C122" s="726">
        <v>152</v>
      </c>
      <c r="D122" s="704"/>
      <c r="E122" s="704" t="s">
        <v>115</v>
      </c>
    </row>
    <row r="123" spans="1:5" ht="15" thickBot="1">
      <c r="A123" s="745" t="s">
        <v>281</v>
      </c>
      <c r="B123" s="996"/>
      <c r="C123" s="726">
        <v>90</v>
      </c>
      <c r="D123" s="704"/>
      <c r="E123" s="704" t="s">
        <v>115</v>
      </c>
    </row>
    <row r="124" spans="1:5" ht="15" thickBot="1">
      <c r="A124" s="745" t="s">
        <v>282</v>
      </c>
      <c r="B124" s="996"/>
      <c r="C124" s="726" t="s">
        <v>115</v>
      </c>
      <c r="D124" s="704"/>
      <c r="E124" s="704">
        <v>68</v>
      </c>
    </row>
    <row r="125" spans="1:5" ht="15" thickBot="1">
      <c r="A125" s="745" t="s">
        <v>283</v>
      </c>
      <c r="B125" s="996"/>
      <c r="C125" s="726">
        <v>49</v>
      </c>
      <c r="D125" s="704"/>
      <c r="E125" s="704" t="s">
        <v>115</v>
      </c>
    </row>
    <row r="126" spans="1:5" ht="15" thickBot="1">
      <c r="A126" s="745" t="s">
        <v>284</v>
      </c>
      <c r="B126" s="996"/>
      <c r="C126" s="726" t="s">
        <v>115</v>
      </c>
      <c r="D126" s="704"/>
      <c r="E126" s="704">
        <v>33</v>
      </c>
    </row>
    <row r="127" spans="1:5" ht="15" thickBot="1">
      <c r="A127" s="745" t="s">
        <v>285</v>
      </c>
      <c r="B127" s="996"/>
      <c r="C127" s="726" t="s">
        <v>115</v>
      </c>
      <c r="D127" s="704"/>
      <c r="E127" s="704">
        <v>32</v>
      </c>
    </row>
    <row r="128" spans="1:5" ht="15" thickBot="1">
      <c r="A128" s="745" t="s">
        <v>286</v>
      </c>
      <c r="B128" s="996"/>
      <c r="C128" s="726">
        <v>30</v>
      </c>
      <c r="D128" s="704"/>
      <c r="E128" s="704" t="s">
        <v>115</v>
      </c>
    </row>
    <row r="129" spans="1:5" ht="15" thickBot="1">
      <c r="A129" s="745" t="s">
        <v>287</v>
      </c>
      <c r="B129" s="996"/>
      <c r="C129" s="726" t="s">
        <v>115</v>
      </c>
      <c r="D129" s="704"/>
      <c r="E129" s="704">
        <v>20</v>
      </c>
    </row>
    <row r="130" spans="1:5" ht="15" thickBot="1">
      <c r="A130" s="745" t="s">
        <v>288</v>
      </c>
      <c r="B130" s="996"/>
      <c r="C130" s="726">
        <v>19</v>
      </c>
      <c r="D130" s="704"/>
      <c r="E130" s="704" t="s">
        <v>115</v>
      </c>
    </row>
    <row r="131" spans="1:5" ht="15" thickBot="1">
      <c r="A131" s="745" t="s">
        <v>289</v>
      </c>
      <c r="B131" s="996"/>
      <c r="C131" s="726">
        <v>12</v>
      </c>
      <c r="D131" s="704"/>
      <c r="E131" s="704" t="s">
        <v>115</v>
      </c>
    </row>
    <row r="132" spans="1:5" ht="15" thickBot="1">
      <c r="A132" s="745" t="s">
        <v>290</v>
      </c>
      <c r="B132" s="996"/>
      <c r="C132" s="726">
        <v>12</v>
      </c>
      <c r="D132" s="704"/>
      <c r="E132" s="704" t="s">
        <v>115</v>
      </c>
    </row>
    <row r="133" spans="1:5" ht="15" thickBot="1">
      <c r="A133" s="745" t="s">
        <v>291</v>
      </c>
      <c r="B133" s="996"/>
      <c r="C133" s="726">
        <v>38</v>
      </c>
      <c r="D133" s="704"/>
      <c r="E133" s="704">
        <v>13</v>
      </c>
    </row>
    <row r="134" spans="1:5" ht="15" thickBot="1">
      <c r="A134" s="997" t="s">
        <v>118</v>
      </c>
      <c r="B134" s="998"/>
      <c r="C134" s="721">
        <f>SUM(C119:C133)</f>
        <v>1019</v>
      </c>
      <c r="D134" s="782"/>
      <c r="E134" s="721">
        <f>SUM(E119:E133)</f>
        <v>361</v>
      </c>
    </row>
    <row r="135" spans="1:5">
      <c r="A135" s="728"/>
    </row>
    <row r="136" spans="1:5" ht="15" thickBot="1">
      <c r="C136" s="721">
        <v>1019</v>
      </c>
      <c r="D136" s="782"/>
      <c r="E136" s="722">
        <v>361</v>
      </c>
    </row>
    <row r="138" spans="1:5" ht="15" thickBot="1">
      <c r="A138" s="747" t="s">
        <v>213</v>
      </c>
      <c r="B138" s="766"/>
      <c r="C138" s="625">
        <v>45838</v>
      </c>
      <c r="D138" s="767">
        <v>45657</v>
      </c>
    </row>
    <row r="139" spans="1:5">
      <c r="A139" s="768" t="s">
        <v>292</v>
      </c>
      <c r="B139" s="999"/>
      <c r="C139" s="770">
        <v>1</v>
      </c>
      <c r="D139" s="770">
        <v>4</v>
      </c>
    </row>
    <row r="140" spans="1:5">
      <c r="A140" s="768" t="s">
        <v>293</v>
      </c>
      <c r="B140" s="769"/>
      <c r="C140" s="771">
        <v>2616</v>
      </c>
      <c r="D140" s="771">
        <v>3512</v>
      </c>
    </row>
    <row r="141" spans="1:5">
      <c r="A141" s="768" t="s">
        <v>294</v>
      </c>
      <c r="B141" s="769"/>
      <c r="C141" s="770">
        <v>15</v>
      </c>
      <c r="D141" s="770">
        <v>36</v>
      </c>
    </row>
    <row r="142" spans="1:5">
      <c r="A142" s="768" t="s">
        <v>295</v>
      </c>
      <c r="B142" s="769"/>
      <c r="C142" s="770" t="s">
        <v>115</v>
      </c>
      <c r="D142" s="770">
        <v>19</v>
      </c>
    </row>
    <row r="143" spans="1:5">
      <c r="A143" s="768" t="s">
        <v>296</v>
      </c>
      <c r="B143" s="769"/>
      <c r="C143" s="770">
        <v>105</v>
      </c>
      <c r="D143" s="770">
        <v>522</v>
      </c>
    </row>
    <row r="144" spans="1:5" ht="15" thickBot="1">
      <c r="A144" s="720" t="s">
        <v>118</v>
      </c>
      <c r="B144" s="772"/>
      <c r="C144" s="721">
        <f>SUM(C139:C143)</f>
        <v>2737</v>
      </c>
      <c r="D144" s="721">
        <f>SUM(D139:D143)</f>
        <v>4093</v>
      </c>
    </row>
    <row r="146" spans="1:6" ht="15" thickBot="1">
      <c r="C146" s="721">
        <v>2737</v>
      </c>
      <c r="D146" s="721">
        <v>4093</v>
      </c>
    </row>
    <row r="148" spans="1:6" ht="27" thickBot="1">
      <c r="A148" s="686" t="s">
        <v>213</v>
      </c>
      <c r="B148" s="626"/>
      <c r="C148" s="625">
        <v>45838</v>
      </c>
      <c r="D148" s="625">
        <v>45657</v>
      </c>
    </row>
    <row r="149" spans="1:6" ht="26.45">
      <c r="A149" s="689" t="s">
        <v>297</v>
      </c>
      <c r="B149" s="703"/>
      <c r="C149" s="771">
        <v>6750</v>
      </c>
      <c r="D149" s="771">
        <v>4486</v>
      </c>
    </row>
    <row r="150" spans="1:6" ht="39.6">
      <c r="A150" s="689" t="s">
        <v>298</v>
      </c>
      <c r="B150" s="703"/>
      <c r="C150" s="771">
        <v>4289</v>
      </c>
      <c r="D150" s="770" t="s">
        <v>115</v>
      </c>
    </row>
    <row r="151" spans="1:6" ht="26.45">
      <c r="A151" s="689" t="s">
        <v>299</v>
      </c>
      <c r="B151" s="703"/>
      <c r="C151" s="771">
        <v>13348</v>
      </c>
      <c r="D151" s="771">
        <v>11222</v>
      </c>
    </row>
    <row r="152" spans="1:6" ht="26.45">
      <c r="A152" s="689" t="s">
        <v>300</v>
      </c>
      <c r="B152" s="703"/>
      <c r="C152" s="771">
        <v>1988</v>
      </c>
      <c r="D152" s="771">
        <v>1668</v>
      </c>
    </row>
    <row r="153" spans="1:6" ht="26.45">
      <c r="A153" s="689" t="s">
        <v>301</v>
      </c>
      <c r="B153" s="712"/>
      <c r="C153" s="770">
        <v>746</v>
      </c>
      <c r="D153" s="770">
        <v>518</v>
      </c>
    </row>
    <row r="154" spans="1:6" ht="15" thickBot="1">
      <c r="A154" s="720" t="s">
        <v>118</v>
      </c>
      <c r="B154" s="671"/>
      <c r="C154" s="721">
        <f>SUM(C149:C153)</f>
        <v>27121</v>
      </c>
      <c r="D154" s="721">
        <f>SUM(D149:D153)</f>
        <v>17894</v>
      </c>
    </row>
    <row r="156" spans="1:6" ht="15" thickBot="1">
      <c r="C156" s="721">
        <v>27121</v>
      </c>
      <c r="D156" s="721">
        <v>17894</v>
      </c>
    </row>
    <row r="158" spans="1:6" ht="40.15" thickBot="1">
      <c r="A158" s="773" t="s">
        <v>213</v>
      </c>
      <c r="B158" s="742">
        <v>45657</v>
      </c>
      <c r="C158" s="773" t="s">
        <v>302</v>
      </c>
      <c r="D158" s="774" t="s">
        <v>264</v>
      </c>
      <c r="E158" s="774" t="s">
        <v>303</v>
      </c>
      <c r="F158" s="742">
        <v>45838</v>
      </c>
    </row>
    <row r="159" spans="1:6" ht="27" thickBot="1">
      <c r="A159" s="728" t="s">
        <v>304</v>
      </c>
      <c r="B159" s="631">
        <v>4510</v>
      </c>
      <c r="C159" s="636">
        <v>86</v>
      </c>
      <c r="D159" s="712" t="s">
        <v>115</v>
      </c>
      <c r="E159" s="739">
        <v>-1599</v>
      </c>
      <c r="F159" s="631">
        <v>2997</v>
      </c>
    </row>
    <row r="160" spans="1:6" ht="27" thickBot="1">
      <c r="A160" s="775" t="s">
        <v>305</v>
      </c>
      <c r="B160" s="776">
        <v>7354</v>
      </c>
      <c r="C160" s="777">
        <v>314</v>
      </c>
      <c r="D160" s="778" t="s">
        <v>115</v>
      </c>
      <c r="E160" s="778" t="s">
        <v>115</v>
      </c>
      <c r="F160" s="776">
        <v>7668</v>
      </c>
    </row>
    <row r="161" spans="1:6" ht="15" thickBot="1">
      <c r="A161" s="781" t="s">
        <v>306</v>
      </c>
      <c r="B161" s="721">
        <f>SUM(B159:B160)</f>
        <v>11864</v>
      </c>
      <c r="C161" s="721">
        <f>SUM(C159:C160)</f>
        <v>400</v>
      </c>
      <c r="D161" s="722" t="s">
        <v>115</v>
      </c>
      <c r="E161" s="721">
        <f>SUM(E159:E160)</f>
        <v>-1599</v>
      </c>
      <c r="F161" s="721">
        <f>SUM(F159:F160)</f>
        <v>10665</v>
      </c>
    </row>
    <row r="163" spans="1:6" ht="15" thickBot="1">
      <c r="B163" s="721">
        <v>11864</v>
      </c>
      <c r="C163" s="722">
        <v>400</v>
      </c>
      <c r="D163" s="722" t="s">
        <v>115</v>
      </c>
      <c r="E163" s="721">
        <v>-1599</v>
      </c>
      <c r="F163" s="721">
        <v>10665</v>
      </c>
    </row>
    <row r="165" spans="1:6" ht="40.15" thickBot="1">
      <c r="A165" s="773" t="s">
        <v>213</v>
      </c>
      <c r="B165" s="742">
        <v>45657</v>
      </c>
      <c r="C165" s="773" t="s">
        <v>302</v>
      </c>
      <c r="D165" s="774" t="s">
        <v>264</v>
      </c>
      <c r="E165" s="774" t="s">
        <v>303</v>
      </c>
      <c r="F165" s="742">
        <v>45838</v>
      </c>
    </row>
    <row r="166" spans="1:6" ht="27" thickBot="1">
      <c r="A166" s="728" t="s">
        <v>304</v>
      </c>
      <c r="B166" s="636">
        <v>4</v>
      </c>
      <c r="C166" s="636" t="s">
        <v>115</v>
      </c>
      <c r="D166" s="712">
        <v>102</v>
      </c>
      <c r="E166" s="712" t="s">
        <v>115</v>
      </c>
      <c r="F166" s="636">
        <v>106</v>
      </c>
    </row>
    <row r="167" spans="1:6" ht="15" thickBot="1">
      <c r="A167" s="775" t="s">
        <v>307</v>
      </c>
      <c r="B167" s="776">
        <v>5680</v>
      </c>
      <c r="C167" s="776">
        <v>107122</v>
      </c>
      <c r="D167" s="1000">
        <v>7876460</v>
      </c>
      <c r="E167" s="778">
        <v>-131</v>
      </c>
      <c r="F167" s="776">
        <v>7989131</v>
      </c>
    </row>
    <row r="168" spans="1:6" ht="27" thickBot="1">
      <c r="A168" s="779" t="s">
        <v>305</v>
      </c>
      <c r="B168" s="783">
        <v>8495</v>
      </c>
      <c r="C168" s="780">
        <v>195</v>
      </c>
      <c r="D168" s="700">
        <v>276</v>
      </c>
      <c r="E168" s="700" t="s">
        <v>115</v>
      </c>
      <c r="F168" s="783">
        <v>8966</v>
      </c>
    </row>
    <row r="169" spans="1:6" ht="15" thickBot="1">
      <c r="A169" s="781" t="s">
        <v>306</v>
      </c>
      <c r="B169" s="721">
        <f>SUM(B166:B168)</f>
        <v>14179</v>
      </c>
      <c r="C169" s="721">
        <f>SUM(C166:C168)</f>
        <v>107317</v>
      </c>
      <c r="D169" s="721">
        <f>SUM(D166:D168)</f>
        <v>7876838</v>
      </c>
      <c r="E169" s="721">
        <f>SUM(E166:E168)</f>
        <v>-131</v>
      </c>
      <c r="F169" s="721">
        <f>SUM(F166:F168)</f>
        <v>7998203</v>
      </c>
    </row>
    <row r="171" spans="1:6" ht="15" thickBot="1">
      <c r="B171" s="721">
        <v>14179</v>
      </c>
      <c r="C171" s="721">
        <v>107317</v>
      </c>
      <c r="D171" s="721">
        <v>7876838</v>
      </c>
      <c r="E171" s="722">
        <v>-131</v>
      </c>
      <c r="F171" s="721">
        <v>7998203</v>
      </c>
    </row>
    <row r="173" spans="1:6" ht="26.45">
      <c r="A173" s="763" t="s">
        <v>213</v>
      </c>
      <c r="B173" s="784" t="s">
        <v>308</v>
      </c>
      <c r="C173" s="784" t="s">
        <v>309</v>
      </c>
    </row>
    <row r="174" spans="1:6" ht="66.599999999999994" thickBot="1">
      <c r="A174" s="693" t="s">
        <v>310</v>
      </c>
      <c r="B174" s="785">
        <v>460</v>
      </c>
      <c r="C174" s="785">
        <v>408</v>
      </c>
    </row>
    <row r="175" spans="1:6" ht="66.599999999999994" thickBot="1">
      <c r="A175" s="786" t="s">
        <v>311</v>
      </c>
      <c r="B175" s="684">
        <v>463</v>
      </c>
      <c r="C175" s="787">
        <v>414</v>
      </c>
    </row>
    <row r="176" spans="1:6" ht="15" thickBot="1">
      <c r="A176" s="720" t="s">
        <v>306</v>
      </c>
      <c r="B176" s="687">
        <f>SUM(B174:B175)</f>
        <v>923</v>
      </c>
      <c r="C176" s="687">
        <f>SUM(C174:C175)</f>
        <v>822</v>
      </c>
    </row>
    <row r="177" spans="1:3" ht="15.6">
      <c r="A177" s="663"/>
    </row>
    <row r="178" spans="1:3" ht="15" thickBot="1">
      <c r="B178" s="687">
        <v>923</v>
      </c>
      <c r="C178" s="722">
        <v>822</v>
      </c>
    </row>
    <row r="179" spans="1:3" ht="15" thickBot="1"/>
    <row r="180" spans="1:3" ht="15" thickBot="1">
      <c r="A180" s="1001">
        <v>6</v>
      </c>
    </row>
    <row r="181" spans="1:3" ht="15" thickBot="1">
      <c r="A181" s="1002">
        <v>29</v>
      </c>
    </row>
    <row r="182" spans="1:3" ht="15" thickBot="1">
      <c r="A182" s="1002">
        <v>54</v>
      </c>
    </row>
    <row r="183" spans="1:3" ht="15" thickBot="1">
      <c r="A183" s="1002">
        <v>500</v>
      </c>
    </row>
    <row r="184" spans="1:3" ht="15" thickBot="1">
      <c r="A184" s="1002">
        <v>106</v>
      </c>
    </row>
    <row r="185" spans="1:3" ht="15" thickBot="1">
      <c r="A185" s="1003">
        <f>SUM(A180:A184)</f>
        <v>695</v>
      </c>
    </row>
    <row r="187" spans="1:3" ht="15" thickBot="1">
      <c r="A187" s="1003">
        <v>695</v>
      </c>
    </row>
    <row r="188" spans="1:3" ht="15" thickBot="1"/>
    <row r="189" spans="1:3" ht="119.45" thickBot="1">
      <c r="A189" s="797" t="s">
        <v>312</v>
      </c>
      <c r="B189" s="798">
        <v>-2834</v>
      </c>
    </row>
    <row r="190" spans="1:3" ht="40.15" thickBot="1">
      <c r="A190" s="1004" t="s">
        <v>313</v>
      </c>
      <c r="B190" s="1005">
        <v>-676</v>
      </c>
    </row>
    <row r="191" spans="1:3" ht="106.15" thickBot="1">
      <c r="A191" s="799" t="s">
        <v>314</v>
      </c>
      <c r="B191" s="1006">
        <f>SUM(B189:B190)</f>
        <v>-3510</v>
      </c>
    </row>
    <row r="193" spans="1:9" ht="15" thickBot="1">
      <c r="B193" s="1006">
        <v>-3510</v>
      </c>
    </row>
    <row r="195" spans="1:9" ht="15" thickBot="1">
      <c r="A195" s="749"/>
      <c r="B195" s="749"/>
      <c r="C195" s="802">
        <v>45838</v>
      </c>
      <c r="D195" s="749"/>
      <c r="E195" s="802">
        <v>45473</v>
      </c>
    </row>
    <row r="196" spans="1:9">
      <c r="A196" s="732" t="s">
        <v>315</v>
      </c>
      <c r="B196" s="749"/>
      <c r="C196" s="749"/>
      <c r="D196" s="749"/>
      <c r="E196" s="749"/>
    </row>
    <row r="197" spans="1:9">
      <c r="A197" s="707" t="s">
        <v>316</v>
      </c>
      <c r="B197" s="749"/>
      <c r="C197" s="631">
        <v>-55655</v>
      </c>
      <c r="D197" s="749"/>
      <c r="E197" s="631">
        <v>-50163</v>
      </c>
    </row>
    <row r="198" spans="1:9" ht="15" thickBot="1">
      <c r="A198" s="707" t="s">
        <v>317</v>
      </c>
      <c r="B198" s="749"/>
      <c r="C198" s="631">
        <v>-31002</v>
      </c>
      <c r="D198" s="749"/>
      <c r="E198" s="631">
        <v>-26068</v>
      </c>
    </row>
    <row r="199" spans="1:9" ht="15" thickBot="1">
      <c r="A199" s="749"/>
      <c r="B199" s="749"/>
      <c r="C199" s="634">
        <f>SUM(C197:C198)</f>
        <v>-86657</v>
      </c>
      <c r="D199" s="749"/>
      <c r="E199" s="634">
        <f>SUM(E197:E198)</f>
        <v>-76231</v>
      </c>
      <c r="G199" s="634">
        <v>-86657</v>
      </c>
      <c r="H199" s="749"/>
      <c r="I199" s="634">
        <v>-76231</v>
      </c>
    </row>
    <row r="200" spans="1:9">
      <c r="A200" s="732" t="s">
        <v>318</v>
      </c>
      <c r="B200" s="749"/>
      <c r="C200" s="749"/>
      <c r="D200" s="749"/>
      <c r="E200" s="749"/>
    </row>
    <row r="201" spans="1:9">
      <c r="A201" s="707" t="s">
        <v>319</v>
      </c>
      <c r="B201" s="749"/>
      <c r="C201" s="631">
        <v>-71788</v>
      </c>
      <c r="D201" s="636"/>
      <c r="E201" s="631">
        <v>-58020</v>
      </c>
    </row>
    <row r="202" spans="1:9">
      <c r="A202" s="707" t="s">
        <v>320</v>
      </c>
      <c r="B202" s="749"/>
      <c r="C202" s="636">
        <v>-48</v>
      </c>
      <c r="D202" s="749"/>
      <c r="E202" s="636">
        <v>-11</v>
      </c>
    </row>
    <row r="203" spans="1:9">
      <c r="A203" s="707" t="s">
        <v>321</v>
      </c>
      <c r="B203" s="749"/>
      <c r="C203" s="631">
        <v>-7023</v>
      </c>
      <c r="D203" s="749"/>
      <c r="E203" s="631">
        <v>-9001</v>
      </c>
    </row>
    <row r="204" spans="1:9">
      <c r="A204" s="707" t="s">
        <v>322</v>
      </c>
      <c r="B204" s="749"/>
      <c r="C204" s="631">
        <v>-4799</v>
      </c>
      <c r="D204" s="749"/>
      <c r="E204" s="631">
        <v>-4741</v>
      </c>
    </row>
    <row r="205" spans="1:9">
      <c r="A205" s="707" t="s">
        <v>323</v>
      </c>
      <c r="B205" s="749"/>
      <c r="C205" s="631">
        <v>-2707</v>
      </c>
      <c r="D205" s="749"/>
      <c r="E205" s="631">
        <v>-3009</v>
      </c>
    </row>
    <row r="206" spans="1:9" ht="15" thickBot="1">
      <c r="A206" s="707" t="s">
        <v>17</v>
      </c>
      <c r="B206" s="630"/>
      <c r="C206" s="636">
        <v>-292</v>
      </c>
      <c r="D206" s="636"/>
      <c r="E206" s="631">
        <v>-1449</v>
      </c>
    </row>
    <row r="207" spans="1:9" ht="15" thickBot="1">
      <c r="A207" s="732" t="s">
        <v>118</v>
      </c>
      <c r="B207" s="749"/>
      <c r="C207" s="634">
        <f>SUM(C201:C206)</f>
        <v>-86657</v>
      </c>
      <c r="D207" s="749"/>
      <c r="E207" s="634">
        <f>SUM(E201:E206)</f>
        <v>-76231</v>
      </c>
    </row>
    <row r="208" spans="1:9" ht="15" thickBot="1"/>
    <row r="209" spans="1:9" ht="15" thickBot="1">
      <c r="C209" s="634">
        <v>-86657</v>
      </c>
      <c r="D209" s="749"/>
      <c r="E209" s="634">
        <v>-76231</v>
      </c>
    </row>
    <row r="211" spans="1:9" ht="15" thickBot="1">
      <c r="A211" s="729"/>
      <c r="B211" s="632"/>
      <c r="C211" s="627">
        <v>45838</v>
      </c>
      <c r="D211" s="827"/>
      <c r="E211" s="627">
        <v>45473</v>
      </c>
    </row>
    <row r="212" spans="1:9" ht="15" thickBot="1">
      <c r="A212" s="630" t="s">
        <v>324</v>
      </c>
      <c r="B212" s="632"/>
      <c r="C212" s="759">
        <v>392</v>
      </c>
      <c r="D212" s="632"/>
      <c r="E212" s="759">
        <v>615</v>
      </c>
    </row>
    <row r="213" spans="1:9" ht="15" thickBot="1">
      <c r="A213" s="624" t="s">
        <v>273</v>
      </c>
      <c r="B213" s="632"/>
      <c r="C213" s="828">
        <v>392</v>
      </c>
      <c r="D213" s="632"/>
      <c r="E213" s="828">
        <v>615</v>
      </c>
    </row>
    <row r="214" spans="1:9">
      <c r="A214" s="784"/>
      <c r="B214" s="632"/>
      <c r="C214" s="632"/>
      <c r="D214" s="632"/>
      <c r="E214" s="632"/>
    </row>
    <row r="215" spans="1:9">
      <c r="A215" s="624" t="s">
        <v>38</v>
      </c>
      <c r="B215" s="632"/>
      <c r="C215" s="632"/>
      <c r="D215" s="632"/>
      <c r="E215" s="632"/>
    </row>
    <row r="216" spans="1:9">
      <c r="A216" s="630" t="s">
        <v>325</v>
      </c>
      <c r="B216" s="624"/>
      <c r="C216" s="759">
        <v>-400</v>
      </c>
      <c r="D216" s="759"/>
      <c r="E216" s="759">
        <v>-400</v>
      </c>
    </row>
    <row r="217" spans="1:9" ht="15" thickBot="1">
      <c r="A217" s="630" t="s">
        <v>326</v>
      </c>
      <c r="B217" s="630"/>
      <c r="C217" s="759">
        <v>-403</v>
      </c>
      <c r="D217" s="759"/>
      <c r="E217" s="759">
        <v>-451</v>
      </c>
    </row>
    <row r="218" spans="1:9" ht="15" thickBot="1">
      <c r="A218" s="624" t="s">
        <v>273</v>
      </c>
      <c r="B218" s="632"/>
      <c r="C218" s="828">
        <f>SUM(C216:C217)</f>
        <v>-803</v>
      </c>
      <c r="D218" s="632"/>
      <c r="E218" s="828">
        <f>SUM(E216:E217)</f>
        <v>-851</v>
      </c>
      <c r="G218" s="828">
        <v>-803</v>
      </c>
      <c r="H218" s="632"/>
      <c r="I218" s="828">
        <v>-851</v>
      </c>
    </row>
    <row r="219" spans="1:9" ht="15" thickBot="1">
      <c r="A219" s="632"/>
      <c r="B219" s="632"/>
      <c r="C219" s="632"/>
      <c r="D219" s="632"/>
      <c r="E219" s="632"/>
    </row>
    <row r="220" spans="1:9" ht="15" thickBot="1">
      <c r="A220" s="624" t="s">
        <v>327</v>
      </c>
      <c r="B220" s="632"/>
      <c r="C220" s="828">
        <f>C218+C213</f>
        <v>-411</v>
      </c>
      <c r="D220" s="632"/>
      <c r="E220" s="828">
        <f>E218+E213</f>
        <v>-236</v>
      </c>
    </row>
    <row r="221" spans="1:9" ht="15" thickBot="1"/>
    <row r="222" spans="1:9" ht="15" thickBot="1">
      <c r="C222" s="828">
        <v>-411</v>
      </c>
      <c r="D222" s="632"/>
      <c r="E222" s="828">
        <v>-236</v>
      </c>
    </row>
    <row r="224" spans="1:9" ht="15" thickBot="1">
      <c r="A224" s="832"/>
      <c r="B224" s="1063">
        <v>45838</v>
      </c>
      <c r="C224" s="1064"/>
      <c r="D224" s="1065">
        <v>45473</v>
      </c>
      <c r="E224" s="1063"/>
    </row>
    <row r="225" spans="1:10" ht="15" thickBot="1">
      <c r="A225" s="833"/>
      <c r="B225" s="722" t="s">
        <v>328</v>
      </c>
      <c r="C225" s="722" t="s">
        <v>329</v>
      </c>
      <c r="D225" s="834" t="s">
        <v>328</v>
      </c>
      <c r="E225" s="722" t="s">
        <v>329</v>
      </c>
    </row>
    <row r="226" spans="1:10">
      <c r="A226" s="833" t="s">
        <v>330</v>
      </c>
      <c r="B226" s="667">
        <v>-676</v>
      </c>
      <c r="C226" s="667">
        <v>-676</v>
      </c>
      <c r="D226" s="835">
        <v>12813</v>
      </c>
      <c r="E226" s="673">
        <v>12813</v>
      </c>
    </row>
    <row r="227" spans="1:10">
      <c r="A227" s="833" t="s">
        <v>331</v>
      </c>
      <c r="B227" s="673">
        <v>2321</v>
      </c>
      <c r="C227" s="673">
        <v>2321</v>
      </c>
      <c r="D227" s="835">
        <v>2551</v>
      </c>
      <c r="E227" s="673">
        <v>2551</v>
      </c>
    </row>
    <row r="228" spans="1:10" ht="15" thickBot="1">
      <c r="A228" s="833" t="s">
        <v>332</v>
      </c>
      <c r="B228" s="836">
        <v>-2244</v>
      </c>
      <c r="C228" s="836">
        <v>-2244</v>
      </c>
      <c r="D228" s="837">
        <v>-1874</v>
      </c>
      <c r="E228" s="836">
        <v>-1874</v>
      </c>
    </row>
    <row r="229" spans="1:10">
      <c r="A229" s="838" t="s">
        <v>333</v>
      </c>
      <c r="B229" s="671">
        <f>SUM(B226:B228)</f>
        <v>-599</v>
      </c>
      <c r="C229" s="671">
        <f>SUM(C226:C228)</f>
        <v>-599</v>
      </c>
      <c r="D229" s="671">
        <f>SUM(D226:D228)</f>
        <v>13490</v>
      </c>
      <c r="E229" s="671">
        <f>SUM(E226:E228)</f>
        <v>13490</v>
      </c>
      <c r="G229" s="671">
        <v>-599</v>
      </c>
      <c r="H229" s="671">
        <v>-599</v>
      </c>
      <c r="I229" s="839">
        <v>13490</v>
      </c>
      <c r="J229" s="672">
        <v>13490</v>
      </c>
    </row>
    <row r="230" spans="1:10">
      <c r="A230" s="838"/>
      <c r="B230" s="840"/>
      <c r="C230" s="840"/>
      <c r="D230" s="841"/>
      <c r="E230" s="671"/>
    </row>
    <row r="231" spans="1:10" ht="26.45">
      <c r="A231" s="838" t="s">
        <v>334</v>
      </c>
      <c r="B231" s="671" t="s">
        <v>335</v>
      </c>
      <c r="C231" s="842">
        <v>0.09</v>
      </c>
      <c r="D231" s="841" t="s">
        <v>335</v>
      </c>
      <c r="E231" s="842">
        <v>0.09</v>
      </c>
    </row>
    <row r="232" spans="1:10">
      <c r="A232" s="833" t="s">
        <v>336</v>
      </c>
      <c r="B232" s="667" t="s">
        <v>115</v>
      </c>
      <c r="C232" s="667" t="s">
        <v>115</v>
      </c>
      <c r="D232" s="843">
        <v>-236</v>
      </c>
      <c r="E232" s="667" t="s">
        <v>337</v>
      </c>
    </row>
    <row r="233" spans="1:10">
      <c r="A233" s="833"/>
      <c r="B233" s="840"/>
      <c r="C233" s="840"/>
      <c r="D233" s="1007"/>
      <c r="E233" s="667"/>
    </row>
    <row r="234" spans="1:10">
      <c r="A234" s="838" t="s">
        <v>338</v>
      </c>
      <c r="B234" s="671" t="s">
        <v>115</v>
      </c>
      <c r="C234" s="671" t="s">
        <v>115</v>
      </c>
      <c r="D234" s="839">
        <v>2113</v>
      </c>
      <c r="E234" s="671">
        <v>850</v>
      </c>
    </row>
    <row r="235" spans="1:10">
      <c r="A235" s="833" t="s">
        <v>339</v>
      </c>
      <c r="B235" s="667">
        <v>-179</v>
      </c>
      <c r="C235" s="667">
        <v>-66</v>
      </c>
      <c r="D235" s="835">
        <v>1810</v>
      </c>
      <c r="E235" s="667">
        <v>695</v>
      </c>
    </row>
    <row r="236" spans="1:10" ht="15" thickBot="1">
      <c r="A236" s="838" t="s">
        <v>340</v>
      </c>
      <c r="B236" s="722" t="s">
        <v>115</v>
      </c>
      <c r="C236" s="722" t="s">
        <v>115</v>
      </c>
      <c r="D236" s="834">
        <v>303</v>
      </c>
      <c r="E236" s="722">
        <v>155</v>
      </c>
    </row>
    <row r="239" spans="1:10" ht="15" thickBot="1">
      <c r="A239" s="827"/>
      <c r="B239" s="625">
        <v>45838</v>
      </c>
      <c r="C239" s="632"/>
      <c r="D239" s="625">
        <v>45473</v>
      </c>
    </row>
    <row r="240" spans="1:10">
      <c r="A240" s="827"/>
      <c r="B240" s="632"/>
      <c r="C240" s="632"/>
      <c r="D240" s="632"/>
    </row>
    <row r="241" spans="1:7" ht="66">
      <c r="A241" s="645" t="s">
        <v>341</v>
      </c>
      <c r="B241" s="784">
        <v>-676</v>
      </c>
      <c r="C241" s="632"/>
      <c r="D241" s="845">
        <v>12813</v>
      </c>
    </row>
    <row r="242" spans="1:7" ht="39.6">
      <c r="A242" s="646" t="s">
        <v>342</v>
      </c>
      <c r="B242" s="846">
        <v>0.34</v>
      </c>
      <c r="C242" s="632"/>
      <c r="D242" s="846">
        <v>0.34</v>
      </c>
      <c r="F242">
        <f>B241*34%</f>
        <v>-229.84</v>
      </c>
      <c r="G242">
        <f>D241*D242</f>
        <v>4356.42</v>
      </c>
    </row>
    <row r="243" spans="1:7" ht="171.6">
      <c r="A243" s="645" t="s">
        <v>343</v>
      </c>
      <c r="B243" s="784">
        <v>230</v>
      </c>
      <c r="C243" s="729"/>
      <c r="D243" s="845">
        <v>-4356</v>
      </c>
    </row>
    <row r="244" spans="1:7">
      <c r="A244" s="827"/>
      <c r="B244" s="632"/>
      <c r="C244" s="632"/>
      <c r="D244" s="632"/>
    </row>
    <row r="245" spans="1:7" ht="66">
      <c r="A245" s="645" t="s">
        <v>344</v>
      </c>
      <c r="B245" s="632"/>
      <c r="C245" s="632"/>
      <c r="D245" s="632"/>
    </row>
    <row r="246" spans="1:7">
      <c r="A246" s="645" t="s">
        <v>345</v>
      </c>
      <c r="B246" s="632"/>
      <c r="C246" s="632"/>
      <c r="D246" s="632"/>
    </row>
    <row r="247" spans="1:7" ht="92.45">
      <c r="A247" s="646" t="s">
        <v>346</v>
      </c>
      <c r="B247" s="759">
        <v>-35</v>
      </c>
      <c r="C247" s="632"/>
      <c r="D247" s="759">
        <v>-61</v>
      </c>
    </row>
    <row r="248" spans="1:7" ht="79.150000000000006">
      <c r="A248" s="646" t="s">
        <v>347</v>
      </c>
      <c r="B248" s="759">
        <v>-136</v>
      </c>
      <c r="C248" s="759"/>
      <c r="D248" s="759">
        <v>-187</v>
      </c>
    </row>
    <row r="249" spans="1:7" ht="26.45">
      <c r="A249" s="646" t="s">
        <v>348</v>
      </c>
      <c r="B249" s="759">
        <v>-6</v>
      </c>
      <c r="C249" s="632"/>
      <c r="D249" s="759">
        <v>-3</v>
      </c>
    </row>
    <row r="250" spans="1:7" ht="66">
      <c r="A250" s="646" t="s">
        <v>349</v>
      </c>
      <c r="B250" s="759">
        <v>-137</v>
      </c>
      <c r="C250" s="759"/>
      <c r="D250" s="759">
        <v>-153</v>
      </c>
    </row>
    <row r="251" spans="1:7" ht="66">
      <c r="A251" s="646" t="s">
        <v>350</v>
      </c>
      <c r="B251" s="759">
        <v>-475</v>
      </c>
      <c r="C251" s="759"/>
      <c r="D251" s="759">
        <v>-463</v>
      </c>
    </row>
    <row r="252" spans="1:7">
      <c r="A252" s="646"/>
      <c r="B252" s="759"/>
      <c r="C252" s="759"/>
      <c r="D252" s="759"/>
    </row>
    <row r="253" spans="1:7" ht="26.45">
      <c r="A253" s="645" t="s">
        <v>351</v>
      </c>
      <c r="B253" s="632"/>
      <c r="C253" s="632"/>
      <c r="D253" s="632"/>
    </row>
    <row r="254" spans="1:7" ht="79.150000000000006">
      <c r="A254" s="646" t="s">
        <v>352</v>
      </c>
      <c r="B254" s="759">
        <v>161</v>
      </c>
      <c r="C254" s="759"/>
      <c r="D254" s="759">
        <v>57</v>
      </c>
    </row>
    <row r="255" spans="1:7" ht="66">
      <c r="A255" s="646" t="s">
        <v>353</v>
      </c>
      <c r="B255" s="759">
        <v>602</v>
      </c>
      <c r="C255" s="759"/>
      <c r="D255" s="759">
        <v>581</v>
      </c>
    </row>
    <row r="256" spans="1:7">
      <c r="A256" s="645"/>
      <c r="B256" s="1066"/>
      <c r="C256" s="1066"/>
      <c r="D256" s="1066"/>
    </row>
    <row r="257" spans="1:8" ht="92.45">
      <c r="A257" s="645" t="s">
        <v>354</v>
      </c>
      <c r="B257" s="1066"/>
      <c r="C257" s="1066"/>
      <c r="D257" s="1066"/>
    </row>
    <row r="258" spans="1:8" ht="92.45">
      <c r="A258" s="646" t="s">
        <v>355</v>
      </c>
      <c r="B258" s="759">
        <v>-61</v>
      </c>
      <c r="C258" s="632"/>
      <c r="D258" s="639">
        <v>1376</v>
      </c>
    </row>
    <row r="259" spans="1:8" ht="92.45">
      <c r="A259" s="645" t="s">
        <v>356</v>
      </c>
      <c r="B259" s="759"/>
      <c r="C259" s="759"/>
      <c r="D259" s="759"/>
    </row>
    <row r="260" spans="1:8" ht="52.9">
      <c r="A260" s="646" t="s">
        <v>357</v>
      </c>
      <c r="B260" s="759">
        <v>12</v>
      </c>
      <c r="C260" s="632"/>
      <c r="D260" s="759">
        <v>12</v>
      </c>
    </row>
    <row r="261" spans="1:8" ht="27" thickBot="1">
      <c r="A261" s="646" t="s">
        <v>358</v>
      </c>
      <c r="B261" s="759">
        <v>104</v>
      </c>
      <c r="C261" s="632"/>
      <c r="D261" s="759">
        <v>236</v>
      </c>
    </row>
    <row r="262" spans="1:8" ht="93" thickBot="1">
      <c r="A262" s="645" t="s">
        <v>359</v>
      </c>
      <c r="B262" s="848">
        <v>259</v>
      </c>
      <c r="C262" s="632"/>
      <c r="D262" s="847">
        <v>-2961</v>
      </c>
    </row>
    <row r="263" spans="1:8" ht="15" thickTop="1">
      <c r="A263" s="827"/>
      <c r="B263" s="632"/>
      <c r="C263" s="632"/>
      <c r="D263" s="632"/>
    </row>
    <row r="264" spans="1:8" ht="15" thickBot="1">
      <c r="A264" s="827"/>
      <c r="B264" s="632"/>
      <c r="C264" s="632"/>
      <c r="D264" s="632"/>
    </row>
    <row r="265" spans="1:8" ht="27" thickBot="1">
      <c r="A265" s="645" t="s">
        <v>360</v>
      </c>
      <c r="B265" s="1008" t="s">
        <v>361</v>
      </c>
      <c r="C265" s="632"/>
      <c r="D265" s="849">
        <v>0.23130000000000001</v>
      </c>
    </row>
    <row r="266" spans="1:8" ht="15" thickTop="1"/>
    <row r="267" spans="1:8" ht="15" thickBot="1"/>
    <row r="268" spans="1:8" ht="15" thickBot="1">
      <c r="A268" s="854" t="s">
        <v>213</v>
      </c>
      <c r="B268" s="855" t="s">
        <v>362</v>
      </c>
      <c r="C268" s="855" t="s">
        <v>363</v>
      </c>
      <c r="D268" s="855" t="s">
        <v>364</v>
      </c>
    </row>
    <row r="269" spans="1:8" ht="15" thickBot="1">
      <c r="A269" s="856" t="s">
        <v>365</v>
      </c>
      <c r="B269" s="857">
        <v>59753</v>
      </c>
      <c r="C269" s="857">
        <v>59762</v>
      </c>
      <c r="D269" s="858">
        <v>-9</v>
      </c>
    </row>
    <row r="270" spans="1:8" ht="15" thickBot="1">
      <c r="A270" s="856" t="s">
        <v>366</v>
      </c>
      <c r="B270" s="857">
        <v>30089</v>
      </c>
      <c r="C270" s="857">
        <v>30113</v>
      </c>
      <c r="D270" s="858">
        <v>-24</v>
      </c>
    </row>
    <row r="271" spans="1:8" ht="15" thickBot="1">
      <c r="A271" s="859" t="s">
        <v>367</v>
      </c>
      <c r="B271" s="860">
        <f>SUM(B269:B270)</f>
        <v>89842</v>
      </c>
      <c r="C271" s="860">
        <f>SUM(C269:C270)</f>
        <v>89875</v>
      </c>
      <c r="D271" s="860">
        <f>SUM(D269:D270)</f>
        <v>-33</v>
      </c>
      <c r="F271" s="860">
        <v>89842</v>
      </c>
      <c r="G271" s="860">
        <v>89875</v>
      </c>
      <c r="H271" s="1009">
        <v>-33</v>
      </c>
    </row>
    <row r="272" spans="1:8" ht="15" thickBot="1">
      <c r="A272" s="856" t="s">
        <v>368</v>
      </c>
      <c r="B272" s="857">
        <v>32972</v>
      </c>
      <c r="C272" s="857">
        <v>34736</v>
      </c>
      <c r="D272" s="857">
        <v>-1764</v>
      </c>
    </row>
    <row r="273" spans="1:8" ht="15" thickBot="1">
      <c r="A273" s="856" t="s">
        <v>369</v>
      </c>
      <c r="B273" s="857">
        <v>23510</v>
      </c>
      <c r="C273" s="857">
        <v>23510</v>
      </c>
      <c r="D273" s="858" t="s">
        <v>370</v>
      </c>
    </row>
    <row r="274" spans="1:8" ht="15" thickBot="1">
      <c r="A274" s="856" t="s">
        <v>371</v>
      </c>
      <c r="B274" s="857">
        <v>33360</v>
      </c>
      <c r="C274" s="857">
        <v>31629</v>
      </c>
      <c r="D274" s="857">
        <v>1731</v>
      </c>
    </row>
    <row r="275" spans="1:8" ht="15" thickBot="1">
      <c r="A275" s="859" t="s">
        <v>372</v>
      </c>
      <c r="B275" s="860">
        <f>SUM(B272:B274)</f>
        <v>89842</v>
      </c>
      <c r="C275" s="860">
        <f>SUM(C272:C274)</f>
        <v>89875</v>
      </c>
      <c r="D275" s="860">
        <f>SUM(D272:D274)</f>
        <v>-33</v>
      </c>
      <c r="F275" s="860">
        <v>88842</v>
      </c>
      <c r="G275" s="860">
        <v>89875</v>
      </c>
      <c r="H275" s="863">
        <v>-33</v>
      </c>
    </row>
    <row r="276" spans="1:8" ht="16.149999999999999" thickBot="1">
      <c r="A276" s="663"/>
    </row>
    <row r="277" spans="1:8" ht="15" thickBot="1">
      <c r="A277" s="861" t="s">
        <v>213</v>
      </c>
      <c r="B277" s="862" t="s">
        <v>362</v>
      </c>
      <c r="C277" s="862" t="s">
        <v>363</v>
      </c>
      <c r="D277" s="862" t="s">
        <v>364</v>
      </c>
    </row>
    <row r="278" spans="1:8" ht="15" thickBot="1">
      <c r="A278" s="856" t="s">
        <v>73</v>
      </c>
      <c r="B278" s="858">
        <v>15</v>
      </c>
      <c r="C278" s="857">
        <v>1019</v>
      </c>
      <c r="D278" s="857">
        <v>-1004</v>
      </c>
    </row>
    <row r="279" spans="1:8" ht="15" thickBot="1">
      <c r="A279" s="856" t="s">
        <v>373</v>
      </c>
      <c r="B279" s="857">
        <v>2331</v>
      </c>
      <c r="C279" s="857">
        <v>2737</v>
      </c>
      <c r="D279" s="858">
        <v>-406</v>
      </c>
    </row>
    <row r="280" spans="1:8" ht="15" thickBot="1">
      <c r="A280" s="856" t="s">
        <v>374</v>
      </c>
      <c r="B280" s="857">
        <v>27711</v>
      </c>
      <c r="C280" s="857">
        <v>28142</v>
      </c>
      <c r="D280" s="858">
        <v>-431</v>
      </c>
    </row>
    <row r="281" spans="1:8" ht="15" thickBot="1">
      <c r="A281" s="856" t="s">
        <v>375</v>
      </c>
      <c r="B281" s="857">
        <v>2915</v>
      </c>
      <c r="C281" s="857">
        <v>2838</v>
      </c>
      <c r="D281" s="858">
        <v>77</v>
      </c>
    </row>
    <row r="282" spans="1:8" ht="15" thickBot="1">
      <c r="A282" s="859" t="s">
        <v>118</v>
      </c>
      <c r="B282" s="860">
        <f>SUM(B278:B281)</f>
        <v>32972</v>
      </c>
      <c r="C282" s="860">
        <f>SUM(C278:C281)</f>
        <v>34736</v>
      </c>
      <c r="D282" s="860">
        <f>SUM(D278:D281)</f>
        <v>-1764</v>
      </c>
    </row>
    <row r="283" spans="1:8">
      <c r="A283" s="728"/>
    </row>
    <row r="284" spans="1:8" ht="15" thickBot="1">
      <c r="B284" s="860">
        <v>32972</v>
      </c>
      <c r="C284" s="860">
        <v>34736</v>
      </c>
      <c r="D284" s="860">
        <v>-1764</v>
      </c>
    </row>
  </sheetData>
  <mergeCells count="17">
    <mergeCell ref="B107:C107"/>
    <mergeCell ref="B72:B73"/>
    <mergeCell ref="D82:D83"/>
    <mergeCell ref="E82:E83"/>
    <mergeCell ref="B105:C105"/>
    <mergeCell ref="B106:C106"/>
    <mergeCell ref="B108:C108"/>
    <mergeCell ref="B109:C109"/>
    <mergeCell ref="B110:C110"/>
    <mergeCell ref="B112:C112"/>
    <mergeCell ref="B113:C113"/>
    <mergeCell ref="B114:C114"/>
    <mergeCell ref="B224:C224"/>
    <mergeCell ref="D224:E224"/>
    <mergeCell ref="B256:B257"/>
    <mergeCell ref="C256:C257"/>
    <mergeCell ref="D256:D257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2:I464"/>
  <sheetViews>
    <sheetView showGridLines="0" topLeftCell="A330" zoomScale="115" zoomScaleNormal="115" workbookViewId="0">
      <selection activeCell="E343" sqref="E343"/>
    </sheetView>
  </sheetViews>
  <sheetFormatPr defaultColWidth="9.140625" defaultRowHeight="15.6"/>
  <cols>
    <col min="1" max="1" width="44.42578125" style="399" customWidth="1"/>
    <col min="2" max="2" width="19.85546875" style="399" customWidth="1"/>
    <col min="3" max="3" width="17.28515625" style="399" bestFit="1" customWidth="1"/>
    <col min="4" max="4" width="15.140625" style="399" customWidth="1"/>
    <col min="5" max="5" width="15.5703125" style="399" bestFit="1" customWidth="1"/>
    <col min="6" max="6" width="16" style="399" customWidth="1"/>
    <col min="7" max="7" width="17.42578125" style="399" bestFit="1" customWidth="1"/>
    <col min="8" max="8" width="17.7109375" style="399" customWidth="1"/>
    <col min="9" max="9" width="10.140625" style="399" bestFit="1" customWidth="1"/>
    <col min="10" max="10" width="12.28515625" style="399" customWidth="1"/>
    <col min="11" max="11" width="16.5703125" style="399" customWidth="1"/>
    <col min="12" max="16384" width="9.140625" style="399"/>
  </cols>
  <sheetData>
    <row r="2" spans="1:4" ht="16.149999999999999" thickBot="1">
      <c r="A2" s="398" t="s">
        <v>376</v>
      </c>
      <c r="B2" s="571"/>
      <c r="C2" s="571"/>
      <c r="D2" s="571"/>
    </row>
    <row r="3" spans="1:4" ht="16.149999999999999" thickBot="1">
      <c r="A3" s="400" t="s">
        <v>377</v>
      </c>
      <c r="B3" s="401">
        <f>BP!F7</f>
        <v>46203</v>
      </c>
      <c r="C3" s="402"/>
      <c r="D3" s="403">
        <f>BP!H7</f>
        <v>46022</v>
      </c>
    </row>
    <row r="4" spans="1:4">
      <c r="A4" s="404" t="s">
        <v>378</v>
      </c>
      <c r="B4" s="405"/>
      <c r="C4" s="406"/>
      <c r="D4" s="407"/>
    </row>
    <row r="5" spans="1:4" ht="16.149999999999999" thickBot="1">
      <c r="A5" s="408" t="s">
        <v>379</v>
      </c>
      <c r="B5" s="335">
        <f>SUMIF('Balancete 06.2026'!C:C,111,'Balancete 06.2026'!K:K)</f>
        <v>33419</v>
      </c>
      <c r="C5" s="571"/>
      <c r="D5" s="1184">
        <f>SUMIF('Balancete 06.2026'!C:C,111,'Balancete 06.2026'!E:E)/1000</f>
        <v>44516.806909999999</v>
      </c>
    </row>
    <row r="6" spans="1:4" ht="16.149999999999999" thickBot="1">
      <c r="A6" s="1185"/>
      <c r="B6" s="409">
        <f>SUM(B5)</f>
        <v>33419</v>
      </c>
      <c r="C6" s="571"/>
      <c r="D6" s="410">
        <f>SUM(D5)</f>
        <v>44516.806909999999</v>
      </c>
    </row>
    <row r="7" spans="1:4">
      <c r="A7" s="411" t="s">
        <v>380</v>
      </c>
      <c r="B7" s="1186">
        <f>B6-B5</f>
        <v>0</v>
      </c>
      <c r="C7" s="571"/>
      <c r="D7" s="413">
        <f>D6-D5</f>
        <v>0</v>
      </c>
    </row>
    <row r="8" spans="1:4">
      <c r="A8" s="411" t="s">
        <v>381</v>
      </c>
      <c r="B8" s="1186">
        <f>BP!F11-NE!B5</f>
        <v>0</v>
      </c>
      <c r="C8" s="414"/>
      <c r="D8" s="413">
        <f>BP!H11-NE!D5</f>
        <v>0.1930900000006659</v>
      </c>
    </row>
    <row r="9" spans="1:4">
      <c r="A9" s="1185"/>
      <c r="B9" s="414"/>
      <c r="C9" s="414"/>
      <c r="D9" s="415"/>
    </row>
    <row r="10" spans="1:4">
      <c r="A10" s="584" t="s">
        <v>382</v>
      </c>
      <c r="B10" s="571"/>
      <c r="C10" s="571"/>
      <c r="D10" s="889"/>
    </row>
    <row r="11" spans="1:4">
      <c r="A11" s="404" t="s">
        <v>378</v>
      </c>
      <c r="B11" s="585"/>
      <c r="C11" s="885"/>
      <c r="D11" s="1187"/>
    </row>
    <row r="12" spans="1:4">
      <c r="A12" s="408" t="s">
        <v>383</v>
      </c>
      <c r="B12" s="335">
        <f>-SUMIF('Balancete 06.2026'!C:C,2114,'Balancete 06.2026'!K:K)</f>
        <v>1165</v>
      </c>
      <c r="C12" s="571"/>
      <c r="D12" s="1188">
        <f>-SUMIF('Balancete 06.2026'!C:C,2114,'Balancete 06.2026'!E:E)/1000</f>
        <v>196.02360999999999</v>
      </c>
    </row>
    <row r="13" spans="1:4" ht="16.149999999999999" thickBot="1">
      <c r="A13" s="408" t="s">
        <v>384</v>
      </c>
      <c r="B13" s="335">
        <f>-SUMIF('Balancete 06.2026'!C:C,21116,'Balancete 06.2026'!K:K)-SUMIF('Balancete 06.2026'!C:C,2218,'Balancete 06.2026'!K:K)</f>
        <v>13511</v>
      </c>
      <c r="C13" s="571"/>
      <c r="D13" s="1188">
        <f>-SUMIF('Balancete 06.2026'!C:C,21116,'Balancete 06.2026'!E:E)/1000-SUMIF('Balancete 06.2026'!C:C,2218,'Balancete 06.2026'!E:E)/1000</f>
        <v>15021.096529999999</v>
      </c>
    </row>
    <row r="14" spans="1:4" ht="16.149999999999999" thickBot="1">
      <c r="A14" s="1185"/>
      <c r="B14" s="409">
        <f>SUM(B12:B13)</f>
        <v>14676</v>
      </c>
      <c r="C14" s="571"/>
      <c r="D14" s="416">
        <f>SUM(D12:D13)</f>
        <v>15217.120139999999</v>
      </c>
    </row>
    <row r="15" spans="1:4">
      <c r="A15" s="411" t="s">
        <v>385</v>
      </c>
      <c r="B15" s="1186">
        <f>B14-B12-B13</f>
        <v>0</v>
      </c>
      <c r="C15" s="571"/>
      <c r="D15" s="1189">
        <f>D14-D12-D13</f>
        <v>0</v>
      </c>
    </row>
    <row r="16" spans="1:4" ht="16.149999999999999" thickBot="1">
      <c r="A16" s="417" t="s">
        <v>381</v>
      </c>
      <c r="B16" s="1190">
        <f>BP!F32+B13-NE!B12-BP!F38-BP!F43</f>
        <v>0</v>
      </c>
      <c r="C16" s="1191"/>
      <c r="D16" s="1192">
        <f>D14-BP!H43-BP!H38-BP!H32</f>
        <v>0.12013999999908265</v>
      </c>
    </row>
    <row r="18" spans="1:5" ht="16.149999999999999" thickBot="1">
      <c r="A18" s="398" t="s">
        <v>386</v>
      </c>
      <c r="B18" s="571"/>
      <c r="C18" s="571"/>
      <c r="D18" s="571"/>
      <c r="E18" s="571"/>
    </row>
    <row r="19" spans="1:5">
      <c r="A19" s="418" t="s">
        <v>213</v>
      </c>
      <c r="B19" s="419"/>
      <c r="C19" s="420">
        <f>BP!F7</f>
        <v>46203</v>
      </c>
      <c r="D19" s="419"/>
      <c r="E19" s="421">
        <f>BP!H7</f>
        <v>46022</v>
      </c>
    </row>
    <row r="20" spans="1:5">
      <c r="A20" s="1185" t="s">
        <v>387</v>
      </c>
      <c r="B20" s="571"/>
      <c r="C20" s="1193">
        <v>13646</v>
      </c>
      <c r="D20" s="1193"/>
      <c r="E20" s="1194">
        <f>ROUND(7061430.6/1000,0)</f>
        <v>7061</v>
      </c>
    </row>
    <row r="21" spans="1:5">
      <c r="A21" s="1185" t="s">
        <v>216</v>
      </c>
      <c r="B21" s="571"/>
      <c r="C21" s="1193">
        <v>19773</v>
      </c>
      <c r="D21" s="1193"/>
      <c r="E21" s="1194">
        <v>37456</v>
      </c>
    </row>
    <row r="22" spans="1:5">
      <c r="A22" s="1185" t="s">
        <v>118</v>
      </c>
      <c r="B22" s="571"/>
      <c r="C22" s="422">
        <f>SUM(C20:C21)</f>
        <v>33419</v>
      </c>
      <c r="D22" s="422"/>
      <c r="E22" s="891">
        <f>SUM(E20:E21)</f>
        <v>44517</v>
      </c>
    </row>
    <row r="23" spans="1:5">
      <c r="A23" s="1185"/>
      <c r="B23" s="423" t="s">
        <v>380</v>
      </c>
      <c r="C23" s="1186">
        <f>SUM(C20,C21)-C22</f>
        <v>0</v>
      </c>
      <c r="D23" s="1186"/>
      <c r="E23" s="1195">
        <f>SUM(E20,E21)-E22</f>
        <v>0</v>
      </c>
    </row>
    <row r="24" spans="1:5" ht="16.149999999999999" thickBot="1">
      <c r="A24" s="1196"/>
      <c r="B24" s="424" t="s">
        <v>381</v>
      </c>
      <c r="C24" s="1197">
        <f>BP!F11-NE!C22</f>
        <v>0</v>
      </c>
      <c r="D24" s="1197"/>
      <c r="E24" s="1198">
        <f>BP!H11-E22</f>
        <v>0</v>
      </c>
    </row>
    <row r="26" spans="1:5" ht="16.149999999999999" thickBot="1">
      <c r="A26" s="398" t="s">
        <v>388</v>
      </c>
      <c r="B26" s="571"/>
      <c r="C26" s="571"/>
      <c r="D26" s="571"/>
      <c r="E26" s="571"/>
    </row>
    <row r="27" spans="1:5" ht="16.149999999999999" thickBot="1">
      <c r="A27" s="425" t="s">
        <v>213</v>
      </c>
      <c r="B27" s="426"/>
      <c r="C27" s="427">
        <f>BP!F7</f>
        <v>46203</v>
      </c>
      <c r="D27" s="427"/>
      <c r="E27" s="403">
        <f>BP!H7</f>
        <v>46022</v>
      </c>
    </row>
    <row r="28" spans="1:5">
      <c r="A28" s="333" t="s">
        <v>217</v>
      </c>
      <c r="B28" s="334"/>
      <c r="C28" s="335">
        <f>SUMIF('Balancete 06.2026'!C:C,12139,'Balancete 06.2026'!K:K)+SUMIF('Balancete 06.2026'!C:C,11239,'Balancete 06.2026'!K:K)</f>
        <v>2</v>
      </c>
      <c r="D28" s="1199"/>
      <c r="E28" s="1188">
        <f>ROUND(SUMIF('Balancete 06.2026'!C:C,12139,'Balancete 06.2026'!E:E)/1000,0)</f>
        <v>2</v>
      </c>
    </row>
    <row r="29" spans="1:5" hidden="1">
      <c r="A29" s="333" t="s">
        <v>389</v>
      </c>
      <c r="B29" s="334"/>
      <c r="C29" s="335">
        <f>SUMIF('Balancete 06.2026'!C:C,112316,'Balancete 06.2026'!K:K)</f>
        <v>0</v>
      </c>
      <c r="D29" s="1199"/>
      <c r="E29" s="1188">
        <v>0</v>
      </c>
    </row>
    <row r="30" spans="1:5" hidden="1">
      <c r="A30" s="333" t="s">
        <v>390</v>
      </c>
      <c r="B30" s="334"/>
      <c r="C30" s="335">
        <f>SUMIF('Balancete 06.2026'!C:C,112317,'Balancete 06.2026'!K:K)</f>
        <v>0</v>
      </c>
      <c r="D30" s="1199"/>
      <c r="E30" s="1188">
        <v>0</v>
      </c>
    </row>
    <row r="31" spans="1:5">
      <c r="A31" s="333" t="s">
        <v>218</v>
      </c>
      <c r="B31" s="334"/>
      <c r="C31" s="335">
        <f>SUMIF('Balancete 06.2026'!C:C,112342,'Balancete 06.2026'!K:K)</f>
        <v>191</v>
      </c>
      <c r="D31" s="1199"/>
      <c r="E31" s="1188">
        <f>ROUND(SUMIF('Balancete 06.2026'!C:C,112316,'Balancete 06.2026'!E:E)/1000,0)</f>
        <v>179</v>
      </c>
    </row>
    <row r="32" spans="1:5">
      <c r="A32" s="333" t="s">
        <v>219</v>
      </c>
      <c r="B32" s="334"/>
      <c r="C32" s="335">
        <f>SUMIF('Balancete 06.2026'!C:C,112343,'Balancete 06.2026'!K:K)</f>
        <v>71</v>
      </c>
      <c r="D32" s="1199"/>
      <c r="E32" s="1188">
        <f>ROUND(SUMIF('Balancete 06.2026'!C:C,112317,'Balancete 06.2026'!E:E)/1000,0)</f>
        <v>67</v>
      </c>
    </row>
    <row r="33" spans="1:6">
      <c r="A33" s="333" t="s">
        <v>220</v>
      </c>
      <c r="B33" s="334"/>
      <c r="C33" s="335">
        <f>SUMIF('Balancete 06.2026'!C:C,121320,'Balancete 06.2026'!K:K)</f>
        <v>683</v>
      </c>
      <c r="D33" s="1199"/>
      <c r="E33" s="1188">
        <f>ROUND(SUMIF('Balancete 06.2026'!C:C,112340,'Balancete 06.2026'!E:E)/1000,0)</f>
        <v>645</v>
      </c>
      <c r="F33" s="571"/>
    </row>
    <row r="34" spans="1:6">
      <c r="A34" s="333" t="s">
        <v>221</v>
      </c>
      <c r="B34" s="334"/>
      <c r="C34" s="335">
        <f>SUMIF('Balancete 06.2026'!C:C,121321,'Balancete 06.2026'!K:K)</f>
        <v>231</v>
      </c>
      <c r="D34" s="1199"/>
      <c r="E34" s="1188">
        <f>ROUND(SUMIF('Balancete 06.2026'!C:C,112341,'Balancete 06.2026'!E:E)/1000,0)</f>
        <v>219</v>
      </c>
      <c r="F34" s="571"/>
    </row>
    <row r="35" spans="1:6">
      <c r="A35" s="333" t="s">
        <v>222</v>
      </c>
      <c r="B35" s="334"/>
      <c r="C35" s="335">
        <f>SUMIF('Balancete 06.2026'!C:C,121318,'Balancete 06.2026'!K:K)</f>
        <v>693</v>
      </c>
      <c r="D35" s="1199"/>
      <c r="E35" s="1188">
        <v>890</v>
      </c>
      <c r="F35" s="571"/>
    </row>
    <row r="36" spans="1:6">
      <c r="A36" s="333" t="s">
        <v>223</v>
      </c>
      <c r="B36" s="334"/>
      <c r="C36" s="335">
        <f>SUMIF('Balancete 06.2026'!C:C,121319,'Balancete 06.2026'!K:K)</f>
        <v>438</v>
      </c>
      <c r="D36" s="1199"/>
      <c r="E36" s="1188">
        <v>415</v>
      </c>
      <c r="F36" s="571"/>
    </row>
    <row r="37" spans="1:6">
      <c r="A37" s="333" t="s">
        <v>224</v>
      </c>
      <c r="B37" s="334"/>
      <c r="C37" s="335">
        <f>SUMIF('Balancete 06.2026'!C:C,121315,'Balancete 06.2026'!K:K)</f>
        <v>0</v>
      </c>
      <c r="D37" s="1199"/>
      <c r="E37" s="1188">
        <f>ROUND(SUMIF('Balancete 06.2026'!C:C,121315,'Balancete 06.2026'!E:E)/1000,0)</f>
        <v>143</v>
      </c>
      <c r="F37" s="571"/>
    </row>
    <row r="38" spans="1:6">
      <c r="A38" s="333" t="s">
        <v>225</v>
      </c>
      <c r="B38" s="334"/>
      <c r="C38" s="335">
        <f>SUMIF('Balancete 06.2026'!C:C,121313,'Balancete 06.2026'!K:K)</f>
        <v>241</v>
      </c>
      <c r="D38" s="1199"/>
      <c r="E38" s="1188">
        <f>ROUND(SUMIF('Balancete 06.2026'!C:C,121313,'Balancete 06.2026'!E:E)/1000,0)</f>
        <v>231</v>
      </c>
      <c r="F38" s="571"/>
    </row>
    <row r="39" spans="1:6">
      <c r="A39" s="333" t="s">
        <v>391</v>
      </c>
      <c r="B39" s="334"/>
      <c r="C39" s="335">
        <f>SUMIF('Balancete 06.2026'!C:C,12131,'Balancete 06.2026'!K:K)</f>
        <v>29</v>
      </c>
      <c r="D39" s="1199"/>
      <c r="E39" s="1188">
        <f>ROUND(SUMIF('Balancete 06.2026'!C:C,12131,'Balancete 06.2026'!E:E)/1000,0)</f>
        <v>28</v>
      </c>
      <c r="F39" s="571"/>
    </row>
    <row r="40" spans="1:6" ht="31.15">
      <c r="A40" s="333" t="s">
        <v>238</v>
      </c>
      <c r="B40" s="334"/>
      <c r="C40" s="335">
        <f>SUMIF('Balancete 06.2026'!C:C,12135,'Balancete 06.2026'!K:K)</f>
        <v>188</v>
      </c>
      <c r="D40" s="1199"/>
      <c r="E40" s="1188">
        <f>ROUND(SUMIF('Balancete 06.2026'!C:C,12135,'Balancete 06.2026'!E:E)/1000,0)</f>
        <v>180</v>
      </c>
      <c r="F40" s="571"/>
    </row>
    <row r="41" spans="1:6">
      <c r="A41" s="333" t="s">
        <v>392</v>
      </c>
      <c r="B41" s="334"/>
      <c r="C41" s="335">
        <f>SUMIF('Balancete 06.2026'!C:C,121317,'Balancete 06.2026'!K:K)+SUMIF('Balancete 06.2026'!C:C,112334,'Balancete 06.2026'!K:K)</f>
        <v>2</v>
      </c>
      <c r="D41" s="1199"/>
      <c r="E41" s="1188">
        <f>ROUND(SUMIF('Balancete 06.2026'!C:C,121317,'Balancete 06.2026'!E:E)/1000,0)</f>
        <v>2</v>
      </c>
      <c r="F41" s="571"/>
    </row>
    <row r="42" spans="1:6">
      <c r="A42" s="333" t="s">
        <v>393</v>
      </c>
      <c r="B42" s="334"/>
      <c r="C42" s="335">
        <f>SUMIF('Balancete 06.2026'!C:C,121311,'Balancete 06.2026'!K:K)</f>
        <v>5</v>
      </c>
      <c r="D42" s="1199"/>
      <c r="E42" s="1188">
        <f>ROUND(SUMIF('Balancete 06.2026'!C:C,121311,'Balancete 06.2026'!E:E)/1000,0)</f>
        <v>5</v>
      </c>
      <c r="F42" s="571"/>
    </row>
    <row r="43" spans="1:6">
      <c r="A43" s="333" t="s">
        <v>239</v>
      </c>
      <c r="B43" s="334"/>
      <c r="C43" s="335">
        <f>SUMIF('Balancete 06.2026'!C:C,121316,'Balancete 06.2026'!K:K)</f>
        <v>1167</v>
      </c>
      <c r="D43" s="1199"/>
      <c r="E43" s="1188">
        <f>ROUND(SUMIF('Balancete 06.2026'!C:C,121316,'Balancete 06.2026'!E:E)/1000,0)-1</f>
        <v>1110</v>
      </c>
      <c r="F43" s="1200"/>
    </row>
    <row r="44" spans="1:6" ht="15.6" hidden="1" customHeight="1">
      <c r="A44" s="333" t="s">
        <v>394</v>
      </c>
      <c r="B44" s="334"/>
      <c r="C44" s="335">
        <f>SUMIF('Balancete 06.2026'!C:C,112327,'Balancete 06.2026'!K:K)</f>
        <v>0</v>
      </c>
      <c r="D44" s="1199"/>
      <c r="E44" s="1188">
        <f>SUMIF('Balancete 06.2026'!C:C,112333,'Balancete 06.2026'!E:E)/1000</f>
        <v>0</v>
      </c>
      <c r="F44" s="571"/>
    </row>
    <row r="45" spans="1:6" hidden="1">
      <c r="A45" s="333" t="s">
        <v>395</v>
      </c>
      <c r="B45" s="334"/>
      <c r="C45" s="335">
        <f>SUMIF('Balancete 06.2026'!C:C,112337,'Balancete 06.2026'!K:K)</f>
        <v>0</v>
      </c>
      <c r="D45" s="1199"/>
      <c r="E45" s="1188">
        <f>SUMIF('Balancete 06.2026'!C:C,112337,'Balancete 06.2026'!E:E)/1000</f>
        <v>0</v>
      </c>
      <c r="F45" s="571"/>
    </row>
    <row r="46" spans="1:6" ht="16.149999999999999" thickBot="1">
      <c r="A46" s="333" t="s">
        <v>396</v>
      </c>
      <c r="B46" s="334"/>
      <c r="C46" s="335">
        <f>SUMIF('Balancete 06.2026'!C:C,12134,'Balancete 06.2026'!K:K)</f>
        <v>5</v>
      </c>
      <c r="D46" s="1199"/>
      <c r="E46" s="1188">
        <f>ROUND(SUMIF('Balancete 06.2026'!C:C,12134,'Balancete 06.2026'!E:E)/1000,0)</f>
        <v>5</v>
      </c>
      <c r="F46" s="571"/>
    </row>
    <row r="47" spans="1:6" ht="16.149999999999999" hidden="1" thickBot="1">
      <c r="A47" s="333" t="s">
        <v>232</v>
      </c>
      <c r="B47" s="334"/>
      <c r="C47" s="335">
        <v>0</v>
      </c>
      <c r="D47" s="1199"/>
      <c r="E47" s="1188">
        <f>SUMIF('Balancete 06.2026'!C:C,112310,'Balancete 06.2026'!E:E)/1000-1</f>
        <v>-0.40184000000000009</v>
      </c>
      <c r="F47" s="571"/>
    </row>
    <row r="48" spans="1:6" ht="16.149999999999999" thickBot="1">
      <c r="A48" s="425" t="s">
        <v>248</v>
      </c>
      <c r="B48" s="1201"/>
      <c r="C48" s="428">
        <f>SUM(C28:C47)</f>
        <v>3946</v>
      </c>
      <c r="D48" s="428"/>
      <c r="E48" s="429">
        <f>SUM(E28:E47)</f>
        <v>4120.5981599999996</v>
      </c>
      <c r="F48" s="1200"/>
    </row>
    <row r="49" spans="1:6">
      <c r="A49" s="1185"/>
      <c r="B49" s="423" t="s">
        <v>385</v>
      </c>
      <c r="C49" s="1200">
        <f>SUM(C28:C47)-C48</f>
        <v>0</v>
      </c>
      <c r="D49" s="1200"/>
      <c r="E49" s="1189">
        <f>SUM(E28:E47)-E48</f>
        <v>0</v>
      </c>
      <c r="F49" s="571"/>
    </row>
    <row r="50" spans="1:6">
      <c r="A50" s="1185"/>
      <c r="B50" s="423" t="s">
        <v>381</v>
      </c>
      <c r="C50" s="1200">
        <f>SUM(C70,C89)-C48</f>
        <v>0</v>
      </c>
      <c r="D50" s="1200"/>
      <c r="E50" s="1189">
        <f>SUM(E70,E89)-E48</f>
        <v>0.39055999999982305</v>
      </c>
      <c r="F50" s="571"/>
    </row>
    <row r="51" spans="1:6">
      <c r="A51" s="430" t="s">
        <v>233</v>
      </c>
      <c r="B51" s="571"/>
      <c r="C51" s="571"/>
      <c r="D51" s="571"/>
      <c r="E51" s="889"/>
      <c r="F51" s="571"/>
    </row>
    <row r="52" spans="1:6" ht="16.149999999999999" thickBot="1">
      <c r="A52" s="431" t="s">
        <v>213</v>
      </c>
      <c r="B52" s="432"/>
      <c r="C52" s="433">
        <f>B3</f>
        <v>46203</v>
      </c>
      <c r="D52" s="433"/>
      <c r="E52" s="434">
        <f>D3</f>
        <v>46022</v>
      </c>
      <c r="F52" s="571"/>
    </row>
    <row r="53" spans="1:6" hidden="1">
      <c r="A53" s="333" t="s">
        <v>217</v>
      </c>
      <c r="B53" s="334"/>
      <c r="C53" s="335">
        <f>SUMIF('Balancete 06.2026'!C:C,11239,'Balancete 06.2026'!K:K)</f>
        <v>0</v>
      </c>
      <c r="D53" s="1199"/>
      <c r="E53" s="1188">
        <f>SUMIF('Balancete 06.2026'!C:C,11239,'Balancete 06.2026'!E:E)/1000</f>
        <v>0</v>
      </c>
      <c r="F53" s="1200">
        <f>C53-C28+C79</f>
        <v>0</v>
      </c>
    </row>
    <row r="54" spans="1:6" hidden="1">
      <c r="A54" s="333" t="s">
        <v>239</v>
      </c>
      <c r="B54" s="334"/>
      <c r="C54" s="335">
        <f>SUMIF('Balancete 06.2026'!C:C,112323,'Balancete 06.2026'!K:K)</f>
        <v>0</v>
      </c>
      <c r="D54" s="1199"/>
      <c r="E54" s="1188">
        <f>SUMIF('Balancete 06.2026'!C:C,112323,'Balancete 06.2026'!E:E)/1000</f>
        <v>0</v>
      </c>
      <c r="F54" s="571"/>
    </row>
    <row r="55" spans="1:6" hidden="1">
      <c r="A55" s="333" t="s">
        <v>393</v>
      </c>
      <c r="B55" s="334"/>
      <c r="C55" s="335">
        <f>SUMIF('Balancete 06.2026'!C:C,112325,'Balancete 06.2026'!K:K)</f>
        <v>0</v>
      </c>
      <c r="D55" s="1199"/>
      <c r="E55" s="1188">
        <f>SUMIF('Balancete 06.2026'!C:C,112325,'Balancete 06.2026'!E:E)/1000</f>
        <v>0</v>
      </c>
      <c r="F55" s="571"/>
    </row>
    <row r="56" spans="1:6" hidden="1">
      <c r="A56" s="333" t="s">
        <v>225</v>
      </c>
      <c r="B56" s="334"/>
      <c r="C56" s="335">
        <f>SUMIF('Balancete 06.2026'!C:C,112332,'Balancete 06.2026'!K:K)</f>
        <v>0</v>
      </c>
      <c r="D56" s="1199"/>
      <c r="E56" s="1188">
        <f>SUMIF('Balancete 06.2026'!C:C,112332,'Balancete 06.2026'!E:E)/1000</f>
        <v>0</v>
      </c>
      <c r="F56" s="571"/>
    </row>
    <row r="57" spans="1:6" hidden="1">
      <c r="A57" s="333" t="s">
        <v>397</v>
      </c>
      <c r="B57" s="334"/>
      <c r="C57" s="335">
        <f>SUMIF('Balancete 06.2026'!C:C,112333,'Balancete 06.2026'!K:K)</f>
        <v>0</v>
      </c>
      <c r="D57" s="1199"/>
      <c r="E57" s="1188">
        <f>SUMIF('Balancete 06.2026'!C:C,112333,'Balancete 06.2026'!E:E)/1000</f>
        <v>0</v>
      </c>
      <c r="F57" s="571"/>
    </row>
    <row r="58" spans="1:6" hidden="1">
      <c r="A58" s="333" t="s">
        <v>392</v>
      </c>
      <c r="B58" s="334"/>
      <c r="C58" s="335">
        <f>SUMIF('Balancete 06.2026'!C:C,112334,'Balancete 06.2026'!K:K)</f>
        <v>0</v>
      </c>
      <c r="D58" s="1199"/>
      <c r="E58" s="1188">
        <f>SUMIF('Balancete 06.2026'!C:C,112334,'Balancete 06.2026'!E:E)/1000</f>
        <v>0</v>
      </c>
      <c r="F58" s="1200">
        <f>C58+C83-C41</f>
        <v>0</v>
      </c>
    </row>
    <row r="59" spans="1:6" hidden="1">
      <c r="A59" s="333" t="s">
        <v>224</v>
      </c>
      <c r="B59" s="334"/>
      <c r="C59" s="335">
        <f>SUMIF('Balancete 06.2026'!C:C,112336,'Balancete 06.2026'!K:K)</f>
        <v>0</v>
      </c>
      <c r="D59" s="1199"/>
      <c r="E59" s="1188">
        <f>SUMIF('Balancete 06.2026'!C:C,112336,'Balancete 06.2026'!E:E)/1000</f>
        <v>0</v>
      </c>
      <c r="F59" s="571"/>
    </row>
    <row r="60" spans="1:6" hidden="1">
      <c r="A60" s="333" t="s">
        <v>395</v>
      </c>
      <c r="B60" s="334"/>
      <c r="C60" s="335">
        <f>SUMIF('Balancete 06.2026'!C:C,112337,'Balancete 06.2026'!K:K)</f>
        <v>0</v>
      </c>
      <c r="D60" s="1199"/>
      <c r="E60" s="1188">
        <f>SUMIF('Balancete 06.2026'!C:C,112337,'Balancete 06.2026'!E:E)/1000</f>
        <v>0</v>
      </c>
      <c r="F60" s="571"/>
    </row>
    <row r="61" spans="1:6">
      <c r="A61" s="333" t="s">
        <v>389</v>
      </c>
      <c r="B61" s="334"/>
      <c r="C61" s="335">
        <f>SUMIF('Balancete 06.2026'!C:C,112316,'Balancete 06.2026'!K:K)</f>
        <v>0</v>
      </c>
      <c r="D61" s="1199"/>
      <c r="E61" s="1188">
        <f>SUMIF('Balancete 06.2026'!C:C,112316,'Balancete 06.2026'!E:E)/1000</f>
        <v>178.62971999999999</v>
      </c>
      <c r="F61" s="1200">
        <f>C61-C29</f>
        <v>0</v>
      </c>
    </row>
    <row r="62" spans="1:6">
      <c r="A62" s="333" t="s">
        <v>390</v>
      </c>
      <c r="B62" s="334"/>
      <c r="C62" s="335">
        <f>SUMIF('Balancete 06.2026'!C:C,112317,'Balancete 06.2026'!K:K)</f>
        <v>0</v>
      </c>
      <c r="D62" s="1199"/>
      <c r="E62" s="1188">
        <f>SUMIF('Balancete 06.2026'!C:C,112317,'Balancete 06.2026'!E:E)/1000+1</f>
        <v>67.625720000000001</v>
      </c>
      <c r="F62" s="1200">
        <f>C62-C30</f>
        <v>0</v>
      </c>
    </row>
    <row r="63" spans="1:6" hidden="1">
      <c r="A63" s="333" t="s">
        <v>222</v>
      </c>
      <c r="B63" s="334"/>
      <c r="C63" s="335">
        <f>SUMIF('Balancete 06.2026'!C:C,112338,'Balancete 06.2026'!K:K)</f>
        <v>0</v>
      </c>
      <c r="D63" s="1199"/>
      <c r="E63" s="1188">
        <f>SUMIF('Balancete 06.2026'!C:C,112338,'Balancete 06.2026'!E:E)/1000</f>
        <v>0</v>
      </c>
      <c r="F63" s="571"/>
    </row>
    <row r="64" spans="1:6" hidden="1">
      <c r="A64" s="333" t="s">
        <v>394</v>
      </c>
      <c r="B64" s="334"/>
      <c r="C64" s="335">
        <f>SUMIF('Balancete 06.2026'!C:C,112327,'Balancete 06.2026'!K:K)</f>
        <v>0</v>
      </c>
      <c r="D64" s="1199"/>
      <c r="E64" s="1188">
        <f>SUMIF('Balancete 06.2026'!C:C,112339,'Balancete 06.2026'!E:E)/1000</f>
        <v>0</v>
      </c>
      <c r="F64" s="1200">
        <f>C64-C44</f>
        <v>0</v>
      </c>
    </row>
    <row r="65" spans="1:6">
      <c r="A65" s="333" t="s">
        <v>220</v>
      </c>
      <c r="B65" s="334"/>
      <c r="C65" s="335">
        <f>SUMIF('Balancete 06.2026'!C:C,112340,'Balancete 06.2026'!K:K)</f>
        <v>0</v>
      </c>
      <c r="D65" s="1199"/>
      <c r="E65" s="1188">
        <f>SUMIF('Balancete 06.2026'!C:C,112340,'Balancete 06.2026'!E:E)/1000</f>
        <v>645.45695999999998</v>
      </c>
      <c r="F65" s="1200">
        <v>0</v>
      </c>
    </row>
    <row r="66" spans="1:6">
      <c r="A66" s="333" t="s">
        <v>221</v>
      </c>
      <c r="B66" s="334"/>
      <c r="C66" s="335">
        <f>SUMIF('Balancete 06.2026'!C:C,112341,'Balancete 06.2026'!K:K)</f>
        <v>0</v>
      </c>
      <c r="D66" s="1199"/>
      <c r="E66" s="1188">
        <f>SUMIF('Balancete 06.2026'!C:C,112341,'Balancete 06.2026'!E:E)/1000</f>
        <v>218.65564999999998</v>
      </c>
      <c r="F66" s="1200">
        <v>0</v>
      </c>
    </row>
    <row r="67" spans="1:6">
      <c r="A67" s="333" t="s">
        <v>218</v>
      </c>
      <c r="B67" s="334"/>
      <c r="C67" s="335">
        <f>SUMIF('Balancete 06.2026'!C:C,112342,'Balancete 06.2026'!K:K)</f>
        <v>191</v>
      </c>
      <c r="D67" s="1199"/>
      <c r="E67" s="1188">
        <v>0</v>
      </c>
      <c r="F67" s="1200">
        <f>C67-C31</f>
        <v>0</v>
      </c>
    </row>
    <row r="68" spans="1:6">
      <c r="A68" s="333" t="s">
        <v>219</v>
      </c>
      <c r="B68" s="334"/>
      <c r="C68" s="335">
        <f>SUMIF('Balancete 06.2026'!C:C,112343,'Balancete 06.2026'!K:K)</f>
        <v>71</v>
      </c>
      <c r="D68" s="1199"/>
      <c r="E68" s="1188">
        <v>0</v>
      </c>
      <c r="F68" s="1200">
        <f>C68-C32</f>
        <v>0</v>
      </c>
    </row>
    <row r="69" spans="1:6" hidden="1">
      <c r="A69" s="333" t="s">
        <v>232</v>
      </c>
      <c r="B69" s="334"/>
      <c r="C69" s="335">
        <v>0</v>
      </c>
      <c r="D69" s="1199"/>
      <c r="E69" s="1188">
        <f>SUMIF('Balancete 06.2026'!C:C,112310,'Balancete 06.2026'!E:E)/1000-1</f>
        <v>-0.40184000000000009</v>
      </c>
      <c r="F69" s="1200">
        <f>C69-C47</f>
        <v>0</v>
      </c>
    </row>
    <row r="70" spans="1:6" ht="16.149999999999999" thickBot="1">
      <c r="A70" s="431" t="s">
        <v>248</v>
      </c>
      <c r="B70" s="1202"/>
      <c r="C70" s="435">
        <f>SUM(C53:C69)</f>
        <v>262</v>
      </c>
      <c r="D70" s="435"/>
      <c r="E70" s="436">
        <f>SUM(E53:E69)</f>
        <v>1109.96621</v>
      </c>
      <c r="F70" s="571"/>
    </row>
    <row r="71" spans="1:6">
      <c r="A71" s="437"/>
      <c r="B71" s="438" t="s">
        <v>380</v>
      </c>
      <c r="C71" s="439">
        <f>SUM(C53:C69)-C70</f>
        <v>0</v>
      </c>
      <c r="D71" s="439"/>
      <c r="E71" s="440">
        <f>SUM(E53:E69)-E70</f>
        <v>0</v>
      </c>
      <c r="F71" s="571"/>
    </row>
    <row r="72" spans="1:6">
      <c r="A72" s="437"/>
      <c r="B72" s="438" t="s">
        <v>381</v>
      </c>
      <c r="C72" s="439">
        <f>BP!F12-NE!C70</f>
        <v>0</v>
      </c>
      <c r="D72" s="439"/>
      <c r="E72" s="440">
        <f>E70-BP!H12</f>
        <v>-3.3789999999953579E-2</v>
      </c>
      <c r="F72" s="571"/>
    </row>
    <row r="73" spans="1:6">
      <c r="A73" s="572"/>
      <c r="B73" s="571"/>
      <c r="C73" s="571"/>
      <c r="D73" s="571"/>
      <c r="E73" s="889"/>
      <c r="F73" s="571"/>
    </row>
    <row r="74" spans="1:6">
      <c r="A74" s="430" t="s">
        <v>237</v>
      </c>
      <c r="B74" s="571"/>
      <c r="C74" s="571"/>
      <c r="D74" s="571"/>
      <c r="E74" s="889"/>
      <c r="F74" s="571"/>
    </row>
    <row r="75" spans="1:6" ht="16.149999999999999" thickBot="1">
      <c r="A75" s="431" t="s">
        <v>213</v>
      </c>
      <c r="B75" s="432"/>
      <c r="C75" s="433">
        <f>B3</f>
        <v>46203</v>
      </c>
      <c r="D75" s="433"/>
      <c r="E75" s="434">
        <f>D3</f>
        <v>46022</v>
      </c>
      <c r="F75" s="571"/>
    </row>
    <row r="76" spans="1:6">
      <c r="A76" s="333" t="s">
        <v>391</v>
      </c>
      <c r="B76" s="334"/>
      <c r="C76" s="335">
        <f>SUMIF('Balancete 06.2026'!C:C,12131,'Balancete 06.2026'!K:K)</f>
        <v>29</v>
      </c>
      <c r="D76" s="1199"/>
      <c r="E76" s="1188">
        <f>SUMIF('Balancete 06.2026'!C:C,12131,'Balancete 06.2026'!E:E)/1000</f>
        <v>27.577840000000002</v>
      </c>
      <c r="F76" s="1200">
        <f>C76-C39</f>
        <v>0</v>
      </c>
    </row>
    <row r="77" spans="1:6" ht="31.15">
      <c r="A77" s="333" t="s">
        <v>238</v>
      </c>
      <c r="B77" s="334"/>
      <c r="C77" s="335">
        <f>SUMIF('Balancete 06.2026'!C:C,12135,'Balancete 06.2026'!K:K)</f>
        <v>188</v>
      </c>
      <c r="D77" s="1199"/>
      <c r="E77" s="1188">
        <f>SUMIF('Balancete 06.2026'!C:C,12135,'Balancete 06.2026'!E:E)/1000</f>
        <v>180.37260999999998</v>
      </c>
      <c r="F77" s="1200">
        <f>C77-C40</f>
        <v>0</v>
      </c>
    </row>
    <row r="78" spans="1:6">
      <c r="A78" s="333" t="s">
        <v>396</v>
      </c>
      <c r="B78" s="334"/>
      <c r="C78" s="335">
        <f>SUMIF('Balancete 06.2026'!C:C,12134,'Balancete 06.2026'!K:K)</f>
        <v>5</v>
      </c>
      <c r="D78" s="1199"/>
      <c r="E78" s="1188">
        <f>SUMIF('Balancete 06.2026'!C:C,12134,'Balancete 06.2026'!E:E)/1000</f>
        <v>4.6405799999999999</v>
      </c>
      <c r="F78" s="1200">
        <f>C78-C46</f>
        <v>0</v>
      </c>
    </row>
    <row r="79" spans="1:6">
      <c r="A79" s="333" t="s">
        <v>217</v>
      </c>
      <c r="B79" s="334"/>
      <c r="C79" s="335">
        <f>SUMIF('Balancete 06.2026'!C:C,12139,'Balancete 06.2026'!K:K)</f>
        <v>2</v>
      </c>
      <c r="D79" s="1199"/>
      <c r="E79" s="1188">
        <f>SUMIF('Balancete 06.2026'!C:C,12139,'Balancete 06.2026'!E:E)/1000</f>
        <v>1.92893</v>
      </c>
      <c r="F79" s="1200">
        <f>C79-C28+C53</f>
        <v>0</v>
      </c>
    </row>
    <row r="80" spans="1:6">
      <c r="A80" s="333" t="s">
        <v>239</v>
      </c>
      <c r="B80" s="334"/>
      <c r="C80" s="335">
        <f>SUMIF('Balancete 06.2026'!C:C,121316,'Balancete 06.2026'!K:K)</f>
        <v>1167</v>
      </c>
      <c r="D80" s="1199"/>
      <c r="E80" s="1188">
        <f>SUMIF('Balancete 06.2026'!C:C,121316,'Balancete 06.2026'!E:E)/1000</f>
        <v>1110.7892099999999</v>
      </c>
      <c r="F80" s="1200">
        <f>C80-C43</f>
        <v>0</v>
      </c>
    </row>
    <row r="81" spans="1:7">
      <c r="A81" s="1021" t="s">
        <v>393</v>
      </c>
      <c r="B81" s="579"/>
      <c r="C81" s="1017">
        <f>SUMIF('Balancete 06.2026'!C:C,121311,'Balancete 06.2026'!K:K)</f>
        <v>5</v>
      </c>
      <c r="D81" s="579"/>
      <c r="E81" s="1022">
        <f>SUMIF('Balancete 06.2026'!C:C,121311,'Balancete 06.2026'!E:E)/1000</f>
        <v>4.5840299999999994</v>
      </c>
      <c r="F81" s="1200">
        <f>C81-C42</f>
        <v>0</v>
      </c>
      <c r="G81" s="571"/>
    </row>
    <row r="82" spans="1:7">
      <c r="A82" s="1045" t="s">
        <v>225</v>
      </c>
      <c r="B82" s="1046"/>
      <c r="C82" s="1047">
        <f>SUMIF('Balancete 06.2026'!C:C,121313,'Balancete 06.2026'!K:K)</f>
        <v>241</v>
      </c>
      <c r="D82" s="579"/>
      <c r="E82" s="1022">
        <f>SUMIF('Balancete 06.2026'!C:C,121313,'Balancete 06.2026'!E:E)/1000</f>
        <v>231.10373000000001</v>
      </c>
      <c r="F82" s="1200">
        <f>C82-C38</f>
        <v>0</v>
      </c>
      <c r="G82" s="1200"/>
    </row>
    <row r="83" spans="1:7">
      <c r="A83" s="1021" t="s">
        <v>392</v>
      </c>
      <c r="B83" s="579"/>
      <c r="C83" s="1017">
        <f>SUMIF('Balancete 06.2026'!C:C,121317,'Balancete 06.2026'!K:K)</f>
        <v>2</v>
      </c>
      <c r="D83" s="579"/>
      <c r="E83" s="1022">
        <f>SUMIF('Balancete 06.2026'!C:C,121317,'Balancete 06.2026'!E:E)/1000</f>
        <v>2.3008000000000002</v>
      </c>
      <c r="F83" s="1200">
        <f>C83+C58-C41</f>
        <v>0</v>
      </c>
      <c r="G83" s="571"/>
    </row>
    <row r="84" spans="1:7">
      <c r="A84" s="1045" t="s">
        <v>224</v>
      </c>
      <c r="B84" s="1046"/>
      <c r="C84" s="1047">
        <f>SUMIF('Balancete 06.2026'!C:C,121315,'Balancete 06.2026'!K:K)</f>
        <v>0</v>
      </c>
      <c r="D84" s="579"/>
      <c r="E84" s="1022">
        <f>SUMIF('Balancete 06.2026'!C:C,121315,'Balancete 06.2026'!E:E)/1000</f>
        <v>142.72478000000001</v>
      </c>
      <c r="F84" s="1200">
        <f>C84-C37</f>
        <v>0</v>
      </c>
      <c r="G84" s="571"/>
    </row>
    <row r="85" spans="1:7">
      <c r="A85" s="1045" t="s">
        <v>222</v>
      </c>
      <c r="B85" s="1046"/>
      <c r="C85" s="1047">
        <f>SUMIF('Balancete 06.2026'!C:C,121318,'Balancete 06.2026'!K:K)</f>
        <v>693</v>
      </c>
      <c r="D85" s="579"/>
      <c r="E85" s="1022">
        <v>890</v>
      </c>
      <c r="F85" s="1200">
        <f>C85-C35</f>
        <v>0</v>
      </c>
      <c r="G85" s="571"/>
    </row>
    <row r="86" spans="1:7">
      <c r="A86" s="1045" t="s">
        <v>223</v>
      </c>
      <c r="B86" s="1046"/>
      <c r="C86" s="1047">
        <f>SUMIF('Balancete 06.2026'!C:C,121319,'Balancete 06.2026'!K:K)</f>
        <v>438</v>
      </c>
      <c r="D86" s="579"/>
      <c r="E86" s="1022">
        <v>415</v>
      </c>
      <c r="F86" s="1200">
        <f>C86-C36</f>
        <v>0</v>
      </c>
      <c r="G86" s="571"/>
    </row>
    <row r="87" spans="1:7">
      <c r="A87" s="1045" t="s">
        <v>220</v>
      </c>
      <c r="B87" s="1046"/>
      <c r="C87" s="1047">
        <f>SUMIF('Balancete 06.2026'!C:C,121320,'Balancete 06.2026'!K:K)</f>
        <v>683</v>
      </c>
      <c r="D87" s="579"/>
      <c r="E87" s="1022">
        <v>0</v>
      </c>
      <c r="F87" s="1200">
        <f>C87-C33</f>
        <v>0</v>
      </c>
      <c r="G87" s="571"/>
    </row>
    <row r="88" spans="1:7">
      <c r="A88" s="1045" t="s">
        <v>221</v>
      </c>
      <c r="B88" s="1046"/>
      <c r="C88" s="1047">
        <f>SUMIF('Balancete 06.2026'!C:C,121321,'Balancete 06.2026'!K:K)</f>
        <v>231</v>
      </c>
      <c r="D88" s="579"/>
      <c r="E88" s="1022">
        <v>0</v>
      </c>
      <c r="F88" s="1200">
        <f>C88-C34</f>
        <v>0</v>
      </c>
      <c r="G88" s="571"/>
    </row>
    <row r="89" spans="1:7" ht="16.149999999999999" thickBot="1">
      <c r="A89" s="981" t="s">
        <v>248</v>
      </c>
      <c r="B89" s="982"/>
      <c r="C89" s="983">
        <f>SUM(C76:C88)</f>
        <v>3684</v>
      </c>
      <c r="D89" s="984"/>
      <c r="E89" s="985">
        <f>SUM(E76:E86)</f>
        <v>3011.0225099999998</v>
      </c>
      <c r="F89" s="571"/>
      <c r="G89" s="571"/>
    </row>
    <row r="90" spans="1:7">
      <c r="A90" s="1185"/>
      <c r="B90" s="423" t="s">
        <v>380</v>
      </c>
      <c r="C90" s="1200">
        <f>SUM(C76:C88)-C89</f>
        <v>0</v>
      </c>
      <c r="D90" s="571"/>
      <c r="E90" s="1189">
        <f>SUM(E76:E86)-E89</f>
        <v>0</v>
      </c>
      <c r="F90" s="571"/>
      <c r="G90" s="571"/>
    </row>
    <row r="91" spans="1:7" ht="16.149999999999999" thickBot="1">
      <c r="A91" s="1196"/>
      <c r="B91" s="424" t="s">
        <v>381</v>
      </c>
      <c r="C91" s="1203">
        <f>C89-BP!F19</f>
        <v>0</v>
      </c>
      <c r="D91" s="1191"/>
      <c r="E91" s="1192">
        <f>E89-BP!H19</f>
        <v>2.2509999999783759E-2</v>
      </c>
      <c r="F91" s="571"/>
      <c r="G91" s="571"/>
    </row>
    <row r="93" spans="1:7" ht="16.149999999999999" thickBot="1">
      <c r="A93" s="398" t="s">
        <v>398</v>
      </c>
      <c r="B93" s="571"/>
      <c r="C93" s="571"/>
      <c r="D93" s="571"/>
      <c r="E93" s="571"/>
      <c r="F93" s="571"/>
      <c r="G93" s="571"/>
    </row>
    <row r="94" spans="1:7" ht="16.149999999999999" thickBot="1">
      <c r="A94" s="442"/>
      <c r="B94" s="402"/>
      <c r="C94" s="420">
        <f>B3</f>
        <v>46203</v>
      </c>
      <c r="D94" s="420"/>
      <c r="E94" s="421">
        <f>D3</f>
        <v>46022</v>
      </c>
      <c r="F94" s="571"/>
      <c r="G94" s="571"/>
    </row>
    <row r="95" spans="1:7">
      <c r="A95" s="442" t="s">
        <v>399</v>
      </c>
      <c r="B95" s="402"/>
      <c r="C95" s="1204">
        <f>SUMIF('Balancete 06.2026'!C:C,11241,'Balancete 06.2026'!K:K)</f>
        <v>448</v>
      </c>
      <c r="D95" s="420"/>
      <c r="E95" s="1205">
        <f>SUMIF('Balancete 06.2026'!C:C,11241,'Balancete 06.2026'!E:E)/1000</f>
        <v>633.73194999999998</v>
      </c>
      <c r="F95" s="571"/>
      <c r="G95" s="571"/>
    </row>
    <row r="96" spans="1:7" ht="16.149999999999999" thickBot="1">
      <c r="A96" s="443" t="s">
        <v>400</v>
      </c>
      <c r="B96" s="444"/>
      <c r="C96" s="1206">
        <f>SUMIF('Balancete 06.2026'!C:C,11242,'Balancete 06.2026'!K:K)</f>
        <v>3864</v>
      </c>
      <c r="D96" s="445"/>
      <c r="E96" s="1184">
        <f>SUMIF('Balancete 06.2026'!C:C,11242,'Balancete 06.2026'!E:E)/1000</f>
        <v>0</v>
      </c>
      <c r="F96" s="571"/>
      <c r="G96" s="571"/>
    </row>
    <row r="97" spans="1:5" ht="16.149999999999999" thickBot="1">
      <c r="A97" s="446" t="s">
        <v>118</v>
      </c>
      <c r="B97" s="432"/>
      <c r="C97" s="435">
        <f>SUM(C95:C96)</f>
        <v>4312</v>
      </c>
      <c r="D97" s="432"/>
      <c r="E97" s="435">
        <f>SUM(E95:E96)</f>
        <v>633.73194999999998</v>
      </c>
    </row>
    <row r="98" spans="1:5">
      <c r="A98" s="1185"/>
      <c r="B98" s="423" t="s">
        <v>380</v>
      </c>
      <c r="C98" s="1200">
        <f>SUM(C95:C96)-C97</f>
        <v>0</v>
      </c>
      <c r="D98" s="571"/>
      <c r="E98" s="1189">
        <f>SUM(E95:E96)-E97</f>
        <v>0</v>
      </c>
    </row>
    <row r="99" spans="1:5" ht="16.149999999999999" thickBot="1">
      <c r="A99" s="1196"/>
      <c r="B99" s="424" t="s">
        <v>381</v>
      </c>
      <c r="C99" s="1203">
        <f>C97-BP!F13</f>
        <v>0</v>
      </c>
      <c r="D99" s="1191"/>
      <c r="E99" s="1203">
        <f>E97-BP!H13</f>
        <v>-0.26805000000001655</v>
      </c>
    </row>
    <row r="101" spans="1:5" ht="16.149999999999999" thickBot="1">
      <c r="A101" s="398" t="s">
        <v>401</v>
      </c>
      <c r="B101" s="571"/>
      <c r="C101" s="571"/>
      <c r="D101" s="571"/>
      <c r="E101" s="571"/>
    </row>
    <row r="102" spans="1:5">
      <c r="A102" s="447" t="s">
        <v>233</v>
      </c>
      <c r="B102" s="1207"/>
      <c r="C102" s="1207"/>
      <c r="D102" s="1207"/>
      <c r="E102" s="1208"/>
    </row>
    <row r="103" spans="1:5" ht="16.149999999999999" thickBot="1">
      <c r="A103" s="437" t="s">
        <v>213</v>
      </c>
      <c r="B103" s="448"/>
      <c r="C103" s="449">
        <f>B3</f>
        <v>46203</v>
      </c>
      <c r="D103" s="449"/>
      <c r="E103" s="450">
        <f>D3</f>
        <v>46022</v>
      </c>
    </row>
    <row r="104" spans="1:5">
      <c r="A104" s="451" t="s">
        <v>243</v>
      </c>
      <c r="B104" s="452"/>
      <c r="C104" s="1204">
        <f>SUMIF('Balancete 06.2026'!C:C,11311,'Balancete 06.2026'!K:K)</f>
        <v>25</v>
      </c>
      <c r="D104" s="1209"/>
      <c r="E104" s="1205">
        <f>SUMIF('Balancete 06.2026'!C:C,11311,'Balancete 06.2026'!E:E)/1000</f>
        <v>51.835620000000006</v>
      </c>
    </row>
    <row r="105" spans="1:5">
      <c r="A105" s="333" t="s">
        <v>244</v>
      </c>
      <c r="B105" s="334"/>
      <c r="C105" s="335">
        <f>SUMIF('Balancete 06.2026'!C:C,11312,'Balancete 06.2026'!K:K)</f>
        <v>1526</v>
      </c>
      <c r="D105" s="1199"/>
      <c r="E105" s="1188">
        <f>SUMIF('Balancete 06.2026'!C:C,11312,'Balancete 06.2026'!E:E)/1000</f>
        <v>3176.1896900000002</v>
      </c>
    </row>
    <row r="106" spans="1:5">
      <c r="A106" s="453" t="s">
        <v>245</v>
      </c>
      <c r="B106" s="334"/>
      <c r="C106" s="335">
        <f>SUMIF('Balancete 06.2026'!C:C,11313,'Balancete 06.2026'!K:K)</f>
        <v>59</v>
      </c>
      <c r="D106" s="1199"/>
      <c r="E106" s="1188">
        <f>SUMIF('Balancete 06.2026'!C:C,11313,'Balancete 06.2026'!E:E)/1000</f>
        <v>133.79522</v>
      </c>
    </row>
    <row r="107" spans="1:5">
      <c r="A107" s="453" t="s">
        <v>402</v>
      </c>
      <c r="B107" s="334"/>
      <c r="C107" s="335">
        <f>SUMIF('Balancete 06.2026'!C:C,11315,'Balancete 06.2026'!K:K)</f>
        <v>245</v>
      </c>
      <c r="D107" s="1199"/>
      <c r="E107" s="1188">
        <f>SUMIF('Balancete 06.2026'!C:C,11315,'Balancete 06.2026'!E:E)/1000</f>
        <v>0</v>
      </c>
    </row>
    <row r="108" spans="1:5">
      <c r="A108" s="453" t="s">
        <v>403</v>
      </c>
      <c r="B108" s="334"/>
      <c r="C108" s="335">
        <f>SUMIF('Balancete 06.2026'!C:C,11316,'Balancete 06.2026'!K:K)</f>
        <v>2797</v>
      </c>
      <c r="D108" s="1210"/>
      <c r="E108" s="1188">
        <f>SUMIF('Balancete 06.2026'!C:C,11316,'Balancete 06.2026'!E:E)/1000</f>
        <v>4448.65103</v>
      </c>
    </row>
    <row r="109" spans="1:5" hidden="1">
      <c r="A109" s="453" t="s">
        <v>404</v>
      </c>
      <c r="B109" s="334"/>
      <c r="C109" s="335">
        <f>SUMIF('Balancete 06.2026'!C:C,1131999,'Balancete 06.2026'!K:K)</f>
        <v>0</v>
      </c>
      <c r="D109" s="1210"/>
      <c r="E109" s="1188">
        <v>0</v>
      </c>
    </row>
    <row r="110" spans="1:5" ht="16.149999999999999" thickBot="1">
      <c r="A110" s="431" t="s">
        <v>248</v>
      </c>
      <c r="B110" s="1202"/>
      <c r="C110" s="435">
        <f>SUM(C104:C109)</f>
        <v>4652</v>
      </c>
      <c r="D110" s="435"/>
      <c r="E110" s="436">
        <f>SUM(E104:E108)</f>
        <v>7810.47156</v>
      </c>
    </row>
    <row r="111" spans="1:5">
      <c r="A111" s="1211" t="s">
        <v>405</v>
      </c>
      <c r="B111" s="571"/>
      <c r="C111" s="571"/>
      <c r="D111" s="571"/>
      <c r="E111" s="889"/>
    </row>
    <row r="112" spans="1:5">
      <c r="A112" s="1211"/>
      <c r="B112" s="423" t="s">
        <v>380</v>
      </c>
      <c r="C112" s="1200">
        <f>SUM(C104:C109)-C110</f>
        <v>0</v>
      </c>
      <c r="D112" s="1200"/>
      <c r="E112" s="1189">
        <f>SUM(E104:E108)-E110</f>
        <v>0</v>
      </c>
    </row>
    <row r="113" spans="1:5">
      <c r="A113" s="1211"/>
      <c r="B113" s="423" t="s">
        <v>381</v>
      </c>
      <c r="C113" s="1200">
        <f>C110-BP!F14</f>
        <v>0</v>
      </c>
      <c r="D113" s="1200"/>
      <c r="E113" s="1189">
        <f>E110-BP!H14</f>
        <v>0.47155999999995402</v>
      </c>
    </row>
    <row r="114" spans="1:5" hidden="1">
      <c r="A114" s="572"/>
      <c r="B114" s="571"/>
      <c r="C114" s="571"/>
      <c r="D114" s="571"/>
      <c r="E114" s="889"/>
    </row>
    <row r="115" spans="1:5" hidden="1">
      <c r="A115" s="430" t="s">
        <v>237</v>
      </c>
      <c r="B115" s="571"/>
      <c r="C115" s="571"/>
      <c r="D115" s="571"/>
      <c r="E115" s="889"/>
    </row>
    <row r="116" spans="1:5" hidden="1">
      <c r="A116" s="437" t="s">
        <v>213</v>
      </c>
      <c r="B116" s="454"/>
      <c r="C116" s="449">
        <f>B3</f>
        <v>46203</v>
      </c>
      <c r="D116" s="449"/>
      <c r="E116" s="450">
        <f>D3</f>
        <v>46022</v>
      </c>
    </row>
    <row r="117" spans="1:5" hidden="1">
      <c r="A117" s="453" t="s">
        <v>406</v>
      </c>
      <c r="B117" s="455"/>
      <c r="C117" s="1199" t="s">
        <v>115</v>
      </c>
      <c r="D117" s="1199"/>
      <c r="E117" s="1212">
        <v>0</v>
      </c>
    </row>
    <row r="118" spans="1:5" ht="16.149999999999999" hidden="1" thickBot="1">
      <c r="A118" s="431" t="s">
        <v>248</v>
      </c>
      <c r="B118" s="1213"/>
      <c r="C118" s="441">
        <f>SUM(C117)</f>
        <v>0</v>
      </c>
      <c r="D118" s="441"/>
      <c r="E118" s="456">
        <f>SUM(E117)</f>
        <v>0</v>
      </c>
    </row>
    <row r="119" spans="1:5" hidden="1">
      <c r="A119" s="1185"/>
      <c r="B119" s="423" t="s">
        <v>380</v>
      </c>
      <c r="C119" s="571">
        <v>0</v>
      </c>
      <c r="D119" s="571"/>
      <c r="E119" s="889">
        <f>SUM(E117-E118)</f>
        <v>0</v>
      </c>
    </row>
    <row r="120" spans="1:5" ht="16.149999999999999" hidden="1" thickBot="1">
      <c r="A120" s="1196"/>
      <c r="B120" s="424" t="s">
        <v>381</v>
      </c>
      <c r="C120" s="1191">
        <v>0</v>
      </c>
      <c r="D120" s="1191"/>
      <c r="E120" s="883">
        <f>E118-BP!H21</f>
        <v>0</v>
      </c>
    </row>
    <row r="122" spans="1:5" ht="16.149999999999999" thickBot="1">
      <c r="A122" s="398" t="s">
        <v>407</v>
      </c>
      <c r="B122" s="571"/>
      <c r="C122" s="571"/>
      <c r="D122" s="571"/>
      <c r="E122" s="571"/>
    </row>
    <row r="123" spans="1:5" ht="16.149999999999999" thickBot="1">
      <c r="A123" s="457" t="s">
        <v>213</v>
      </c>
      <c r="B123" s="426"/>
      <c r="C123" s="401">
        <f>C116</f>
        <v>46203</v>
      </c>
      <c r="D123" s="401"/>
      <c r="E123" s="458">
        <f>E116</f>
        <v>46022</v>
      </c>
    </row>
    <row r="124" spans="1:5">
      <c r="A124" s="459" t="s">
        <v>249</v>
      </c>
      <c r="B124" s="1209"/>
      <c r="C124" s="1204">
        <f>SUMIF('Balancete 06.2026'!C:C,12181,'Balancete 06.2026'!K:K)+1</f>
        <v>4653</v>
      </c>
      <c r="D124" s="1204"/>
      <c r="E124" s="1205">
        <f>SUMIF('Balancete 06.2026'!C:C,12181,'Balancete 06.2026'!E:E)/1000+1</f>
        <v>4498.18523</v>
      </c>
    </row>
    <row r="125" spans="1:5">
      <c r="A125" s="460" t="s">
        <v>250</v>
      </c>
      <c r="B125" s="1199"/>
      <c r="C125" s="335">
        <f>SUMIF('Balancete 06.2026'!C:C,12182,'Balancete 06.2026'!K:K)</f>
        <v>1973</v>
      </c>
      <c r="D125" s="335"/>
      <c r="E125" s="1188">
        <f>SUMIF('Balancete 06.2026'!C:C,12182,'Balancete 06.2026'!E:E)/1000</f>
        <v>590.43781999999999</v>
      </c>
    </row>
    <row r="126" spans="1:5">
      <c r="A126" s="460" t="s">
        <v>251</v>
      </c>
      <c r="B126" s="1199"/>
      <c r="C126" s="335">
        <f>SUMIF('Balancete 06.2026'!C:C,12183,'Balancete 06.2026'!K:K)</f>
        <v>191</v>
      </c>
      <c r="D126" s="885"/>
      <c r="E126" s="1188">
        <f>SUMIF('Balancete 06.2026'!C:C,12183,'Balancete 06.2026'!E:E)/1000</f>
        <v>183.87398000000002</v>
      </c>
    </row>
    <row r="127" spans="1:5" ht="16.149999999999999" thickBot="1">
      <c r="A127" s="446" t="s">
        <v>118</v>
      </c>
      <c r="B127" s="432"/>
      <c r="C127" s="461">
        <f>SUM(C124:C126)</f>
        <v>6817</v>
      </c>
      <c r="D127" s="461"/>
      <c r="E127" s="462">
        <f>SUM(E124:E126)</f>
        <v>5272.4970300000004</v>
      </c>
    </row>
    <row r="128" spans="1:5">
      <c r="A128" s="1185"/>
      <c r="B128" s="423" t="s">
        <v>380</v>
      </c>
      <c r="C128" s="1200">
        <f>SUM(C124:C126)-C127</f>
        <v>0</v>
      </c>
      <c r="D128" s="1200"/>
      <c r="E128" s="1189">
        <f>SUM(E124:E126)-E127</f>
        <v>0</v>
      </c>
    </row>
    <row r="129" spans="1:9" ht="16.149999999999999" thickBot="1">
      <c r="A129" s="1196"/>
      <c r="B129" s="424" t="s">
        <v>381</v>
      </c>
      <c r="C129" s="1203">
        <f>C127-BP!F20</f>
        <v>0</v>
      </c>
      <c r="D129" s="1203"/>
      <c r="E129" s="1192">
        <f>E127-BP!H20</f>
        <v>0.49703000000044995</v>
      </c>
      <c r="F129" s="571"/>
      <c r="G129" s="571"/>
      <c r="H129" s="571"/>
      <c r="I129" s="571"/>
    </row>
    <row r="133" spans="1:9" ht="16.149999999999999" thickBot="1">
      <c r="A133" s="463" t="s">
        <v>408</v>
      </c>
      <c r="B133" s="571"/>
      <c r="C133" s="571"/>
      <c r="D133" s="571"/>
      <c r="E133" s="571"/>
      <c r="F133" s="571"/>
      <c r="G133" s="571"/>
      <c r="H133" s="571"/>
      <c r="I133" s="571"/>
    </row>
    <row r="134" spans="1:9" ht="33" customHeight="1">
      <c r="A134" s="464" t="s">
        <v>213</v>
      </c>
      <c r="B134" s="465" t="s">
        <v>252</v>
      </c>
      <c r="C134" s="465" t="s">
        <v>409</v>
      </c>
      <c r="D134" s="466" t="s">
        <v>410</v>
      </c>
      <c r="E134" s="465" t="s">
        <v>411</v>
      </c>
      <c r="F134" s="465" t="s">
        <v>412</v>
      </c>
      <c r="G134" s="467" t="s">
        <v>413</v>
      </c>
      <c r="H134" s="571"/>
      <c r="I134" s="1214"/>
    </row>
    <row r="135" spans="1:9">
      <c r="A135" s="468"/>
      <c r="B135" s="469"/>
      <c r="C135" s="470"/>
      <c r="D135" s="470"/>
      <c r="E135" s="470"/>
      <c r="F135" s="470"/>
      <c r="G135" s="471"/>
      <c r="H135" s="571"/>
      <c r="I135" s="1214"/>
    </row>
    <row r="136" spans="1:9">
      <c r="A136" s="1215" t="s">
        <v>260</v>
      </c>
      <c r="B136" s="1216">
        <v>0.1</v>
      </c>
      <c r="C136" s="335">
        <f>SUMIF('Balancete 06.2026'!C:C,12313,'Balancete 06.2026'!K:K)</f>
        <v>2714</v>
      </c>
      <c r="D136" s="335">
        <v>0</v>
      </c>
      <c r="E136" s="335">
        <f>SUMIF('Balancete 06.2026'!C:C,123982,'Balancete 06.2026'!K:K)-1</f>
        <v>-1355</v>
      </c>
      <c r="F136" s="335">
        <f>SUM(C136:E136)</f>
        <v>1359</v>
      </c>
      <c r="G136" s="1188">
        <f>SUM(SUMIF('Balancete 06.2026'!C:C,12313,'Balancete 06.2026'!E:E)+SUMIF('Balancete 06.2026'!C:C,123982,'Balancete 06.2026'!E:E))/1000</f>
        <v>1495.7283299999999</v>
      </c>
      <c r="H136" s="571"/>
      <c r="I136" s="885"/>
    </row>
    <row r="137" spans="1:9">
      <c r="A137" s="1215" t="s">
        <v>414</v>
      </c>
      <c r="B137" s="1216">
        <v>0.1</v>
      </c>
      <c r="C137" s="335">
        <f>SUMIF('Balancete 06.2026'!C:C,12314,'Balancete 06.2026'!K:K)</f>
        <v>859</v>
      </c>
      <c r="D137" s="885">
        <v>0</v>
      </c>
      <c r="E137" s="335">
        <f>SUMIF('Balancete 06.2026'!C:C,123983,'Balancete 06.2026'!K:K)</f>
        <v>-781</v>
      </c>
      <c r="F137" s="335">
        <f>SUM(C137:E137)</f>
        <v>78</v>
      </c>
      <c r="G137" s="1188">
        <f>SUM(SUMIF('Balancete 06.2026'!C:C,12314,'Balancete 06.2026'!E:E)+SUMIF('Balancete 06.2026'!C:C,123983,'Balancete 06.2026'!E:E))/1000</f>
        <v>85.570429999999931</v>
      </c>
      <c r="H137" s="571"/>
      <c r="I137" s="885"/>
    </row>
    <row r="138" spans="1:9">
      <c r="A138" s="1215" t="s">
        <v>415</v>
      </c>
      <c r="B138" s="1216">
        <v>0.2</v>
      </c>
      <c r="C138" s="335">
        <f>SUMIF('Balancete 06.2026'!C:C,12315,'Balancete 06.2026'!K:K)</f>
        <v>15195</v>
      </c>
      <c r="D138" s="335">
        <v>0</v>
      </c>
      <c r="E138" s="335">
        <f>SUMIF('Balancete 06.2026'!C:C,123984,'Balancete 06.2026'!K:K)</f>
        <v>-11723</v>
      </c>
      <c r="F138" s="335">
        <f>SUM(C138:E138)</f>
        <v>3472</v>
      </c>
      <c r="G138" s="1188">
        <f>SUM(SUMIF('Balancete 06.2026'!C:C,12315,'Balancete 06.2026'!E:E)+SUMIF('Balancete 06.2026'!C:C,123984,'Balancete 06.2026'!E:E))/1000</f>
        <v>3628.9548100000006</v>
      </c>
      <c r="H138" s="571"/>
      <c r="I138" s="885"/>
    </row>
    <row r="139" spans="1:9" ht="16.149999999999999" thickBot="1">
      <c r="A139" s="1217" t="s">
        <v>416</v>
      </c>
      <c r="B139" s="1218">
        <v>0.1</v>
      </c>
      <c r="C139" s="1206">
        <f>SUMIF('Balancete 06.2026'!C:C,12317,'Balancete 06.2026'!K:K)</f>
        <v>2772</v>
      </c>
      <c r="D139" s="1206">
        <v>0</v>
      </c>
      <c r="E139" s="335">
        <f>SUMIF('Balancete 06.2026'!C:C,123986,'Balancete 06.2026'!K:K)</f>
        <v>-2154</v>
      </c>
      <c r="F139" s="335">
        <f>SUM(C139:E139)</f>
        <v>618</v>
      </c>
      <c r="G139" s="1188">
        <f>SUM(SUMIF('Balancete 06.2026'!C:C,12317,'Balancete 06.2026'!E:E)+SUMIF('Balancete 06.2026'!C:C,123986,'Balancete 06.2026'!E:E))/1000</f>
        <v>659.18552</v>
      </c>
      <c r="H139" s="571"/>
      <c r="I139" s="885"/>
    </row>
    <row r="140" spans="1:9" ht="16.149999999999999" thickBot="1">
      <c r="A140" s="472" t="s">
        <v>118</v>
      </c>
      <c r="B140" s="473"/>
      <c r="C140" s="409">
        <f>SUM(C136:C139)</f>
        <v>21540</v>
      </c>
      <c r="D140" s="409">
        <f>SUM(D136:D139)</f>
        <v>0</v>
      </c>
      <c r="E140" s="409">
        <f>SUM(E136:E139)</f>
        <v>-16013</v>
      </c>
      <c r="F140" s="409">
        <f>SUM(F136:F139)</f>
        <v>5527</v>
      </c>
      <c r="G140" s="409">
        <f>SUM(G136:G139)</f>
        <v>5869.4390900000008</v>
      </c>
      <c r="H140" s="571"/>
      <c r="I140" s="414"/>
    </row>
    <row r="141" spans="1:9">
      <c r="A141" s="468"/>
      <c r="B141" s="438" t="s">
        <v>380</v>
      </c>
      <c r="C141" s="335">
        <f>SUM(C136:C139)-C140</f>
        <v>0</v>
      </c>
      <c r="D141" s="335"/>
      <c r="E141" s="335">
        <f>SUM(E136:E139)-E140</f>
        <v>0</v>
      </c>
      <c r="F141" s="335">
        <f>SUM(F136:F139)-F140</f>
        <v>0</v>
      </c>
      <c r="G141" s="1188">
        <f>SUM(G136:G139)-G140</f>
        <v>0</v>
      </c>
      <c r="H141" s="571"/>
      <c r="I141" s="414"/>
    </row>
    <row r="142" spans="1:9">
      <c r="A142" s="468"/>
      <c r="B142" s="438" t="s">
        <v>381</v>
      </c>
      <c r="C142" s="335"/>
      <c r="D142" s="335"/>
      <c r="E142" s="335"/>
      <c r="F142" s="335">
        <f>F140-BP!F22</f>
        <v>0</v>
      </c>
      <c r="G142" s="1188">
        <f>G140-BP!H22</f>
        <v>0.43909000000076048</v>
      </c>
      <c r="H142" s="571"/>
      <c r="I142" s="414"/>
    </row>
    <row r="143" spans="1:9">
      <c r="A143" s="572"/>
      <c r="B143" s="571"/>
      <c r="C143" s="571"/>
      <c r="D143" s="571"/>
      <c r="E143" s="571"/>
      <c r="F143" s="571"/>
      <c r="G143" s="889"/>
      <c r="H143" s="571"/>
      <c r="I143" s="571"/>
    </row>
    <row r="144" spans="1:9">
      <c r="A144" s="572"/>
      <c r="B144" s="571"/>
      <c r="C144" s="571"/>
      <c r="D144" s="571"/>
      <c r="E144" s="571"/>
      <c r="F144" s="571"/>
      <c r="G144" s="889"/>
      <c r="H144" s="571"/>
      <c r="I144" s="571"/>
    </row>
    <row r="145" spans="1:9" ht="31.15">
      <c r="A145" s="1211"/>
      <c r="B145" s="474" t="str">
        <f>G134</f>
        <v>31.12.2025
Líquido</v>
      </c>
      <c r="C145" s="469" t="s">
        <v>264</v>
      </c>
      <c r="D145" s="470" t="s">
        <v>410</v>
      </c>
      <c r="E145" s="469" t="s">
        <v>254</v>
      </c>
      <c r="F145" s="474" t="s">
        <v>417</v>
      </c>
      <c r="G145" s="475" t="str">
        <f>F134</f>
        <v>30.06.2026
Líquido</v>
      </c>
      <c r="H145" s="1214"/>
      <c r="I145" s="571"/>
    </row>
    <row r="146" spans="1:9">
      <c r="A146" s="468" t="s">
        <v>213</v>
      </c>
      <c r="B146" s="474"/>
      <c r="C146" s="469"/>
      <c r="D146" s="469"/>
      <c r="E146" s="469"/>
      <c r="F146" s="470"/>
      <c r="G146" s="471"/>
      <c r="H146" s="1214"/>
      <c r="I146" s="571"/>
    </row>
    <row r="147" spans="1:9">
      <c r="A147" s="1215" t="s">
        <v>260</v>
      </c>
      <c r="B147" s="1210">
        <f>G136</f>
        <v>1495.7283299999999</v>
      </c>
      <c r="C147" s="98">
        <f>SUMIF('Balancete 06.2026'!C:C,12313,'Balancete 06.2026'!F:F)/1000</f>
        <v>0</v>
      </c>
      <c r="D147" s="98">
        <f>SUMIF('Balancete 06.2026'!C:C,12313,'Balancete 06.2026'!G:G)/1000</f>
        <v>-1.0000000000000001E-5</v>
      </c>
      <c r="E147" s="1219">
        <f>SUMIF('Balancete 06.2026'!C:C,123982,'Balancete 06.2026'!G:G)/1000</f>
        <v>-135.70092000000002</v>
      </c>
      <c r="F147" s="885" t="s">
        <v>115</v>
      </c>
      <c r="G147" s="1188">
        <f>SUM(B147:F147)</f>
        <v>1360.0273999999999</v>
      </c>
      <c r="H147" s="885"/>
      <c r="I147" s="571"/>
    </row>
    <row r="148" spans="1:9">
      <c r="A148" s="1215" t="s">
        <v>414</v>
      </c>
      <c r="B148" s="1210">
        <f>G137</f>
        <v>85.570429999999931</v>
      </c>
      <c r="C148" s="98">
        <f>SUMIF('Balancete 06.2026'!C:C,12314,'Balancete 06.2026'!F:F)/1000</f>
        <v>0</v>
      </c>
      <c r="D148" s="98">
        <f>SUMIF('Balancete 06.2026'!C:C,12314,'Balancete 06.2026'!G:G)/1000</f>
        <v>0</v>
      </c>
      <c r="E148" s="1219">
        <f>SUMIF('Balancete 06.2026'!C:C,123983,'Balancete 06.2026'!G:G)/1000</f>
        <v>-8.0805600000000002</v>
      </c>
      <c r="F148" s="885" t="s">
        <v>115</v>
      </c>
      <c r="G148" s="1188">
        <f>SUM(B148:F148)</f>
        <v>77.489869999999925</v>
      </c>
      <c r="H148" s="885"/>
      <c r="I148" s="571"/>
    </row>
    <row r="149" spans="1:9">
      <c r="A149" s="1215" t="s">
        <v>262</v>
      </c>
      <c r="B149" s="1210">
        <f>G138</f>
        <v>3628.9548100000006</v>
      </c>
      <c r="C149" s="98">
        <f>SUMIF('Balancete 06.2026'!C:C,12315,'Balancete 06.2026'!F:F)/1000+SUMIF('Balancete 06.2026'!C:C,12315,'Balancete 06.2026'!G:G)/1000</f>
        <v>583.07500000000005</v>
      </c>
      <c r="D149" s="98">
        <v>0</v>
      </c>
      <c r="E149" s="1219">
        <f>SUMIF('Balancete 06.2026'!C:C,123984,'Balancete 06.2026'!G:G)/1000+SUMIF('Balancete 06.2026'!C:C,123984,'Balancete 06.2026'!F:F)/1000</f>
        <v>-740.37108000000001</v>
      </c>
      <c r="F149" s="885">
        <v>0</v>
      </c>
      <c r="G149" s="1188">
        <f>SUM(B149:F149)</f>
        <v>3471.658730000001</v>
      </c>
      <c r="H149" s="885"/>
      <c r="I149" s="571"/>
    </row>
    <row r="150" spans="1:9" ht="16.149999999999999" thickBot="1">
      <c r="A150" s="1215" t="s">
        <v>263</v>
      </c>
      <c r="B150" s="1210">
        <f>G139</f>
        <v>659.18552</v>
      </c>
      <c r="C150" s="98">
        <f>SUMIF('Balancete 06.2026'!C:C,12317,'Balancete 06.2026'!F:F)/1000</f>
        <v>8.5250000000000004</v>
      </c>
      <c r="D150" s="98">
        <v>0</v>
      </c>
      <c r="E150" s="1219">
        <f>SUMIF('Balancete 06.2026'!C:C,123986,'Balancete 06.2026'!G:G)/1000</f>
        <v>-49.988459999999996</v>
      </c>
      <c r="F150" s="885">
        <v>0</v>
      </c>
      <c r="G150" s="1188">
        <f>SUM(B150:F150)</f>
        <v>617.72205999999994</v>
      </c>
      <c r="H150" s="885"/>
      <c r="I150" s="571"/>
    </row>
    <row r="151" spans="1:9" ht="16.149999999999999" thickBot="1">
      <c r="A151" s="472" t="s">
        <v>118</v>
      </c>
      <c r="B151" s="428">
        <f t="shared" ref="B151:F151" si="0">SUM(B147:B150)</f>
        <v>5869.4390900000008</v>
      </c>
      <c r="C151" s="428">
        <f>SUM(C147:C150)</f>
        <v>591.6</v>
      </c>
      <c r="D151" s="428">
        <f t="shared" si="0"/>
        <v>-1.0000000000000001E-5</v>
      </c>
      <c r="E151" s="428">
        <f t="shared" si="0"/>
        <v>-934.14102000000003</v>
      </c>
      <c r="F151" s="428">
        <f t="shared" si="0"/>
        <v>0</v>
      </c>
      <c r="G151" s="429">
        <f>SUM(G147:G150)</f>
        <v>5526.8980600000014</v>
      </c>
      <c r="H151" s="412">
        <f>G151-F140</f>
        <v>-0.101939999998649</v>
      </c>
      <c r="I151" s="1200">
        <f>B151-G140</f>
        <v>0</v>
      </c>
    </row>
    <row r="152" spans="1:9">
      <c r="A152" s="438" t="s">
        <v>380</v>
      </c>
      <c r="B152" s="1210">
        <f>SUM(B147:B150)-B151</f>
        <v>0</v>
      </c>
      <c r="C152" s="1210">
        <f>SUM(C147:C150)-C151</f>
        <v>0</v>
      </c>
      <c r="D152" s="1210"/>
      <c r="E152" s="1210">
        <f>SUM(E147:E150)-E151</f>
        <v>0</v>
      </c>
      <c r="F152" s="1210">
        <v>0</v>
      </c>
      <c r="G152" s="1210">
        <f>SUM(G147:G150)-G151</f>
        <v>0</v>
      </c>
      <c r="H152" s="571"/>
      <c r="I152" s="571"/>
    </row>
    <row r="153" spans="1:9" ht="16.149999999999999" thickBot="1">
      <c r="A153" s="476" t="s">
        <v>381</v>
      </c>
      <c r="B153" s="1220">
        <f>B151-BP!H22</f>
        <v>0.43909000000076048</v>
      </c>
      <c r="C153" s="1203">
        <f>C149+C150+C148+'DFC '!F41+'DFC '!F13</f>
        <v>-0.39999999999997726</v>
      </c>
      <c r="D153" s="1191"/>
      <c r="E153" s="1203"/>
      <c r="F153" s="1191"/>
      <c r="G153" s="1203">
        <f>G151-BP!F22</f>
        <v>-0.101939999998649</v>
      </c>
      <c r="H153" s="571"/>
      <c r="I153" s="571"/>
    </row>
    <row r="156" spans="1:9" ht="16.149999999999999" thickBot="1">
      <c r="A156" s="614" t="s">
        <v>418</v>
      </c>
      <c r="B156" s="571"/>
      <c r="C156" s="571"/>
      <c r="D156" s="571"/>
      <c r="E156" s="571"/>
      <c r="F156" s="571"/>
      <c r="G156" s="571"/>
      <c r="H156" s="571"/>
      <c r="I156" s="571"/>
    </row>
    <row r="157" spans="1:9" ht="31.15">
      <c r="A157" s="464" t="s">
        <v>213</v>
      </c>
      <c r="B157" s="466" t="s">
        <v>419</v>
      </c>
      <c r="C157" s="466" t="s">
        <v>264</v>
      </c>
      <c r="D157" s="466" t="s">
        <v>410</v>
      </c>
      <c r="E157" s="465" t="s">
        <v>420</v>
      </c>
      <c r="F157" s="465" t="str">
        <f>F134</f>
        <v>30.06.2026
Líquido</v>
      </c>
      <c r="G157" s="467" t="str">
        <f>G134</f>
        <v>31.12.2025
Líquido</v>
      </c>
      <c r="H157" s="571"/>
      <c r="I157" s="1200"/>
    </row>
    <row r="158" spans="1:9" ht="16.149999999999999" thickBot="1">
      <c r="A158" s="1217" t="s">
        <v>421</v>
      </c>
      <c r="B158" s="1221">
        <v>24551</v>
      </c>
      <c r="C158" s="1222">
        <v>0</v>
      </c>
      <c r="D158" s="1222">
        <v>0</v>
      </c>
      <c r="E158" s="1221">
        <f>SUMIF('Balancete 06.2026'!C:C,12512,'Balancete 06.2026'!I:I)/1000</f>
        <v>-12730.060320000001</v>
      </c>
      <c r="F158" s="1223">
        <f>SUM(B158:E158)</f>
        <v>11820.939679999999</v>
      </c>
      <c r="G158" s="1188">
        <f>SUM(SUMIF('Balancete 06.2026'!C:C,12511,'Balancete 06.2026'!E:E)+SUMIF('Balancete 06.2026'!C:C,12512,'Balancete 06.2026'!E:E))/1000</f>
        <v>13298.798690000001</v>
      </c>
      <c r="H158" s="571"/>
      <c r="I158" s="571"/>
    </row>
    <row r="159" spans="1:9" ht="16.149999999999999" thickBot="1">
      <c r="A159" s="472" t="s">
        <v>118</v>
      </c>
      <c r="B159" s="477">
        <f t="shared" ref="B159:G159" si="1">SUM(B158)</f>
        <v>24551</v>
      </c>
      <c r="C159" s="477">
        <f t="shared" si="1"/>
        <v>0</v>
      </c>
      <c r="D159" s="477">
        <f t="shared" si="1"/>
        <v>0</v>
      </c>
      <c r="E159" s="477">
        <f t="shared" si="1"/>
        <v>-12730.060320000001</v>
      </c>
      <c r="F159" s="477">
        <f t="shared" si="1"/>
        <v>11820.939679999999</v>
      </c>
      <c r="G159" s="477">
        <f t="shared" si="1"/>
        <v>13298.798690000001</v>
      </c>
      <c r="H159" s="571"/>
      <c r="I159" s="571"/>
    </row>
    <row r="160" spans="1:9">
      <c r="A160" s="438" t="s">
        <v>380</v>
      </c>
      <c r="B160" s="1210">
        <f t="shared" ref="B160:G160" si="2">SUM(B158)-B159</f>
        <v>0</v>
      </c>
      <c r="C160" s="1210">
        <f t="shared" si="2"/>
        <v>0</v>
      </c>
      <c r="D160" s="1210">
        <f t="shared" si="2"/>
        <v>0</v>
      </c>
      <c r="E160" s="1210">
        <f t="shared" si="2"/>
        <v>0</v>
      </c>
      <c r="F160" s="1210">
        <f t="shared" si="2"/>
        <v>0</v>
      </c>
      <c r="G160" s="1210">
        <f t="shared" si="2"/>
        <v>0</v>
      </c>
      <c r="H160" s="571"/>
      <c r="I160" s="571"/>
    </row>
    <row r="161" spans="1:9" ht="16.149999999999999" thickBot="1">
      <c r="A161" s="476" t="s">
        <v>381</v>
      </c>
      <c r="B161" s="1220"/>
      <c r="C161" s="1203"/>
      <c r="D161" s="1191"/>
      <c r="E161" s="1203"/>
      <c r="F161" s="1203">
        <f>F159-BP!F23</f>
        <v>-6.032000000050175E-2</v>
      </c>
      <c r="G161" s="1203">
        <f>G159-BP!H23</f>
        <v>-0.20130999999855703</v>
      </c>
      <c r="H161" s="571"/>
      <c r="I161" s="571"/>
    </row>
    <row r="162" spans="1:9">
      <c r="A162" s="478" t="s">
        <v>422</v>
      </c>
      <c r="B162" s="571"/>
      <c r="C162" s="571"/>
      <c r="D162" s="571"/>
      <c r="E162" s="571"/>
      <c r="F162" s="571"/>
      <c r="G162" s="889"/>
      <c r="H162" s="571"/>
      <c r="I162" s="571"/>
    </row>
    <row r="163" spans="1:9">
      <c r="A163" s="1185"/>
      <c r="B163" s="571"/>
      <c r="C163" s="571"/>
      <c r="D163" s="571"/>
      <c r="E163" s="571"/>
      <c r="F163" s="571"/>
      <c r="G163" s="889"/>
      <c r="H163" s="571"/>
      <c r="I163" s="571"/>
    </row>
    <row r="164" spans="1:9" ht="16.149999999999999" thickBot="1">
      <c r="A164" s="1211"/>
      <c r="B164" s="1214"/>
      <c r="C164" s="583">
        <v>2026</v>
      </c>
      <c r="D164" s="405"/>
      <c r="E164" s="583">
        <v>2025</v>
      </c>
      <c r="F164" s="571"/>
      <c r="G164" s="889"/>
      <c r="H164" s="571"/>
      <c r="I164" s="571"/>
    </row>
    <row r="165" spans="1:9">
      <c r="A165" s="1185"/>
      <c r="B165" s="571"/>
      <c r="C165" s="571"/>
      <c r="D165" s="479" t="s">
        <v>381</v>
      </c>
      <c r="E165" s="571"/>
      <c r="F165" s="479" t="s">
        <v>381</v>
      </c>
      <c r="G165" s="889"/>
      <c r="H165" s="571"/>
      <c r="I165" s="571"/>
    </row>
    <row r="166" spans="1:9" ht="30.75" customHeight="1">
      <c r="A166" s="333" t="s">
        <v>423</v>
      </c>
      <c r="B166" s="571"/>
      <c r="C166" s="480">
        <f>-SUMIF('Balancete 06.2026'!C:C,21116,'Balancete 06.2026'!K:K)</f>
        <v>3135</v>
      </c>
      <c r="D166" s="480">
        <f>C166-BP!F38</f>
        <v>0</v>
      </c>
      <c r="E166" s="480">
        <f>-SUMIF('Balancete 06.2026'!C:C,21116,'Balancete 06.2026'!E:E)/1000</f>
        <v>3058.99809</v>
      </c>
      <c r="F166" s="1200">
        <f>E166-BP!H38</f>
        <v>-1.9099999999525608E-3</v>
      </c>
      <c r="G166" s="889"/>
      <c r="H166" s="571"/>
      <c r="I166" s="480"/>
    </row>
    <row r="167" spans="1:9" ht="6" customHeight="1">
      <c r="A167" s="1185"/>
      <c r="B167" s="571"/>
      <c r="C167" s="571"/>
      <c r="D167" s="571"/>
      <c r="E167" s="571"/>
      <c r="F167" s="571"/>
      <c r="G167" s="889"/>
      <c r="H167" s="571"/>
      <c r="I167" s="571"/>
    </row>
    <row r="168" spans="1:9" ht="31.15">
      <c r="A168" s="333" t="s">
        <v>424</v>
      </c>
      <c r="B168" s="571"/>
      <c r="C168" s="480">
        <f>-SUMIF('Balancete 06.2026'!C:C,2218,'Balancete 06.2026'!K:K)</f>
        <v>10376</v>
      </c>
      <c r="D168" s="480">
        <f>C168-BP!F43</f>
        <v>0</v>
      </c>
      <c r="E168" s="480">
        <f>-SUMIF('Balancete 06.2026'!C:C,2218,'Balancete 06.2026'!E:E)/1000</f>
        <v>11962.09844</v>
      </c>
      <c r="F168" s="1200">
        <f>E168-BP!H43</f>
        <v>9.8439999999754946E-2</v>
      </c>
      <c r="G168" s="889"/>
      <c r="H168" s="571"/>
      <c r="I168" s="571"/>
    </row>
    <row r="169" spans="1:9" ht="6.75" customHeight="1" thickBot="1">
      <c r="A169" s="1185"/>
      <c r="B169" s="571"/>
      <c r="C169" s="571"/>
      <c r="D169" s="571"/>
      <c r="E169" s="571"/>
      <c r="F169" s="571"/>
      <c r="G169" s="889"/>
      <c r="H169" s="571"/>
      <c r="I169" s="571"/>
    </row>
    <row r="170" spans="1:9" ht="16.149999999999999" thickBot="1">
      <c r="A170" s="1185"/>
      <c r="B170" s="571"/>
      <c r="C170" s="481">
        <f>SUM(C166:C169)</f>
        <v>13511</v>
      </c>
      <c r="D170" s="482">
        <f>SUM(BP!F38+BP!F43)-C170</f>
        <v>0</v>
      </c>
      <c r="E170" s="481">
        <f>SUM(E166:E168)</f>
        <v>15021.096529999999</v>
      </c>
      <c r="F170" s="1200">
        <f>E170-BP!H43-BP!H38</f>
        <v>9.652999999889289E-2</v>
      </c>
      <c r="G170" s="889"/>
      <c r="H170" s="571"/>
      <c r="I170" s="571"/>
    </row>
    <row r="171" spans="1:9" ht="16.149999999999999" thickTop="1">
      <c r="A171" s="1185"/>
      <c r="B171" s="423" t="s">
        <v>380</v>
      </c>
      <c r="C171" s="480">
        <f>SUM(C166:C168)-C170</f>
        <v>0</v>
      </c>
      <c r="D171" s="480"/>
      <c r="E171" s="480">
        <f>SUM(E166:E168)-E170</f>
        <v>0</v>
      </c>
      <c r="F171" s="1200"/>
      <c r="G171" s="889"/>
      <c r="H171" s="571"/>
      <c r="I171" s="571"/>
    </row>
    <row r="172" spans="1:9">
      <c r="A172" s="572"/>
      <c r="B172" s="571"/>
      <c r="C172" s="571"/>
      <c r="D172" s="571"/>
      <c r="E172" s="571"/>
      <c r="F172" s="571"/>
      <c r="G172" s="889"/>
      <c r="H172" s="571"/>
      <c r="I172" s="571"/>
    </row>
    <row r="173" spans="1:9">
      <c r="A173" s="572"/>
      <c r="B173" s="571"/>
      <c r="C173" s="571"/>
      <c r="D173" s="571"/>
      <c r="E173" s="571"/>
      <c r="F173" s="571"/>
      <c r="G173" s="889"/>
      <c r="H173" s="483"/>
      <c r="I173" s="571"/>
    </row>
    <row r="174" spans="1:9">
      <c r="A174" s="1074" t="s">
        <v>425</v>
      </c>
      <c r="B174" s="1075"/>
      <c r="C174" s="482">
        <f>23158-1797-2374-1936</f>
        <v>17051</v>
      </c>
      <c r="D174" s="482"/>
      <c r="E174" s="571"/>
      <c r="F174" s="571"/>
      <c r="G174" s="889"/>
      <c r="H174" s="571"/>
      <c r="I174" s="571"/>
    </row>
    <row r="175" spans="1:9">
      <c r="A175" s="1185"/>
      <c r="B175" s="571"/>
      <c r="C175" s="571"/>
      <c r="D175" s="484" t="s">
        <v>381</v>
      </c>
      <c r="E175" s="571"/>
      <c r="F175" s="571"/>
      <c r="G175" s="889"/>
      <c r="H175" s="571"/>
      <c r="I175" s="571"/>
    </row>
    <row r="176" spans="1:9">
      <c r="A176" s="408" t="s">
        <v>426</v>
      </c>
      <c r="B176" s="571"/>
      <c r="C176" s="335">
        <f>-295-295-295-296-295-295</f>
        <v>-1771</v>
      </c>
      <c r="D176" s="335">
        <f>C176-'DFC '!I45</f>
        <v>0</v>
      </c>
      <c r="E176" s="571"/>
      <c r="F176" s="571"/>
      <c r="G176" s="1224"/>
      <c r="H176" s="335"/>
      <c r="I176" s="571"/>
    </row>
    <row r="177" spans="1:9" ht="16.149999999999999" thickBot="1">
      <c r="A177" s="408" t="s">
        <v>427</v>
      </c>
      <c r="B177" s="571"/>
      <c r="C177" s="335">
        <f>69+68+68+68+66+64</f>
        <v>403</v>
      </c>
      <c r="D177" s="335">
        <f>C177-'DFC '!I12</f>
        <v>0</v>
      </c>
      <c r="E177" s="571"/>
      <c r="F177" s="571"/>
      <c r="G177" s="1224"/>
      <c r="H177" s="335"/>
      <c r="I177" s="571"/>
    </row>
    <row r="178" spans="1:9" ht="16.149999999999999" thickBot="1">
      <c r="A178" s="468" t="s">
        <v>428</v>
      </c>
      <c r="B178" s="571"/>
      <c r="C178" s="481">
        <f>SUM(C174:C177)</f>
        <v>15683</v>
      </c>
      <c r="D178" s="480">
        <f>SUM(BP!J43,BP!J38)-C178</f>
        <v>0</v>
      </c>
      <c r="E178" s="571"/>
      <c r="F178" s="571"/>
      <c r="G178" s="1224"/>
      <c r="H178" s="482"/>
      <c r="I178" s="571"/>
    </row>
    <row r="179" spans="1:9" ht="16.899999999999999" thickTop="1" thickBot="1">
      <c r="A179" s="584"/>
      <c r="B179" s="571"/>
      <c r="C179" s="482"/>
      <c r="D179" s="480"/>
      <c r="E179" s="571"/>
      <c r="F179" s="571"/>
      <c r="G179" s="1224"/>
      <c r="H179" s="482"/>
      <c r="I179" s="571"/>
    </row>
    <row r="180" spans="1:9" ht="16.149999999999999" thickBot="1">
      <c r="A180" s="615" t="s">
        <v>429</v>
      </c>
      <c r="B180" s="571"/>
      <c r="C180" s="481">
        <f>17051-2030</f>
        <v>15021</v>
      </c>
      <c r="D180" s="480">
        <f>C180-BP!H38-BP!H43</f>
        <v>0</v>
      </c>
      <c r="E180" s="571"/>
      <c r="F180" s="571"/>
      <c r="G180" s="1224"/>
      <c r="H180" s="482"/>
      <c r="I180" s="571"/>
    </row>
    <row r="181" spans="1:9" ht="16.149999999999999" thickTop="1">
      <c r="A181" s="1185"/>
      <c r="B181" s="423"/>
      <c r="C181" s="571"/>
      <c r="D181" s="484"/>
      <c r="E181" s="571"/>
      <c r="F181" s="571"/>
      <c r="G181" s="1224"/>
      <c r="H181" s="571"/>
      <c r="I181" s="571"/>
    </row>
    <row r="182" spans="1:9">
      <c r="A182" s="408" t="s">
        <v>426</v>
      </c>
      <c r="B182" s="423"/>
      <c r="C182" s="335">
        <f>-310-309-311-311-310-311</f>
        <v>-1862</v>
      </c>
      <c r="D182" s="335">
        <f>C182-'DFC '!F45</f>
        <v>0</v>
      </c>
      <c r="E182" s="571"/>
      <c r="F182" s="571"/>
      <c r="G182" s="1224"/>
      <c r="H182" s="335"/>
      <c r="I182" s="571"/>
    </row>
    <row r="183" spans="1:9" ht="16.149999999999999" thickBot="1">
      <c r="A183" s="408" t="s">
        <v>427</v>
      </c>
      <c r="B183" s="423"/>
      <c r="C183" s="335">
        <f>60+60+60+58+57+57</f>
        <v>352</v>
      </c>
      <c r="D183" s="335">
        <f>C183-'DFC '!F12</f>
        <v>0</v>
      </c>
      <c r="E183" s="571"/>
      <c r="F183" s="571"/>
      <c r="G183" s="1224"/>
      <c r="H183" s="335"/>
      <c r="I183" s="571"/>
    </row>
    <row r="184" spans="1:9" ht="16.149999999999999" thickBot="1">
      <c r="A184" s="584" t="s">
        <v>430</v>
      </c>
      <c r="B184" s="423"/>
      <c r="C184" s="481">
        <f>SUM(C180:C183)</f>
        <v>13511</v>
      </c>
      <c r="D184" s="480">
        <f>SUM(BP!F38,BP!F43)-NE!C184</f>
        <v>0</v>
      </c>
      <c r="E184" s="571"/>
      <c r="F184" s="571"/>
      <c r="G184" s="1224"/>
      <c r="H184" s="482"/>
      <c r="I184" s="571"/>
    </row>
    <row r="185" spans="1:9" ht="16.899999999999999" thickTop="1" thickBot="1">
      <c r="A185" s="1196"/>
      <c r="B185" s="424"/>
      <c r="C185" s="1203"/>
      <c r="D185" s="1191"/>
      <c r="E185" s="1191"/>
      <c r="F185" s="1191"/>
      <c r="G185" s="1225"/>
      <c r="H185" s="571"/>
      <c r="I185" s="571"/>
    </row>
    <row r="187" spans="1:9" ht="16.149999999999999" thickBot="1">
      <c r="A187" s="398" t="s">
        <v>431</v>
      </c>
      <c r="B187" s="571"/>
      <c r="C187" s="571"/>
      <c r="D187" s="571"/>
      <c r="E187" s="571"/>
      <c r="F187" s="571"/>
      <c r="G187" s="571"/>
      <c r="H187" s="571"/>
      <c r="I187" s="571"/>
    </row>
    <row r="188" spans="1:9" ht="30.75" customHeight="1">
      <c r="A188" s="485" t="s">
        <v>213</v>
      </c>
      <c r="B188" s="465" t="s">
        <v>432</v>
      </c>
      <c r="C188" s="465" t="s">
        <v>409</v>
      </c>
      <c r="D188" s="465" t="s">
        <v>433</v>
      </c>
      <c r="E188" s="465" t="str">
        <f>F157</f>
        <v>30.06.2026
Líquido</v>
      </c>
      <c r="F188" s="465" t="s">
        <v>413</v>
      </c>
      <c r="G188" s="1207"/>
      <c r="H188" s="1226"/>
      <c r="I188" s="571"/>
    </row>
    <row r="189" spans="1:9">
      <c r="A189" s="486"/>
      <c r="B189" s="487"/>
      <c r="C189" s="470"/>
      <c r="D189" s="470"/>
      <c r="E189" s="470"/>
      <c r="F189" s="470"/>
      <c r="G189" s="571"/>
      <c r="H189" s="1227"/>
      <c r="I189" s="571"/>
    </row>
    <row r="190" spans="1:9" ht="16.149999999999999" thickBot="1">
      <c r="A190" s="1228" t="s">
        <v>434</v>
      </c>
      <c r="B190" s="1218">
        <v>0.2</v>
      </c>
      <c r="C190" s="1206">
        <f>SUMIF('Balancete 06.2026'!C:C,124101,'Balancete 06.2026'!K:K)</f>
        <v>14386</v>
      </c>
      <c r="D190" s="1206">
        <f>SUMIF('Balancete 06.2026'!C:C,1242,'Balancete 06.2026'!K:K)</f>
        <v>-12681</v>
      </c>
      <c r="E190" s="1206">
        <f>SUM(C190:D190)</f>
        <v>1705</v>
      </c>
      <c r="F190" s="1206">
        <f>SUM(SUMIF('Balancete 06.2026'!C:C,124101,'Balancete 06.2026'!E:E)+SUMIF('Balancete 06.2026'!C:C,1242,'Balancete 06.2026'!E:E))/1000</f>
        <v>1183.9445299999993</v>
      </c>
      <c r="G190" s="571"/>
      <c r="H190" s="1187"/>
      <c r="I190" s="571"/>
    </row>
    <row r="191" spans="1:9" ht="16.149999999999999" thickBot="1">
      <c r="A191" s="488" t="s">
        <v>118</v>
      </c>
      <c r="B191" s="441"/>
      <c r="C191" s="489">
        <f>SUM(C190)</f>
        <v>14386</v>
      </c>
      <c r="D191" s="489">
        <f>SUM(D190)</f>
        <v>-12681</v>
      </c>
      <c r="E191" s="489">
        <f>SUM(E190)</f>
        <v>1705</v>
      </c>
      <c r="F191" s="489">
        <f>SUM(F190)</f>
        <v>1183.9445299999993</v>
      </c>
      <c r="G191" s="571"/>
      <c r="H191" s="415"/>
      <c r="I191" s="571"/>
    </row>
    <row r="192" spans="1:9">
      <c r="A192" s="486"/>
      <c r="B192" s="438" t="s">
        <v>380</v>
      </c>
      <c r="C192" s="335">
        <f>SUM(C190-C191)</f>
        <v>0</v>
      </c>
      <c r="D192" s="335">
        <f>SUM(D190-D191)</f>
        <v>0</v>
      </c>
      <c r="E192" s="335">
        <f>SUM(E190-E191)</f>
        <v>0</v>
      </c>
      <c r="F192" s="335">
        <f>SUM(F190-F191)</f>
        <v>0</v>
      </c>
      <c r="G192" s="571"/>
      <c r="H192" s="415"/>
      <c r="I192" s="571"/>
    </row>
    <row r="193" spans="1:9" ht="16.149999999999999" thickBot="1">
      <c r="A193" s="488"/>
      <c r="B193" s="476" t="s">
        <v>381</v>
      </c>
      <c r="C193" s="1206"/>
      <c r="D193" s="1206"/>
      <c r="E193" s="1206">
        <f>BP!F24-E191</f>
        <v>0</v>
      </c>
      <c r="F193" s="1206">
        <f>F191-BP!H24</f>
        <v>-5.5470000000696018E-2</v>
      </c>
      <c r="G193" s="1191"/>
      <c r="H193" s="490"/>
      <c r="I193" s="571"/>
    </row>
    <row r="194" spans="1:9">
      <c r="A194" s="486"/>
      <c r="B194" s="491"/>
      <c r="C194" s="412"/>
      <c r="D194" s="412"/>
      <c r="E194" s="412"/>
      <c r="F194" s="412"/>
      <c r="G194" s="412"/>
      <c r="H194" s="889"/>
      <c r="I194" s="414"/>
    </row>
    <row r="195" spans="1:9">
      <c r="A195" s="572"/>
      <c r="B195" s="571"/>
      <c r="C195" s="571"/>
      <c r="D195" s="571"/>
      <c r="E195" s="571"/>
      <c r="F195" s="571"/>
      <c r="G195" s="571"/>
      <c r="H195" s="889"/>
      <c r="I195" s="571"/>
    </row>
    <row r="196" spans="1:9" ht="31.15">
      <c r="A196" s="572" t="s">
        <v>435</v>
      </c>
      <c r="B196" s="571"/>
      <c r="C196" s="571"/>
      <c r="D196" s="571"/>
      <c r="E196" s="571"/>
      <c r="F196" s="571"/>
      <c r="G196" s="571"/>
      <c r="H196" s="889"/>
      <c r="I196" s="571"/>
    </row>
    <row r="197" spans="1:9" ht="31.15">
      <c r="A197" s="486" t="s">
        <v>213</v>
      </c>
      <c r="B197" s="474" t="str">
        <f>F188</f>
        <v>31.12.2025
Líquido</v>
      </c>
      <c r="C197" s="470" t="s">
        <v>264</v>
      </c>
      <c r="D197" s="474" t="s">
        <v>410</v>
      </c>
      <c r="E197" s="470" t="s">
        <v>436</v>
      </c>
      <c r="F197" s="474" t="s">
        <v>437</v>
      </c>
      <c r="G197" s="474" t="str">
        <f>E188</f>
        <v>30.06.2026
Líquido</v>
      </c>
      <c r="H197" s="492"/>
      <c r="I197" s="571"/>
    </row>
    <row r="198" spans="1:9">
      <c r="A198" s="486"/>
      <c r="B198" s="474"/>
      <c r="C198" s="469"/>
      <c r="D198" s="487"/>
      <c r="E198" s="469"/>
      <c r="F198" s="470"/>
      <c r="G198" s="470"/>
      <c r="H198" s="1227"/>
      <c r="I198" s="571"/>
    </row>
    <row r="199" spans="1:9" ht="16.149999999999999" thickBot="1">
      <c r="A199" s="1228" t="s">
        <v>434</v>
      </c>
      <c r="B199" s="1220">
        <f>F190</f>
        <v>1183.9445299999993</v>
      </c>
      <c r="C199" s="1229">
        <f>SUMIF('Balancete 06.2026'!C:C,124101,'Balancete 06.2026'!F:F)/1000</f>
        <v>799.97977000000003</v>
      </c>
      <c r="D199" s="1202" t="s">
        <v>115</v>
      </c>
      <c r="E199" s="1206">
        <f>SUMIF('Balancete 06.2026'!C:C,1242,'Balancete 06.2026'!G:G)/1000</f>
        <v>-279.09023999999999</v>
      </c>
      <c r="F199" s="1230" t="s">
        <v>115</v>
      </c>
      <c r="G199" s="1206">
        <f>SUM(B199:F199)</f>
        <v>1704.8340599999992</v>
      </c>
      <c r="H199" s="1188"/>
      <c r="I199" s="571"/>
    </row>
    <row r="200" spans="1:9" ht="16.149999999999999" thickBot="1">
      <c r="A200" s="488" t="s">
        <v>118</v>
      </c>
      <c r="B200" s="435">
        <f t="shared" ref="B200:G200" si="3">SUM(B199)</f>
        <v>1183.9445299999993</v>
      </c>
      <c r="C200" s="435">
        <f t="shared" si="3"/>
        <v>799.97977000000003</v>
      </c>
      <c r="D200" s="493">
        <f t="shared" si="3"/>
        <v>0</v>
      </c>
      <c r="E200" s="435">
        <f t="shared" si="3"/>
        <v>-279.09023999999999</v>
      </c>
      <c r="F200" s="493">
        <f t="shared" si="3"/>
        <v>0</v>
      </c>
      <c r="G200" s="435">
        <f t="shared" si="3"/>
        <v>1704.8340599999992</v>
      </c>
      <c r="H200" s="1188"/>
      <c r="I200" s="571"/>
    </row>
    <row r="201" spans="1:9">
      <c r="A201" s="494" t="s">
        <v>380</v>
      </c>
      <c r="B201" s="1200">
        <f>SUM(B199-B200)</f>
        <v>0</v>
      </c>
      <c r="C201" s="571"/>
      <c r="D201" s="571"/>
      <c r="E201" s="1200">
        <f>SUM(E199-E200)</f>
        <v>0</v>
      </c>
      <c r="F201" s="571"/>
      <c r="G201" s="1200">
        <f>SUM(G199-G200)</f>
        <v>0</v>
      </c>
      <c r="H201" s="889"/>
      <c r="I201" s="571"/>
    </row>
    <row r="202" spans="1:9" ht="16.149999999999999" thickBot="1">
      <c r="A202" s="495" t="s">
        <v>381</v>
      </c>
      <c r="B202" s="1203">
        <f>B200-BP!H24</f>
        <v>-5.5470000000696018E-2</v>
      </c>
      <c r="C202" s="1191"/>
      <c r="D202" s="1191"/>
      <c r="E202" s="1191"/>
      <c r="F202" s="1191"/>
      <c r="G202" s="1203">
        <f>G200-BP!F24</f>
        <v>-0.16594000000077358</v>
      </c>
      <c r="H202" s="883"/>
      <c r="I202" s="571"/>
    </row>
    <row r="204" spans="1:9" ht="16.149999999999999" thickBot="1">
      <c r="A204" s="398" t="s">
        <v>438</v>
      </c>
      <c r="B204" s="571"/>
      <c r="C204" s="571"/>
      <c r="D204" s="571"/>
      <c r="E204" s="571"/>
      <c r="F204" s="571"/>
      <c r="G204" s="571"/>
      <c r="H204" s="571"/>
      <c r="I204" s="571"/>
    </row>
    <row r="205" spans="1:9" ht="16.149999999999999" thickBot="1">
      <c r="A205" s="496" t="s">
        <v>73</v>
      </c>
      <c r="B205" s="497"/>
      <c r="C205" s="498">
        <f>C123</f>
        <v>46203</v>
      </c>
      <c r="D205" s="419"/>
      <c r="E205" s="1208"/>
      <c r="F205" s="571"/>
      <c r="G205" s="571"/>
      <c r="H205" s="571"/>
      <c r="I205" s="571"/>
    </row>
    <row r="206" spans="1:9" s="571" customFormat="1" ht="16.149999999999999" thickBot="1">
      <c r="A206" s="500" t="s">
        <v>277</v>
      </c>
      <c r="B206" s="501"/>
      <c r="C206" s="502">
        <v>465</v>
      </c>
      <c r="D206" s="499"/>
      <c r="E206" s="889"/>
    </row>
    <row r="207" spans="1:9" s="571" customFormat="1" ht="16.149999999999999" thickBot="1">
      <c r="A207" s="500" t="s">
        <v>439</v>
      </c>
      <c r="B207" s="501"/>
      <c r="C207" s="502">
        <v>246</v>
      </c>
      <c r="D207" s="499"/>
      <c r="E207" s="889"/>
    </row>
    <row r="208" spans="1:9" s="571" customFormat="1" ht="16.149999999999999" thickBot="1">
      <c r="A208" s="500" t="s">
        <v>280</v>
      </c>
      <c r="B208" s="501"/>
      <c r="C208" s="502">
        <v>120</v>
      </c>
      <c r="D208" s="499"/>
      <c r="E208" s="889"/>
    </row>
    <row r="209" spans="1:5" ht="16.149999999999999" thickBot="1">
      <c r="A209" s="500" t="s">
        <v>281</v>
      </c>
      <c r="B209" s="761"/>
      <c r="C209" s="502">
        <v>90</v>
      </c>
      <c r="D209" s="885"/>
      <c r="E209" s="889"/>
    </row>
    <row r="210" spans="1:5" ht="16.149999999999999" thickBot="1">
      <c r="A210" s="500" t="s">
        <v>440</v>
      </c>
      <c r="B210" s="761"/>
      <c r="C210" s="502">
        <v>88</v>
      </c>
      <c r="D210" s="885"/>
      <c r="E210" s="889"/>
    </row>
    <row r="211" spans="1:5" ht="16.149999999999999" thickBot="1">
      <c r="A211" s="500" t="s">
        <v>441</v>
      </c>
      <c r="B211" s="761"/>
      <c r="C211" s="502">
        <v>51</v>
      </c>
      <c r="D211" s="885"/>
      <c r="E211" s="889"/>
    </row>
    <row r="212" spans="1:5" ht="16.149999999999999" thickBot="1">
      <c r="A212" s="500" t="s">
        <v>287</v>
      </c>
      <c r="B212" s="501"/>
      <c r="C212" s="502">
        <v>38</v>
      </c>
      <c r="D212" s="885"/>
      <c r="E212" s="889"/>
    </row>
    <row r="213" spans="1:5" ht="16.149999999999999" thickBot="1">
      <c r="A213" s="500" t="s">
        <v>442</v>
      </c>
      <c r="B213" s="501"/>
      <c r="C213" s="502">
        <v>18</v>
      </c>
      <c r="D213" s="885"/>
      <c r="E213" s="889"/>
    </row>
    <row r="214" spans="1:5" ht="16.149999999999999" thickBot="1">
      <c r="A214" s="500" t="s">
        <v>443</v>
      </c>
      <c r="B214" s="501"/>
      <c r="C214" s="502">
        <v>16</v>
      </c>
      <c r="D214" s="885"/>
      <c r="E214" s="889"/>
    </row>
    <row r="215" spans="1:5" ht="16.149999999999999" thickBot="1">
      <c r="A215" s="500" t="s">
        <v>444</v>
      </c>
      <c r="B215" s="501"/>
      <c r="C215" s="502">
        <v>12</v>
      </c>
      <c r="D215" s="885"/>
      <c r="E215" s="889"/>
    </row>
    <row r="216" spans="1:5" ht="16.149999999999999" thickBot="1">
      <c r="A216" s="496" t="s">
        <v>236</v>
      </c>
      <c r="B216" s="501"/>
      <c r="C216" s="502">
        <v>21</v>
      </c>
      <c r="D216" s="885"/>
      <c r="E216" s="889"/>
    </row>
    <row r="217" spans="1:5" ht="16.149999999999999" thickBot="1">
      <c r="A217" s="446" t="s">
        <v>118</v>
      </c>
      <c r="B217" s="503"/>
      <c r="C217" s="432">
        <f>SUM(C206:C216)</f>
        <v>1165</v>
      </c>
      <c r="D217" s="448"/>
      <c r="E217" s="889"/>
    </row>
    <row r="218" spans="1:5">
      <c r="A218" s="1215"/>
      <c r="B218" s="423" t="s">
        <v>380</v>
      </c>
      <c r="C218" s="571">
        <f>SUM(C206:C216)-C217</f>
        <v>0</v>
      </c>
      <c r="D218" s="571"/>
      <c r="E218" s="889"/>
    </row>
    <row r="219" spans="1:5" ht="16.149999999999999" thickBot="1">
      <c r="A219" s="1196"/>
      <c r="B219" s="424" t="s">
        <v>381</v>
      </c>
      <c r="C219" s="1191">
        <f>C217-BP!F32</f>
        <v>0</v>
      </c>
      <c r="D219" s="1191"/>
      <c r="E219" s="883"/>
    </row>
    <row r="222" spans="1:5" ht="16.149999999999999" thickBot="1">
      <c r="A222" s="398" t="s">
        <v>445</v>
      </c>
      <c r="B222" s="571"/>
      <c r="C222" s="571"/>
      <c r="D222" s="571"/>
      <c r="E222" s="571"/>
    </row>
    <row r="223" spans="1:5" ht="16.149999999999999" thickBot="1">
      <c r="A223" s="504" t="s">
        <v>213</v>
      </c>
      <c r="B223" s="505"/>
      <c r="C223" s="401">
        <f>C123</f>
        <v>46203</v>
      </c>
      <c r="D223" s="401"/>
      <c r="E223" s="506">
        <f>E123</f>
        <v>46022</v>
      </c>
    </row>
    <row r="224" spans="1:5" s="571" customFormat="1" hidden="1">
      <c r="A224" s="572" t="s">
        <v>446</v>
      </c>
      <c r="B224" s="573"/>
      <c r="C224" s="885">
        <f>-SUMIF('Balancete 06.2026'!C:C,21161,'Balancete 06.2026'!K:K)</f>
        <v>0</v>
      </c>
      <c r="D224" s="574"/>
      <c r="E224" s="1188">
        <f>-SUMIF('Balancete 06.2026'!C:C,21161,'Balancete 06.2026'!E:E)/1000</f>
        <v>0</v>
      </c>
    </row>
    <row r="225" spans="1:5">
      <c r="A225" s="572" t="s">
        <v>447</v>
      </c>
      <c r="B225" s="573"/>
      <c r="C225" s="885">
        <f>SUM(-SUMIF('Balancete 06.2026'!C:C,21162,'Balancete 06.2026'!K:K),-SUMIF('Balancete 06.2026'!C:C,21163,'Balancete 06.2026'!K:K))</f>
        <v>5</v>
      </c>
      <c r="D225" s="885"/>
      <c r="E225" s="1188">
        <f>SUM(-SUMIF('Balancete 06.2026'!C:C,21162,'Balancete 06.2026'!E:E),-SUMIF('Balancete 06.2026'!C:C,21163,'Balancete 06.2026'!E:E))/1000</f>
        <v>2.3244799999999999</v>
      </c>
    </row>
    <row r="226" spans="1:5" hidden="1">
      <c r="A226" s="572" t="s">
        <v>448</v>
      </c>
      <c r="B226" s="573"/>
      <c r="C226" s="885">
        <f>-SUMIF('Balancete 06.2026'!C:C,21167,'Balancete 06.2026'!K:K)</f>
        <v>0</v>
      </c>
      <c r="D226" s="885"/>
      <c r="E226" s="1188">
        <f>-SUMIF('Balancete 06.2026'!C:C,21167,'Balancete 06.2026'!E:E)/1000</f>
        <v>0</v>
      </c>
    </row>
    <row r="227" spans="1:5">
      <c r="A227" s="572" t="s">
        <v>449</v>
      </c>
      <c r="B227" s="573"/>
      <c r="C227" s="885">
        <f>-SUMIF('Balancete 06.2026'!C:C,561,'Balancete 06.2026'!K:K)</f>
        <v>2985</v>
      </c>
      <c r="D227" s="335"/>
      <c r="E227" s="1188">
        <f>-SUMIF('Balancete 06.2026'!C:C,561,'Balancete 06.2026'!E:E)/1000</f>
        <v>4654.5791799999997</v>
      </c>
    </row>
    <row r="228" spans="1:5">
      <c r="A228" s="572" t="s">
        <v>450</v>
      </c>
      <c r="B228" s="573"/>
      <c r="C228" s="885">
        <f>-SUMIF('Balancete 06.2026'!C:C,"inss",'Balancete 06.2026'!K:K)</f>
        <v>16</v>
      </c>
      <c r="D228" s="885"/>
      <c r="E228" s="1188">
        <f>-SUMIF('Balancete 06.2026'!C:C,"inss",'Balancete 06.2026'!E:E)/1000</f>
        <v>30.142529999999997</v>
      </c>
    </row>
    <row r="229" spans="1:5" hidden="1">
      <c r="A229" s="572" t="s">
        <v>295</v>
      </c>
      <c r="B229" s="573"/>
      <c r="C229" s="885">
        <f>-SUMIF('Balancete 06.2026'!C:C,"iss",'Balancete 06.2026'!K:K)</f>
        <v>0</v>
      </c>
      <c r="D229" s="885"/>
      <c r="E229" s="1188">
        <f>-SUMIF('Balancete 06.2026'!C:C,"iss",'Balancete 06.2026'!E:E)/1000</f>
        <v>0</v>
      </c>
    </row>
    <row r="230" spans="1:5">
      <c r="A230" s="572" t="s">
        <v>451</v>
      </c>
      <c r="B230" s="573"/>
      <c r="C230" s="885">
        <f>SUM(-SUMIF('Balancete 06.2026'!C:C,6147,'Balancete 06.2026'!K:K),-SUMIF('Balancete 06.2026'!C:C,6190,'Balancete 06.2026'!K:K),-SUMIF('Balancete 06.2026'!C:C,6175,'Balancete 06.2026'!K:K)-SUMIF('Balancete 06.2026'!C:C,211773,'Balancete 06.2026'!K:K)-SUMIF('Balancete 06.2026'!C:C,211774,'Balancete 06.2026'!K:K)-SUMIF('Balancete 06.2026'!C:C,211775,'Balancete 06.2026'!K:K)-SUMIF('Balancete 06.2026'!C:C,211776,'Balancete 06.2026'!K:K))</f>
        <v>168</v>
      </c>
      <c r="D230" s="885"/>
      <c r="E230" s="1188">
        <f>SUM(-SUMIF('Balancete 06.2026'!C:C,6147,'Balancete 06.2026'!E:E),-SUMIF('Balancete 06.2026'!C:C,6190,'Balancete 06.2026'!E:E),-SUMIF('Balancete 06.2026'!C:C,6175,'Balancete 06.2026'!E:E)-SUMIF('Balancete 06.2026'!C:C,211773,'Balancete 06.2026'!E:E)-SUMIF('Balancete 06.2026'!C:C,211774,'Balancete 06.2026'!E:E)-SUMIF('Balancete 06.2026'!C:C,211775,'Balancete 06.2026'!E:E)-SUMIF('Balancete 06.2026'!C:C,211776,'Balancete 06.2026'!E:E))/1000</f>
        <v>602.11835999999994</v>
      </c>
    </row>
    <row r="231" spans="1:5" ht="16.149999999999999" thickBot="1">
      <c r="A231" s="446" t="s">
        <v>118</v>
      </c>
      <c r="B231" s="503"/>
      <c r="C231" s="461">
        <f>SUM(C224:C230)</f>
        <v>3174</v>
      </c>
      <c r="D231" s="461"/>
      <c r="E231" s="462">
        <f>SUM(E224:E230)</f>
        <v>5289.1645499999995</v>
      </c>
    </row>
    <row r="232" spans="1:5">
      <c r="A232" s="1185"/>
      <c r="B232" s="423" t="s">
        <v>380</v>
      </c>
      <c r="C232" s="1200">
        <f>SUM(C224:C230)-C231</f>
        <v>0</v>
      </c>
      <c r="D232" s="1200"/>
      <c r="E232" s="1189">
        <f>SUM(E224:E230)-E231</f>
        <v>0</v>
      </c>
    </row>
    <row r="233" spans="1:5" ht="16.149999999999999" thickBot="1">
      <c r="A233" s="1196"/>
      <c r="B233" s="424" t="s">
        <v>381</v>
      </c>
      <c r="C233" s="1203">
        <f>C231-BP!F33</f>
        <v>0</v>
      </c>
      <c r="D233" s="1203"/>
      <c r="E233" s="1192">
        <f>E231-BP!H33</f>
        <v>0.16454999999950815</v>
      </c>
    </row>
    <row r="235" spans="1:5" ht="16.149999999999999" thickBot="1">
      <c r="A235" s="398" t="s">
        <v>452</v>
      </c>
      <c r="B235" s="571"/>
      <c r="C235" s="571"/>
      <c r="D235" s="571"/>
      <c r="E235" s="571"/>
    </row>
    <row r="236" spans="1:5" ht="16.149999999999999" thickBot="1">
      <c r="A236" s="457" t="s">
        <v>213</v>
      </c>
      <c r="B236" s="426"/>
      <c r="C236" s="401">
        <f>C223</f>
        <v>46203</v>
      </c>
      <c r="D236" s="401"/>
      <c r="E236" s="458">
        <f>E223</f>
        <v>46022</v>
      </c>
    </row>
    <row r="237" spans="1:5">
      <c r="A237" s="460" t="s">
        <v>297</v>
      </c>
      <c r="B237" s="1199"/>
      <c r="C237" s="335">
        <f>-SUMIF('Balancete 06.2026'!C:C,21181,'Balancete 06.2026'!K:K)</f>
        <v>7311</v>
      </c>
      <c r="D237" s="335"/>
      <c r="E237" s="1188">
        <f>-SUMIF('Balancete 06.2026'!C:C,21181,'Balancete 06.2026'!E:E)/1000</f>
        <v>6920.3148300000003</v>
      </c>
    </row>
    <row r="238" spans="1:5">
      <c r="A238" s="460" t="s">
        <v>453</v>
      </c>
      <c r="B238" s="1199"/>
      <c r="C238" s="335">
        <f>SUM(-SUMIF('Balancete 06.2026'!C:C,21182,'Balancete 06.2026'!K:K),-SUMIF('Balancete 06.2026'!C:C,211810,'Balancete 06.2026'!K:K),-SUMIF('Balancete 06.2026'!C:C,211811,'Balancete 06.2026'!K:K))</f>
        <v>4854</v>
      </c>
      <c r="D238" s="335"/>
      <c r="E238" s="1188">
        <f>SUM(-SUMIF('Balancete 06.2026'!C:C,21182,'Balancete 06.2026'!E:E),-SUMIF('Balancete 06.2026'!C:C,211810,'Balancete 06.2026'!E:E),-SUMIF('Balancete 06.2026'!C:C,211811,'Balancete 06.2026'!E:E))/1000</f>
        <v>0</v>
      </c>
    </row>
    <row r="239" spans="1:5">
      <c r="A239" s="460" t="s">
        <v>454</v>
      </c>
      <c r="B239" s="1199"/>
      <c r="C239" s="335">
        <f>SUM(-SUMIF('Balancete 06.2026'!C:C,21183,'Balancete 06.2026'!K:K),-SUMIF('Balancete 06.2026'!C:C,211812,'Balancete 06.2026'!K:K),-SUMIF('Balancete 06.2026'!C:C,211813,'Balancete 06.2026'!K:K))</f>
        <v>16464</v>
      </c>
      <c r="D239" s="335"/>
      <c r="E239" s="1188">
        <f>SUM(-SUMIF('Balancete 06.2026'!C:C,21183,'Balancete 06.2026'!E:E),-SUMIF('Balancete 06.2026'!C:C,211812,'Balancete 06.2026'!E:E),-SUMIF('Balancete 06.2026'!C:C,211813,'Balancete 06.2026'!E:E))/1000</f>
        <v>14593.045809999998</v>
      </c>
    </row>
    <row r="240" spans="1:5" hidden="1">
      <c r="A240" s="460" t="s">
        <v>455</v>
      </c>
      <c r="B240" s="1199"/>
      <c r="C240" s="885">
        <f>-SUMIF('Balancete 06.2026'!C:C,21188,'Balancete 06.2026'!K:K)</f>
        <v>0</v>
      </c>
      <c r="D240" s="885"/>
      <c r="E240" s="1187">
        <f>-SUMIF('Balancete 06.2026'!C:C,21187,'Balancete 06.2026'!E:E)/1000</f>
        <v>0</v>
      </c>
    </row>
    <row r="241" spans="1:8">
      <c r="A241" s="460" t="s">
        <v>300</v>
      </c>
      <c r="B241" s="1199"/>
      <c r="C241" s="335">
        <f>-SUMIF('Balancete 06.2026'!C:C,21184,'Balancete 06.2026'!K:K)</f>
        <v>2211</v>
      </c>
      <c r="D241" s="335"/>
      <c r="E241" s="1188">
        <f>-SUMIF('Balancete 06.2026'!C:C,21184,'Balancete 06.2026'!E:E)/1000</f>
        <v>2681.2117799999996</v>
      </c>
      <c r="F241" s="571"/>
      <c r="G241" s="571"/>
      <c r="H241" s="571"/>
    </row>
    <row r="242" spans="1:8">
      <c r="A242" s="460" t="s">
        <v>301</v>
      </c>
      <c r="B242" s="1199"/>
      <c r="C242" s="335">
        <f>-SUMIF('Balancete 06.2026'!C:C,21185,'Balancete 06.2026'!K:K)</f>
        <v>841</v>
      </c>
      <c r="D242" s="885"/>
      <c r="E242" s="1231">
        <f>-SUMIF('Balancete 06.2026'!C:C,21185,'Balancete 06.2026'!E:E)/1000-1</f>
        <v>820.75774999999999</v>
      </c>
      <c r="F242" s="571"/>
      <c r="G242" s="571"/>
      <c r="H242" s="571"/>
    </row>
    <row r="243" spans="1:8">
      <c r="A243" s="460" t="s">
        <v>456</v>
      </c>
      <c r="B243" s="1199"/>
      <c r="C243" s="335">
        <f>-SUMIF('Balancete 06.2026'!C:C,211920,'Balancete 06.2026'!K:K)</f>
        <v>204</v>
      </c>
      <c r="D243" s="885"/>
      <c r="E243" s="1187">
        <v>0</v>
      </c>
      <c r="F243" s="571"/>
      <c r="G243" s="571"/>
      <c r="H243" s="571"/>
    </row>
    <row r="244" spans="1:8" hidden="1">
      <c r="A244" s="460" t="s">
        <v>457</v>
      </c>
      <c r="B244" s="1199"/>
      <c r="C244" s="335">
        <f>-SUMIF('Balancete 06.2026'!C:C,21187,'Balancete 06.2026'!K:K)</f>
        <v>0</v>
      </c>
      <c r="D244" s="885"/>
      <c r="E244" s="1187">
        <v>0</v>
      </c>
      <c r="F244" s="571"/>
      <c r="G244" s="571"/>
      <c r="H244" s="571"/>
    </row>
    <row r="245" spans="1:8">
      <c r="A245" s="460" t="s">
        <v>458</v>
      </c>
      <c r="B245" s="1199"/>
      <c r="C245" s="335">
        <f>-SUMIF('Balancete 06.2026'!C:C,211815,'Balancete 06.2026'!K:K)</f>
        <v>18</v>
      </c>
      <c r="D245" s="885"/>
      <c r="E245" s="1187">
        <v>0</v>
      </c>
      <c r="F245" s="571"/>
      <c r="G245" s="571"/>
      <c r="H245" s="571"/>
    </row>
    <row r="246" spans="1:8" hidden="1">
      <c r="A246" s="460" t="s">
        <v>459</v>
      </c>
      <c r="B246" s="1199"/>
      <c r="C246" s="335">
        <f>-SUMIF('Balancete 06.2026'!C:C,211816,'Balancete 06.2026'!K:K)</f>
        <v>0</v>
      </c>
      <c r="D246" s="885"/>
      <c r="E246" s="1187">
        <v>0</v>
      </c>
      <c r="F246" s="571"/>
      <c r="G246" s="571"/>
      <c r="H246" s="571"/>
    </row>
    <row r="247" spans="1:8" ht="16.149999999999999" thickBot="1">
      <c r="A247" s="446" t="s">
        <v>118</v>
      </c>
      <c r="B247" s="432"/>
      <c r="C247" s="461">
        <f>SUM(C237:C246)</f>
        <v>31903</v>
      </c>
      <c r="D247" s="461"/>
      <c r="E247" s="462">
        <f>SUM(E237:E242)</f>
        <v>25015.330169999997</v>
      </c>
      <c r="F247" s="571"/>
      <c r="G247" s="571"/>
      <c r="H247" s="571"/>
    </row>
    <row r="248" spans="1:8">
      <c r="A248" s="1185"/>
      <c r="B248" s="1232" t="s">
        <v>380</v>
      </c>
      <c r="C248" s="1200">
        <f>SUM(C237:C246)-C247</f>
        <v>0</v>
      </c>
      <c r="D248" s="1200"/>
      <c r="E248" s="1189">
        <f>SUM(E237:E242)-E247</f>
        <v>0</v>
      </c>
      <c r="F248" s="571"/>
      <c r="G248" s="571"/>
      <c r="H248" s="571"/>
    </row>
    <row r="249" spans="1:8" ht="16.149999999999999" thickBot="1">
      <c r="A249" s="1196"/>
      <c r="B249" s="1233" t="s">
        <v>381</v>
      </c>
      <c r="C249" s="1203">
        <f>C247-BP!F34</f>
        <v>0</v>
      </c>
      <c r="D249" s="1203"/>
      <c r="E249" s="1192">
        <f>E247-BP!H34</f>
        <v>0.33016999999745167</v>
      </c>
      <c r="F249" s="571"/>
      <c r="G249" s="571"/>
      <c r="H249" s="571"/>
    </row>
    <row r="251" spans="1:8" ht="16.149999999999999" thickBot="1">
      <c r="A251" s="398" t="s">
        <v>460</v>
      </c>
      <c r="B251" s="571"/>
      <c r="C251" s="571"/>
      <c r="D251" s="571"/>
      <c r="E251" s="571"/>
      <c r="F251" s="571"/>
      <c r="G251" s="571"/>
      <c r="H251" s="571"/>
    </row>
    <row r="252" spans="1:8">
      <c r="A252" s="508" t="s">
        <v>461</v>
      </c>
      <c r="B252" s="1207"/>
      <c r="C252" s="1207"/>
      <c r="D252" s="1207"/>
      <c r="E252" s="1207"/>
      <c r="F252" s="1207"/>
      <c r="G252" s="1207"/>
      <c r="H252" s="1208"/>
    </row>
    <row r="253" spans="1:8" ht="31.9" thickBot="1">
      <c r="A253" s="509" t="s">
        <v>213</v>
      </c>
      <c r="B253" s="511">
        <f>E236</f>
        <v>46022</v>
      </c>
      <c r="C253" s="583" t="s">
        <v>302</v>
      </c>
      <c r="D253" s="583"/>
      <c r="E253" s="510" t="s">
        <v>264</v>
      </c>
      <c r="F253" s="510" t="s">
        <v>462</v>
      </c>
      <c r="G253" s="511">
        <f>C236</f>
        <v>46203</v>
      </c>
      <c r="H253" s="512" t="s">
        <v>380</v>
      </c>
    </row>
    <row r="254" spans="1:8">
      <c r="A254" s="460" t="s">
        <v>304</v>
      </c>
      <c r="B254" s="480">
        <v>4385</v>
      </c>
      <c r="C254" s="480">
        <f>164+106</f>
        <v>270</v>
      </c>
      <c r="D254" s="480"/>
      <c r="E254" s="621">
        <v>0</v>
      </c>
      <c r="F254" s="334">
        <v>-77</v>
      </c>
      <c r="G254" s="480">
        <f>SUM(B254:F254)</f>
        <v>4578</v>
      </c>
      <c r="H254" s="1189">
        <f>SUM(B254:F254)-G254</f>
        <v>0</v>
      </c>
    </row>
    <row r="255" spans="1:8">
      <c r="A255" s="460" t="s">
        <v>305</v>
      </c>
      <c r="B255" s="480">
        <v>8063</v>
      </c>
      <c r="C255" s="480">
        <v>144</v>
      </c>
      <c r="D255" s="480"/>
      <c r="E255" s="621">
        <v>0</v>
      </c>
      <c r="F255" s="334">
        <v>-3035</v>
      </c>
      <c r="G255" s="480">
        <f>SUM(B255:F255)</f>
        <v>5172</v>
      </c>
      <c r="H255" s="1189">
        <f>SUM(B255:F255)-G255</f>
        <v>0</v>
      </c>
    </row>
    <row r="256" spans="1:8" ht="14.45" hidden="1" customHeight="1">
      <c r="A256" s="460" t="s">
        <v>463</v>
      </c>
      <c r="B256" s="499">
        <v>0</v>
      </c>
      <c r="C256" s="499">
        <v>0</v>
      </c>
      <c r="D256" s="499"/>
      <c r="E256" s="334" t="s">
        <v>115</v>
      </c>
      <c r="F256" s="616">
        <v>0</v>
      </c>
      <c r="G256" s="480">
        <f>SUM(B256:F256)</f>
        <v>0</v>
      </c>
      <c r="H256" s="1189">
        <f>SUM(B256:F256)-G256</f>
        <v>0</v>
      </c>
    </row>
    <row r="257" spans="1:8" ht="16.149999999999999" thickBot="1">
      <c r="A257" s="443" t="s">
        <v>464</v>
      </c>
      <c r="B257" s="461">
        <f>SUM(B254:B256)</f>
        <v>12448</v>
      </c>
      <c r="C257" s="461">
        <f>SUM(C254:C256)</f>
        <v>414</v>
      </c>
      <c r="D257" s="461"/>
      <c r="E257" s="432">
        <f>SUM(E254:E256)</f>
        <v>0</v>
      </c>
      <c r="F257" s="461">
        <f>SUM(F254:F256)</f>
        <v>-3112</v>
      </c>
      <c r="G257" s="480">
        <f>SUM(B257:F257)</f>
        <v>9750</v>
      </c>
      <c r="H257" s="1189">
        <f>SUM(B257:F257)-G257</f>
        <v>0</v>
      </c>
    </row>
    <row r="258" spans="1:8">
      <c r="A258" s="513" t="s">
        <v>380</v>
      </c>
      <c r="B258" s="514">
        <f>SUM(B254:B256)-B257</f>
        <v>0</v>
      </c>
      <c r="C258" s="514">
        <f>SUM(C254:C256)-C257</f>
        <v>0</v>
      </c>
      <c r="D258" s="514"/>
      <c r="E258" s="514">
        <f>SUM(E254:E256)-E257</f>
        <v>0</v>
      </c>
      <c r="F258" s="514">
        <f>SUM(F254:F256)-F257</f>
        <v>0</v>
      </c>
      <c r="G258" s="514">
        <f>SUM(G254:G256)-G257</f>
        <v>0</v>
      </c>
      <c r="H258" s="889"/>
    </row>
    <row r="259" spans="1:8">
      <c r="A259" s="513" t="s">
        <v>381</v>
      </c>
      <c r="B259" s="1200">
        <f>SUM(BP!H35,BP!H42)-B257</f>
        <v>0</v>
      </c>
      <c r="C259" s="515">
        <f>C257+F257+E257-'DFC '!F14</f>
        <v>0</v>
      </c>
      <c r="D259" s="571"/>
      <c r="E259" s="1200"/>
      <c r="F259" s="1200"/>
      <c r="G259" s="1200">
        <f>G257-BP!F42</f>
        <v>0</v>
      </c>
      <c r="H259" s="889"/>
    </row>
    <row r="260" spans="1:8">
      <c r="A260" s="1185"/>
      <c r="B260" s="571"/>
      <c r="C260" s="1200"/>
      <c r="D260" s="571"/>
      <c r="E260" s="1200">
        <v>0</v>
      </c>
      <c r="F260" s="1200"/>
      <c r="G260" s="571"/>
      <c r="H260" s="889"/>
    </row>
    <row r="261" spans="1:8">
      <c r="A261" s="516" t="s">
        <v>465</v>
      </c>
      <c r="B261" s="571"/>
      <c r="C261" s="571"/>
      <c r="D261" s="571"/>
      <c r="E261" s="571"/>
      <c r="F261" s="571"/>
      <c r="G261" s="571"/>
      <c r="H261" s="889"/>
    </row>
    <row r="262" spans="1:8" ht="31.9" thickBot="1">
      <c r="A262" s="517" t="s">
        <v>213</v>
      </c>
      <c r="B262" s="511">
        <f>B253</f>
        <v>46022</v>
      </c>
      <c r="C262" s="583" t="s">
        <v>302</v>
      </c>
      <c r="D262" s="583"/>
      <c r="E262" s="510" t="s">
        <v>264</v>
      </c>
      <c r="F262" s="510" t="s">
        <v>303</v>
      </c>
      <c r="G262" s="511">
        <f>C236</f>
        <v>46203</v>
      </c>
      <c r="H262" s="512" t="s">
        <v>380</v>
      </c>
    </row>
    <row r="263" spans="1:8">
      <c r="A263" s="460" t="s">
        <v>304</v>
      </c>
      <c r="B263" s="499">
        <v>4</v>
      </c>
      <c r="C263" s="499">
        <v>1</v>
      </c>
      <c r="D263" s="499"/>
      <c r="E263" s="334">
        <v>24</v>
      </c>
      <c r="F263" s="334">
        <v>0</v>
      </c>
      <c r="G263" s="499">
        <f>SUM(B263:F263)</f>
        <v>29</v>
      </c>
      <c r="H263" s="1189">
        <f>SUM(B263:F263)-G263</f>
        <v>0</v>
      </c>
    </row>
    <row r="264" spans="1:8">
      <c r="A264" s="460" t="s">
        <v>463</v>
      </c>
      <c r="B264" s="480">
        <v>8232717</v>
      </c>
      <c r="C264" s="480">
        <v>189346</v>
      </c>
      <c r="D264" s="499"/>
      <c r="E264" s="514">
        <v>43</v>
      </c>
      <c r="F264" s="514">
        <v>-26020</v>
      </c>
      <c r="G264" s="480">
        <f>SUM(B264:F264)</f>
        <v>8396086</v>
      </c>
      <c r="H264" s="1189">
        <f>SUM(B264:F264)-G264</f>
        <v>0</v>
      </c>
    </row>
    <row r="265" spans="1:8">
      <c r="A265" s="460" t="s">
        <v>466</v>
      </c>
      <c r="B265" s="480">
        <v>8952</v>
      </c>
      <c r="C265" s="499">
        <v>209</v>
      </c>
      <c r="D265" s="499"/>
      <c r="E265" s="334">
        <v>0</v>
      </c>
      <c r="F265" s="334">
        <v>0</v>
      </c>
      <c r="G265" s="480">
        <f>SUM(B265:F265)</f>
        <v>9161</v>
      </c>
      <c r="H265" s="1189">
        <f>SUM(B265:F265)-G265</f>
        <v>0</v>
      </c>
    </row>
    <row r="266" spans="1:8" ht="16.149999999999999" thickBot="1">
      <c r="A266" s="443" t="s">
        <v>464</v>
      </c>
      <c r="B266" s="461">
        <f>SUM(B263:B265)</f>
        <v>8241673</v>
      </c>
      <c r="C266" s="461">
        <f>SUM(C263:C265)</f>
        <v>189556</v>
      </c>
      <c r="D266" s="432"/>
      <c r="E266" s="432">
        <f>SUM(E263:E265)</f>
        <v>67</v>
      </c>
      <c r="F266" s="461">
        <f>SUM(F263:F265)</f>
        <v>-26020</v>
      </c>
      <c r="G266" s="461">
        <f>SUM(G263:G265)</f>
        <v>8405276</v>
      </c>
      <c r="H266" s="1189">
        <f>SUM(B266:F266)-G266</f>
        <v>0</v>
      </c>
    </row>
    <row r="267" spans="1:8" ht="16.149999999999999" thickBot="1">
      <c r="A267" s="518" t="s">
        <v>380</v>
      </c>
      <c r="B267" s="1203">
        <f>SUM(B263:B265)-B266</f>
        <v>0</v>
      </c>
      <c r="C267" s="1203">
        <f>SUM(C263:C265)-C266</f>
        <v>0</v>
      </c>
      <c r="D267" s="1203"/>
      <c r="E267" s="1203">
        <f>SUM(E263:E265)-E266</f>
        <v>0</v>
      </c>
      <c r="F267" s="1203">
        <f>SUM(F263:F265)-F266</f>
        <v>0</v>
      </c>
      <c r="G267" s="1203">
        <f>SUM(G263:G265)-G266</f>
        <v>0</v>
      </c>
      <c r="H267" s="883"/>
    </row>
    <row r="270" spans="1:8" ht="16.149999999999999" thickBot="1">
      <c r="A270" s="398" t="s">
        <v>467</v>
      </c>
      <c r="B270" s="571"/>
      <c r="C270" s="571"/>
      <c r="D270" s="571"/>
      <c r="E270" s="571"/>
      <c r="F270" s="571"/>
      <c r="G270" s="1200"/>
      <c r="H270" s="571"/>
    </row>
    <row r="271" spans="1:8">
      <c r="A271" s="418" t="s">
        <v>213</v>
      </c>
      <c r="B271" s="575">
        <f>G262</f>
        <v>46203</v>
      </c>
      <c r="C271" s="576">
        <f>B262</f>
        <v>46022</v>
      </c>
      <c r="D271" s="405"/>
      <c r="E271" s="571"/>
      <c r="F271" s="571"/>
      <c r="G271" s="571"/>
      <c r="H271" s="571"/>
    </row>
    <row r="272" spans="1:8">
      <c r="A272" s="460" t="s">
        <v>310</v>
      </c>
      <c r="B272" s="334">
        <f>-SUMIF('Balancete 06.2026'!C:C,211151,'Balancete 06.2026'!K:K)</f>
        <v>527</v>
      </c>
      <c r="C272" s="1188">
        <f>-SUMIF('Balancete 06.2026'!C:C,211151,'Balancete 06.2026'!E:E)/1000</f>
        <v>0</v>
      </c>
      <c r="D272" s="499"/>
      <c r="E272" s="571"/>
      <c r="F272" s="571"/>
      <c r="G272" s="571"/>
      <c r="H272" s="571"/>
    </row>
    <row r="273" spans="1:8">
      <c r="A273" s="520" t="s">
        <v>311</v>
      </c>
      <c r="B273" s="334">
        <f>-SUMIF('Balancete 06.2026'!C:C,21189,'Balancete 06.2026'!K:K)</f>
        <v>533</v>
      </c>
      <c r="C273" s="1188">
        <f>-SUMIF('Balancete 06.2026'!C:C,21189,'Balancete 06.2026'!E:E)/1000</f>
        <v>0</v>
      </c>
      <c r="D273" s="334"/>
      <c r="E273" s="571"/>
      <c r="F273" s="571"/>
      <c r="G273" s="571"/>
      <c r="H273" s="571"/>
    </row>
    <row r="274" spans="1:8" ht="16.149999999999999" thickBot="1">
      <c r="A274" s="446" t="s">
        <v>306</v>
      </c>
      <c r="B274" s="522">
        <f>SUM(B272:B273)</f>
        <v>1060</v>
      </c>
      <c r="C274" s="462">
        <f>SUM(C272:C273)</f>
        <v>0</v>
      </c>
      <c r="D274" s="523"/>
      <c r="E274" s="571"/>
      <c r="F274" s="571"/>
      <c r="G274" s="571"/>
      <c r="H274" s="571"/>
    </row>
    <row r="275" spans="1:8">
      <c r="A275" s="411" t="s">
        <v>380</v>
      </c>
      <c r="B275" s="571">
        <f>SUM(B272:B273)-B274</f>
        <v>0</v>
      </c>
      <c r="C275" s="889">
        <f>SUM(C272:C273)-C274</f>
        <v>0</v>
      </c>
      <c r="D275" s="571"/>
      <c r="E275" s="571"/>
      <c r="F275" s="571"/>
      <c r="G275" s="571"/>
      <c r="H275" s="571"/>
    </row>
    <row r="276" spans="1:8" ht="16.149999999999999" thickBot="1">
      <c r="A276" s="417" t="s">
        <v>381</v>
      </c>
      <c r="B276" s="1191">
        <f>B274-BP!F37</f>
        <v>0</v>
      </c>
      <c r="C276" s="1234">
        <f>C274-BP!H37</f>
        <v>0</v>
      </c>
      <c r="D276" s="571"/>
      <c r="E276" s="571"/>
      <c r="F276" s="571"/>
      <c r="G276" s="571"/>
      <c r="H276" s="571"/>
    </row>
    <row r="277" spans="1:8">
      <c r="A277" s="423"/>
      <c r="B277" s="571"/>
      <c r="C277" s="571"/>
      <c r="D277" s="571"/>
      <c r="E277" s="571"/>
      <c r="F277" s="571"/>
      <c r="G277" s="571"/>
      <c r="H277" s="571"/>
    </row>
    <row r="278" spans="1:8" ht="16.149999999999999" thickBot="1">
      <c r="A278" s="398" t="s">
        <v>468</v>
      </c>
      <c r="B278" s="571"/>
      <c r="C278" s="571"/>
      <c r="D278" s="571"/>
      <c r="E278" s="571"/>
      <c r="F278" s="571"/>
      <c r="G278" s="571"/>
      <c r="H278" s="571"/>
    </row>
    <row r="279" spans="1:8">
      <c r="A279" s="620" t="s">
        <v>469</v>
      </c>
      <c r="B279" s="1207"/>
      <c r="C279" s="1207"/>
      <c r="D279" s="1207"/>
      <c r="E279" s="1207"/>
      <c r="F279" s="1207"/>
      <c r="G279" s="1207"/>
      <c r="H279" s="1208"/>
    </row>
    <row r="280" spans="1:8">
      <c r="A280" s="411" t="s">
        <v>381</v>
      </c>
      <c r="B280" s="571">
        <f>36154-BP!F47</f>
        <v>0</v>
      </c>
      <c r="C280" s="571"/>
      <c r="D280" s="571"/>
      <c r="E280" s="571"/>
      <c r="F280" s="571"/>
      <c r="G280" s="571"/>
      <c r="H280" s="889"/>
    </row>
    <row r="281" spans="1:8" ht="16.149999999999999" thickBot="1">
      <c r="A281" s="1196"/>
      <c r="B281" s="1191"/>
      <c r="C281" s="1191"/>
      <c r="D281" s="1191"/>
      <c r="E281" s="1191"/>
      <c r="F281" s="1191"/>
      <c r="G281" s="1191"/>
      <c r="H281" s="883"/>
    </row>
    <row r="284" spans="1:8" ht="16.149999999999999" thickBot="1">
      <c r="A284" s="398" t="s">
        <v>470</v>
      </c>
      <c r="B284" s="571"/>
      <c r="C284" s="571"/>
      <c r="D284" s="571"/>
      <c r="E284" s="571"/>
      <c r="F284" s="571"/>
      <c r="G284" s="571"/>
      <c r="H284" s="571"/>
    </row>
    <row r="285" spans="1:8" ht="16.149999999999999" thickBot="1">
      <c r="A285" s="1235" t="s">
        <v>471</v>
      </c>
      <c r="B285" s="1236" t="s">
        <v>472</v>
      </c>
      <c r="C285" s="1236" t="s">
        <v>473</v>
      </c>
      <c r="D285" s="1236"/>
      <c r="E285" s="1236" t="s">
        <v>474</v>
      </c>
      <c r="F285" s="1236" t="s">
        <v>475</v>
      </c>
      <c r="G285" s="1237" t="s">
        <v>476</v>
      </c>
      <c r="H285" s="571"/>
    </row>
    <row r="286" spans="1:8">
      <c r="A286" s="1185">
        <v>1000000000</v>
      </c>
      <c r="B286" s="571" t="s">
        <v>477</v>
      </c>
      <c r="C286" s="980">
        <v>46035</v>
      </c>
      <c r="D286" s="571"/>
      <c r="E286" s="571" t="s">
        <v>478</v>
      </c>
      <c r="F286" s="980">
        <v>46038</v>
      </c>
      <c r="G286" s="889">
        <v>86</v>
      </c>
      <c r="H286" s="571"/>
    </row>
    <row r="287" spans="1:8">
      <c r="A287" s="1185">
        <v>3129000000</v>
      </c>
      <c r="B287" s="571" t="s">
        <v>477</v>
      </c>
      <c r="C287" s="980">
        <v>46035</v>
      </c>
      <c r="D287" s="571"/>
      <c r="E287" s="571" t="s">
        <v>479</v>
      </c>
      <c r="F287" s="980">
        <v>46037</v>
      </c>
      <c r="G287" s="889">
        <v>7</v>
      </c>
      <c r="H287" s="571"/>
    </row>
    <row r="288" spans="1:8">
      <c r="A288" s="1185">
        <v>3129000000</v>
      </c>
      <c r="B288" s="571" t="s">
        <v>480</v>
      </c>
      <c r="C288" s="980">
        <v>46073</v>
      </c>
      <c r="D288" s="571"/>
      <c r="E288" s="571" t="s">
        <v>481</v>
      </c>
      <c r="F288" s="980">
        <v>46073</v>
      </c>
      <c r="G288" s="889">
        <v>83</v>
      </c>
      <c r="H288" s="571"/>
    </row>
    <row r="289" spans="1:7" ht="14.45" customHeight="1">
      <c r="A289" s="1185">
        <v>1000000000</v>
      </c>
      <c r="B289" s="571" t="s">
        <v>480</v>
      </c>
      <c r="C289" s="980">
        <v>46073</v>
      </c>
      <c r="D289" s="571"/>
      <c r="E289" s="571" t="s">
        <v>482</v>
      </c>
      <c r="F289" s="980">
        <v>46076</v>
      </c>
      <c r="G289" s="889">
        <v>187</v>
      </c>
    </row>
    <row r="290" spans="1:7" ht="14.45" customHeight="1">
      <c r="A290" s="1185">
        <v>1080000000</v>
      </c>
      <c r="B290" s="571" t="s">
        <v>483</v>
      </c>
      <c r="C290" s="980">
        <v>46147</v>
      </c>
      <c r="D290" s="571"/>
      <c r="E290" s="571" t="s">
        <v>484</v>
      </c>
      <c r="F290" s="980">
        <v>46149</v>
      </c>
      <c r="G290" s="889">
        <v>306</v>
      </c>
    </row>
    <row r="291" spans="1:7" ht="14.45" customHeight="1">
      <c r="A291" s="1185">
        <v>1000000000</v>
      </c>
      <c r="B291" s="571" t="s">
        <v>485</v>
      </c>
      <c r="C291" s="980">
        <v>46154</v>
      </c>
      <c r="D291" s="571"/>
      <c r="E291" s="571" t="s">
        <v>486</v>
      </c>
      <c r="F291" s="980">
        <v>46154</v>
      </c>
      <c r="G291" s="889">
        <v>9</v>
      </c>
    </row>
    <row r="292" spans="1:7" ht="14.45" customHeight="1">
      <c r="A292" s="1185">
        <v>1080000000</v>
      </c>
      <c r="B292" s="571" t="s">
        <v>487</v>
      </c>
      <c r="C292" s="980">
        <v>46175</v>
      </c>
      <c r="D292" s="571"/>
      <c r="E292" s="571" t="s">
        <v>488</v>
      </c>
      <c r="F292" s="980">
        <v>46181</v>
      </c>
      <c r="G292" s="889">
        <v>493</v>
      </c>
    </row>
    <row r="293" spans="1:7" ht="14.45" customHeight="1">
      <c r="A293" s="1185">
        <v>1000000000</v>
      </c>
      <c r="B293" s="571" t="s">
        <v>487</v>
      </c>
      <c r="C293" s="980">
        <v>46175</v>
      </c>
      <c r="D293" s="571"/>
      <c r="E293" s="571" t="s">
        <v>488</v>
      </c>
      <c r="F293" s="980">
        <v>46181</v>
      </c>
      <c r="G293" s="889">
        <v>516</v>
      </c>
    </row>
    <row r="294" spans="1:7" ht="16.149999999999999" thickBot="1">
      <c r="A294" s="1196"/>
      <c r="B294" s="1191"/>
      <c r="C294" s="1191"/>
      <c r="D294" s="1191"/>
      <c r="E294" s="1191"/>
      <c r="F294" s="1233" t="s">
        <v>489</v>
      </c>
      <c r="G294" s="883">
        <f>SUM(G286:G293)</f>
        <v>1687</v>
      </c>
    </row>
    <row r="295" spans="1:7">
      <c r="A295" s="1185"/>
      <c r="B295" s="571"/>
      <c r="C295" s="571"/>
      <c r="D295" s="571"/>
      <c r="E295" s="571"/>
      <c r="F295" s="423" t="s">
        <v>380</v>
      </c>
      <c r="G295" s="889">
        <f>SUM(G286:G293)-G294</f>
        <v>0</v>
      </c>
    </row>
    <row r="296" spans="1:7" ht="16.149999999999999" thickBot="1">
      <c r="A296" s="1196"/>
      <c r="B296" s="1191"/>
      <c r="C296" s="1191"/>
      <c r="D296" s="1191"/>
      <c r="E296" s="1191"/>
      <c r="F296" s="424" t="s">
        <v>381</v>
      </c>
      <c r="G296" s="883">
        <f>BP!F49-NE!G294</f>
        <v>0</v>
      </c>
    </row>
    <row r="300" spans="1:7" ht="16.149999999999999" thickBot="1">
      <c r="A300" s="463" t="s">
        <v>490</v>
      </c>
      <c r="B300" s="571"/>
      <c r="C300" s="571"/>
      <c r="D300" s="571"/>
      <c r="E300" s="571"/>
      <c r="F300" s="571"/>
      <c r="G300" s="571"/>
    </row>
    <row r="301" spans="1:7" ht="31.15">
      <c r="A301" s="577" t="s">
        <v>491</v>
      </c>
      <c r="B301" s="524">
        <v>-11485</v>
      </c>
      <c r="C301" s="571"/>
      <c r="D301" s="571"/>
      <c r="E301" s="571"/>
      <c r="F301" s="571"/>
      <c r="G301" s="571"/>
    </row>
    <row r="302" spans="1:7">
      <c r="A302" s="525" t="s">
        <v>381</v>
      </c>
      <c r="B302" s="1238">
        <f>BP!H50-NE!B301</f>
        <v>0</v>
      </c>
      <c r="C302" s="571"/>
      <c r="D302" s="571"/>
      <c r="E302" s="571"/>
      <c r="F302" s="571"/>
      <c r="G302" s="571"/>
    </row>
    <row r="303" spans="1:7">
      <c r="A303" s="453" t="s">
        <v>492</v>
      </c>
      <c r="B303" s="1238">
        <f>DRE!G54</f>
        <v>-14681</v>
      </c>
      <c r="C303" s="1239"/>
      <c r="D303" s="571"/>
      <c r="E303" s="571"/>
      <c r="F303" s="571"/>
      <c r="G303" s="571"/>
    </row>
    <row r="304" spans="1:7" ht="31.15">
      <c r="A304" s="453" t="s">
        <v>493</v>
      </c>
      <c r="B304" s="440">
        <f>SUM(B301:B303)</f>
        <v>-26166</v>
      </c>
      <c r="C304" s="1200"/>
      <c r="D304" s="571"/>
      <c r="E304" s="571"/>
      <c r="F304" s="571"/>
      <c r="G304" s="571"/>
    </row>
    <row r="305" spans="1:7">
      <c r="A305" s="525" t="s">
        <v>381</v>
      </c>
      <c r="B305" s="1189">
        <f>BP!F50-NE!B304</f>
        <v>0</v>
      </c>
      <c r="C305" s="1200"/>
      <c r="D305" s="571"/>
      <c r="E305" s="571"/>
      <c r="F305" s="571"/>
      <c r="G305" s="571"/>
    </row>
    <row r="306" spans="1:7" ht="16.149999999999999" thickBot="1">
      <c r="A306" s="417"/>
      <c r="B306" s="1192"/>
      <c r="C306" s="571"/>
      <c r="D306" s="571"/>
      <c r="E306" s="571"/>
      <c r="F306" s="571"/>
      <c r="G306" s="571"/>
    </row>
    <row r="310" spans="1:7" ht="16.149999999999999" thickBot="1">
      <c r="A310" s="463" t="s">
        <v>494</v>
      </c>
      <c r="B310" s="571"/>
      <c r="C310" s="571"/>
      <c r="D310" s="571"/>
      <c r="E310" s="571"/>
      <c r="F310" s="571"/>
      <c r="G310" s="571"/>
    </row>
    <row r="311" spans="1:7" ht="16.149999999999999" thickBot="1">
      <c r="A311" s="418" t="s">
        <v>495</v>
      </c>
      <c r="B311" s="1240"/>
      <c r="C311" s="427">
        <f>B271</f>
        <v>46203</v>
      </c>
      <c r="D311" s="526"/>
      <c r="E311" s="527"/>
      <c r="F311" s="401" t="str">
        <f>DRE!K7</f>
        <v>01/01/2025 a 30/06/2025 (Acumulado)</v>
      </c>
      <c r="G311" s="1208"/>
    </row>
    <row r="312" spans="1:7">
      <c r="A312" s="486"/>
      <c r="B312" s="1241"/>
      <c r="C312" s="491"/>
      <c r="D312" s="491"/>
      <c r="E312" s="1199" t="s">
        <v>381</v>
      </c>
      <c r="F312" s="414"/>
      <c r="G312" s="1212" t="s">
        <v>381</v>
      </c>
    </row>
    <row r="313" spans="1:7">
      <c r="A313" s="460" t="s">
        <v>316</v>
      </c>
      <c r="B313" s="1241"/>
      <c r="C313" s="514">
        <f>-SUMIF('Balancete 06.2026'!C:C,41,'Balancete 06.2026'!K:K)</f>
        <v>-61796</v>
      </c>
      <c r="D313" s="514"/>
      <c r="E313" s="514">
        <f>C313-DRE!G12-DRE!G16-DRE!G17-DRE!G18-DRE!G19</f>
        <v>0</v>
      </c>
      <c r="F313" s="480">
        <f>DRE!K12+DRE!K16+DRE!K17+DRE!K18+DRE!K19</f>
        <v>-55655</v>
      </c>
      <c r="G313" s="1189">
        <f>F313-DRE!K12-DRE!K16-DRE!K17-DRE!K18-DRE!K19</f>
        <v>0</v>
      </c>
    </row>
    <row r="314" spans="1:7" ht="16.149999999999999" thickBot="1">
      <c r="A314" s="460" t="s">
        <v>317</v>
      </c>
      <c r="B314" s="1241"/>
      <c r="C314" s="514">
        <f>SUM(-SUMIF('Balancete 06.2026'!C:C,42,'Balancete 06.2026'!K:K),+SUMIF('Balancete 06.2026'!C:C,42701,'Balancete 06.2026'!K:K),+SUMIF('Balancete 06.2026'!C:C,425,'Balancete 06.2026'!K:K)-SUMIF('Balancete 06.2026'!C:C,33213,'Balancete 06.2026'!K:K)-SUMIF('Balancete 06.2026'!C:C,4254,'Balancete 06.2026'!K:K)+SUMIF('Balancete 06.2026'!C:C,42994,'Balancete 06.2026'!K:K))-1</f>
        <v>-35548</v>
      </c>
      <c r="D314" s="514"/>
      <c r="E314" s="514">
        <f>C314-DRE!G34</f>
        <v>0</v>
      </c>
      <c r="F314" s="480">
        <f>DRE!K34</f>
        <v>-31002</v>
      </c>
      <c r="G314" s="1189">
        <f>F314-DRE!K34</f>
        <v>0</v>
      </c>
    </row>
    <row r="315" spans="1:7" ht="16.149999999999999" thickBot="1">
      <c r="A315" s="528" t="s">
        <v>118</v>
      </c>
      <c r="B315" s="1241"/>
      <c r="C315" s="529">
        <f>SUM(C313:C314)</f>
        <v>-97344</v>
      </c>
      <c r="D315" s="530"/>
      <c r="E315" s="491"/>
      <c r="F315" s="531">
        <f>SUM(F313:F314)</f>
        <v>-86657</v>
      </c>
      <c r="G315" s="889"/>
    </row>
    <row r="316" spans="1:7" ht="16.149999999999999" thickTop="1">
      <c r="A316" s="528"/>
      <c r="B316" s="885" t="s">
        <v>385</v>
      </c>
      <c r="C316" s="530">
        <f>SUM(C313:C314)-C315</f>
        <v>0</v>
      </c>
      <c r="D316" s="530"/>
      <c r="E316" s="885" t="s">
        <v>385</v>
      </c>
      <c r="F316" s="530">
        <f>SUM(F313:F314)-F315</f>
        <v>0</v>
      </c>
      <c r="G316" s="889"/>
    </row>
    <row r="317" spans="1:7">
      <c r="A317" s="528"/>
      <c r="B317" s="1199"/>
      <c r="C317" s="530"/>
      <c r="D317" s="530"/>
      <c r="E317" s="491"/>
      <c r="F317" s="1199"/>
      <c r="G317" s="889"/>
    </row>
    <row r="318" spans="1:7">
      <c r="A318" s="486"/>
      <c r="B318" s="1241"/>
      <c r="C318" s="491"/>
      <c r="D318" s="491"/>
      <c r="E318" s="491"/>
      <c r="F318" s="414"/>
      <c r="G318" s="889"/>
    </row>
    <row r="319" spans="1:7">
      <c r="A319" s="528" t="s">
        <v>496</v>
      </c>
      <c r="B319" s="1241"/>
      <c r="C319" s="491"/>
      <c r="D319" s="491"/>
      <c r="E319" s="1199" t="s">
        <v>381</v>
      </c>
      <c r="F319" s="414"/>
      <c r="G319" s="1212" t="s">
        <v>381</v>
      </c>
    </row>
    <row r="320" spans="1:7">
      <c r="A320" s="460" t="s">
        <v>319</v>
      </c>
      <c r="B320" s="1241"/>
      <c r="C320" s="514">
        <f>SUM(-SUMIF('Balancete 06.2026'!C:C,411,'Balancete 06.2026'!K:K),-SUMIF('Balancete 06.2026'!C:C,421,'Balancete 06.2026'!K:K),-SUMIF('Balancete 06.2026'!C:C,413117,'Balancete 06.2026'!K:K),-SUMIF('Balancete 06.2026'!C:C,42313,'Balancete 06.2026'!K:K),-SUMIF('Balancete 06.2026'!C:C,423117,'Balancete 06.2026'!K:K),-SUMIF('Balancete 06.2026'!C:C,423119,'Balancete 06.2026'!K:K))</f>
        <v>-77786</v>
      </c>
      <c r="D320" s="514"/>
      <c r="E320" s="578">
        <f>C320-DRE!G12-DRE!G13-DRE!G14-DRE!G25-DRE!G26-DRE!G27</f>
        <v>0</v>
      </c>
      <c r="F320" s="480">
        <f>-DRE!K12-DRE!K13-DRE!K14-DRE!K25-DRE!K26-DRE!K27</f>
        <v>71788</v>
      </c>
      <c r="G320" s="889"/>
    </row>
    <row r="321" spans="1:7">
      <c r="A321" s="460" t="s">
        <v>10</v>
      </c>
      <c r="B321" s="1241"/>
      <c r="C321" s="334">
        <f>-SUMIF('Balancete 06.2026'!C:C,422,'Balancete 06.2026'!K:K)</f>
        <v>-22</v>
      </c>
      <c r="D321" s="334"/>
      <c r="E321" s="579">
        <f>C321-DRE!G28</f>
        <v>0</v>
      </c>
      <c r="F321" s="499">
        <f>-DRE!K28</f>
        <v>48</v>
      </c>
      <c r="G321" s="889"/>
    </row>
    <row r="322" spans="1:7">
      <c r="A322" s="460" t="s">
        <v>321</v>
      </c>
      <c r="B322" s="1241"/>
      <c r="C322" s="514">
        <f>SUM(-SUMIF('Balancete 06.2026'!C:C,4131,'Balancete 06.2026'!K:K),-SUMIF('Balancete 06.2026'!C:C,4231,'Balancete 06.2026'!K:K)+SUMIF('Balancete 06.2026'!C:C,413117,'Balancete 06.2026'!K:K),+SUMIF('Balancete 06.2026'!C:C,42313,'Balancete 06.2026'!K:K),+SUMIF('Balancete 06.2026'!C:C,423117,'Balancete 06.2026'!K:K)+SUMIF('Balancete 06.2026'!C:C,423119,'Balancete 06.2026'!K:K)-SUMIF('Balancete 06.2026'!C:C,33213,'Balancete 06.2026'!K:K))</f>
        <v>-9342</v>
      </c>
      <c r="D322" s="514"/>
      <c r="E322" s="578">
        <f>C322-DRE!G16-DRE!G29</f>
        <v>0</v>
      </c>
      <c r="F322" s="480">
        <f>-DRE!K29-DRE!K16</f>
        <v>7023</v>
      </c>
      <c r="G322" s="889"/>
    </row>
    <row r="323" spans="1:7">
      <c r="A323" s="460" t="s">
        <v>322</v>
      </c>
      <c r="B323" s="1241"/>
      <c r="C323" s="514">
        <f>SUM(-SUMIF('Balancete 06.2026'!C:C,4261,'Balancete 06.2026'!K:K)-SUMIF('Balancete 06.2026'!C:C,4161,'Balancete 06.2026'!K:K))-SUMIF('Balancete 06.2026'!C:C,42994,'Balancete 06.2026'!K:K)</f>
        <v>-4573</v>
      </c>
      <c r="D323" s="514"/>
      <c r="E323" s="578">
        <f>C323-DRE!G17-DRE!G30</f>
        <v>0</v>
      </c>
      <c r="F323" s="480">
        <f>-DRE!K17-DRE!K30</f>
        <v>4799</v>
      </c>
      <c r="G323" s="889"/>
    </row>
    <row r="324" spans="1:7">
      <c r="A324" s="460" t="s">
        <v>323</v>
      </c>
      <c r="B324" s="1241"/>
      <c r="C324" s="514">
        <f>SUM(-SUMIF('Balancete 06.2026'!C:C,4262,'Balancete 06.2026'!K:K),-SUMIF('Balancete 06.2026'!C:C,4162,'Balancete 06.2026'!K:K))</f>
        <v>-4981</v>
      </c>
      <c r="D324" s="514"/>
      <c r="E324" s="578">
        <f>C324-DRE!G31-DRE!G18</f>
        <v>0</v>
      </c>
      <c r="F324" s="480">
        <f>-DRE!K31-DRE!K18</f>
        <v>2707</v>
      </c>
      <c r="G324" s="889"/>
    </row>
    <row r="325" spans="1:7" ht="16.149999999999999" thickBot="1">
      <c r="A325" s="460" t="s">
        <v>17</v>
      </c>
      <c r="B325" s="1241"/>
      <c r="C325" s="621">
        <f>SUM(-SUMIF('Balancete 06.2026'!C:C,4241,'Balancete 06.2026'!K:K),-SUMIF('Balancete 06.2026'!C:C,4141,'Balancete 06.2026'!K:K))</f>
        <v>-640</v>
      </c>
      <c r="D325" s="334"/>
      <c r="E325" s="579">
        <f>C325-DRE!G19-DRE!G32</f>
        <v>0</v>
      </c>
      <c r="F325" s="480">
        <f>-DRE!K32-DRE!K19</f>
        <v>292</v>
      </c>
      <c r="G325" s="889"/>
    </row>
    <row r="326" spans="1:7" ht="16.149999999999999" hidden="1" thickBot="1">
      <c r="A326" s="460" t="s">
        <v>497</v>
      </c>
      <c r="B326" s="1241"/>
      <c r="C326" s="334">
        <f>SUM(-SUMIF('Balancete 06.2026'!C:C,42541,'Balancete 06.2026'!K:K))</f>
        <v>0</v>
      </c>
      <c r="D326" s="334"/>
      <c r="E326" s="579">
        <f>F326+DRE!K33</f>
        <v>0</v>
      </c>
      <c r="F326" s="499">
        <f>-DRE!K33</f>
        <v>0</v>
      </c>
      <c r="G326" s="889"/>
    </row>
    <row r="327" spans="1:7" ht="16.149999999999999" thickBot="1">
      <c r="A327" s="528" t="s">
        <v>118</v>
      </c>
      <c r="B327" s="1241"/>
      <c r="C327" s="529">
        <f>SUM(C320:C326)</f>
        <v>-97344</v>
      </c>
      <c r="D327" s="530"/>
      <c r="E327" s="439">
        <f>C327-DRE!G34-DRE!G19-DRE!G18-DRE!G17-DRE!G16-DRE!G12</f>
        <v>0</v>
      </c>
      <c r="F327" s="531">
        <f>SUM(F320:F326)</f>
        <v>86657</v>
      </c>
      <c r="G327" s="1189">
        <f>F327+DRE!K20+DRE!K34</f>
        <v>0</v>
      </c>
    </row>
    <row r="328" spans="1:7" ht="16.899999999999999" thickTop="1" thickBot="1">
      <c r="A328" s="1196"/>
      <c r="B328" s="1230" t="s">
        <v>385</v>
      </c>
      <c r="C328" s="461">
        <f>SUM(C320:C326)-C327</f>
        <v>0</v>
      </c>
      <c r="D328" s="461"/>
      <c r="E328" s="1230" t="s">
        <v>385</v>
      </c>
      <c r="F328" s="461">
        <f>SUM(F320:F326)-F327</f>
        <v>0</v>
      </c>
      <c r="G328" s="883"/>
    </row>
    <row r="329" spans="1:7">
      <c r="A329" s="571"/>
      <c r="B329" s="1199"/>
      <c r="C329" s="1200">
        <f>C327-C315</f>
        <v>0</v>
      </c>
      <c r="D329" s="571"/>
      <c r="E329" s="1199"/>
      <c r="F329" s="1200">
        <f>F327+F315</f>
        <v>0</v>
      </c>
      <c r="G329" s="571"/>
    </row>
    <row r="330" spans="1:7">
      <c r="A330" s="571"/>
      <c r="B330" s="1199"/>
      <c r="C330" s="571"/>
      <c r="D330" s="571"/>
      <c r="E330" s="1199"/>
      <c r="F330" s="1199"/>
      <c r="G330" s="571"/>
    </row>
    <row r="331" spans="1:7">
      <c r="A331" s="398" t="s">
        <v>498</v>
      </c>
      <c r="B331" s="1199"/>
      <c r="C331" s="571"/>
      <c r="D331" s="571"/>
      <c r="E331" s="1199"/>
      <c r="F331" s="1199"/>
      <c r="G331" s="571"/>
    </row>
    <row r="332" spans="1:7">
      <c r="A332" s="571"/>
      <c r="B332" s="1199"/>
      <c r="C332" s="571"/>
      <c r="D332" s="571"/>
      <c r="E332" s="1199"/>
      <c r="F332" s="1199"/>
      <c r="G332" s="571"/>
    </row>
    <row r="333" spans="1:7">
      <c r="A333" s="398" t="s">
        <v>499</v>
      </c>
      <c r="B333" s="1199"/>
      <c r="C333" s="571"/>
      <c r="D333" s="571"/>
      <c r="E333" s="1199"/>
      <c r="F333" s="1199"/>
      <c r="G333" s="571"/>
    </row>
    <row r="334" spans="1:7">
      <c r="A334" s="571"/>
      <c r="B334" s="1199"/>
      <c r="C334" s="571"/>
      <c r="D334" s="571"/>
      <c r="E334" s="1199"/>
      <c r="F334" s="1199"/>
      <c r="G334" s="571"/>
    </row>
    <row r="335" spans="1:7" ht="16.149999999999999" thickBot="1">
      <c r="A335" s="398" t="s">
        <v>500</v>
      </c>
      <c r="B335" s="571"/>
      <c r="C335" s="571"/>
      <c r="D335" s="571"/>
      <c r="E335" s="571"/>
      <c r="F335" s="571"/>
      <c r="G335" s="571"/>
    </row>
    <row r="336" spans="1:7" ht="47.45" thickBot="1">
      <c r="A336" s="400" t="s">
        <v>501</v>
      </c>
      <c r="B336" s="1207"/>
      <c r="C336" s="427">
        <f>C311</f>
        <v>46203</v>
      </c>
      <c r="D336" s="526"/>
      <c r="E336" s="1207"/>
      <c r="F336" s="403" t="str">
        <f>F311</f>
        <v>01/01/2025 a 30/06/2025 (Acumulado)</v>
      </c>
      <c r="G336" s="571"/>
    </row>
    <row r="337" spans="1:9" ht="16.149999999999999" thickBot="1">
      <c r="A337" s="408" t="s">
        <v>502</v>
      </c>
      <c r="B337" s="571"/>
      <c r="C337" s="885">
        <f>-SUMIF('Balancete 06.2026'!C:C,3311,'Balancete 06.2026'!K:K)</f>
        <v>539</v>
      </c>
      <c r="D337" s="885"/>
      <c r="E337" s="571"/>
      <c r="F337" s="1187">
        <f>DRE!K45</f>
        <v>392</v>
      </c>
      <c r="G337" s="571"/>
      <c r="H337" s="571"/>
      <c r="I337" s="571"/>
    </row>
    <row r="338" spans="1:9" ht="16.149999999999999" thickBot="1">
      <c r="A338" s="584" t="s">
        <v>273</v>
      </c>
      <c r="B338" s="571"/>
      <c r="C338" s="532">
        <f>SUM(C337)</f>
        <v>539</v>
      </c>
      <c r="D338" s="414"/>
      <c r="E338" s="571"/>
      <c r="F338" s="533">
        <f>SUM(F337)</f>
        <v>392</v>
      </c>
      <c r="G338" s="571"/>
      <c r="H338" s="571"/>
      <c r="I338" s="571"/>
    </row>
    <row r="339" spans="1:9">
      <c r="A339" s="584"/>
      <c r="B339" s="571" t="s">
        <v>385</v>
      </c>
      <c r="C339" s="414">
        <f>C337-C338</f>
        <v>0</v>
      </c>
      <c r="D339" s="414"/>
      <c r="E339" s="571"/>
      <c r="F339" s="415">
        <f>F337-F338</f>
        <v>0</v>
      </c>
      <c r="G339" s="571"/>
      <c r="H339" s="571"/>
      <c r="I339" s="571"/>
    </row>
    <row r="340" spans="1:9">
      <c r="A340" s="1185"/>
      <c r="B340" s="571" t="s">
        <v>381</v>
      </c>
      <c r="C340" s="571">
        <f>DRE!G45-NE!C338</f>
        <v>0</v>
      </c>
      <c r="D340" s="571"/>
      <c r="E340" s="571"/>
      <c r="F340" s="889">
        <f>F337-DRE!K45</f>
        <v>0</v>
      </c>
      <c r="G340" s="571"/>
      <c r="H340" s="571"/>
      <c r="I340" s="571"/>
    </row>
    <row r="341" spans="1:9">
      <c r="A341" s="584" t="s">
        <v>503</v>
      </c>
      <c r="B341" s="571"/>
      <c r="C341" s="571"/>
      <c r="D341" s="571"/>
      <c r="E341" s="571"/>
      <c r="F341" s="889"/>
      <c r="G341" s="571"/>
      <c r="H341" s="571"/>
      <c r="I341" s="571"/>
    </row>
    <row r="342" spans="1:9" ht="16.149999999999999" thickBot="1">
      <c r="A342" s="408" t="s">
        <v>504</v>
      </c>
      <c r="B342" s="571"/>
      <c r="C342" s="335">
        <f>-SUMIF('Balancete 06.2026'!C:C,42701,'Balancete 06.2026'!K:K)</f>
        <v>-766</v>
      </c>
      <c r="D342" s="335"/>
      <c r="E342" s="571"/>
      <c r="F342" s="1187">
        <f>DRE!K46</f>
        <v>-803</v>
      </c>
      <c r="G342" s="571"/>
      <c r="H342" s="571"/>
      <c r="I342" s="571"/>
    </row>
    <row r="343" spans="1:9" ht="16.149999999999999" thickBot="1">
      <c r="A343" s="584" t="s">
        <v>273</v>
      </c>
      <c r="B343" s="571"/>
      <c r="C343" s="409">
        <f>SUM(C342)</f>
        <v>-766</v>
      </c>
      <c r="D343" s="412"/>
      <c r="E343" s="571"/>
      <c r="F343" s="533">
        <f>SUM(F342)</f>
        <v>-803</v>
      </c>
      <c r="G343" s="571"/>
      <c r="H343" s="571"/>
      <c r="I343" s="571"/>
    </row>
    <row r="344" spans="1:9">
      <c r="A344" s="584"/>
      <c r="B344" s="571" t="s">
        <v>385</v>
      </c>
      <c r="C344" s="412">
        <f>C343-C342</f>
        <v>0</v>
      </c>
      <c r="D344" s="412"/>
      <c r="E344" s="571"/>
      <c r="F344" s="413">
        <f>F343-F342</f>
        <v>0</v>
      </c>
      <c r="G344" s="571"/>
      <c r="H344" s="571"/>
      <c r="I344" s="1200"/>
    </row>
    <row r="345" spans="1:9">
      <c r="A345" s="1185"/>
      <c r="B345" s="571" t="s">
        <v>381</v>
      </c>
      <c r="C345" s="1200">
        <f>C342-DRE!G46</f>
        <v>0</v>
      </c>
      <c r="D345" s="1200"/>
      <c r="E345" s="571"/>
      <c r="F345" s="534">
        <f>F343-DRE!K46</f>
        <v>0</v>
      </c>
      <c r="G345" s="571"/>
      <c r="H345" s="571"/>
      <c r="I345" s="571"/>
    </row>
    <row r="346" spans="1:9" ht="16.149999999999999" thickBot="1">
      <c r="A346" s="1185"/>
      <c r="B346" s="571"/>
      <c r="C346" s="571"/>
      <c r="D346" s="571"/>
      <c r="E346" s="571"/>
      <c r="F346" s="889"/>
      <c r="G346" s="571"/>
      <c r="H346" s="571"/>
      <c r="I346" s="1200"/>
    </row>
    <row r="347" spans="1:9" ht="16.149999999999999" thickBot="1">
      <c r="A347" s="584" t="s">
        <v>505</v>
      </c>
      <c r="B347" s="571"/>
      <c r="C347" s="409">
        <f>C338+C343</f>
        <v>-227</v>
      </c>
      <c r="D347" s="412"/>
      <c r="E347" s="571"/>
      <c r="F347" s="533">
        <f>F343+F338</f>
        <v>-411</v>
      </c>
      <c r="G347" s="571"/>
      <c r="H347" s="571"/>
      <c r="I347" s="571"/>
    </row>
    <row r="348" spans="1:9">
      <c r="A348" s="1185"/>
      <c r="B348" s="571" t="s">
        <v>385</v>
      </c>
      <c r="C348" s="1200">
        <f>SUM(C338,C343)-C347</f>
        <v>0</v>
      </c>
      <c r="D348" s="1200"/>
      <c r="E348" s="571"/>
      <c r="F348" s="1189">
        <f>SUM(F338,F343)-F347</f>
        <v>0</v>
      </c>
      <c r="G348" s="571"/>
      <c r="H348" s="571"/>
      <c r="I348" s="571"/>
    </row>
    <row r="349" spans="1:9" ht="16.149999999999999" thickBot="1">
      <c r="A349" s="1196"/>
      <c r="B349" s="1191" t="s">
        <v>381</v>
      </c>
      <c r="C349" s="1203">
        <f>C347-DRE!G48</f>
        <v>0</v>
      </c>
      <c r="D349" s="1203"/>
      <c r="E349" s="1191"/>
      <c r="F349" s="883">
        <f>F347-DRE!K48</f>
        <v>0</v>
      </c>
      <c r="G349" s="571"/>
      <c r="H349" s="571"/>
      <c r="I349" s="571"/>
    </row>
    <row r="350" spans="1:9" ht="49.9" hidden="1" customHeight="1">
      <c r="A350" s="571"/>
      <c r="B350" s="571"/>
      <c r="C350" s="571"/>
      <c r="D350" s="571"/>
      <c r="E350" s="571"/>
      <c r="F350" s="571"/>
      <c r="G350" s="571"/>
      <c r="H350" s="571"/>
      <c r="I350" s="571"/>
    </row>
    <row r="351" spans="1:9" hidden="1">
      <c r="A351" s="571"/>
      <c r="B351" s="571"/>
      <c r="C351" s="571"/>
      <c r="D351" s="571"/>
      <c r="E351" s="571"/>
      <c r="F351" s="571"/>
      <c r="G351" s="571"/>
      <c r="H351" s="571"/>
      <c r="I351" s="571"/>
    </row>
    <row r="352" spans="1:9" ht="16.149999999999999" hidden="1" thickBot="1">
      <c r="A352" s="614" t="s">
        <v>506</v>
      </c>
      <c r="B352" s="571"/>
      <c r="C352" s="571"/>
      <c r="D352" s="571"/>
      <c r="E352" s="571"/>
      <c r="F352" s="571"/>
      <c r="G352" s="571"/>
      <c r="H352" s="571"/>
      <c r="I352" s="571"/>
    </row>
    <row r="353" spans="1:9" ht="16.149999999999999" hidden="1" thickBot="1">
      <c r="A353" s="535"/>
      <c r="B353" s="1069">
        <f>C336</f>
        <v>46203</v>
      </c>
      <c r="C353" s="1069"/>
      <c r="D353" s="582"/>
      <c r="E353" s="1070" t="str">
        <f>F336</f>
        <v>01/01/2025 a 30/06/2025 (Acumulado)</v>
      </c>
      <c r="F353" s="1071"/>
      <c r="G353" s="571"/>
      <c r="H353" s="571"/>
      <c r="I353" s="571"/>
    </row>
    <row r="354" spans="1:9" ht="16.149999999999999" hidden="1" thickBot="1">
      <c r="A354" s="408"/>
      <c r="B354" s="432" t="s">
        <v>328</v>
      </c>
      <c r="C354" s="432" t="s">
        <v>329</v>
      </c>
      <c r="D354" s="432"/>
      <c r="E354" s="536" t="s">
        <v>328</v>
      </c>
      <c r="F354" s="507" t="s">
        <v>329</v>
      </c>
      <c r="G354" s="571"/>
      <c r="H354" s="571"/>
      <c r="I354" s="571"/>
    </row>
    <row r="355" spans="1:9" hidden="1">
      <c r="A355" s="408" t="s">
        <v>330</v>
      </c>
      <c r="B355" s="514">
        <v>-14675</v>
      </c>
      <c r="C355" s="514">
        <f>B355</f>
        <v>-14675</v>
      </c>
      <c r="D355" s="514">
        <f>B355-DRE!G50</f>
        <v>0</v>
      </c>
      <c r="E355" s="329">
        <f>DRE!K50</f>
        <v>-676</v>
      </c>
      <c r="F355" s="328">
        <f>E355</f>
        <v>-676</v>
      </c>
      <c r="G355" s="1200">
        <f>E355-DRE!K50</f>
        <v>0</v>
      </c>
      <c r="H355" s="571"/>
      <c r="I355" s="571"/>
    </row>
    <row r="356" spans="1:9" hidden="1">
      <c r="A356" s="408" t="s">
        <v>331</v>
      </c>
      <c r="B356" s="514">
        <v>1238</v>
      </c>
      <c r="C356" s="514">
        <f>B356</f>
        <v>1238</v>
      </c>
      <c r="D356" s="514"/>
      <c r="E356" s="537">
        <v>1220</v>
      </c>
      <c r="F356" s="328">
        <f>E356</f>
        <v>1220</v>
      </c>
      <c r="G356" s="571"/>
      <c r="H356" s="571"/>
      <c r="I356" s="571"/>
    </row>
    <row r="357" spans="1:9" ht="16.149999999999999" hidden="1" thickBot="1">
      <c r="A357" s="408" t="s">
        <v>332</v>
      </c>
      <c r="B357" s="538">
        <v>-4043</v>
      </c>
      <c r="C357" s="538">
        <f>B357</f>
        <v>-4043</v>
      </c>
      <c r="D357" s="538"/>
      <c r="E357" s="592">
        <v>-1357</v>
      </c>
      <c r="F357" s="593">
        <f>E357</f>
        <v>-1357</v>
      </c>
      <c r="G357" s="571"/>
      <c r="H357" s="571"/>
      <c r="I357" s="571"/>
    </row>
    <row r="358" spans="1:9" ht="31.15" hidden="1">
      <c r="A358" s="539" t="s">
        <v>333</v>
      </c>
      <c r="B358" s="530">
        <f>SUM(B355:B357)</f>
        <v>-17480</v>
      </c>
      <c r="C358" s="530">
        <f>SUM(C355:C357)</f>
        <v>-17480</v>
      </c>
      <c r="D358" s="448"/>
      <c r="E358" s="329">
        <f>SUM(E355:E357)</f>
        <v>-813</v>
      </c>
      <c r="F358" s="540">
        <f>SUM(F355:F357)</f>
        <v>-813</v>
      </c>
      <c r="G358" s="571"/>
      <c r="H358" s="571"/>
      <c r="I358" s="571"/>
    </row>
    <row r="359" spans="1:9" hidden="1">
      <c r="A359" s="541" t="s">
        <v>380</v>
      </c>
      <c r="B359" s="514">
        <f>SUM(B355:B357)-B358</f>
        <v>0</v>
      </c>
      <c r="C359" s="514">
        <f>SUM(C355:C357)-C358</f>
        <v>0</v>
      </c>
      <c r="D359" s="530"/>
      <c r="E359" s="537">
        <f>SUM(E355:E357)-E358</f>
        <v>0</v>
      </c>
      <c r="F359" s="328">
        <f>SUM(F355:F357)-F358</f>
        <v>0</v>
      </c>
      <c r="G359" s="571"/>
      <c r="H359" s="571"/>
      <c r="I359" s="571"/>
    </row>
    <row r="360" spans="1:9" hidden="1">
      <c r="A360" s="584"/>
      <c r="B360" s="1242"/>
      <c r="C360" s="1242"/>
      <c r="D360" s="1243"/>
      <c r="E360" s="542"/>
      <c r="F360" s="543"/>
      <c r="G360" s="571"/>
      <c r="H360" s="571"/>
      <c r="I360" s="571"/>
    </row>
    <row r="361" spans="1:9" hidden="1">
      <c r="A361" s="584" t="s">
        <v>507</v>
      </c>
      <c r="B361" s="448" t="s">
        <v>335</v>
      </c>
      <c r="C361" s="544">
        <v>0.09</v>
      </c>
      <c r="D361" s="544"/>
      <c r="E361" s="542" t="s">
        <v>335</v>
      </c>
      <c r="F361" s="545">
        <v>0.09</v>
      </c>
      <c r="G361" s="571"/>
      <c r="H361" s="571"/>
      <c r="I361" s="571"/>
    </row>
    <row r="362" spans="1:9" hidden="1">
      <c r="A362" s="408" t="s">
        <v>336</v>
      </c>
      <c r="B362" s="448">
        <v>46</v>
      </c>
      <c r="C362" s="334" t="s">
        <v>115</v>
      </c>
      <c r="D362" s="334"/>
      <c r="E362" s="546">
        <v>0</v>
      </c>
      <c r="F362" s="521" t="s">
        <v>337</v>
      </c>
      <c r="G362" s="571"/>
      <c r="H362" s="571"/>
      <c r="I362" s="571"/>
    </row>
    <row r="363" spans="1:9" hidden="1">
      <c r="A363" s="408"/>
      <c r="B363" s="1242"/>
      <c r="C363" s="1242"/>
      <c r="D363" s="1242"/>
      <c r="E363" s="546"/>
      <c r="F363" s="521"/>
      <c r="G363" s="571"/>
      <c r="H363" s="571"/>
      <c r="I363" s="571"/>
    </row>
    <row r="364" spans="1:9" hidden="1">
      <c r="A364" s="584" t="s">
        <v>338</v>
      </c>
      <c r="B364" s="448">
        <v>0</v>
      </c>
      <c r="C364" s="448">
        <v>6</v>
      </c>
      <c r="D364" s="448"/>
      <c r="E364" s="542">
        <v>0</v>
      </c>
      <c r="F364" s="543">
        <v>0</v>
      </c>
      <c r="G364" s="571"/>
      <c r="H364" s="571">
        <f>B364+C364+DRE!G52</f>
        <v>0</v>
      </c>
      <c r="I364" s="571">
        <f>E364+F364+DRE!K52</f>
        <v>0</v>
      </c>
    </row>
    <row r="365" spans="1:9" hidden="1">
      <c r="A365" s="584"/>
      <c r="B365" s="334"/>
      <c r="C365" s="334"/>
      <c r="D365" s="334"/>
      <c r="E365" s="546"/>
      <c r="F365" s="521"/>
      <c r="G365" s="571"/>
      <c r="H365" s="571"/>
      <c r="I365" s="571"/>
    </row>
    <row r="366" spans="1:9" hidden="1">
      <c r="A366" s="408" t="s">
        <v>339</v>
      </c>
      <c r="B366" s="334">
        <v>0</v>
      </c>
      <c r="C366" s="334">
        <v>6</v>
      </c>
      <c r="D366" s="334"/>
      <c r="E366" s="546">
        <v>178</v>
      </c>
      <c r="F366" s="521">
        <v>67</v>
      </c>
      <c r="G366" s="571"/>
      <c r="H366" s="571">
        <v>0</v>
      </c>
      <c r="I366" s="571">
        <f>E366+F366+'DFC '!I35</f>
        <v>0</v>
      </c>
    </row>
    <row r="367" spans="1:9" ht="16.149999999999999" hidden="1" thickBot="1">
      <c r="A367" s="584"/>
      <c r="B367" s="1244"/>
      <c r="C367" s="1244"/>
      <c r="D367" s="1244"/>
      <c r="E367" s="536"/>
      <c r="F367" s="507"/>
      <c r="G367" s="571"/>
      <c r="H367" s="571"/>
      <c r="I367" s="571"/>
    </row>
    <row r="368" spans="1:9" ht="16.149999999999999" hidden="1" thickBot="1">
      <c r="A368" s="584" t="s">
        <v>508</v>
      </c>
      <c r="B368" s="432">
        <f>B364-B366</f>
        <v>0</v>
      </c>
      <c r="C368" s="432">
        <f>C364-C366</f>
        <v>0</v>
      </c>
      <c r="D368" s="432"/>
      <c r="E368" s="536">
        <f>E364-E366</f>
        <v>-178</v>
      </c>
      <c r="F368" s="507">
        <f>F364-F366</f>
        <v>-67</v>
      </c>
      <c r="G368" s="571"/>
      <c r="H368" s="1245">
        <v>0</v>
      </c>
      <c r="I368" s="571">
        <f>E368+F368+F366+E366+DRE!K52</f>
        <v>0</v>
      </c>
    </row>
    <row r="369" spans="1:8" hidden="1">
      <c r="A369" s="1185"/>
      <c r="B369" s="571"/>
      <c r="C369" s="571"/>
      <c r="D369" s="571"/>
      <c r="E369" s="571"/>
      <c r="F369" s="889"/>
      <c r="G369" s="571"/>
      <c r="H369" s="571"/>
    </row>
    <row r="370" spans="1:8" hidden="1">
      <c r="A370" s="1185"/>
      <c r="B370" s="571"/>
      <c r="C370" s="571"/>
      <c r="D370" s="571"/>
      <c r="E370" s="571"/>
      <c r="F370" s="889"/>
      <c r="G370" s="571"/>
      <c r="H370" s="571"/>
    </row>
    <row r="371" spans="1:8" hidden="1">
      <c r="A371" s="1185" t="s">
        <v>509</v>
      </c>
      <c r="B371" s="571"/>
      <c r="C371" s="571"/>
      <c r="D371" s="571"/>
      <c r="E371" s="571"/>
      <c r="F371" s="889"/>
      <c r="G371" s="571"/>
      <c r="H371" s="571"/>
    </row>
    <row r="372" spans="1:8" ht="16.149999999999999" hidden="1" thickBot="1">
      <c r="A372" s="1246"/>
      <c r="B372" s="571"/>
      <c r="C372" s="1072" t="s">
        <v>510</v>
      </c>
      <c r="D372" s="1072"/>
      <c r="E372" s="1072"/>
      <c r="F372" s="1073"/>
      <c r="G372" s="571"/>
      <c r="H372" s="571"/>
    </row>
    <row r="373" spans="1:8" ht="16.149999999999999" hidden="1" thickBot="1">
      <c r="A373" s="1246"/>
      <c r="B373" s="571"/>
      <c r="C373" s="511">
        <f>B353</f>
        <v>46203</v>
      </c>
      <c r="D373" s="547"/>
      <c r="E373" s="571"/>
      <c r="F373" s="548" t="str">
        <f>E353</f>
        <v>01/01/2025 a 30/06/2025 (Acumulado)</v>
      </c>
      <c r="G373" s="571"/>
      <c r="H373" s="571"/>
    </row>
    <row r="374" spans="1:8" hidden="1">
      <c r="A374" s="1246"/>
      <c r="B374" s="571"/>
      <c r="C374" s="571"/>
      <c r="D374" s="571"/>
      <c r="E374" s="571"/>
      <c r="F374" s="889"/>
      <c r="G374" s="571"/>
      <c r="H374" s="571"/>
    </row>
    <row r="375" spans="1:8" hidden="1">
      <c r="A375" s="437" t="s">
        <v>341</v>
      </c>
      <c r="B375" s="571"/>
      <c r="C375" s="482">
        <f>'Reconciliação IRPJ e CSLL'!T8</f>
        <v>-14541</v>
      </c>
      <c r="D375" s="482">
        <f>C375-DRE!G50</f>
        <v>134</v>
      </c>
      <c r="E375" s="571"/>
      <c r="F375" s="549">
        <f>DRE!K50</f>
        <v>-676</v>
      </c>
      <c r="G375" s="1200">
        <f>F375-DRE!K50</f>
        <v>0</v>
      </c>
      <c r="H375" s="571"/>
    </row>
    <row r="376" spans="1:8" hidden="1">
      <c r="A376" s="333" t="s">
        <v>342</v>
      </c>
      <c r="B376" s="571"/>
      <c r="C376" s="550">
        <v>0.34</v>
      </c>
      <c r="D376" s="550"/>
      <c r="E376" s="1239" t="s">
        <v>385</v>
      </c>
      <c r="F376" s="551">
        <v>0.34</v>
      </c>
      <c r="G376" s="1239" t="s">
        <v>385</v>
      </c>
      <c r="H376" s="1239"/>
    </row>
    <row r="377" spans="1:8" ht="31.15" hidden="1">
      <c r="A377" s="437" t="s">
        <v>343</v>
      </c>
      <c r="B377" s="571"/>
      <c r="C377" s="552">
        <f>'Reconciliação IRPJ e CSLL'!T10</f>
        <v>4944</v>
      </c>
      <c r="D377" s="552"/>
      <c r="E377" s="1245">
        <f>ROUND(C375*0.34,)+C377</f>
        <v>0</v>
      </c>
      <c r="F377" s="591">
        <f>-F375*34%</f>
        <v>229.84</v>
      </c>
      <c r="G377" s="1245">
        <f>ROUND(-F375*0.34,)-F377</f>
        <v>0.15999999999999659</v>
      </c>
      <c r="H377" s="571"/>
    </row>
    <row r="378" spans="1:8" hidden="1">
      <c r="A378" s="1246"/>
      <c r="B378" s="571"/>
      <c r="C378" s="571"/>
      <c r="D378" s="571"/>
      <c r="E378" s="571"/>
      <c r="F378" s="889"/>
      <c r="G378" s="571"/>
      <c r="H378" s="571"/>
    </row>
    <row r="379" spans="1:8" hidden="1">
      <c r="A379" s="437" t="s">
        <v>344</v>
      </c>
      <c r="B379" s="571"/>
      <c r="C379" s="571"/>
      <c r="D379" s="571"/>
      <c r="E379" s="571"/>
      <c r="F379" s="889"/>
      <c r="G379" s="571"/>
      <c r="H379" s="571"/>
    </row>
    <row r="380" spans="1:8" hidden="1">
      <c r="A380" s="1246"/>
      <c r="B380" s="571"/>
      <c r="C380" s="571"/>
      <c r="D380" s="571"/>
      <c r="E380" s="571"/>
      <c r="F380" s="889"/>
      <c r="G380" s="571"/>
      <c r="H380" s="571"/>
    </row>
    <row r="381" spans="1:8" hidden="1">
      <c r="A381" s="437" t="s">
        <v>345</v>
      </c>
      <c r="B381" s="571"/>
      <c r="C381" s="571"/>
      <c r="D381" s="571"/>
      <c r="E381" s="571"/>
      <c r="F381" s="889"/>
      <c r="G381" s="571"/>
      <c r="H381" s="571"/>
    </row>
    <row r="382" spans="1:8" hidden="1">
      <c r="A382" s="333" t="s">
        <v>346</v>
      </c>
      <c r="B382" s="571"/>
      <c r="C382" s="499">
        <f>'Reconciliação IRPJ e CSLL'!T14</f>
        <v>-16</v>
      </c>
      <c r="D382" s="499"/>
      <c r="E382" s="571"/>
      <c r="F382" s="519">
        <f>'Reconciliação IRPJ e CSLL'!V14</f>
        <v>-5</v>
      </c>
      <c r="G382" s="571"/>
      <c r="H382" s="571"/>
    </row>
    <row r="383" spans="1:8" hidden="1">
      <c r="A383" s="333" t="s">
        <v>511</v>
      </c>
      <c r="B383" s="571"/>
      <c r="C383" s="499">
        <f>'Reconciliação IRPJ e CSLL'!T15</f>
        <v>0</v>
      </c>
      <c r="D383" s="499"/>
      <c r="E383" s="571"/>
      <c r="F383" s="519">
        <f>'Reconciliação IRPJ e CSLL'!V15</f>
        <v>0</v>
      </c>
      <c r="G383" s="571"/>
      <c r="H383" s="571"/>
    </row>
    <row r="384" spans="1:8" hidden="1">
      <c r="A384" s="333" t="s">
        <v>347</v>
      </c>
      <c r="B384" s="571"/>
      <c r="C384" s="499">
        <f>'Reconciliação IRPJ e CSLL'!T17</f>
        <v>-91</v>
      </c>
      <c r="D384" s="499"/>
      <c r="E384" s="571"/>
      <c r="F384" s="519">
        <f>'Reconciliação IRPJ e CSLL'!V17</f>
        <v>-99</v>
      </c>
      <c r="G384" s="571"/>
      <c r="H384" s="571"/>
    </row>
    <row r="385" spans="1:8" hidden="1">
      <c r="A385" s="333" t="s">
        <v>348</v>
      </c>
      <c r="B385" s="571"/>
      <c r="C385" s="499">
        <f>'Reconciliação IRPJ e CSLL'!T19</f>
        <v>-4</v>
      </c>
      <c r="D385" s="499"/>
      <c r="E385" s="571"/>
      <c r="F385" s="519">
        <f>'Reconciliação IRPJ e CSLL'!V19</f>
        <v>-4</v>
      </c>
      <c r="G385" s="571"/>
      <c r="H385" s="571"/>
    </row>
    <row r="386" spans="1:8" hidden="1">
      <c r="A386" s="1246"/>
      <c r="B386" s="571"/>
      <c r="C386" s="571"/>
      <c r="D386" s="571"/>
      <c r="E386" s="571"/>
      <c r="F386" s="889"/>
      <c r="G386" s="571"/>
      <c r="H386" s="571"/>
    </row>
    <row r="387" spans="1:8" hidden="1">
      <c r="A387" s="333" t="s">
        <v>512</v>
      </c>
      <c r="B387" s="1247"/>
      <c r="C387" s="885">
        <f>'Reconciliação IRPJ e CSLL'!T20</f>
        <v>-58</v>
      </c>
      <c r="D387" s="885"/>
      <c r="E387" s="885"/>
      <c r="F387" s="1187">
        <f>'Reconciliação IRPJ e CSLL'!V20</f>
        <v>-70</v>
      </c>
      <c r="G387" s="571"/>
      <c r="H387" s="571"/>
    </row>
    <row r="388" spans="1:8" hidden="1">
      <c r="A388" s="333" t="s">
        <v>513</v>
      </c>
      <c r="B388" s="1247"/>
      <c r="C388" s="885">
        <f>'Reconciliação IRPJ e CSLL'!T21</f>
        <v>-251</v>
      </c>
      <c r="D388" s="885"/>
      <c r="E388" s="885"/>
      <c r="F388" s="1187">
        <f>'Reconciliação IRPJ e CSLL'!V21</f>
        <v>-237</v>
      </c>
      <c r="G388" s="571"/>
      <c r="H388" s="571"/>
    </row>
    <row r="389" spans="1:8" hidden="1">
      <c r="A389" s="437" t="s">
        <v>351</v>
      </c>
      <c r="B389" s="571"/>
      <c r="C389" s="571"/>
      <c r="D389" s="571"/>
      <c r="E389" s="571"/>
      <c r="F389" s="889"/>
      <c r="G389" s="571"/>
      <c r="H389" s="571"/>
    </row>
    <row r="390" spans="1:8" hidden="1">
      <c r="A390" s="333" t="s">
        <v>352</v>
      </c>
      <c r="B390" s="571"/>
      <c r="C390" s="499">
        <f>'Reconciliação IRPJ e CSLL'!T23</f>
        <v>1058</v>
      </c>
      <c r="D390" s="499"/>
      <c r="E390" s="571"/>
      <c r="F390" s="519">
        <f>'Reconciliação IRPJ e CSLL'!V23</f>
        <v>0</v>
      </c>
      <c r="G390" s="571"/>
      <c r="H390" s="571"/>
    </row>
    <row r="391" spans="1:8" hidden="1">
      <c r="A391" s="333" t="s">
        <v>514</v>
      </c>
      <c r="B391" s="554"/>
      <c r="C391" s="480">
        <f>'Reconciliação IRPJ e CSLL'!T24</f>
        <v>317</v>
      </c>
      <c r="D391" s="480"/>
      <c r="E391" s="499"/>
      <c r="F391" s="519">
        <f>'Reconciliação IRPJ e CSLL'!V24</f>
        <v>301</v>
      </c>
      <c r="G391" s="571"/>
      <c r="H391" s="571"/>
    </row>
    <row r="392" spans="1:8" hidden="1">
      <c r="A392" s="333" t="s">
        <v>515</v>
      </c>
      <c r="B392" s="554"/>
      <c r="C392" s="480">
        <f>'Reconciliação IRPJ e CSLL'!T25</f>
        <v>0</v>
      </c>
      <c r="D392" s="480"/>
      <c r="E392" s="499"/>
      <c r="F392" s="519">
        <f>'Reconciliação IRPJ e CSLL'!V25</f>
        <v>160</v>
      </c>
      <c r="G392" s="571"/>
      <c r="H392" s="571"/>
    </row>
    <row r="393" spans="1:8" hidden="1">
      <c r="A393" s="333" t="s">
        <v>516</v>
      </c>
      <c r="B393" s="554"/>
      <c r="C393" s="480">
        <f>'Reconciliação IRPJ e CSLL'!T26</f>
        <v>-1769</v>
      </c>
      <c r="D393" s="480"/>
      <c r="E393" s="499"/>
      <c r="F393" s="519">
        <f>'Reconciliação IRPJ e CSLL'!V26</f>
        <v>-78</v>
      </c>
      <c r="G393" s="571"/>
      <c r="H393" s="571"/>
    </row>
    <row r="394" spans="1:8" hidden="1">
      <c r="A394" s="333" t="str">
        <f>'Reconciliação IRPJ e CSLL'!D27</f>
        <v>Diferença do adicional de 10%</v>
      </c>
      <c r="B394" s="554"/>
      <c r="C394" s="480">
        <v>6</v>
      </c>
      <c r="D394" s="480"/>
      <c r="E394" s="499"/>
      <c r="F394" s="519">
        <f>'Reconciliação IRPJ e CSLL'!V27</f>
        <v>6</v>
      </c>
      <c r="G394" s="571"/>
      <c r="H394" s="571"/>
    </row>
    <row r="395" spans="1:8" ht="16.149999999999999" hidden="1" thickBot="1">
      <c r="A395" s="1246" t="str">
        <f>'Reconciliação IRPJ e CSLL'!D28</f>
        <v>Incentivos fiscais</v>
      </c>
      <c r="B395" s="571"/>
      <c r="C395" s="571" t="e">
        <f>'Reconciliação IRPJ e CSLL'!T28</f>
        <v>#VALUE!</v>
      </c>
      <c r="D395" s="571"/>
      <c r="E395" s="571"/>
      <c r="F395" s="889">
        <f>'Reconciliação IRPJ e CSLL'!V28</f>
        <v>0</v>
      </c>
      <c r="G395" s="571"/>
      <c r="H395" s="571"/>
    </row>
    <row r="396" spans="1:8" ht="16.149999999999999" hidden="1" thickBot="1">
      <c r="A396" s="437" t="s">
        <v>517</v>
      </c>
      <c r="B396" s="571"/>
      <c r="C396" s="555" t="e">
        <f>SUM(C377:C395)</f>
        <v>#VALUE!</v>
      </c>
      <c r="D396" s="552"/>
      <c r="E396" s="571"/>
      <c r="F396" s="589">
        <f>SUM(F377:F395)</f>
        <v>203.84000000000003</v>
      </c>
      <c r="G396" s="571"/>
      <c r="H396" s="571"/>
    </row>
    <row r="397" spans="1:8" ht="16.149999999999999" hidden="1" thickTop="1">
      <c r="A397" s="437"/>
      <c r="B397" s="571"/>
      <c r="C397" s="552" t="e">
        <f>SUM(C377:C395)-C396</f>
        <v>#VALUE!</v>
      </c>
      <c r="D397" s="552"/>
      <c r="E397" s="571"/>
      <c r="F397" s="553">
        <f>SUM(F377:F395)-F396</f>
        <v>0</v>
      </c>
      <c r="G397" s="571"/>
      <c r="H397" s="571"/>
    </row>
    <row r="398" spans="1:8" hidden="1">
      <c r="A398" s="1246"/>
      <c r="B398" s="571"/>
      <c r="C398" s="571"/>
      <c r="D398" s="571"/>
      <c r="E398" s="571"/>
      <c r="F398" s="889"/>
      <c r="G398" s="571"/>
      <c r="H398" s="571"/>
    </row>
    <row r="399" spans="1:8" hidden="1">
      <c r="A399" s="1246" t="str">
        <f>'Reconciliação IRPJ e CSLL'!D32</f>
        <v>Despesa corrente efetiva do período</v>
      </c>
      <c r="B399" s="571"/>
      <c r="C399" s="1245">
        <v>13</v>
      </c>
      <c r="D399" s="571"/>
      <c r="E399" s="571"/>
      <c r="F399" s="1248">
        <v>0</v>
      </c>
      <c r="G399" s="1245">
        <f>C399-B364-C364</f>
        <v>7</v>
      </c>
      <c r="H399" s="1245">
        <f>F399-E364-F364</f>
        <v>0</v>
      </c>
    </row>
    <row r="400" spans="1:8" hidden="1">
      <c r="A400" s="333" t="s">
        <v>518</v>
      </c>
      <c r="B400" s="571"/>
      <c r="C400" s="499"/>
      <c r="D400" s="499"/>
      <c r="E400" s="571"/>
      <c r="F400" s="519"/>
      <c r="G400" s="571"/>
      <c r="H400" s="571"/>
    </row>
    <row r="401" spans="1:7" hidden="1">
      <c r="A401" s="1246"/>
      <c r="B401" s="571"/>
      <c r="C401" s="571"/>
      <c r="D401" s="571"/>
      <c r="E401" s="571"/>
      <c r="F401" s="889"/>
      <c r="G401" s="571"/>
    </row>
    <row r="402" spans="1:7" ht="16.149999999999999" hidden="1" thickBot="1">
      <c r="A402" s="1246"/>
      <c r="B402" s="571"/>
      <c r="C402" s="571"/>
      <c r="D402" s="571"/>
      <c r="E402" s="571"/>
      <c r="F402" s="889"/>
      <c r="G402" s="571"/>
    </row>
    <row r="403" spans="1:7" ht="16.149999999999999" hidden="1" thickBot="1">
      <c r="A403" s="437" t="s">
        <v>360</v>
      </c>
      <c r="B403" s="571"/>
      <c r="C403" s="588">
        <f>C399/C375</f>
        <v>-8.940237947871536E-4</v>
      </c>
      <c r="D403" s="552"/>
      <c r="E403" s="571"/>
      <c r="F403" s="590">
        <f>F399/F375</f>
        <v>0</v>
      </c>
      <c r="G403" s="571"/>
    </row>
    <row r="404" spans="1:7" ht="16.149999999999999" thickBot="1">
      <c r="A404" s="1196"/>
      <c r="B404" s="1191"/>
      <c r="C404" s="1191"/>
      <c r="D404" s="1191"/>
      <c r="E404" s="1191"/>
      <c r="F404" s="883"/>
      <c r="G404" s="571"/>
    </row>
    <row r="405" spans="1:7">
      <c r="A405" s="1185"/>
      <c r="B405" s="571"/>
      <c r="C405" s="571"/>
      <c r="D405" s="571"/>
      <c r="E405" s="571"/>
      <c r="F405" s="571"/>
      <c r="G405" s="571"/>
    </row>
    <row r="406" spans="1:7" ht="16.149999999999999" hidden="1" thickBot="1">
      <c r="A406" s="623" t="s">
        <v>519</v>
      </c>
      <c r="B406" s="571"/>
      <c r="C406" s="571"/>
      <c r="D406" s="571"/>
      <c r="E406" s="571"/>
      <c r="F406" s="571"/>
      <c r="G406" s="571"/>
    </row>
    <row r="407" spans="1:7" hidden="1">
      <c r="A407" s="620"/>
      <c r="B407" s="1207"/>
      <c r="C407" s="1207"/>
      <c r="D407" s="1207"/>
      <c r="E407" s="1207"/>
      <c r="F407" s="1208"/>
      <c r="G407" s="571"/>
    </row>
    <row r="408" spans="1:7" ht="16.149999999999999" hidden="1" thickBot="1">
      <c r="A408" s="446" t="s">
        <v>213</v>
      </c>
      <c r="B408" s="510" t="s">
        <v>362</v>
      </c>
      <c r="C408" s="510" t="s">
        <v>363</v>
      </c>
      <c r="D408" s="510" t="s">
        <v>381</v>
      </c>
      <c r="E408" s="510" t="s">
        <v>364</v>
      </c>
      <c r="F408" s="407" t="s">
        <v>385</v>
      </c>
      <c r="G408" s="571"/>
    </row>
    <row r="409" spans="1:7" hidden="1">
      <c r="A409" s="520" t="s">
        <v>520</v>
      </c>
      <c r="B409" s="514">
        <v>42844</v>
      </c>
      <c r="C409" s="514">
        <f>ROUND(BP!F16,0)</f>
        <v>42752</v>
      </c>
      <c r="D409" s="514">
        <f>C409-BP!F16</f>
        <v>0</v>
      </c>
      <c r="E409" s="514">
        <f>B409-C409</f>
        <v>92</v>
      </c>
      <c r="F409" s="1189">
        <f>(B409-C409)-E409</f>
        <v>0</v>
      </c>
      <c r="G409" s="571"/>
    </row>
    <row r="410" spans="1:7" ht="16.149999999999999" hidden="1" thickBot="1">
      <c r="A410" s="556" t="s">
        <v>521</v>
      </c>
      <c r="B410" s="538">
        <v>29554</v>
      </c>
      <c r="C410" s="538">
        <f>ROUND(BP!F25,0)</f>
        <v>29554</v>
      </c>
      <c r="D410" s="538">
        <f>C410-BP!F25</f>
        <v>0</v>
      </c>
      <c r="E410" s="538">
        <f>B410-C410</f>
        <v>0</v>
      </c>
      <c r="F410" s="1189">
        <f>(B410-C410)-E410</f>
        <v>0</v>
      </c>
      <c r="G410" s="1200"/>
    </row>
    <row r="411" spans="1:7" ht="16.149999999999999" hidden="1" thickBot="1">
      <c r="A411" s="446" t="s">
        <v>367</v>
      </c>
      <c r="B411" s="461">
        <f>SUM(B409:B410)</f>
        <v>72398</v>
      </c>
      <c r="C411" s="461">
        <f>SUM(C409:C410)</f>
        <v>72306</v>
      </c>
      <c r="D411" s="461"/>
      <c r="E411" s="432">
        <f>SUM(E409:E410)</f>
        <v>92</v>
      </c>
      <c r="F411" s="889"/>
      <c r="G411" s="571"/>
    </row>
    <row r="412" spans="1:7" hidden="1">
      <c r="A412" s="542" t="s">
        <v>385</v>
      </c>
      <c r="B412" s="530">
        <f>SUM(B409:B410)-B411</f>
        <v>0</v>
      </c>
      <c r="C412" s="530">
        <f>SUM(C409:C410)-C411</f>
        <v>0</v>
      </c>
      <c r="D412" s="530"/>
      <c r="E412" s="530">
        <f>SUM(E409:E410)-E411</f>
        <v>0</v>
      </c>
      <c r="F412" s="889"/>
      <c r="G412" s="571"/>
    </row>
    <row r="413" spans="1:7" hidden="1">
      <c r="A413" s="542" t="s">
        <v>522</v>
      </c>
      <c r="B413" s="530"/>
      <c r="C413" s="530">
        <f>C411-BP!F28</f>
        <v>0</v>
      </c>
      <c r="D413" s="530"/>
      <c r="E413" s="448"/>
      <c r="F413" s="889"/>
      <c r="G413" s="571"/>
    </row>
    <row r="414" spans="1:7" hidden="1">
      <c r="A414" s="542"/>
      <c r="B414" s="530"/>
      <c r="C414" s="530"/>
      <c r="D414" s="530"/>
      <c r="E414" s="448"/>
      <c r="F414" s="889"/>
      <c r="G414" s="571"/>
    </row>
    <row r="415" spans="1:7" hidden="1">
      <c r="A415" s="539"/>
      <c r="B415" s="530"/>
      <c r="C415" s="530"/>
      <c r="D415" s="406" t="s">
        <v>381</v>
      </c>
      <c r="E415" s="448"/>
      <c r="F415" s="407" t="s">
        <v>385</v>
      </c>
      <c r="G415" s="571"/>
    </row>
    <row r="416" spans="1:7" hidden="1">
      <c r="A416" s="520" t="s">
        <v>523</v>
      </c>
      <c r="B416" s="514">
        <v>38229</v>
      </c>
      <c r="C416" s="514">
        <f>ROUND(BP!F39,0)</f>
        <v>40505</v>
      </c>
      <c r="D416" s="514">
        <f>C416-BP!F39</f>
        <v>0</v>
      </c>
      <c r="E416" s="514">
        <f>B416-C416</f>
        <v>-2276</v>
      </c>
      <c r="F416" s="1189">
        <f>(B416-C416)-E416</f>
        <v>0</v>
      </c>
      <c r="G416" s="571"/>
    </row>
    <row r="417" spans="1:6" hidden="1">
      <c r="A417" s="520" t="s">
        <v>524</v>
      </c>
      <c r="B417" s="514">
        <v>22970</v>
      </c>
      <c r="C417" s="514">
        <f>ROUND(BP!F44,0)</f>
        <v>20126</v>
      </c>
      <c r="D417" s="514">
        <f>C417-BP!F44</f>
        <v>0</v>
      </c>
      <c r="E417" s="514">
        <f>B417-C417</f>
        <v>2844</v>
      </c>
      <c r="F417" s="1189">
        <f>(B417-C417)-E417</f>
        <v>0</v>
      </c>
    </row>
    <row r="418" spans="1:6" ht="16.149999999999999" hidden="1" thickBot="1">
      <c r="A418" s="556" t="s">
        <v>525</v>
      </c>
      <c r="B418" s="538">
        <v>11198</v>
      </c>
      <c r="C418" s="538">
        <f>ROUND(BP!F51,0)</f>
        <v>11675</v>
      </c>
      <c r="D418" s="538">
        <f>C418-BP!F51</f>
        <v>0</v>
      </c>
      <c r="E418" s="538">
        <f>B418-C418</f>
        <v>-477</v>
      </c>
      <c r="F418" s="1189">
        <f>(B418-C418)-E418</f>
        <v>0</v>
      </c>
    </row>
    <row r="419" spans="1:6" ht="16.149999999999999" hidden="1" thickBot="1">
      <c r="A419" s="446" t="s">
        <v>526</v>
      </c>
      <c r="B419" s="461">
        <f>SUM(B416:B418)</f>
        <v>72397</v>
      </c>
      <c r="C419" s="461">
        <f>SUM(C416:C418)</f>
        <v>72306</v>
      </c>
      <c r="D419" s="461"/>
      <c r="E419" s="461">
        <f>B419-C419</f>
        <v>91</v>
      </c>
      <c r="F419" s="889"/>
    </row>
    <row r="420" spans="1:6" hidden="1">
      <c r="A420" s="542" t="s">
        <v>385</v>
      </c>
      <c r="B420" s="1200">
        <f>SUM(B416:B418)-B419</f>
        <v>0</v>
      </c>
      <c r="C420" s="1200">
        <f>SUM(C416:C418)-C419</f>
        <v>0</v>
      </c>
      <c r="D420" s="1200"/>
      <c r="E420" s="1200">
        <f>SUM(E416:E418)-E419</f>
        <v>0</v>
      </c>
      <c r="F420" s="889"/>
    </row>
    <row r="421" spans="1:6" hidden="1">
      <c r="A421" s="542" t="s">
        <v>522</v>
      </c>
      <c r="B421" s="571"/>
      <c r="C421" s="1200">
        <f>C419-BP!F54</f>
        <v>0</v>
      </c>
      <c r="D421" s="1200"/>
      <c r="E421" s="571"/>
      <c r="F421" s="889"/>
    </row>
    <row r="422" spans="1:6" hidden="1">
      <c r="A422" s="1185"/>
      <c r="B422" s="571"/>
      <c r="C422" s="571"/>
      <c r="D422" s="571"/>
      <c r="E422" s="571"/>
      <c r="F422" s="889"/>
    </row>
    <row r="423" spans="1:6" ht="16.149999999999999" hidden="1" thickBot="1">
      <c r="A423" s="517" t="s">
        <v>527</v>
      </c>
      <c r="B423" s="557" t="s">
        <v>528</v>
      </c>
      <c r="C423" s="557" t="s">
        <v>529</v>
      </c>
      <c r="D423" s="406" t="s">
        <v>381</v>
      </c>
      <c r="E423" s="557" t="s">
        <v>530</v>
      </c>
      <c r="F423" s="558" t="s">
        <v>385</v>
      </c>
    </row>
    <row r="424" spans="1:6" ht="16.149999999999999" hidden="1" thickBot="1">
      <c r="A424" s="443" t="s">
        <v>57</v>
      </c>
      <c r="B424" s="559">
        <v>0</v>
      </c>
      <c r="C424" s="559">
        <f>BP!F14</f>
        <v>4652</v>
      </c>
      <c r="D424" s="480">
        <f>C424-BP!F14</f>
        <v>0</v>
      </c>
      <c r="E424" s="559">
        <f>B424-C424</f>
        <v>-4652</v>
      </c>
      <c r="F424" s="1189">
        <f>(B424-C424)-E424</f>
        <v>0</v>
      </c>
    </row>
    <row r="425" spans="1:6" ht="16.149999999999999" hidden="1" thickBot="1">
      <c r="A425" s="443" t="s">
        <v>531</v>
      </c>
      <c r="B425" s="559">
        <v>0</v>
      </c>
      <c r="C425" s="559">
        <f>BP!F12</f>
        <v>262</v>
      </c>
      <c r="D425" s="480">
        <f>C425-BP!F12</f>
        <v>0</v>
      </c>
      <c r="E425" s="559">
        <f>B425-C425</f>
        <v>-262</v>
      </c>
      <c r="F425" s="1189"/>
    </row>
    <row r="426" spans="1:6" ht="16.149999999999999" hidden="1" thickBot="1">
      <c r="A426" s="443" t="s">
        <v>532</v>
      </c>
      <c r="B426" s="559">
        <v>0</v>
      </c>
      <c r="C426" s="559">
        <v>0</v>
      </c>
      <c r="D426" s="480">
        <v>0</v>
      </c>
      <c r="E426" s="559">
        <f>B426-C426</f>
        <v>0</v>
      </c>
      <c r="F426" s="1189"/>
    </row>
    <row r="427" spans="1:6" ht="16.149999999999999" hidden="1" thickBot="1">
      <c r="A427" s="517" t="s">
        <v>533</v>
      </c>
      <c r="B427" s="560">
        <f>SUM(B424:B426)</f>
        <v>0</v>
      </c>
      <c r="C427" s="560">
        <f>SUM(C424:C426)</f>
        <v>4914</v>
      </c>
      <c r="D427" s="482"/>
      <c r="E427" s="560">
        <f>SUM(E424:E426)</f>
        <v>-4914</v>
      </c>
      <c r="F427" s="1189">
        <f>(B427-C427)-E427</f>
        <v>0</v>
      </c>
    </row>
    <row r="428" spans="1:6" hidden="1">
      <c r="A428" s="541" t="s">
        <v>380</v>
      </c>
      <c r="B428" s="482">
        <f>B424+B425+B426-B427</f>
        <v>0</v>
      </c>
      <c r="C428" s="482">
        <f>C427-C424-C425</f>
        <v>0</v>
      </c>
      <c r="D428" s="482"/>
      <c r="E428" s="482">
        <f>E427-E424-E425-E426</f>
        <v>0</v>
      </c>
      <c r="F428" s="889"/>
    </row>
    <row r="429" spans="1:6" hidden="1">
      <c r="A429" s="541" t="s">
        <v>381</v>
      </c>
      <c r="B429" s="571"/>
      <c r="C429" s="1200">
        <f>C427-BP!F14-BP!F12</f>
        <v>0</v>
      </c>
      <c r="D429" s="1200"/>
      <c r="E429" s="571"/>
      <c r="F429" s="889"/>
    </row>
    <row r="430" spans="1:6" hidden="1">
      <c r="A430" s="541"/>
      <c r="B430" s="571"/>
      <c r="C430" s="1200"/>
      <c r="D430" s="1200"/>
      <c r="E430" s="1200">
        <f>E427-E409</f>
        <v>-5006</v>
      </c>
      <c r="F430" s="889"/>
    </row>
    <row r="431" spans="1:6" hidden="1">
      <c r="A431" s="541"/>
      <c r="B431" s="571"/>
      <c r="C431" s="1200"/>
      <c r="D431" s="1200"/>
      <c r="E431" s="571"/>
      <c r="F431" s="889"/>
    </row>
    <row r="432" spans="1:6" ht="16.149999999999999" hidden="1" thickBot="1">
      <c r="A432" s="517" t="s">
        <v>527</v>
      </c>
      <c r="B432" s="557" t="s">
        <v>528</v>
      </c>
      <c r="C432" s="557" t="s">
        <v>529</v>
      </c>
      <c r="D432" s="406" t="s">
        <v>381</v>
      </c>
      <c r="E432" s="557" t="s">
        <v>530</v>
      </c>
      <c r="F432" s="558" t="s">
        <v>385</v>
      </c>
    </row>
    <row r="433" spans="1:6" ht="16.149999999999999" hidden="1" thickBot="1">
      <c r="A433" s="443" t="s">
        <v>531</v>
      </c>
      <c r="B433" s="559">
        <v>0</v>
      </c>
      <c r="C433" s="559">
        <v>0</v>
      </c>
      <c r="D433" s="480">
        <v>0</v>
      </c>
      <c r="E433" s="559">
        <f>B433-C433</f>
        <v>0</v>
      </c>
      <c r="F433" s="1189"/>
    </row>
    <row r="434" spans="1:6" ht="16.149999999999999" hidden="1" thickBot="1">
      <c r="A434" s="443" t="s">
        <v>146</v>
      </c>
      <c r="B434" s="559">
        <v>0</v>
      </c>
      <c r="C434" s="559">
        <v>0</v>
      </c>
      <c r="D434" s="480">
        <v>0</v>
      </c>
      <c r="E434" s="559">
        <f t="shared" ref="E434:E436" si="4">B434-C434</f>
        <v>0</v>
      </c>
      <c r="F434" s="1189"/>
    </row>
    <row r="435" spans="1:6" ht="16.149999999999999" hidden="1" thickBot="1">
      <c r="A435" s="443" t="s">
        <v>534</v>
      </c>
      <c r="B435" s="559">
        <v>0</v>
      </c>
      <c r="C435" s="559">
        <v>0</v>
      </c>
      <c r="D435" s="480">
        <v>0</v>
      </c>
      <c r="E435" s="559">
        <f t="shared" si="4"/>
        <v>0</v>
      </c>
      <c r="F435" s="1189"/>
    </row>
    <row r="436" spans="1:6" ht="16.149999999999999" hidden="1" thickBot="1">
      <c r="A436" s="443" t="s">
        <v>535</v>
      </c>
      <c r="B436" s="559">
        <v>4743</v>
      </c>
      <c r="C436" s="559">
        <v>4652</v>
      </c>
      <c r="D436" s="480">
        <f>C436-BP!F24</f>
        <v>2947</v>
      </c>
      <c r="E436" s="559">
        <f t="shared" si="4"/>
        <v>91</v>
      </c>
      <c r="F436" s="1189"/>
    </row>
    <row r="437" spans="1:6" ht="16.149999999999999" hidden="1" thickBot="1">
      <c r="A437" s="517" t="s">
        <v>533</v>
      </c>
      <c r="B437" s="560">
        <f>SUM(B433:B436)</f>
        <v>4743</v>
      </c>
      <c r="C437" s="560">
        <f>SUM(C433:C436)</f>
        <v>4652</v>
      </c>
      <c r="D437" s="482"/>
      <c r="E437" s="560">
        <f>SUM(E433:E436)</f>
        <v>91</v>
      </c>
      <c r="F437" s="1189">
        <f>(B437-C437)-E437</f>
        <v>0</v>
      </c>
    </row>
    <row r="438" spans="1:6" hidden="1">
      <c r="A438" s="541" t="s">
        <v>380</v>
      </c>
      <c r="B438" s="482">
        <f>B437-B433-B436-B434-B435</f>
        <v>0</v>
      </c>
      <c r="C438" s="482">
        <f>C437-C433-C436-C434-C435</f>
        <v>0</v>
      </c>
      <c r="D438" s="482"/>
      <c r="E438" s="482">
        <f>E437-E433-E436-E434-E435</f>
        <v>0</v>
      </c>
      <c r="F438" s="889"/>
    </row>
    <row r="439" spans="1:6" hidden="1">
      <c r="A439" s="541" t="s">
        <v>381</v>
      </c>
      <c r="B439" s="571"/>
      <c r="C439" s="1200">
        <f>C437-BP!F19-BP!F20-BP!F22-BP!F24</f>
        <v>-13081</v>
      </c>
      <c r="D439" s="1200"/>
      <c r="E439" s="571"/>
      <c r="F439" s="889"/>
    </row>
    <row r="440" spans="1:6" hidden="1">
      <c r="A440" s="541"/>
      <c r="B440" s="571"/>
      <c r="C440" s="1200"/>
      <c r="D440" s="515" t="s">
        <v>536</v>
      </c>
      <c r="E440" s="515">
        <f>E437+E427-E411</f>
        <v>-4915</v>
      </c>
      <c r="F440" s="889"/>
    </row>
    <row r="441" spans="1:6" hidden="1">
      <c r="A441" s="541"/>
      <c r="B441" s="571"/>
      <c r="C441" s="1200"/>
      <c r="D441" s="1200"/>
      <c r="E441" s="571"/>
      <c r="F441" s="889"/>
    </row>
    <row r="442" spans="1:6" ht="16.149999999999999" hidden="1" thickBot="1">
      <c r="A442" s="562" t="s">
        <v>527</v>
      </c>
      <c r="B442" s="583" t="s">
        <v>362</v>
      </c>
      <c r="C442" s="583" t="s">
        <v>363</v>
      </c>
      <c r="D442" s="406" t="s">
        <v>381</v>
      </c>
      <c r="E442" s="583" t="s">
        <v>364</v>
      </c>
      <c r="F442" s="563" t="s">
        <v>385</v>
      </c>
    </row>
    <row r="443" spans="1:6" ht="16.149999999999999" hidden="1" thickBot="1">
      <c r="A443" s="408" t="s">
        <v>73</v>
      </c>
      <c r="B443" s="480">
        <v>20</v>
      </c>
      <c r="C443" s="565">
        <f>BP!F32</f>
        <v>1165</v>
      </c>
      <c r="D443" s="499">
        <f>C443-BP!F32</f>
        <v>0</v>
      </c>
      <c r="E443" s="480">
        <f t="shared" ref="E443:E448" si="5">B443-C443</f>
        <v>-1145</v>
      </c>
      <c r="F443" s="1189">
        <f>(B443-C443)-E443</f>
        <v>0</v>
      </c>
    </row>
    <row r="444" spans="1:6" ht="16.149999999999999" hidden="1" thickBot="1">
      <c r="A444" s="564" t="s">
        <v>373</v>
      </c>
      <c r="B444" s="565">
        <v>3013</v>
      </c>
      <c r="C444" s="565">
        <f>BP!F33</f>
        <v>3174</v>
      </c>
      <c r="D444" s="480">
        <f>C444-SUM(+BP!F33)</f>
        <v>0</v>
      </c>
      <c r="E444" s="565">
        <f t="shared" si="5"/>
        <v>-161</v>
      </c>
      <c r="F444" s="1189">
        <f>(B444-C444)-E444</f>
        <v>0</v>
      </c>
    </row>
    <row r="445" spans="1:6" ht="16.149999999999999" hidden="1" thickBot="1">
      <c r="A445" s="1025" t="s">
        <v>537</v>
      </c>
      <c r="B445" s="1023">
        <v>24910</v>
      </c>
      <c r="C445" s="1023">
        <f>BP!F34+BP!F36+BP!F37</f>
        <v>33031</v>
      </c>
      <c r="D445" s="480">
        <f>SUM(BP!F34,BP!F36,BP!F37)-C445</f>
        <v>0</v>
      </c>
      <c r="E445" s="566">
        <f t="shared" si="5"/>
        <v>-8121</v>
      </c>
      <c r="F445" s="1189">
        <f>(B445-C445)-E445</f>
        <v>0</v>
      </c>
    </row>
    <row r="446" spans="1:6" ht="16.149999999999999" hidden="1" thickBot="1">
      <c r="A446" s="567" t="s">
        <v>375</v>
      </c>
      <c r="B446" s="1024">
        <v>3147</v>
      </c>
      <c r="C446" s="559">
        <f>BP!F38</f>
        <v>3135</v>
      </c>
      <c r="D446" s="480">
        <f>C446-BP!F38</f>
        <v>0</v>
      </c>
      <c r="E446" s="566">
        <f t="shared" si="5"/>
        <v>12</v>
      </c>
      <c r="F446" s="1189"/>
    </row>
    <row r="447" spans="1:6" ht="16.149999999999999" hidden="1" thickBot="1">
      <c r="A447" s="567" t="s">
        <v>375</v>
      </c>
      <c r="B447" s="559">
        <v>0</v>
      </c>
      <c r="C447" s="559">
        <v>0</v>
      </c>
      <c r="D447" s="499"/>
      <c r="E447" s="566">
        <f t="shared" si="5"/>
        <v>0</v>
      </c>
      <c r="F447" s="1189">
        <f>(B447-C447)-E447</f>
        <v>0</v>
      </c>
    </row>
    <row r="448" spans="1:6" hidden="1">
      <c r="A448" s="584" t="s">
        <v>533</v>
      </c>
      <c r="B448" s="482">
        <f>SUM(B443:B447)</f>
        <v>31090</v>
      </c>
      <c r="C448" s="482">
        <f>SUM(C443:C447)</f>
        <v>40505</v>
      </c>
      <c r="D448" s="482">
        <f>C448-BP!F39</f>
        <v>0</v>
      </c>
      <c r="E448" s="482">
        <f t="shared" si="5"/>
        <v>-9415</v>
      </c>
      <c r="F448" s="1189">
        <f>(B448-C448)-E448</f>
        <v>0</v>
      </c>
    </row>
    <row r="449" spans="1:6" hidden="1">
      <c r="A449" s="546" t="s">
        <v>385</v>
      </c>
      <c r="B449" s="1200">
        <f>SUM(B443:B447)-B448</f>
        <v>0</v>
      </c>
      <c r="C449" s="1200">
        <f>SUM(C443:C447)-C448</f>
        <v>0</v>
      </c>
      <c r="D449" s="1200"/>
      <c r="E449" s="1200">
        <f>SUM(E443:E447)-E448</f>
        <v>0</v>
      </c>
      <c r="F449" s="889"/>
    </row>
    <row r="450" spans="1:6" hidden="1">
      <c r="A450" s="882" t="s">
        <v>381</v>
      </c>
      <c r="B450" s="398"/>
      <c r="C450" s="515">
        <f>C448-BP!F39</f>
        <v>0</v>
      </c>
      <c r="D450" s="571"/>
      <c r="E450" s="571"/>
      <c r="F450" s="889"/>
    </row>
    <row r="451" spans="1:6" ht="16.149999999999999" hidden="1" thickBot="1">
      <c r="A451" s="517" t="s">
        <v>527</v>
      </c>
      <c r="B451" s="557" t="s">
        <v>528</v>
      </c>
      <c r="C451" s="557" t="s">
        <v>529</v>
      </c>
      <c r="D451" s="406" t="s">
        <v>381</v>
      </c>
      <c r="E451" s="557" t="s">
        <v>530</v>
      </c>
      <c r="F451" s="889"/>
    </row>
    <row r="452" spans="1:6" ht="16.149999999999999" hidden="1" thickBot="1">
      <c r="A452" s="443" t="s">
        <v>78</v>
      </c>
      <c r="B452" s="559">
        <v>11569</v>
      </c>
      <c r="C452" s="559">
        <f>BP!F42</f>
        <v>9750</v>
      </c>
      <c r="D452" s="480">
        <f>C452-BP!F42</f>
        <v>0</v>
      </c>
      <c r="E452" s="559">
        <f>B452-C452</f>
        <v>1819</v>
      </c>
      <c r="F452" s="1189">
        <f>(B452-C452)-E452</f>
        <v>0</v>
      </c>
    </row>
    <row r="453" spans="1:6" ht="16.149999999999999" hidden="1" thickBot="1">
      <c r="A453" s="443" t="s">
        <v>538</v>
      </c>
      <c r="B453" s="559">
        <v>13999</v>
      </c>
      <c r="C453" s="559">
        <f>BP!F43</f>
        <v>10376</v>
      </c>
      <c r="D453" s="480">
        <f>BP!F43-C453</f>
        <v>0</v>
      </c>
      <c r="E453" s="559">
        <f>B453-C453</f>
        <v>3623</v>
      </c>
      <c r="F453" s="1189">
        <f>(B453-C453)-E453</f>
        <v>0</v>
      </c>
    </row>
    <row r="454" spans="1:6" ht="16.149999999999999" hidden="1" thickBot="1">
      <c r="A454" s="517" t="s">
        <v>533</v>
      </c>
      <c r="B454" s="560">
        <f>SUM(B452:B453)</f>
        <v>25568</v>
      </c>
      <c r="C454" s="560">
        <f>SUM(C452:C453)</f>
        <v>20126</v>
      </c>
      <c r="D454" s="482">
        <f>C454-BP!F44</f>
        <v>0</v>
      </c>
      <c r="E454" s="559">
        <f>B454-C454</f>
        <v>5442</v>
      </c>
      <c r="F454" s="1189">
        <f>(B454-C454)-E454</f>
        <v>0</v>
      </c>
    </row>
    <row r="455" spans="1:6" ht="16.149999999999999" hidden="1" thickBot="1">
      <c r="A455" s="518" t="s">
        <v>385</v>
      </c>
      <c r="B455" s="560">
        <f>SUM(B452:B453)-B454</f>
        <v>0</v>
      </c>
      <c r="C455" s="560">
        <f>SUM(C452:C453)-C454</f>
        <v>0</v>
      </c>
      <c r="D455" s="561"/>
      <c r="E455" s="560">
        <f>SUM(E452:E453)-E454</f>
        <v>0</v>
      </c>
      <c r="F455" s="883"/>
    </row>
    <row r="456" spans="1:6" hidden="1">
      <c r="A456" s="571"/>
      <c r="B456" s="571"/>
      <c r="C456" s="571"/>
      <c r="D456" s="571"/>
      <c r="E456" s="571"/>
      <c r="F456" s="571"/>
    </row>
    <row r="457" spans="1:6" ht="16.149999999999999" hidden="1" thickBot="1">
      <c r="A457" s="517" t="s">
        <v>527</v>
      </c>
      <c r="B457" s="557" t="s">
        <v>528</v>
      </c>
      <c r="C457" s="557" t="s">
        <v>529</v>
      </c>
      <c r="D457" s="406" t="s">
        <v>381</v>
      </c>
      <c r="E457" s="557" t="s">
        <v>530</v>
      </c>
      <c r="F457" s="558" t="s">
        <v>385</v>
      </c>
    </row>
    <row r="458" spans="1:6" ht="16.149999999999999" hidden="1" thickBot="1">
      <c r="A458" s="443" t="s">
        <v>539</v>
      </c>
      <c r="B458" s="559">
        <v>0</v>
      </c>
      <c r="C458" s="559">
        <v>0</v>
      </c>
      <c r="D458" s="480">
        <f>C458-BP!F43</f>
        <v>-10376</v>
      </c>
      <c r="E458" s="559">
        <f>B458-C458</f>
        <v>0</v>
      </c>
      <c r="F458" s="1189"/>
    </row>
    <row r="459" spans="1:6" ht="16.149999999999999" hidden="1" thickBot="1">
      <c r="A459" s="567" t="s">
        <v>540</v>
      </c>
      <c r="B459" s="559">
        <v>0</v>
      </c>
      <c r="C459" s="559">
        <v>0</v>
      </c>
      <c r="D459" s="480"/>
      <c r="E459" s="559">
        <f>B459-C459</f>
        <v>0</v>
      </c>
      <c r="F459" s="1189"/>
    </row>
    <row r="460" spans="1:6" ht="16.149999999999999" hidden="1" thickBot="1">
      <c r="A460" s="517" t="s">
        <v>533</v>
      </c>
      <c r="B460" s="560">
        <f>SUM(B458:B459)</f>
        <v>0</v>
      </c>
      <c r="C460" s="560">
        <f>SUM(C458:C459)</f>
        <v>0</v>
      </c>
      <c r="D460" s="482"/>
      <c r="E460" s="560">
        <f>SUM(E458:E459)</f>
        <v>0</v>
      </c>
      <c r="F460" s="1189">
        <f>(B460-C460)-E460</f>
        <v>0</v>
      </c>
    </row>
    <row r="461" spans="1:6" hidden="1">
      <c r="A461" s="541" t="s">
        <v>380</v>
      </c>
      <c r="B461" s="482">
        <f>B460-B458-B459</f>
        <v>0</v>
      </c>
      <c r="C461" s="482">
        <f>C460-C458-C459</f>
        <v>0</v>
      </c>
      <c r="D461" s="482"/>
      <c r="E461" s="482">
        <f>B461-C461</f>
        <v>0</v>
      </c>
      <c r="F461" s="889"/>
    </row>
    <row r="462" spans="1:6" hidden="1">
      <c r="A462" s="541" t="s">
        <v>381</v>
      </c>
      <c r="B462" s="571"/>
      <c r="C462" s="1200">
        <f>C460-BP!F43-BP!F51</f>
        <v>-22051</v>
      </c>
      <c r="D462" s="1200"/>
      <c r="E462" s="571"/>
      <c r="F462" s="889"/>
    </row>
    <row r="463" spans="1:6" hidden="1">
      <c r="A463" s="571"/>
      <c r="B463" s="571"/>
      <c r="C463" s="571"/>
      <c r="D463" s="571"/>
      <c r="E463" s="571"/>
      <c r="F463" s="571"/>
    </row>
    <row r="464" spans="1:6" hidden="1">
      <c r="A464" s="571"/>
      <c r="B464" s="571"/>
      <c r="C464" s="571"/>
      <c r="D464" s="515" t="s">
        <v>536</v>
      </c>
      <c r="E464" s="515">
        <f>E460+E448-E419</f>
        <v>-9506</v>
      </c>
      <c r="F464" s="571"/>
    </row>
  </sheetData>
  <mergeCells count="4">
    <mergeCell ref="B353:C353"/>
    <mergeCell ref="E353:F353"/>
    <mergeCell ref="C372:F372"/>
    <mergeCell ref="A174:B174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81"/>
  <sheetViews>
    <sheetView topLeftCell="B274" workbookViewId="0">
      <selection activeCell="J291" sqref="J291"/>
    </sheetView>
  </sheetViews>
  <sheetFormatPr defaultRowHeight="14.45"/>
  <cols>
    <col min="1" max="1" width="36.140625" style="343" bestFit="1" customWidth="1"/>
    <col min="2" max="2" width="8.85546875" style="343"/>
    <col min="3" max="3" width="64.85546875" customWidth="1"/>
    <col min="4" max="6" width="14" style="70" bestFit="1" customWidth="1"/>
    <col min="7" max="7" width="12.85546875" style="70" bestFit="1" customWidth="1"/>
    <col min="8" max="8" width="14" style="70" bestFit="1" customWidth="1"/>
    <col min="9" max="10" width="9.28515625" bestFit="1" customWidth="1"/>
  </cols>
  <sheetData>
    <row r="1" spans="1:10">
      <c r="A1" s="343" t="s">
        <v>541</v>
      </c>
      <c r="B1" s="343" t="s">
        <v>542</v>
      </c>
      <c r="C1" t="s">
        <v>543</v>
      </c>
      <c r="D1" s="70" t="s">
        <v>544</v>
      </c>
      <c r="E1" s="70" t="s">
        <v>545</v>
      </c>
      <c r="F1" s="70" t="s">
        <v>546</v>
      </c>
      <c r="G1" s="70" t="s">
        <v>547</v>
      </c>
      <c r="H1" s="70" t="s">
        <v>548</v>
      </c>
    </row>
    <row r="2" spans="1:10">
      <c r="A2" s="343" t="s">
        <v>549</v>
      </c>
    </row>
    <row r="4" spans="1:10">
      <c r="A4" s="343" t="s">
        <v>550</v>
      </c>
    </row>
    <row r="5" spans="1:10">
      <c r="A5" s="343" t="s">
        <v>551</v>
      </c>
    </row>
    <row r="7" spans="1:10">
      <c r="A7" s="343" t="s">
        <v>552</v>
      </c>
      <c r="B7" s="343" t="s">
        <v>553</v>
      </c>
      <c r="C7" t="s">
        <v>213</v>
      </c>
      <c r="D7" s="70" t="s">
        <v>554</v>
      </c>
      <c r="E7" s="70" t="s">
        <v>555</v>
      </c>
      <c r="F7" s="70" t="s">
        <v>556</v>
      </c>
      <c r="G7" s="70" t="s">
        <v>557</v>
      </c>
      <c r="H7" s="70" t="s">
        <v>558</v>
      </c>
    </row>
    <row r="8" spans="1:10">
      <c r="A8" s="343">
        <v>1</v>
      </c>
      <c r="B8" s="343">
        <v>1</v>
      </c>
      <c r="C8" t="s">
        <v>559</v>
      </c>
      <c r="D8" s="70">
        <v>59130992.100000001</v>
      </c>
      <c r="E8" s="70">
        <v>22660713.850000001</v>
      </c>
      <c r="F8" s="70">
        <v>-23104478.149999999</v>
      </c>
      <c r="G8" s="70">
        <v>-443764.3</v>
      </c>
      <c r="H8" s="70">
        <v>58687227.799999997</v>
      </c>
      <c r="I8" s="112">
        <f>G8/1000</f>
        <v>-443.76429999999999</v>
      </c>
      <c r="J8" s="112">
        <f>ROUND(I8,0)</f>
        <v>-444</v>
      </c>
    </row>
    <row r="9" spans="1:10">
      <c r="A9" s="343" t="s">
        <v>560</v>
      </c>
      <c r="B9" s="343">
        <v>11</v>
      </c>
      <c r="C9" t="s">
        <v>50</v>
      </c>
      <c r="D9" s="70">
        <v>44871636.509999998</v>
      </c>
      <c r="E9" s="70">
        <v>22210796.890000001</v>
      </c>
      <c r="F9" s="70">
        <v>-22366733.59</v>
      </c>
      <c r="G9" s="70">
        <v>-155936.70000000001</v>
      </c>
      <c r="H9" s="70">
        <v>44715699.810000002</v>
      </c>
      <c r="I9" s="112">
        <f t="shared" ref="I9:I72" si="0">G9/1000</f>
        <v>-155.9367</v>
      </c>
      <c r="J9" s="112">
        <f t="shared" ref="J9:J72" si="1">ROUND(I9,0)</f>
        <v>-156</v>
      </c>
    </row>
    <row r="10" spans="1:10">
      <c r="A10" s="343" t="s">
        <v>561</v>
      </c>
      <c r="B10" s="343">
        <v>111</v>
      </c>
      <c r="C10" t="s">
        <v>562</v>
      </c>
      <c r="D10" s="70">
        <v>36379417.390000001</v>
      </c>
      <c r="E10" s="70">
        <v>19207502.34</v>
      </c>
      <c r="F10" s="70">
        <v>-19117962.260000002</v>
      </c>
      <c r="G10" s="70">
        <v>89540.08</v>
      </c>
      <c r="H10" s="70">
        <v>36468957.469999999</v>
      </c>
      <c r="I10" s="112">
        <f t="shared" si="0"/>
        <v>89.540080000000003</v>
      </c>
      <c r="J10" s="112">
        <f t="shared" si="1"/>
        <v>90</v>
      </c>
    </row>
    <row r="11" spans="1:10">
      <c r="A11" s="343" t="s">
        <v>52</v>
      </c>
      <c r="B11" s="343">
        <v>1112</v>
      </c>
      <c r="C11" t="s">
        <v>563</v>
      </c>
      <c r="D11" s="70">
        <v>36379417.390000001</v>
      </c>
      <c r="E11" s="70">
        <v>19207502.34</v>
      </c>
      <c r="F11" s="70">
        <v>-19117962.260000002</v>
      </c>
      <c r="G11" s="70">
        <v>89540.08</v>
      </c>
      <c r="H11" s="70">
        <v>36468957.469999999</v>
      </c>
      <c r="I11" s="112">
        <f t="shared" si="0"/>
        <v>89.540080000000003</v>
      </c>
      <c r="J11" s="112">
        <f t="shared" si="1"/>
        <v>90</v>
      </c>
    </row>
    <row r="12" spans="1:10">
      <c r="A12" s="343" t="s">
        <v>564</v>
      </c>
      <c r="B12" s="343" t="s">
        <v>565</v>
      </c>
      <c r="C12" t="s">
        <v>566</v>
      </c>
      <c r="D12" s="70">
        <v>0</v>
      </c>
      <c r="E12" s="70">
        <v>5259622.42</v>
      </c>
      <c r="F12" s="70">
        <v>-5259622.42</v>
      </c>
      <c r="G12" s="70">
        <v>0</v>
      </c>
      <c r="H12" s="70">
        <v>0</v>
      </c>
      <c r="I12" s="112">
        <f t="shared" si="0"/>
        <v>0</v>
      </c>
      <c r="J12" s="112">
        <f t="shared" si="1"/>
        <v>0</v>
      </c>
    </row>
    <row r="13" spans="1:10">
      <c r="A13" s="343" t="s">
        <v>567</v>
      </c>
      <c r="B13" s="343" t="s">
        <v>568</v>
      </c>
      <c r="C13" t="s">
        <v>569</v>
      </c>
      <c r="D13" s="70">
        <v>8904278.8800000008</v>
      </c>
      <c r="E13" s="70">
        <v>13024895.02</v>
      </c>
      <c r="F13" s="70">
        <v>-13569998.73</v>
      </c>
      <c r="G13" s="70">
        <v>-545103.71</v>
      </c>
      <c r="H13" s="70">
        <v>8359175.1699999999</v>
      </c>
      <c r="I13" s="112">
        <f t="shared" si="0"/>
        <v>-545.10370999999998</v>
      </c>
      <c r="J13" s="112">
        <f t="shared" si="1"/>
        <v>-545</v>
      </c>
    </row>
    <row r="14" spans="1:10">
      <c r="A14" s="343" t="s">
        <v>570</v>
      </c>
      <c r="B14" s="343" t="s">
        <v>571</v>
      </c>
      <c r="C14" t="s">
        <v>572</v>
      </c>
      <c r="D14" s="70">
        <v>27475138.510000002</v>
      </c>
      <c r="E14" s="70">
        <v>922984.9</v>
      </c>
      <c r="F14" s="70">
        <v>-288341.11</v>
      </c>
      <c r="G14" s="70">
        <v>634643.79</v>
      </c>
      <c r="H14" s="70">
        <v>28109782.300000001</v>
      </c>
      <c r="I14" s="112">
        <f t="shared" si="0"/>
        <v>634.64379000000008</v>
      </c>
      <c r="J14" s="112">
        <f t="shared" si="1"/>
        <v>635</v>
      </c>
    </row>
    <row r="15" spans="1:10">
      <c r="A15" s="343" t="s">
        <v>573</v>
      </c>
      <c r="B15" s="343">
        <v>112</v>
      </c>
      <c r="C15" t="s">
        <v>574</v>
      </c>
      <c r="D15" s="70">
        <v>5093586.37</v>
      </c>
      <c r="E15" s="70">
        <v>2572969.15</v>
      </c>
      <c r="F15" s="70">
        <v>-2176964.41</v>
      </c>
      <c r="G15" s="70">
        <v>396004.74</v>
      </c>
      <c r="H15" s="70">
        <v>5489591.1100000003</v>
      </c>
      <c r="I15" s="112">
        <f t="shared" si="0"/>
        <v>396.00473999999997</v>
      </c>
      <c r="J15" s="112">
        <f t="shared" si="1"/>
        <v>396</v>
      </c>
    </row>
    <row r="16" spans="1:10">
      <c r="A16" s="343" t="s">
        <v>54</v>
      </c>
      <c r="B16" s="343">
        <v>1123</v>
      </c>
      <c r="C16" t="s">
        <v>575</v>
      </c>
      <c r="D16" s="70">
        <v>2609406.65</v>
      </c>
      <c r="E16" s="70">
        <v>303891.8</v>
      </c>
      <c r="F16" s="70">
        <v>-7377.12</v>
      </c>
      <c r="G16" s="70">
        <v>296514.68</v>
      </c>
      <c r="H16" s="70">
        <v>2905921.33</v>
      </c>
      <c r="I16" s="112">
        <f t="shared" si="0"/>
        <v>296.51468</v>
      </c>
      <c r="J16" s="112">
        <f t="shared" si="1"/>
        <v>297</v>
      </c>
    </row>
    <row r="17" spans="1:10">
      <c r="A17" s="343" t="s">
        <v>576</v>
      </c>
      <c r="B17" s="343">
        <v>11239</v>
      </c>
      <c r="C17" t="s">
        <v>217</v>
      </c>
      <c r="D17" s="70">
        <v>1551</v>
      </c>
      <c r="E17" s="70">
        <v>27.99</v>
      </c>
      <c r="F17" s="70">
        <v>0</v>
      </c>
      <c r="G17" s="70">
        <v>27.99</v>
      </c>
      <c r="H17" s="70">
        <v>1578.99</v>
      </c>
      <c r="I17" s="112">
        <f t="shared" si="0"/>
        <v>2.7989999999999998E-2</v>
      </c>
      <c r="J17" s="112">
        <f t="shared" si="1"/>
        <v>0</v>
      </c>
    </row>
    <row r="18" spans="1:10">
      <c r="A18" s="343" t="s">
        <v>577</v>
      </c>
      <c r="B18" s="343">
        <v>112316</v>
      </c>
      <c r="C18" t="s">
        <v>234</v>
      </c>
      <c r="D18" s="70">
        <v>228574.23</v>
      </c>
      <c r="E18" s="70">
        <v>199646.04</v>
      </c>
      <c r="F18" s="70">
        <v>0</v>
      </c>
      <c r="G18" s="70">
        <v>199646.04</v>
      </c>
      <c r="H18" s="70">
        <v>428220.27</v>
      </c>
      <c r="I18" s="112">
        <f t="shared" si="0"/>
        <v>199.64604</v>
      </c>
      <c r="J18" s="112">
        <f t="shared" si="1"/>
        <v>200</v>
      </c>
    </row>
    <row r="19" spans="1:10">
      <c r="A19" s="343" t="s">
        <v>578</v>
      </c>
      <c r="B19" s="343">
        <v>112317</v>
      </c>
      <c r="C19" t="s">
        <v>235</v>
      </c>
      <c r="D19" s="70">
        <v>74370.38</v>
      </c>
      <c r="E19" s="70">
        <v>56544.44</v>
      </c>
      <c r="F19" s="70">
        <v>-7377.12</v>
      </c>
      <c r="G19" s="70">
        <v>49167.32</v>
      </c>
      <c r="H19" s="70">
        <v>123537.7</v>
      </c>
      <c r="I19" s="112">
        <f t="shared" si="0"/>
        <v>49.167319999999997</v>
      </c>
      <c r="J19" s="112">
        <f t="shared" si="1"/>
        <v>49</v>
      </c>
    </row>
    <row r="20" spans="1:10">
      <c r="A20" s="343" t="s">
        <v>579</v>
      </c>
      <c r="B20" s="343">
        <v>112323</v>
      </c>
      <c r="C20" t="s">
        <v>230</v>
      </c>
      <c r="D20" s="70">
        <v>860888.91</v>
      </c>
      <c r="E20" s="70">
        <v>18575.03</v>
      </c>
      <c r="F20" s="70">
        <v>0</v>
      </c>
      <c r="G20" s="70">
        <v>18575.03</v>
      </c>
      <c r="H20" s="70">
        <v>879463.94</v>
      </c>
      <c r="I20" s="112">
        <f t="shared" si="0"/>
        <v>18.575029999999998</v>
      </c>
      <c r="J20" s="112">
        <f t="shared" si="1"/>
        <v>19</v>
      </c>
    </row>
    <row r="21" spans="1:10">
      <c r="A21" s="343" t="s">
        <v>580</v>
      </c>
      <c r="B21" s="343">
        <v>112325</v>
      </c>
      <c r="C21" t="s">
        <v>229</v>
      </c>
      <c r="D21" s="70">
        <v>3119.4</v>
      </c>
      <c r="E21" s="70">
        <v>64.92</v>
      </c>
      <c r="F21" s="70">
        <v>0</v>
      </c>
      <c r="G21" s="70">
        <v>64.92</v>
      </c>
      <c r="H21" s="70">
        <v>3184.32</v>
      </c>
      <c r="I21" s="112">
        <f t="shared" si="0"/>
        <v>6.4920000000000005E-2</v>
      </c>
      <c r="J21" s="112">
        <f t="shared" si="1"/>
        <v>0</v>
      </c>
    </row>
    <row r="22" spans="1:10">
      <c r="A22" s="343" t="s">
        <v>581</v>
      </c>
      <c r="B22" s="343">
        <v>112327</v>
      </c>
      <c r="C22" t="s">
        <v>582</v>
      </c>
      <c r="D22" s="70">
        <v>252.04</v>
      </c>
      <c r="E22" s="70">
        <v>4.55</v>
      </c>
      <c r="F22" s="70">
        <v>0</v>
      </c>
      <c r="G22" s="70">
        <v>4.55</v>
      </c>
      <c r="H22" s="70">
        <v>256.58999999999997</v>
      </c>
      <c r="I22" s="112">
        <f t="shared" si="0"/>
        <v>4.5500000000000002E-3</v>
      </c>
      <c r="J22" s="112">
        <f t="shared" si="1"/>
        <v>0</v>
      </c>
    </row>
    <row r="23" spans="1:10">
      <c r="A23" s="343" t="s">
        <v>583</v>
      </c>
      <c r="B23" s="343">
        <v>112332</v>
      </c>
      <c r="C23" t="s">
        <v>584</v>
      </c>
      <c r="D23" s="70">
        <v>320622.48</v>
      </c>
      <c r="E23" s="70">
        <v>6002.33</v>
      </c>
      <c r="F23" s="70">
        <v>0</v>
      </c>
      <c r="G23" s="70">
        <v>6002.33</v>
      </c>
      <c r="H23" s="70">
        <v>326624.81</v>
      </c>
      <c r="I23" s="112">
        <f t="shared" si="0"/>
        <v>6.0023299999999997</v>
      </c>
      <c r="J23" s="112">
        <f t="shared" si="1"/>
        <v>6</v>
      </c>
    </row>
    <row r="24" spans="1:10">
      <c r="A24" s="343" t="s">
        <v>585</v>
      </c>
      <c r="B24" s="343">
        <v>112333</v>
      </c>
      <c r="C24" t="s">
        <v>586</v>
      </c>
      <c r="D24" s="70">
        <v>122899.56</v>
      </c>
      <c r="E24" s="70">
        <v>2300.79</v>
      </c>
      <c r="F24" s="70">
        <v>0</v>
      </c>
      <c r="G24" s="70">
        <v>2300.79</v>
      </c>
      <c r="H24" s="70">
        <v>125200.35</v>
      </c>
      <c r="I24" s="112">
        <f t="shared" si="0"/>
        <v>2.3007900000000001</v>
      </c>
      <c r="J24" s="112">
        <f t="shared" si="1"/>
        <v>2</v>
      </c>
    </row>
    <row r="25" spans="1:10">
      <c r="A25" s="343" t="s">
        <v>587</v>
      </c>
      <c r="B25" s="343">
        <v>112334</v>
      </c>
      <c r="C25" t="s">
        <v>392</v>
      </c>
      <c r="D25" s="70">
        <v>2011.97</v>
      </c>
      <c r="E25" s="70">
        <v>40.92</v>
      </c>
      <c r="F25" s="70">
        <v>0</v>
      </c>
      <c r="G25" s="70">
        <v>40.92</v>
      </c>
      <c r="H25" s="70">
        <v>2052.89</v>
      </c>
      <c r="I25" s="112">
        <f t="shared" si="0"/>
        <v>4.0920000000000005E-2</v>
      </c>
      <c r="J25" s="112">
        <f t="shared" si="1"/>
        <v>0</v>
      </c>
    </row>
    <row r="26" spans="1:10">
      <c r="A26" s="343" t="s">
        <v>588</v>
      </c>
      <c r="B26" s="343">
        <v>112336</v>
      </c>
      <c r="C26" t="s">
        <v>589</v>
      </c>
      <c r="D26" s="70">
        <v>710690.18</v>
      </c>
      <c r="E26" s="70">
        <v>14772.62</v>
      </c>
      <c r="F26" s="70">
        <v>0</v>
      </c>
      <c r="G26" s="70">
        <v>14772.62</v>
      </c>
      <c r="H26" s="70">
        <v>725462.8</v>
      </c>
      <c r="I26" s="112">
        <f t="shared" si="0"/>
        <v>14.772620000000002</v>
      </c>
      <c r="J26" s="112">
        <f t="shared" si="1"/>
        <v>15</v>
      </c>
    </row>
    <row r="27" spans="1:10">
      <c r="A27" s="343" t="s">
        <v>590</v>
      </c>
      <c r="B27" s="343">
        <v>112337</v>
      </c>
      <c r="C27" t="s">
        <v>591</v>
      </c>
      <c r="D27" s="70">
        <v>284426.5</v>
      </c>
      <c r="E27" s="70">
        <v>5912.17</v>
      </c>
      <c r="F27" s="70">
        <v>0</v>
      </c>
      <c r="G27" s="70">
        <v>5912.17</v>
      </c>
      <c r="H27" s="70">
        <v>290338.67</v>
      </c>
      <c r="I27" s="112">
        <f t="shared" si="0"/>
        <v>5.9121699999999997</v>
      </c>
      <c r="J27" s="112">
        <f t="shared" si="1"/>
        <v>6</v>
      </c>
    </row>
    <row r="28" spans="1:10">
      <c r="A28" s="343" t="s">
        <v>56</v>
      </c>
      <c r="B28" s="343">
        <v>1124</v>
      </c>
      <c r="C28" t="s">
        <v>592</v>
      </c>
      <c r="D28" s="70">
        <v>2484047.7400000002</v>
      </c>
      <c r="E28" s="70">
        <v>1183243.28</v>
      </c>
      <c r="F28" s="70">
        <v>-1110653.22</v>
      </c>
      <c r="G28" s="70">
        <v>72590.06</v>
      </c>
      <c r="H28" s="70">
        <v>2556637.7999999998</v>
      </c>
      <c r="I28" s="112">
        <f t="shared" si="0"/>
        <v>72.590059999999994</v>
      </c>
      <c r="J28" s="112">
        <f t="shared" si="1"/>
        <v>73</v>
      </c>
    </row>
    <row r="29" spans="1:10">
      <c r="A29" s="343" t="s">
        <v>593</v>
      </c>
      <c r="B29" s="343">
        <v>11241</v>
      </c>
      <c r="C29" t="s">
        <v>594</v>
      </c>
      <c r="D29" s="70">
        <v>165979.79</v>
      </c>
      <c r="E29" s="70">
        <v>1042957.15</v>
      </c>
      <c r="F29" s="70">
        <v>-970367.09</v>
      </c>
      <c r="G29" s="70">
        <v>72590.06</v>
      </c>
      <c r="H29" s="70">
        <v>238569.85</v>
      </c>
      <c r="I29" s="112">
        <f t="shared" si="0"/>
        <v>72.590059999999994</v>
      </c>
      <c r="J29" s="112">
        <f t="shared" si="1"/>
        <v>73</v>
      </c>
    </row>
    <row r="30" spans="1:10">
      <c r="A30" s="343" t="s">
        <v>595</v>
      </c>
      <c r="B30" s="343">
        <v>11242</v>
      </c>
      <c r="C30" t="s">
        <v>596</v>
      </c>
      <c r="D30" s="70">
        <v>2318067.9500000002</v>
      </c>
      <c r="E30" s="70">
        <v>0</v>
      </c>
      <c r="F30" s="70">
        <v>0</v>
      </c>
      <c r="G30" s="70">
        <v>0</v>
      </c>
      <c r="H30" s="70">
        <v>2318067.9500000002</v>
      </c>
      <c r="I30" s="112">
        <f t="shared" si="0"/>
        <v>0</v>
      </c>
      <c r="J30" s="112">
        <f t="shared" si="1"/>
        <v>0</v>
      </c>
    </row>
    <row r="31" spans="1:10">
      <c r="A31" s="343" t="s">
        <v>597</v>
      </c>
      <c r="B31" s="343">
        <v>112424</v>
      </c>
      <c r="C31" t="s">
        <v>598</v>
      </c>
      <c r="D31" s="70">
        <v>0</v>
      </c>
      <c r="E31" s="70">
        <v>130006.75</v>
      </c>
      <c r="F31" s="70">
        <v>-130006.75</v>
      </c>
      <c r="G31" s="70">
        <v>0</v>
      </c>
      <c r="H31" s="70">
        <v>0</v>
      </c>
      <c r="I31" s="112">
        <f t="shared" si="0"/>
        <v>0</v>
      </c>
      <c r="J31" s="112">
        <f t="shared" si="1"/>
        <v>0</v>
      </c>
    </row>
    <row r="32" spans="1:10">
      <c r="A32" s="343" t="s">
        <v>599</v>
      </c>
      <c r="B32" s="343">
        <v>112425</v>
      </c>
      <c r="C32" t="s">
        <v>458</v>
      </c>
      <c r="D32" s="70">
        <v>0</v>
      </c>
      <c r="E32" s="70">
        <v>10279.379999999999</v>
      </c>
      <c r="F32" s="70">
        <v>-10279.379999999999</v>
      </c>
      <c r="G32" s="70">
        <v>0</v>
      </c>
      <c r="H32" s="70">
        <v>0</v>
      </c>
      <c r="I32" s="112">
        <f t="shared" si="0"/>
        <v>0</v>
      </c>
      <c r="J32" s="112">
        <f t="shared" si="1"/>
        <v>0</v>
      </c>
    </row>
    <row r="33" spans="1:10">
      <c r="A33" s="343" t="s">
        <v>600</v>
      </c>
      <c r="B33" s="343">
        <v>1125</v>
      </c>
      <c r="C33" t="s">
        <v>601</v>
      </c>
      <c r="D33" s="70">
        <v>0</v>
      </c>
      <c r="E33" s="70">
        <v>26900</v>
      </c>
      <c r="F33" s="70">
        <v>0</v>
      </c>
      <c r="G33" s="70">
        <v>26900</v>
      </c>
      <c r="H33" s="70">
        <v>26900</v>
      </c>
      <c r="I33" s="112">
        <f t="shared" si="0"/>
        <v>26.9</v>
      </c>
      <c r="J33" s="112">
        <f t="shared" si="1"/>
        <v>27</v>
      </c>
    </row>
    <row r="34" spans="1:10">
      <c r="A34" s="343" t="s">
        <v>602</v>
      </c>
      <c r="B34" s="343">
        <v>11254</v>
      </c>
      <c r="C34" t="s">
        <v>603</v>
      </c>
      <c r="D34" s="70">
        <v>0</v>
      </c>
      <c r="E34" s="70">
        <v>26900</v>
      </c>
      <c r="F34" s="70">
        <v>0</v>
      </c>
      <c r="G34" s="70">
        <v>26900</v>
      </c>
      <c r="H34" s="70">
        <v>26900</v>
      </c>
      <c r="I34" s="112">
        <f t="shared" si="0"/>
        <v>26.9</v>
      </c>
      <c r="J34" s="112">
        <f t="shared" si="1"/>
        <v>27</v>
      </c>
    </row>
    <row r="35" spans="1:10">
      <c r="A35" s="343" t="s">
        <v>604</v>
      </c>
      <c r="B35" s="343">
        <v>1129</v>
      </c>
      <c r="C35" t="s">
        <v>144</v>
      </c>
      <c r="D35" s="70">
        <v>0</v>
      </c>
      <c r="E35" s="70">
        <v>922615.35</v>
      </c>
      <c r="F35" s="70">
        <v>-922615.35</v>
      </c>
      <c r="G35" s="70">
        <v>0</v>
      </c>
      <c r="H35" s="70">
        <v>0</v>
      </c>
      <c r="I35" s="112">
        <f t="shared" si="0"/>
        <v>0</v>
      </c>
      <c r="J35" s="112">
        <f t="shared" si="1"/>
        <v>0</v>
      </c>
    </row>
    <row r="36" spans="1:10">
      <c r="A36" s="343" t="s">
        <v>605</v>
      </c>
      <c r="B36" s="343">
        <v>11291</v>
      </c>
      <c r="C36" t="s">
        <v>606</v>
      </c>
      <c r="D36" s="70">
        <v>0</v>
      </c>
      <c r="E36" s="70">
        <v>922615.35</v>
      </c>
      <c r="F36" s="70">
        <v>-922615.35</v>
      </c>
      <c r="G36" s="70">
        <v>0</v>
      </c>
      <c r="H36" s="70">
        <v>0</v>
      </c>
      <c r="I36" s="112">
        <f t="shared" si="0"/>
        <v>0</v>
      </c>
      <c r="J36" s="112">
        <f t="shared" si="1"/>
        <v>0</v>
      </c>
    </row>
    <row r="37" spans="1:10">
      <c r="A37" s="343" t="s">
        <v>607</v>
      </c>
      <c r="B37" s="343">
        <v>11299</v>
      </c>
      <c r="C37" t="s">
        <v>608</v>
      </c>
      <c r="D37" s="70">
        <v>131.97999999999999</v>
      </c>
      <c r="E37" s="70">
        <v>136318.72</v>
      </c>
      <c r="F37" s="70">
        <v>-136318.72</v>
      </c>
      <c r="G37" s="70">
        <v>0</v>
      </c>
      <c r="H37" s="70">
        <v>131.97999999999999</v>
      </c>
      <c r="I37" s="112">
        <f t="shared" si="0"/>
        <v>0</v>
      </c>
      <c r="J37" s="112">
        <f t="shared" si="1"/>
        <v>0</v>
      </c>
    </row>
    <row r="38" spans="1:10">
      <c r="A38" s="343" t="s">
        <v>609</v>
      </c>
      <c r="B38" s="343">
        <v>112995</v>
      </c>
      <c r="C38" t="s">
        <v>610</v>
      </c>
      <c r="D38" s="70">
        <v>0</v>
      </c>
      <c r="E38" s="70">
        <v>136318.72</v>
      </c>
      <c r="F38" s="70">
        <v>-136318.72</v>
      </c>
      <c r="G38" s="70">
        <v>0</v>
      </c>
      <c r="H38" s="70">
        <v>0</v>
      </c>
      <c r="I38" s="112">
        <f t="shared" si="0"/>
        <v>0</v>
      </c>
      <c r="J38" s="112">
        <f t="shared" si="1"/>
        <v>0</v>
      </c>
    </row>
    <row r="39" spans="1:10">
      <c r="A39" s="343" t="s">
        <v>611</v>
      </c>
      <c r="B39" s="343">
        <v>11299999</v>
      </c>
      <c r="C39" t="s">
        <v>612</v>
      </c>
      <c r="D39" s="70">
        <v>131.97999999999999</v>
      </c>
      <c r="E39" s="70">
        <v>0</v>
      </c>
      <c r="F39" s="70">
        <v>0</v>
      </c>
      <c r="G39" s="70">
        <v>0</v>
      </c>
      <c r="H39" s="70">
        <v>131.97999999999999</v>
      </c>
      <c r="I39" s="112">
        <f t="shared" si="0"/>
        <v>0</v>
      </c>
      <c r="J39" s="112">
        <f t="shared" si="1"/>
        <v>0</v>
      </c>
    </row>
    <row r="40" spans="1:10">
      <c r="A40" s="343" t="s">
        <v>58</v>
      </c>
      <c r="B40" s="343">
        <v>113</v>
      </c>
      <c r="C40" t="s">
        <v>176</v>
      </c>
      <c r="D40" s="70">
        <v>3398632.75</v>
      </c>
      <c r="E40" s="70">
        <v>430325.4</v>
      </c>
      <c r="F40" s="70">
        <v>-1071806.92</v>
      </c>
      <c r="G40" s="70">
        <v>-641481.52</v>
      </c>
      <c r="H40" s="70">
        <v>2757151.23</v>
      </c>
      <c r="I40" s="112">
        <f t="shared" si="0"/>
        <v>-641.48152000000005</v>
      </c>
      <c r="J40" s="112">
        <f t="shared" si="1"/>
        <v>-641</v>
      </c>
    </row>
    <row r="41" spans="1:10">
      <c r="A41" s="343" t="s">
        <v>613</v>
      </c>
      <c r="B41" s="343">
        <v>1131</v>
      </c>
      <c r="C41" t="s">
        <v>176</v>
      </c>
      <c r="D41" s="70">
        <v>3398632.75</v>
      </c>
      <c r="E41" s="70">
        <v>430325.4</v>
      </c>
      <c r="F41" s="70">
        <v>-1071806.92</v>
      </c>
      <c r="G41" s="70">
        <v>-641481.52</v>
      </c>
      <c r="H41" s="70">
        <v>2757151.23</v>
      </c>
      <c r="I41" s="112">
        <f t="shared" si="0"/>
        <v>-641.48152000000005</v>
      </c>
      <c r="J41" s="112">
        <f t="shared" si="1"/>
        <v>-641</v>
      </c>
    </row>
    <row r="42" spans="1:10">
      <c r="A42" s="343" t="s">
        <v>614</v>
      </c>
      <c r="B42" s="343">
        <v>11311</v>
      </c>
      <c r="C42" t="s">
        <v>615</v>
      </c>
      <c r="D42" s="70">
        <v>85860.19</v>
      </c>
      <c r="E42" s="70">
        <v>0</v>
      </c>
      <c r="F42" s="70">
        <v>-33064.17</v>
      </c>
      <c r="G42" s="70">
        <v>-33064.17</v>
      </c>
      <c r="H42" s="70">
        <v>52796.02</v>
      </c>
      <c r="I42" s="112">
        <f t="shared" si="0"/>
        <v>-33.064169999999997</v>
      </c>
      <c r="J42" s="112">
        <f t="shared" si="1"/>
        <v>-33</v>
      </c>
    </row>
    <row r="43" spans="1:10">
      <c r="A43" s="343" t="s">
        <v>616</v>
      </c>
      <c r="B43" s="343">
        <v>11312</v>
      </c>
      <c r="C43" t="s">
        <v>617</v>
      </c>
      <c r="D43" s="70">
        <v>1382550.63</v>
      </c>
      <c r="E43" s="70">
        <v>200000</v>
      </c>
      <c r="F43" s="70">
        <v>-390507.07</v>
      </c>
      <c r="G43" s="70">
        <v>-190507.07</v>
      </c>
      <c r="H43" s="70">
        <v>1192043.56</v>
      </c>
      <c r="I43" s="112">
        <f t="shared" si="0"/>
        <v>-190.50707</v>
      </c>
      <c r="J43" s="112">
        <f t="shared" si="1"/>
        <v>-191</v>
      </c>
    </row>
    <row r="44" spans="1:10">
      <c r="A44" s="343" t="s">
        <v>618</v>
      </c>
      <c r="B44" s="343">
        <v>11313</v>
      </c>
      <c r="C44" t="s">
        <v>619</v>
      </c>
      <c r="D44" s="70">
        <v>90364.36</v>
      </c>
      <c r="E44" s="70">
        <v>216435.4</v>
      </c>
      <c r="F44" s="70">
        <v>-56588.98</v>
      </c>
      <c r="G44" s="70">
        <v>159846.42000000001</v>
      </c>
      <c r="H44" s="70">
        <v>250210.78</v>
      </c>
      <c r="I44" s="112">
        <f t="shared" si="0"/>
        <v>159.84642000000002</v>
      </c>
      <c r="J44" s="112">
        <f t="shared" si="1"/>
        <v>160</v>
      </c>
    </row>
    <row r="45" spans="1:10">
      <c r="A45" s="343" t="s">
        <v>620</v>
      </c>
      <c r="B45" s="343">
        <v>11315</v>
      </c>
      <c r="C45" t="s">
        <v>621</v>
      </c>
      <c r="D45" s="70">
        <v>225371.13</v>
      </c>
      <c r="E45" s="70">
        <v>0</v>
      </c>
      <c r="F45" s="70">
        <v>-75940.27</v>
      </c>
      <c r="G45" s="70">
        <v>-75940.27</v>
      </c>
      <c r="H45" s="70">
        <v>149430.85999999999</v>
      </c>
      <c r="I45" s="112">
        <f t="shared" si="0"/>
        <v>-75.940269999999998</v>
      </c>
      <c r="J45" s="112">
        <f t="shared" si="1"/>
        <v>-76</v>
      </c>
    </row>
    <row r="46" spans="1:10">
      <c r="A46" s="343" t="s">
        <v>622</v>
      </c>
      <c r="B46" s="343">
        <v>11316</v>
      </c>
      <c r="C46" t="s">
        <v>406</v>
      </c>
      <c r="D46" s="70">
        <v>1614486.44</v>
      </c>
      <c r="E46" s="70">
        <v>13890</v>
      </c>
      <c r="F46" s="70">
        <v>-515706.43</v>
      </c>
      <c r="G46" s="70">
        <v>-501816.43</v>
      </c>
      <c r="H46" s="70">
        <v>1112670.01</v>
      </c>
      <c r="I46" s="112">
        <f t="shared" si="0"/>
        <v>-501.81642999999997</v>
      </c>
      <c r="J46" s="112">
        <f t="shared" si="1"/>
        <v>-502</v>
      </c>
    </row>
    <row r="47" spans="1:10">
      <c r="A47" s="343" t="s">
        <v>623</v>
      </c>
      <c r="B47" s="343">
        <v>12</v>
      </c>
      <c r="C47" t="s">
        <v>366</v>
      </c>
      <c r="D47" s="70">
        <v>14259355.59</v>
      </c>
      <c r="E47" s="70">
        <v>449916.96</v>
      </c>
      <c r="F47" s="70">
        <v>-737744.56</v>
      </c>
      <c r="G47" s="70">
        <v>-287827.59999999998</v>
      </c>
      <c r="H47" s="70">
        <v>13971527.99</v>
      </c>
      <c r="I47" s="112">
        <f t="shared" si="0"/>
        <v>-287.82759999999996</v>
      </c>
      <c r="J47" s="112">
        <f t="shared" si="1"/>
        <v>-288</v>
      </c>
    </row>
    <row r="48" spans="1:10">
      <c r="A48" s="343" t="s">
        <v>624</v>
      </c>
      <c r="B48" s="343">
        <v>121</v>
      </c>
      <c r="C48" t="s">
        <v>625</v>
      </c>
      <c r="D48" s="70">
        <v>4802023.43</v>
      </c>
      <c r="E48" s="70">
        <v>54916.959999999999</v>
      </c>
      <c r="F48" s="70">
        <v>-1855.73</v>
      </c>
      <c r="G48" s="70">
        <v>53061.23</v>
      </c>
      <c r="H48" s="70">
        <v>4855084.66</v>
      </c>
      <c r="I48" s="112">
        <f t="shared" si="0"/>
        <v>53.061230000000002</v>
      </c>
      <c r="J48" s="112">
        <f t="shared" si="1"/>
        <v>53</v>
      </c>
    </row>
    <row r="49" spans="1:10">
      <c r="A49" s="343" t="s">
        <v>61</v>
      </c>
      <c r="B49" s="343">
        <v>1213</v>
      </c>
      <c r="C49" t="s">
        <v>575</v>
      </c>
      <c r="D49" s="70">
        <v>172274.93</v>
      </c>
      <c r="E49" s="70">
        <v>2985.88</v>
      </c>
      <c r="F49" s="70">
        <v>0</v>
      </c>
      <c r="G49" s="70">
        <v>2985.88</v>
      </c>
      <c r="H49" s="70">
        <v>175260.81</v>
      </c>
      <c r="I49" s="112">
        <f t="shared" si="0"/>
        <v>2.9858800000000003</v>
      </c>
      <c r="J49" s="112">
        <f t="shared" si="1"/>
        <v>3</v>
      </c>
    </row>
    <row r="50" spans="1:10">
      <c r="A50" s="343" t="s">
        <v>626</v>
      </c>
      <c r="B50" s="343">
        <v>12131</v>
      </c>
      <c r="C50" t="s">
        <v>627</v>
      </c>
      <c r="D50" s="70">
        <v>22413.88</v>
      </c>
      <c r="E50" s="70">
        <v>382.45</v>
      </c>
      <c r="F50" s="70">
        <v>0</v>
      </c>
      <c r="G50" s="70">
        <v>382.45</v>
      </c>
      <c r="H50" s="70">
        <v>22796.33</v>
      </c>
      <c r="I50" s="112">
        <f t="shared" si="0"/>
        <v>0.38245000000000001</v>
      </c>
      <c r="J50" s="112">
        <f t="shared" si="1"/>
        <v>0</v>
      </c>
    </row>
    <row r="51" spans="1:10">
      <c r="A51" s="343" t="s">
        <v>628</v>
      </c>
      <c r="B51" s="343">
        <v>12134</v>
      </c>
      <c r="C51" t="s">
        <v>231</v>
      </c>
      <c r="D51" s="70">
        <v>4640.58</v>
      </c>
      <c r="E51" s="70">
        <v>0</v>
      </c>
      <c r="F51" s="70">
        <v>0</v>
      </c>
      <c r="G51" s="70">
        <v>0</v>
      </c>
      <c r="H51" s="70">
        <v>4640.58</v>
      </c>
      <c r="I51" s="112">
        <f t="shared" si="0"/>
        <v>0</v>
      </c>
      <c r="J51" s="112">
        <f t="shared" si="1"/>
        <v>0</v>
      </c>
    </row>
    <row r="52" spans="1:10">
      <c r="A52" s="343" t="s">
        <v>629</v>
      </c>
      <c r="B52" s="343">
        <v>12135</v>
      </c>
      <c r="C52" t="s">
        <v>630</v>
      </c>
      <c r="D52" s="70">
        <v>145220.47</v>
      </c>
      <c r="E52" s="70">
        <v>2603.4299999999998</v>
      </c>
      <c r="F52" s="70">
        <v>0</v>
      </c>
      <c r="G52" s="70">
        <v>2603.4299999999998</v>
      </c>
      <c r="H52" s="70">
        <v>147823.9</v>
      </c>
      <c r="I52" s="112">
        <f t="shared" si="0"/>
        <v>2.6034299999999999</v>
      </c>
      <c r="J52" s="112">
        <f t="shared" si="1"/>
        <v>3</v>
      </c>
    </row>
    <row r="53" spans="1:10">
      <c r="A53" s="343" t="s">
        <v>631</v>
      </c>
      <c r="B53" s="343">
        <v>1217</v>
      </c>
      <c r="C53" t="s">
        <v>632</v>
      </c>
      <c r="D53" s="70">
        <v>172.2</v>
      </c>
      <c r="E53" s="70">
        <v>0</v>
      </c>
      <c r="F53" s="70">
        <v>0</v>
      </c>
      <c r="G53" s="70">
        <v>0</v>
      </c>
      <c r="H53" s="70">
        <v>172.2</v>
      </c>
      <c r="I53" s="112">
        <f t="shared" si="0"/>
        <v>0</v>
      </c>
      <c r="J53" s="112">
        <f t="shared" si="1"/>
        <v>0</v>
      </c>
    </row>
    <row r="54" spans="1:10">
      <c r="A54" s="343" t="s">
        <v>633</v>
      </c>
      <c r="B54" s="343">
        <v>12171</v>
      </c>
      <c r="C54" t="s">
        <v>634</v>
      </c>
      <c r="D54" s="70">
        <v>172.2</v>
      </c>
      <c r="E54" s="70">
        <v>0</v>
      </c>
      <c r="F54" s="70">
        <v>0</v>
      </c>
      <c r="G54" s="70">
        <v>0</v>
      </c>
      <c r="H54" s="70">
        <v>172.2</v>
      </c>
      <c r="I54" s="112">
        <f t="shared" si="0"/>
        <v>0</v>
      </c>
      <c r="J54" s="112">
        <f t="shared" si="1"/>
        <v>0</v>
      </c>
    </row>
    <row r="55" spans="1:10">
      <c r="A55" s="343" t="s">
        <v>63</v>
      </c>
      <c r="B55" s="343">
        <v>1218</v>
      </c>
      <c r="C55" t="s">
        <v>635</v>
      </c>
      <c r="D55" s="70">
        <v>4629576.3</v>
      </c>
      <c r="E55" s="70">
        <v>51931.08</v>
      </c>
      <c r="F55" s="70">
        <v>-1855.73</v>
      </c>
      <c r="G55" s="70">
        <v>50075.35</v>
      </c>
      <c r="H55" s="70">
        <v>4679651.6500000004</v>
      </c>
      <c r="I55" s="112">
        <f t="shared" si="0"/>
        <v>50.07535</v>
      </c>
      <c r="J55" s="112">
        <f t="shared" si="1"/>
        <v>50</v>
      </c>
    </row>
    <row r="56" spans="1:10">
      <c r="A56" s="343" t="s">
        <v>636</v>
      </c>
      <c r="B56" s="343">
        <v>12181</v>
      </c>
      <c r="C56" t="s">
        <v>637</v>
      </c>
      <c r="D56" s="70">
        <v>4052463.02</v>
      </c>
      <c r="E56" s="70">
        <v>30011.54</v>
      </c>
      <c r="F56" s="70">
        <v>0</v>
      </c>
      <c r="G56" s="70">
        <v>30011.54</v>
      </c>
      <c r="H56" s="70">
        <v>4082474.56</v>
      </c>
      <c r="I56" s="112">
        <f t="shared" si="0"/>
        <v>30.01154</v>
      </c>
      <c r="J56" s="112">
        <f t="shared" si="1"/>
        <v>30</v>
      </c>
    </row>
    <row r="57" spans="1:10">
      <c r="A57" s="343" t="s">
        <v>638</v>
      </c>
      <c r="B57" s="343">
        <v>12182</v>
      </c>
      <c r="C57" t="s">
        <v>639</v>
      </c>
      <c r="D57" s="70">
        <v>409449.02</v>
      </c>
      <c r="E57" s="70">
        <v>21521.59</v>
      </c>
      <c r="F57" s="70">
        <v>0</v>
      </c>
      <c r="G57" s="70">
        <v>21521.59</v>
      </c>
      <c r="H57" s="70">
        <v>430970.61</v>
      </c>
      <c r="I57" s="112">
        <f t="shared" si="0"/>
        <v>21.52159</v>
      </c>
      <c r="J57" s="112">
        <f t="shared" si="1"/>
        <v>22</v>
      </c>
    </row>
    <row r="58" spans="1:10">
      <c r="A58" s="343" t="s">
        <v>640</v>
      </c>
      <c r="B58" s="343">
        <v>12183</v>
      </c>
      <c r="C58" t="s">
        <v>641</v>
      </c>
      <c r="D58" s="70">
        <v>167664.26</v>
      </c>
      <c r="E58" s="70">
        <v>397.95</v>
      </c>
      <c r="F58" s="70">
        <v>-1855.73</v>
      </c>
      <c r="G58" s="70">
        <v>-1457.78</v>
      </c>
      <c r="H58" s="70">
        <v>166206.48000000001</v>
      </c>
      <c r="I58" s="112">
        <f t="shared" si="0"/>
        <v>-1.4577800000000001</v>
      </c>
      <c r="J58" s="112">
        <f t="shared" si="1"/>
        <v>-1</v>
      </c>
    </row>
    <row r="59" spans="1:10">
      <c r="A59" s="343" t="s">
        <v>66</v>
      </c>
      <c r="B59" s="343">
        <v>123</v>
      </c>
      <c r="C59" t="s">
        <v>534</v>
      </c>
      <c r="D59" s="70">
        <v>6035223.0499999998</v>
      </c>
      <c r="E59" s="70">
        <v>395000</v>
      </c>
      <c r="F59" s="70">
        <v>-484155.49</v>
      </c>
      <c r="G59" s="70">
        <v>-89155.49</v>
      </c>
      <c r="H59" s="70">
        <v>5946067.5599999996</v>
      </c>
      <c r="I59" s="112">
        <f t="shared" si="0"/>
        <v>-89.15549</v>
      </c>
      <c r="J59" s="112">
        <f t="shared" si="1"/>
        <v>-89</v>
      </c>
    </row>
    <row r="60" spans="1:10">
      <c r="A60" s="343" t="s">
        <v>642</v>
      </c>
      <c r="B60" s="343">
        <v>1231</v>
      </c>
      <c r="C60" t="s">
        <v>643</v>
      </c>
      <c r="D60" s="70">
        <v>16898669.48</v>
      </c>
      <c r="E60" s="70">
        <v>395000</v>
      </c>
      <c r="F60" s="70">
        <v>-197500</v>
      </c>
      <c r="G60" s="70">
        <v>197500</v>
      </c>
      <c r="H60" s="70">
        <v>17096169.48</v>
      </c>
      <c r="I60" s="112">
        <f t="shared" si="0"/>
        <v>197.5</v>
      </c>
      <c r="J60" s="112">
        <f t="shared" si="1"/>
        <v>198</v>
      </c>
    </row>
    <row r="61" spans="1:10">
      <c r="A61" s="343" t="s">
        <v>644</v>
      </c>
      <c r="B61" s="343">
        <v>12313</v>
      </c>
      <c r="C61" t="s">
        <v>260</v>
      </c>
      <c r="D61" s="70">
        <v>2400056.5099999998</v>
      </c>
      <c r="E61" s="70">
        <v>0</v>
      </c>
      <c r="F61" s="70">
        <v>0</v>
      </c>
      <c r="G61" s="70">
        <v>0</v>
      </c>
      <c r="H61" s="70">
        <v>2400056.5099999998</v>
      </c>
      <c r="I61" s="112">
        <f t="shared" si="0"/>
        <v>0</v>
      </c>
      <c r="J61" s="112">
        <f t="shared" si="1"/>
        <v>0</v>
      </c>
    </row>
    <row r="62" spans="1:10">
      <c r="A62" s="343" t="s">
        <v>645</v>
      </c>
      <c r="B62" s="343">
        <v>12314</v>
      </c>
      <c r="C62" t="s">
        <v>414</v>
      </c>
      <c r="D62" s="70">
        <v>791662.23</v>
      </c>
      <c r="E62" s="70">
        <v>0</v>
      </c>
      <c r="F62" s="70">
        <v>0</v>
      </c>
      <c r="G62" s="70">
        <v>0</v>
      </c>
      <c r="H62" s="70">
        <v>791662.23</v>
      </c>
      <c r="I62" s="112">
        <f t="shared" si="0"/>
        <v>0</v>
      </c>
      <c r="J62" s="112">
        <f t="shared" si="1"/>
        <v>0</v>
      </c>
    </row>
    <row r="63" spans="1:10">
      <c r="A63" s="343" t="s">
        <v>646</v>
      </c>
      <c r="B63" s="343">
        <v>12315</v>
      </c>
      <c r="C63" t="s">
        <v>415</v>
      </c>
      <c r="D63" s="70">
        <v>11504752.43</v>
      </c>
      <c r="E63" s="70">
        <v>395000</v>
      </c>
      <c r="F63" s="70">
        <v>-197500</v>
      </c>
      <c r="G63" s="70">
        <v>197500</v>
      </c>
      <c r="H63" s="70">
        <v>11702252.43</v>
      </c>
      <c r="I63" s="112">
        <f t="shared" si="0"/>
        <v>197.5</v>
      </c>
      <c r="J63" s="112">
        <f t="shared" si="1"/>
        <v>198</v>
      </c>
    </row>
    <row r="64" spans="1:10">
      <c r="A64" s="343" t="s">
        <v>647</v>
      </c>
      <c r="B64" s="343">
        <v>12317</v>
      </c>
      <c r="C64" t="s">
        <v>416</v>
      </c>
      <c r="D64" s="70">
        <v>2202198.31</v>
      </c>
      <c r="E64" s="70">
        <v>0</v>
      </c>
      <c r="F64" s="70">
        <v>0</v>
      </c>
      <c r="G64" s="70">
        <v>0</v>
      </c>
      <c r="H64" s="70">
        <v>2202198.31</v>
      </c>
      <c r="I64" s="112">
        <f t="shared" si="0"/>
        <v>0</v>
      </c>
      <c r="J64" s="112">
        <f t="shared" si="1"/>
        <v>0</v>
      </c>
    </row>
    <row r="65" spans="1:10">
      <c r="A65" s="343" t="s">
        <v>648</v>
      </c>
      <c r="B65" s="343">
        <v>12398</v>
      </c>
      <c r="C65" t="s">
        <v>649</v>
      </c>
      <c r="D65" s="70">
        <v>-10863446.43</v>
      </c>
      <c r="E65" s="70">
        <v>0</v>
      </c>
      <c r="F65" s="70">
        <v>-286655.49</v>
      </c>
      <c r="G65" s="70">
        <v>-286655.49</v>
      </c>
      <c r="H65" s="70">
        <v>-11150101.92</v>
      </c>
      <c r="I65" s="112">
        <f t="shared" si="0"/>
        <v>-286.65548999999999</v>
      </c>
      <c r="J65" s="112">
        <f t="shared" si="1"/>
        <v>-287</v>
      </c>
    </row>
    <row r="66" spans="1:10">
      <c r="A66" s="343" t="s">
        <v>650</v>
      </c>
      <c r="B66" s="343">
        <v>123982</v>
      </c>
      <c r="C66" t="s">
        <v>651</v>
      </c>
      <c r="D66" s="70">
        <v>-599213.49</v>
      </c>
      <c r="E66" s="70">
        <v>0</v>
      </c>
      <c r="F66" s="70">
        <v>-40000.92</v>
      </c>
      <c r="G66" s="70">
        <v>-40000.92</v>
      </c>
      <c r="H66" s="70">
        <v>-639214.41</v>
      </c>
      <c r="I66" s="112">
        <f t="shared" si="0"/>
        <v>-40.000920000000001</v>
      </c>
      <c r="J66" s="112">
        <f t="shared" si="1"/>
        <v>-40</v>
      </c>
    </row>
    <row r="67" spans="1:10">
      <c r="A67" s="343" t="s">
        <v>652</v>
      </c>
      <c r="B67" s="343">
        <v>123983</v>
      </c>
      <c r="C67" t="s">
        <v>653</v>
      </c>
      <c r="D67" s="70">
        <v>-725824.28</v>
      </c>
      <c r="E67" s="70">
        <v>0</v>
      </c>
      <c r="F67" s="70">
        <v>-3540.92</v>
      </c>
      <c r="G67" s="70">
        <v>-3540.92</v>
      </c>
      <c r="H67" s="70">
        <v>-729365.2</v>
      </c>
      <c r="I67" s="112">
        <f t="shared" si="0"/>
        <v>-3.5409200000000003</v>
      </c>
      <c r="J67" s="112">
        <f t="shared" si="1"/>
        <v>-4</v>
      </c>
    </row>
    <row r="68" spans="1:10">
      <c r="A68" s="343" t="s">
        <v>654</v>
      </c>
      <c r="B68" s="343">
        <v>123984</v>
      </c>
      <c r="C68" t="s">
        <v>655</v>
      </c>
      <c r="D68" s="70">
        <v>-7521834.2199999997</v>
      </c>
      <c r="E68" s="70">
        <v>0</v>
      </c>
      <c r="F68" s="70">
        <v>-236234.91</v>
      </c>
      <c r="G68" s="70">
        <v>-236234.91</v>
      </c>
      <c r="H68" s="70">
        <v>-7758069.1299999999</v>
      </c>
      <c r="I68" s="112">
        <f t="shared" si="0"/>
        <v>-236.23491000000001</v>
      </c>
      <c r="J68" s="112">
        <f t="shared" si="1"/>
        <v>-236</v>
      </c>
    </row>
    <row r="69" spans="1:10">
      <c r="A69" s="343" t="s">
        <v>656</v>
      </c>
      <c r="B69" s="343">
        <v>123986</v>
      </c>
      <c r="C69" t="s">
        <v>657</v>
      </c>
      <c r="D69" s="70">
        <v>-2016574.44</v>
      </c>
      <c r="E69" s="70">
        <v>0</v>
      </c>
      <c r="F69" s="70">
        <v>-6878.74</v>
      </c>
      <c r="G69" s="70">
        <v>-6878.74</v>
      </c>
      <c r="H69" s="70">
        <v>-2023453.18</v>
      </c>
      <c r="I69" s="112">
        <f t="shared" si="0"/>
        <v>-6.8787399999999996</v>
      </c>
      <c r="J69" s="112">
        <f t="shared" si="1"/>
        <v>-7</v>
      </c>
    </row>
    <row r="70" spans="1:10">
      <c r="A70" s="343" t="s">
        <v>70</v>
      </c>
      <c r="B70" s="343">
        <v>124</v>
      </c>
      <c r="C70" t="s">
        <v>658</v>
      </c>
      <c r="D70" s="70">
        <v>3422109.11</v>
      </c>
      <c r="E70" s="70">
        <v>0</v>
      </c>
      <c r="F70" s="70">
        <v>-251733.34</v>
      </c>
      <c r="G70" s="70">
        <v>-251733.34</v>
      </c>
      <c r="H70" s="70">
        <v>3170375.77</v>
      </c>
      <c r="I70" s="112">
        <f t="shared" si="0"/>
        <v>-251.73334</v>
      </c>
      <c r="J70" s="112">
        <f t="shared" si="1"/>
        <v>-252</v>
      </c>
    </row>
    <row r="71" spans="1:10">
      <c r="A71" s="343" t="s">
        <v>659</v>
      </c>
      <c r="B71" s="343">
        <v>1241</v>
      </c>
      <c r="C71" t="s">
        <v>434</v>
      </c>
      <c r="D71" s="70">
        <v>12791215.48</v>
      </c>
      <c r="E71" s="70">
        <v>0</v>
      </c>
      <c r="F71" s="70">
        <v>0</v>
      </c>
      <c r="G71" s="70">
        <v>0</v>
      </c>
      <c r="H71" s="70">
        <v>12791215.48</v>
      </c>
      <c r="I71" s="112">
        <f t="shared" si="0"/>
        <v>0</v>
      </c>
      <c r="J71" s="112">
        <f t="shared" si="1"/>
        <v>0</v>
      </c>
    </row>
    <row r="72" spans="1:10">
      <c r="A72" s="343" t="s">
        <v>660</v>
      </c>
      <c r="B72" s="343">
        <v>124101</v>
      </c>
      <c r="C72" t="s">
        <v>434</v>
      </c>
      <c r="D72" s="70">
        <v>12791215.48</v>
      </c>
      <c r="E72" s="70">
        <v>0</v>
      </c>
      <c r="F72" s="70">
        <v>0</v>
      </c>
      <c r="G72" s="70">
        <v>0</v>
      </c>
      <c r="H72" s="70">
        <v>12791215.48</v>
      </c>
      <c r="I72" s="112">
        <f t="shared" si="0"/>
        <v>0</v>
      </c>
      <c r="J72" s="112">
        <f t="shared" si="1"/>
        <v>0</v>
      </c>
    </row>
    <row r="73" spans="1:10">
      <c r="A73" s="343" t="s">
        <v>661</v>
      </c>
      <c r="B73" s="343">
        <v>12498</v>
      </c>
      <c r="C73" t="s">
        <v>662</v>
      </c>
      <c r="D73" s="70">
        <v>-9369106.3699999992</v>
      </c>
      <c r="E73" s="70">
        <v>0</v>
      </c>
      <c r="F73" s="70">
        <v>-251733.34</v>
      </c>
      <c r="G73" s="70">
        <v>-251733.34</v>
      </c>
      <c r="H73" s="70">
        <v>-9620839.7100000009</v>
      </c>
      <c r="I73" s="112">
        <f t="shared" ref="I73:I136" si="2">G73/1000</f>
        <v>-251.73334</v>
      </c>
      <c r="J73" s="112">
        <f t="shared" ref="J73:J136" si="3">ROUND(I73,0)</f>
        <v>-252</v>
      </c>
    </row>
    <row r="74" spans="1:10">
      <c r="A74" s="343" t="s">
        <v>663</v>
      </c>
      <c r="B74" s="343">
        <v>1242</v>
      </c>
      <c r="C74" t="s">
        <v>664</v>
      </c>
      <c r="D74" s="70">
        <v>-9369106.3699999992</v>
      </c>
      <c r="E74" s="70">
        <v>0</v>
      </c>
      <c r="F74" s="70">
        <v>-251733.34</v>
      </c>
      <c r="G74" s="70">
        <v>-251733.34</v>
      </c>
      <c r="H74" s="70">
        <v>-9620839.7100000009</v>
      </c>
      <c r="I74" s="112">
        <f t="shared" si="2"/>
        <v>-251.73334</v>
      </c>
      <c r="J74" s="112">
        <f t="shared" si="3"/>
        <v>-252</v>
      </c>
    </row>
    <row r="75" spans="1:10">
      <c r="A75" s="343">
        <v>2</v>
      </c>
      <c r="B75" s="343">
        <v>2</v>
      </c>
      <c r="C75" t="s">
        <v>665</v>
      </c>
      <c r="D75" s="70">
        <v>-59130992.100000001</v>
      </c>
      <c r="E75" s="70">
        <v>24661078.91</v>
      </c>
      <c r="F75" s="70">
        <v>-24217314.609999999</v>
      </c>
      <c r="G75" s="70">
        <v>443764.3</v>
      </c>
      <c r="H75" s="70">
        <v>-58687227.799999997</v>
      </c>
      <c r="I75" s="112">
        <f t="shared" si="2"/>
        <v>443.76429999999999</v>
      </c>
      <c r="J75" s="112">
        <f t="shared" si="3"/>
        <v>444</v>
      </c>
    </row>
    <row r="76" spans="1:10">
      <c r="A76" s="343" t="s">
        <v>666</v>
      </c>
      <c r="B76" s="343">
        <v>21</v>
      </c>
      <c r="C76" t="s">
        <v>50</v>
      </c>
      <c r="D76" s="70">
        <v>-20849401.129999999</v>
      </c>
      <c r="E76" s="70">
        <v>23848332.260000002</v>
      </c>
      <c r="F76" s="70">
        <v>-23796442.23</v>
      </c>
      <c r="G76" s="70">
        <v>51890.03</v>
      </c>
      <c r="H76" s="70">
        <v>-20797511.100000001</v>
      </c>
      <c r="I76" s="112">
        <f t="shared" si="2"/>
        <v>51.890029999999996</v>
      </c>
      <c r="J76" s="112">
        <f t="shared" si="3"/>
        <v>52</v>
      </c>
    </row>
    <row r="77" spans="1:10">
      <c r="A77" s="343" t="s">
        <v>667</v>
      </c>
      <c r="B77" s="343">
        <v>211</v>
      </c>
      <c r="C77" t="s">
        <v>668</v>
      </c>
      <c r="D77" s="70">
        <v>-20849401.129999999</v>
      </c>
      <c r="E77" s="70">
        <v>23848332.260000002</v>
      </c>
      <c r="F77" s="70">
        <v>-23796442.23</v>
      </c>
      <c r="G77" s="70">
        <v>51890.03</v>
      </c>
      <c r="H77" s="70">
        <v>-20797511.100000001</v>
      </c>
      <c r="I77" s="112">
        <f t="shared" si="2"/>
        <v>51.890029999999996</v>
      </c>
      <c r="J77" s="112">
        <f t="shared" si="3"/>
        <v>52</v>
      </c>
    </row>
    <row r="78" spans="1:10">
      <c r="A78" s="343" t="s">
        <v>669</v>
      </c>
      <c r="B78" s="343">
        <v>2114</v>
      </c>
      <c r="C78" t="s">
        <v>670</v>
      </c>
      <c r="D78" s="70">
        <v>-590169.13</v>
      </c>
      <c r="E78" s="70">
        <v>3611625.07</v>
      </c>
      <c r="F78" s="70">
        <v>-4066220.85</v>
      </c>
      <c r="G78" s="70">
        <v>-454595.78</v>
      </c>
      <c r="H78" s="70">
        <v>-1044764.91</v>
      </c>
      <c r="I78" s="112">
        <f t="shared" si="2"/>
        <v>-454.59578000000005</v>
      </c>
      <c r="J78" s="112">
        <f t="shared" si="3"/>
        <v>-455</v>
      </c>
    </row>
    <row r="79" spans="1:10">
      <c r="A79" s="343" t="s">
        <v>671</v>
      </c>
      <c r="B79" s="347">
        <v>60444400000000</v>
      </c>
      <c r="C79" t="s">
        <v>672</v>
      </c>
      <c r="D79" s="70">
        <v>-30000</v>
      </c>
      <c r="E79" s="70">
        <v>77835.44</v>
      </c>
      <c r="F79" s="70">
        <v>-77835.44</v>
      </c>
      <c r="G79" s="70">
        <v>0</v>
      </c>
      <c r="H79" s="70">
        <v>-30000</v>
      </c>
      <c r="I79" s="112">
        <f t="shared" si="2"/>
        <v>0</v>
      </c>
      <c r="J79" s="112">
        <f t="shared" si="3"/>
        <v>0</v>
      </c>
    </row>
    <row r="80" spans="1:10">
      <c r="A80" s="343" t="s">
        <v>673</v>
      </c>
      <c r="B80" s="347">
        <v>34028300000000</v>
      </c>
      <c r="C80" t="s">
        <v>674</v>
      </c>
      <c r="D80" s="70">
        <v>0</v>
      </c>
      <c r="E80" s="70">
        <v>110.83</v>
      </c>
      <c r="F80" s="70">
        <v>-110.83</v>
      </c>
      <c r="G80" s="70">
        <v>0</v>
      </c>
      <c r="H80" s="70">
        <v>0</v>
      </c>
      <c r="I80" s="112">
        <f t="shared" si="2"/>
        <v>0</v>
      </c>
      <c r="J80" s="112">
        <f t="shared" si="3"/>
        <v>0</v>
      </c>
    </row>
    <row r="81" spans="1:10">
      <c r="A81" s="343" t="s">
        <v>675</v>
      </c>
      <c r="B81" s="343" t="s">
        <v>676</v>
      </c>
      <c r="C81" t="s">
        <v>677</v>
      </c>
      <c r="D81" s="70">
        <v>-16548.849999999999</v>
      </c>
      <c r="E81" s="70">
        <v>258298.1</v>
      </c>
      <c r="F81" s="70">
        <v>-267063.09999999998</v>
      </c>
      <c r="G81" s="70">
        <v>-8765</v>
      </c>
      <c r="H81" s="70">
        <v>-25313.85</v>
      </c>
      <c r="I81" s="112">
        <f t="shared" si="2"/>
        <v>-8.7650000000000006</v>
      </c>
      <c r="J81" s="112">
        <f t="shared" si="3"/>
        <v>-9</v>
      </c>
    </row>
    <row r="82" spans="1:10">
      <c r="A82" s="343" t="s">
        <v>678</v>
      </c>
      <c r="B82" s="343" t="s">
        <v>679</v>
      </c>
      <c r="C82" t="s">
        <v>680</v>
      </c>
      <c r="D82" s="70">
        <v>0</v>
      </c>
      <c r="E82" s="70">
        <v>10817.64</v>
      </c>
      <c r="F82" s="70">
        <v>-16817.64</v>
      </c>
      <c r="G82" s="70">
        <v>-6000</v>
      </c>
      <c r="H82" s="70">
        <v>-6000</v>
      </c>
      <c r="I82" s="112">
        <f t="shared" si="2"/>
        <v>-6</v>
      </c>
      <c r="J82" s="112">
        <f t="shared" si="3"/>
        <v>-6</v>
      </c>
    </row>
    <row r="83" spans="1:10">
      <c r="A83" s="343" t="s">
        <v>681</v>
      </c>
      <c r="B83" s="343" t="s">
        <v>682</v>
      </c>
      <c r="C83" t="s">
        <v>683</v>
      </c>
      <c r="D83" s="70">
        <v>0</v>
      </c>
      <c r="E83" s="70">
        <v>217876.14</v>
      </c>
      <c r="F83" s="70">
        <v>-436506.98</v>
      </c>
      <c r="G83" s="70">
        <v>-218630.84</v>
      </c>
      <c r="H83" s="70">
        <v>-218630.84</v>
      </c>
      <c r="I83" s="112">
        <f t="shared" si="2"/>
        <v>-218.63084000000001</v>
      </c>
      <c r="J83" s="112">
        <f t="shared" si="3"/>
        <v>-219</v>
      </c>
    </row>
    <row r="84" spans="1:10">
      <c r="A84" s="343" t="s">
        <v>684</v>
      </c>
      <c r="B84" s="343" t="s">
        <v>685</v>
      </c>
      <c r="C84" t="s">
        <v>686</v>
      </c>
      <c r="D84" s="70">
        <v>-8454.1200000000008</v>
      </c>
      <c r="E84" s="70">
        <v>16908.240000000002</v>
      </c>
      <c r="F84" s="70">
        <v>-8454.1200000000008</v>
      </c>
      <c r="G84" s="70">
        <v>8454.1200000000008</v>
      </c>
      <c r="H84" s="70">
        <v>0</v>
      </c>
      <c r="I84" s="112">
        <f t="shared" si="2"/>
        <v>8.4541200000000014</v>
      </c>
      <c r="J84" s="112">
        <f t="shared" si="3"/>
        <v>8</v>
      </c>
    </row>
    <row r="85" spans="1:10">
      <c r="A85" s="343" t="s">
        <v>687</v>
      </c>
      <c r="B85" s="343" t="s">
        <v>688</v>
      </c>
      <c r="C85" t="s">
        <v>689</v>
      </c>
      <c r="D85" s="70">
        <v>-2581</v>
      </c>
      <c r="E85" s="70">
        <v>5800</v>
      </c>
      <c r="F85" s="70">
        <v>-5800</v>
      </c>
      <c r="G85" s="70">
        <v>0</v>
      </c>
      <c r="H85" s="70">
        <v>-2581</v>
      </c>
      <c r="I85" s="112">
        <f t="shared" si="2"/>
        <v>0</v>
      </c>
      <c r="J85" s="112">
        <f t="shared" si="3"/>
        <v>0</v>
      </c>
    </row>
    <row r="86" spans="1:10">
      <c r="A86" s="343" t="s">
        <v>690</v>
      </c>
      <c r="B86" s="347" t="s">
        <v>691</v>
      </c>
      <c r="C86" t="s">
        <v>692</v>
      </c>
      <c r="D86" s="70">
        <v>-546.17999999999995</v>
      </c>
      <c r="E86" s="70">
        <v>1507.7</v>
      </c>
      <c r="F86" s="70">
        <v>-1767.54</v>
      </c>
      <c r="G86" s="70">
        <v>-259.83999999999997</v>
      </c>
      <c r="H86" s="70">
        <v>-806.02</v>
      </c>
      <c r="I86" s="112">
        <f t="shared" si="2"/>
        <v>-0.25983999999999996</v>
      </c>
      <c r="J86" s="112">
        <f t="shared" si="3"/>
        <v>0</v>
      </c>
    </row>
    <row r="87" spans="1:10">
      <c r="A87" s="343" t="s">
        <v>693</v>
      </c>
      <c r="B87" s="343" t="s">
        <v>694</v>
      </c>
      <c r="C87" t="s">
        <v>695</v>
      </c>
      <c r="D87" s="70">
        <v>0</v>
      </c>
      <c r="E87" s="70">
        <v>0</v>
      </c>
      <c r="F87" s="70">
        <v>-11560</v>
      </c>
      <c r="G87" s="70">
        <v>-11560</v>
      </c>
      <c r="H87" s="70">
        <v>-11560</v>
      </c>
      <c r="I87" s="112">
        <f t="shared" si="2"/>
        <v>-11.56</v>
      </c>
      <c r="J87" s="112">
        <f t="shared" si="3"/>
        <v>-12</v>
      </c>
    </row>
    <row r="88" spans="1:10">
      <c r="A88" s="343" t="s">
        <v>696</v>
      </c>
      <c r="B88" s="347">
        <v>33634300000000</v>
      </c>
      <c r="C88" t="s">
        <v>697</v>
      </c>
      <c r="D88" s="70">
        <v>-19008</v>
      </c>
      <c r="E88" s="70">
        <v>40693.1</v>
      </c>
      <c r="F88" s="70">
        <v>-35927.269999999997</v>
      </c>
      <c r="G88" s="70">
        <v>4765.83</v>
      </c>
      <c r="H88" s="70">
        <v>-14242.17</v>
      </c>
      <c r="I88" s="112">
        <f t="shared" si="2"/>
        <v>4.7658300000000002</v>
      </c>
      <c r="J88" s="112">
        <f t="shared" si="3"/>
        <v>5</v>
      </c>
    </row>
    <row r="89" spans="1:10">
      <c r="A89" s="343" t="s">
        <v>698</v>
      </c>
      <c r="B89" s="343" t="s">
        <v>699</v>
      </c>
      <c r="C89" t="s">
        <v>700</v>
      </c>
      <c r="D89" s="70">
        <v>-1458.33</v>
      </c>
      <c r="E89" s="70">
        <v>2916.66</v>
      </c>
      <c r="F89" s="70">
        <v>-2916.66</v>
      </c>
      <c r="G89" s="70">
        <v>0</v>
      </c>
      <c r="H89" s="70">
        <v>-1458.33</v>
      </c>
      <c r="I89" s="112">
        <f t="shared" si="2"/>
        <v>0</v>
      </c>
      <c r="J89" s="112">
        <f t="shared" si="3"/>
        <v>0</v>
      </c>
    </row>
    <row r="90" spans="1:10">
      <c r="A90" s="343" t="s">
        <v>701</v>
      </c>
      <c r="B90" s="343" t="s">
        <v>702</v>
      </c>
      <c r="C90" t="s">
        <v>703</v>
      </c>
      <c r="D90" s="70">
        <v>-3000</v>
      </c>
      <c r="E90" s="70">
        <v>6000</v>
      </c>
      <c r="F90" s="70">
        <v>-6000</v>
      </c>
      <c r="G90" s="70">
        <v>0</v>
      </c>
      <c r="H90" s="70">
        <v>-3000</v>
      </c>
      <c r="I90" s="112">
        <f t="shared" si="2"/>
        <v>0</v>
      </c>
      <c r="J90" s="112">
        <f t="shared" si="3"/>
        <v>0</v>
      </c>
    </row>
    <row r="91" spans="1:10">
      <c r="A91" s="343" t="s">
        <v>704</v>
      </c>
      <c r="B91" s="343" t="s">
        <v>705</v>
      </c>
      <c r="C91" t="s">
        <v>706</v>
      </c>
      <c r="D91" s="70">
        <v>0</v>
      </c>
      <c r="E91" s="70">
        <v>16124.07</v>
      </c>
      <c r="F91" s="70">
        <v>-16124.07</v>
      </c>
      <c r="G91" s="70">
        <v>0</v>
      </c>
      <c r="H91" s="70">
        <v>0</v>
      </c>
      <c r="I91" s="112">
        <f t="shared" si="2"/>
        <v>0</v>
      </c>
      <c r="J91" s="112">
        <f t="shared" si="3"/>
        <v>0</v>
      </c>
    </row>
    <row r="92" spans="1:10">
      <c r="A92" s="343" t="s">
        <v>707</v>
      </c>
      <c r="B92" s="343" t="s">
        <v>708</v>
      </c>
      <c r="C92" t="s">
        <v>709</v>
      </c>
      <c r="D92" s="70">
        <v>0</v>
      </c>
      <c r="E92" s="70">
        <v>25000</v>
      </c>
      <c r="F92" s="70">
        <v>-25000</v>
      </c>
      <c r="G92" s="70">
        <v>0</v>
      </c>
      <c r="H92" s="70">
        <v>0</v>
      </c>
      <c r="I92" s="112">
        <f t="shared" si="2"/>
        <v>0</v>
      </c>
      <c r="J92" s="112">
        <f t="shared" si="3"/>
        <v>0</v>
      </c>
    </row>
    <row r="93" spans="1:10">
      <c r="A93" s="343" t="s">
        <v>710</v>
      </c>
      <c r="B93" s="343" t="s">
        <v>711</v>
      </c>
      <c r="C93" t="s">
        <v>712</v>
      </c>
      <c r="D93" s="70">
        <v>0</v>
      </c>
      <c r="E93" s="70">
        <v>2853.6</v>
      </c>
      <c r="F93" s="70">
        <v>-2853.6</v>
      </c>
      <c r="G93" s="70">
        <v>0</v>
      </c>
      <c r="H93" s="70">
        <v>0</v>
      </c>
      <c r="I93" s="112">
        <f t="shared" si="2"/>
        <v>0</v>
      </c>
      <c r="J93" s="112">
        <f t="shared" si="3"/>
        <v>0</v>
      </c>
    </row>
    <row r="94" spans="1:10">
      <c r="A94" s="343" t="s">
        <v>713</v>
      </c>
      <c r="B94" s="343" t="s">
        <v>714</v>
      </c>
      <c r="C94" t="s">
        <v>715</v>
      </c>
      <c r="D94" s="70">
        <v>-2718</v>
      </c>
      <c r="E94" s="70">
        <v>2718</v>
      </c>
      <c r="F94" s="70">
        <v>0</v>
      </c>
      <c r="G94" s="70">
        <v>2718</v>
      </c>
      <c r="H94" s="70">
        <v>0</v>
      </c>
      <c r="I94" s="112">
        <f t="shared" si="2"/>
        <v>2.718</v>
      </c>
      <c r="J94" s="112">
        <f t="shared" si="3"/>
        <v>3</v>
      </c>
    </row>
    <row r="95" spans="1:10">
      <c r="A95" s="343" t="s">
        <v>716</v>
      </c>
      <c r="B95" s="343" t="s">
        <v>717</v>
      </c>
      <c r="C95" t="s">
        <v>718</v>
      </c>
      <c r="D95" s="70">
        <v>0</v>
      </c>
      <c r="E95" s="70">
        <v>0</v>
      </c>
      <c r="F95" s="70">
        <v>-36225</v>
      </c>
      <c r="G95" s="70">
        <v>-36225</v>
      </c>
      <c r="H95" s="70">
        <v>-36225</v>
      </c>
      <c r="I95" s="112">
        <f t="shared" si="2"/>
        <v>-36.225000000000001</v>
      </c>
      <c r="J95" s="112">
        <f t="shared" si="3"/>
        <v>-36</v>
      </c>
    </row>
    <row r="96" spans="1:10">
      <c r="A96" s="343" t="s">
        <v>719</v>
      </c>
      <c r="B96" s="343" t="s">
        <v>720</v>
      </c>
      <c r="C96" t="s">
        <v>721</v>
      </c>
      <c r="D96" s="70">
        <v>-1350</v>
      </c>
      <c r="E96" s="70">
        <v>2700</v>
      </c>
      <c r="F96" s="70">
        <v>-2700</v>
      </c>
      <c r="G96" s="70">
        <v>0</v>
      </c>
      <c r="H96" s="70">
        <v>-1350</v>
      </c>
      <c r="I96" s="112">
        <f t="shared" si="2"/>
        <v>0</v>
      </c>
      <c r="J96" s="112">
        <f t="shared" si="3"/>
        <v>0</v>
      </c>
    </row>
    <row r="97" spans="1:10">
      <c r="A97" s="343" t="s">
        <v>722</v>
      </c>
      <c r="B97" s="347" t="s">
        <v>723</v>
      </c>
      <c r="C97" t="s">
        <v>724</v>
      </c>
      <c r="D97" s="70">
        <v>-970.1</v>
      </c>
      <c r="E97" s="70">
        <v>970.1</v>
      </c>
      <c r="F97" s="70">
        <v>0</v>
      </c>
      <c r="G97" s="70">
        <v>970.1</v>
      </c>
      <c r="H97" s="70">
        <v>0</v>
      </c>
      <c r="I97" s="112">
        <f t="shared" si="2"/>
        <v>0.97010000000000007</v>
      </c>
      <c r="J97" s="112">
        <f t="shared" si="3"/>
        <v>1</v>
      </c>
    </row>
    <row r="98" spans="1:10">
      <c r="A98" s="343" t="s">
        <v>725</v>
      </c>
      <c r="B98" s="347" t="s">
        <v>726</v>
      </c>
      <c r="C98" t="s">
        <v>727</v>
      </c>
      <c r="D98" s="70">
        <v>-16453.61</v>
      </c>
      <c r="E98" s="70">
        <v>51711.39</v>
      </c>
      <c r="F98" s="70">
        <v>-35257.78</v>
      </c>
      <c r="G98" s="70">
        <v>16453.61</v>
      </c>
      <c r="H98" s="70">
        <v>0</v>
      </c>
      <c r="I98" s="112">
        <f t="shared" si="2"/>
        <v>16.453610000000001</v>
      </c>
      <c r="J98" s="112">
        <f t="shared" si="3"/>
        <v>16</v>
      </c>
    </row>
    <row r="99" spans="1:10">
      <c r="A99" s="343" t="s">
        <v>728</v>
      </c>
      <c r="B99" s="347" t="s">
        <v>729</v>
      </c>
      <c r="C99" t="s">
        <v>730</v>
      </c>
      <c r="D99" s="70">
        <v>-84229.6</v>
      </c>
      <c r="E99" s="70">
        <v>0</v>
      </c>
      <c r="F99" s="70">
        <v>0</v>
      </c>
      <c r="G99" s="70">
        <v>0</v>
      </c>
      <c r="H99" s="70">
        <v>-84229.6</v>
      </c>
      <c r="I99" s="112">
        <f t="shared" si="2"/>
        <v>0</v>
      </c>
      <c r="J99" s="112">
        <f t="shared" si="3"/>
        <v>0</v>
      </c>
    </row>
    <row r="100" spans="1:10">
      <c r="A100" s="343" t="s">
        <v>731</v>
      </c>
      <c r="B100" s="347">
        <v>33754500000000</v>
      </c>
      <c r="C100" t="s">
        <v>732</v>
      </c>
      <c r="D100" s="70">
        <v>0</v>
      </c>
      <c r="E100" s="70">
        <v>569272.56000000006</v>
      </c>
      <c r="F100" s="70">
        <v>-569272.56000000006</v>
      </c>
      <c r="G100" s="70">
        <v>0</v>
      </c>
      <c r="H100" s="70">
        <v>0</v>
      </c>
      <c r="I100" s="112">
        <f t="shared" si="2"/>
        <v>0</v>
      </c>
      <c r="J100" s="112">
        <f t="shared" si="3"/>
        <v>0</v>
      </c>
    </row>
    <row r="101" spans="1:10">
      <c r="A101" s="343" t="s">
        <v>733</v>
      </c>
      <c r="B101" s="347">
        <v>3017430000000</v>
      </c>
      <c r="C101" t="s">
        <v>734</v>
      </c>
      <c r="D101" s="70">
        <v>0</v>
      </c>
      <c r="E101" s="70">
        <v>11848</v>
      </c>
      <c r="F101" s="70">
        <v>-12248</v>
      </c>
      <c r="G101" s="70">
        <v>-400</v>
      </c>
      <c r="H101" s="70">
        <v>-400</v>
      </c>
      <c r="I101" s="112">
        <f t="shared" si="2"/>
        <v>-0.4</v>
      </c>
      <c r="J101" s="112">
        <f t="shared" si="3"/>
        <v>0</v>
      </c>
    </row>
    <row r="102" spans="1:10">
      <c r="A102" s="343" t="s">
        <v>735</v>
      </c>
      <c r="B102" s="347">
        <v>33555900000000</v>
      </c>
      <c r="C102" t="s">
        <v>736</v>
      </c>
      <c r="D102" s="70">
        <v>0</v>
      </c>
      <c r="E102" s="70">
        <v>16876</v>
      </c>
      <c r="F102" s="70">
        <v>-16876</v>
      </c>
      <c r="G102" s="70">
        <v>0</v>
      </c>
      <c r="H102" s="70">
        <v>0</v>
      </c>
      <c r="I102" s="112">
        <f t="shared" si="2"/>
        <v>0</v>
      </c>
      <c r="J102" s="112">
        <f t="shared" si="3"/>
        <v>0</v>
      </c>
    </row>
    <row r="103" spans="1:10">
      <c r="A103" s="343" t="s">
        <v>737</v>
      </c>
      <c r="B103" s="347">
        <v>482998000000</v>
      </c>
      <c r="C103" t="s">
        <v>738</v>
      </c>
      <c r="D103" s="70">
        <v>0</v>
      </c>
      <c r="E103" s="70">
        <v>144.58000000000001</v>
      </c>
      <c r="F103" s="70">
        <v>-144.58000000000001</v>
      </c>
      <c r="G103" s="70">
        <v>0</v>
      </c>
      <c r="H103" s="70">
        <v>0</v>
      </c>
      <c r="I103" s="112">
        <f t="shared" si="2"/>
        <v>0</v>
      </c>
      <c r="J103" s="112">
        <f t="shared" si="3"/>
        <v>0</v>
      </c>
    </row>
    <row r="104" spans="1:10">
      <c r="A104" s="343" t="s">
        <v>739</v>
      </c>
      <c r="B104" s="347">
        <v>16727400000000</v>
      </c>
      <c r="C104" t="s">
        <v>740</v>
      </c>
      <c r="D104" s="70">
        <v>-3798</v>
      </c>
      <c r="E104" s="70">
        <v>9350.85</v>
      </c>
      <c r="F104" s="70">
        <v>-9010.2000000000007</v>
      </c>
      <c r="G104" s="70">
        <v>340.65</v>
      </c>
      <c r="H104" s="70">
        <v>-3457.35</v>
      </c>
      <c r="I104" s="112">
        <f t="shared" si="2"/>
        <v>0.34064999999999995</v>
      </c>
      <c r="J104" s="112">
        <f t="shared" si="3"/>
        <v>0</v>
      </c>
    </row>
    <row r="105" spans="1:10">
      <c r="A105" s="343" t="s">
        <v>741</v>
      </c>
      <c r="B105" s="347">
        <v>3535900000000</v>
      </c>
      <c r="C105" t="s">
        <v>742</v>
      </c>
      <c r="D105" s="70">
        <v>0</v>
      </c>
      <c r="E105" s="70">
        <v>199722.22</v>
      </c>
      <c r="F105" s="70">
        <v>-199722.22</v>
      </c>
      <c r="G105" s="70">
        <v>0</v>
      </c>
      <c r="H105" s="70">
        <v>0</v>
      </c>
      <c r="I105" s="112">
        <f t="shared" si="2"/>
        <v>0</v>
      </c>
      <c r="J105" s="112">
        <f t="shared" si="3"/>
        <v>0</v>
      </c>
    </row>
    <row r="106" spans="1:10">
      <c r="A106" s="343" t="s">
        <v>743</v>
      </c>
      <c r="B106" s="347">
        <v>18324158</v>
      </c>
      <c r="C106" t="s">
        <v>744</v>
      </c>
      <c r="D106" s="70">
        <v>0</v>
      </c>
      <c r="E106" s="70">
        <v>0</v>
      </c>
      <c r="F106" s="70">
        <v>-840</v>
      </c>
      <c r="G106" s="70">
        <v>-840</v>
      </c>
      <c r="H106" s="70">
        <v>-840</v>
      </c>
      <c r="I106" s="112">
        <f t="shared" si="2"/>
        <v>-0.84</v>
      </c>
      <c r="J106" s="112">
        <f t="shared" si="3"/>
        <v>-1</v>
      </c>
    </row>
    <row r="107" spans="1:10">
      <c r="A107" s="343" t="s">
        <v>745</v>
      </c>
      <c r="B107" s="347">
        <v>5555380000000</v>
      </c>
      <c r="C107" t="s">
        <v>746</v>
      </c>
      <c r="D107" s="70">
        <v>0</v>
      </c>
      <c r="E107" s="70">
        <v>220</v>
      </c>
      <c r="F107" s="70">
        <v>-220</v>
      </c>
      <c r="G107" s="70">
        <v>0</v>
      </c>
      <c r="H107" s="70">
        <v>0</v>
      </c>
      <c r="I107" s="112">
        <f t="shared" si="2"/>
        <v>0</v>
      </c>
      <c r="J107" s="112">
        <f t="shared" si="3"/>
        <v>0</v>
      </c>
    </row>
    <row r="108" spans="1:10">
      <c r="A108" s="343" t="s">
        <v>747</v>
      </c>
      <c r="B108" s="347">
        <v>3200400001</v>
      </c>
      <c r="C108" t="s">
        <v>748</v>
      </c>
      <c r="D108" s="70">
        <v>-2176.25</v>
      </c>
      <c r="E108" s="70">
        <v>0</v>
      </c>
      <c r="F108" s="70">
        <v>0</v>
      </c>
      <c r="G108" s="70">
        <v>0</v>
      </c>
      <c r="H108" s="70">
        <v>-2176.25</v>
      </c>
      <c r="I108" s="112">
        <f t="shared" si="2"/>
        <v>0</v>
      </c>
      <c r="J108" s="112">
        <f t="shared" si="3"/>
        <v>0</v>
      </c>
    </row>
    <row r="109" spans="1:10">
      <c r="A109" s="343" t="s">
        <v>749</v>
      </c>
      <c r="B109" s="347">
        <v>10348300000000</v>
      </c>
      <c r="C109" t="s">
        <v>750</v>
      </c>
      <c r="D109" s="70">
        <v>-7965.56</v>
      </c>
      <c r="E109" s="70">
        <v>7965.56</v>
      </c>
      <c r="F109" s="70">
        <v>0</v>
      </c>
      <c r="G109" s="70">
        <v>7965.56</v>
      </c>
      <c r="H109" s="70">
        <v>0</v>
      </c>
      <c r="I109" s="112">
        <f t="shared" si="2"/>
        <v>7.96556</v>
      </c>
      <c r="J109" s="112">
        <f t="shared" si="3"/>
        <v>8</v>
      </c>
    </row>
    <row r="110" spans="1:10">
      <c r="A110" s="343" t="s">
        <v>751</v>
      </c>
      <c r="B110" s="347">
        <v>16457800000000</v>
      </c>
      <c r="C110" t="s">
        <v>752</v>
      </c>
      <c r="D110" s="70">
        <v>0</v>
      </c>
      <c r="E110" s="70">
        <v>4496.5</v>
      </c>
      <c r="F110" s="70">
        <v>-4496.5</v>
      </c>
      <c r="G110" s="70">
        <v>0</v>
      </c>
      <c r="H110" s="70">
        <v>0</v>
      </c>
      <c r="I110" s="112">
        <f t="shared" si="2"/>
        <v>0</v>
      </c>
      <c r="J110" s="112">
        <f t="shared" si="3"/>
        <v>0</v>
      </c>
    </row>
    <row r="111" spans="1:10">
      <c r="A111" s="343" t="s">
        <v>753</v>
      </c>
      <c r="B111" s="347">
        <v>23458500000000</v>
      </c>
      <c r="C111" t="s">
        <v>754</v>
      </c>
      <c r="D111" s="70">
        <v>0</v>
      </c>
      <c r="E111" s="70">
        <v>23333.34</v>
      </c>
      <c r="F111" s="70">
        <v>-23333.34</v>
      </c>
      <c r="G111" s="70">
        <v>0</v>
      </c>
      <c r="H111" s="70">
        <v>0</v>
      </c>
      <c r="I111" s="112">
        <f t="shared" si="2"/>
        <v>0</v>
      </c>
      <c r="J111" s="112">
        <f t="shared" si="3"/>
        <v>0</v>
      </c>
    </row>
    <row r="112" spans="1:10">
      <c r="A112" s="343" t="s">
        <v>755</v>
      </c>
      <c r="B112" s="347">
        <v>52618100000000</v>
      </c>
      <c r="C112" t="s">
        <v>756</v>
      </c>
      <c r="D112" s="70">
        <v>-395.15</v>
      </c>
      <c r="E112" s="70">
        <v>790.3</v>
      </c>
      <c r="F112" s="70">
        <v>-790.3</v>
      </c>
      <c r="G112" s="70">
        <v>0</v>
      </c>
      <c r="H112" s="70">
        <v>-395.15</v>
      </c>
      <c r="I112" s="112">
        <f t="shared" si="2"/>
        <v>0</v>
      </c>
      <c r="J112" s="112">
        <f t="shared" si="3"/>
        <v>0</v>
      </c>
    </row>
    <row r="113" spans="1:10">
      <c r="A113" s="343" t="s">
        <v>757</v>
      </c>
      <c r="B113" s="347">
        <v>2593170000000</v>
      </c>
      <c r="C113" t="s">
        <v>758</v>
      </c>
      <c r="D113" s="70">
        <v>-55000</v>
      </c>
      <c r="E113" s="70">
        <v>110000</v>
      </c>
      <c r="F113" s="70">
        <v>-110000</v>
      </c>
      <c r="G113" s="70">
        <v>0</v>
      </c>
      <c r="H113" s="70">
        <v>-55000</v>
      </c>
      <c r="I113" s="112">
        <f t="shared" si="2"/>
        <v>0</v>
      </c>
      <c r="J113" s="112">
        <f t="shared" si="3"/>
        <v>0</v>
      </c>
    </row>
    <row r="114" spans="1:10">
      <c r="A114" s="343" t="s">
        <v>759</v>
      </c>
      <c r="B114" s="347">
        <v>2676310000000</v>
      </c>
      <c r="C114" t="s">
        <v>760</v>
      </c>
      <c r="D114" s="70">
        <v>0</v>
      </c>
      <c r="E114" s="70">
        <v>258732.87</v>
      </c>
      <c r="F114" s="70">
        <v>-258732.87</v>
      </c>
      <c r="G114" s="70">
        <v>0</v>
      </c>
      <c r="H114" s="70">
        <v>0</v>
      </c>
      <c r="I114" s="112">
        <f t="shared" si="2"/>
        <v>0</v>
      </c>
      <c r="J114" s="112">
        <f t="shared" si="3"/>
        <v>0</v>
      </c>
    </row>
    <row r="115" spans="1:10">
      <c r="A115" s="343" t="s">
        <v>761</v>
      </c>
      <c r="B115" s="347">
        <v>14031100000000</v>
      </c>
      <c r="C115" t="s">
        <v>762</v>
      </c>
      <c r="D115" s="70">
        <v>0</v>
      </c>
      <c r="E115" s="70">
        <v>256599.31</v>
      </c>
      <c r="F115" s="70">
        <v>-256599.31</v>
      </c>
      <c r="G115" s="70">
        <v>0</v>
      </c>
      <c r="H115" s="70">
        <v>0</v>
      </c>
      <c r="I115" s="112">
        <f t="shared" si="2"/>
        <v>0</v>
      </c>
      <c r="J115" s="112">
        <f t="shared" si="3"/>
        <v>0</v>
      </c>
    </row>
    <row r="116" spans="1:10">
      <c r="A116" s="343" t="s">
        <v>763</v>
      </c>
      <c r="B116" s="347">
        <v>1082330000000</v>
      </c>
      <c r="C116" t="s">
        <v>764</v>
      </c>
      <c r="D116" s="70">
        <v>0</v>
      </c>
      <c r="E116" s="70">
        <v>2956</v>
      </c>
      <c r="F116" s="70">
        <v>-2956</v>
      </c>
      <c r="G116" s="70">
        <v>0</v>
      </c>
      <c r="H116" s="70">
        <v>0</v>
      </c>
      <c r="I116" s="112">
        <f t="shared" si="2"/>
        <v>0</v>
      </c>
      <c r="J116" s="112">
        <f t="shared" si="3"/>
        <v>0</v>
      </c>
    </row>
    <row r="117" spans="1:10">
      <c r="A117" s="343" t="s">
        <v>765</v>
      </c>
      <c r="B117" s="347">
        <v>21449300000000</v>
      </c>
      <c r="C117" t="s">
        <v>766</v>
      </c>
      <c r="D117" s="70">
        <v>0</v>
      </c>
      <c r="E117" s="70">
        <v>0</v>
      </c>
      <c r="F117" s="70">
        <v>-9893.99</v>
      </c>
      <c r="G117" s="70">
        <v>-9893.99</v>
      </c>
      <c r="H117" s="70">
        <v>-9893.99</v>
      </c>
      <c r="I117" s="112">
        <f t="shared" si="2"/>
        <v>-9.8939900000000005</v>
      </c>
      <c r="J117" s="112">
        <f t="shared" si="3"/>
        <v>-10</v>
      </c>
    </row>
    <row r="118" spans="1:10">
      <c r="A118" s="343" t="s">
        <v>767</v>
      </c>
      <c r="B118" s="347">
        <v>11825800000000</v>
      </c>
      <c r="C118" t="s">
        <v>768</v>
      </c>
      <c r="D118" s="70">
        <v>-683.2</v>
      </c>
      <c r="E118" s="70">
        <v>2219.1999999999998</v>
      </c>
      <c r="F118" s="70">
        <v>-1536</v>
      </c>
      <c r="G118" s="70">
        <v>683.2</v>
      </c>
      <c r="H118" s="70">
        <v>0</v>
      </c>
      <c r="I118" s="112">
        <f t="shared" si="2"/>
        <v>0.68320000000000003</v>
      </c>
      <c r="J118" s="112">
        <f t="shared" si="3"/>
        <v>1</v>
      </c>
    </row>
    <row r="119" spans="1:10">
      <c r="A119" s="343" t="s">
        <v>769</v>
      </c>
      <c r="B119" s="347">
        <v>14087600000000</v>
      </c>
      <c r="C119" t="s">
        <v>770</v>
      </c>
      <c r="D119" s="70">
        <v>0</v>
      </c>
      <c r="E119" s="70">
        <v>2900</v>
      </c>
      <c r="F119" s="70">
        <v>-2900</v>
      </c>
      <c r="G119" s="70">
        <v>0</v>
      </c>
      <c r="H119" s="70">
        <v>0</v>
      </c>
      <c r="I119" s="112">
        <f t="shared" si="2"/>
        <v>0</v>
      </c>
      <c r="J119" s="112">
        <f t="shared" si="3"/>
        <v>0</v>
      </c>
    </row>
    <row r="120" spans="1:10">
      <c r="A120" s="343" t="s">
        <v>771</v>
      </c>
      <c r="B120" s="347">
        <v>13529500000000</v>
      </c>
      <c r="C120" t="s">
        <v>772</v>
      </c>
      <c r="D120" s="70">
        <v>0</v>
      </c>
      <c r="E120" s="70">
        <v>0</v>
      </c>
      <c r="F120" s="70">
        <v>-1459.55</v>
      </c>
      <c r="G120" s="70">
        <v>-1459.55</v>
      </c>
      <c r="H120" s="70">
        <v>-1459.55</v>
      </c>
      <c r="I120" s="112">
        <f t="shared" si="2"/>
        <v>-1.4595499999999999</v>
      </c>
      <c r="J120" s="112">
        <f t="shared" si="3"/>
        <v>-1</v>
      </c>
    </row>
    <row r="121" spans="1:10">
      <c r="A121" s="343" t="s">
        <v>773</v>
      </c>
      <c r="B121" s="347">
        <v>15610500000000</v>
      </c>
      <c r="C121" t="s">
        <v>774</v>
      </c>
      <c r="D121" s="70">
        <v>0</v>
      </c>
      <c r="E121" s="70">
        <v>0</v>
      </c>
      <c r="F121" s="70">
        <v>-1320</v>
      </c>
      <c r="G121" s="70">
        <v>-1320</v>
      </c>
      <c r="H121" s="70">
        <v>-1320</v>
      </c>
      <c r="I121" s="112">
        <f t="shared" si="2"/>
        <v>-1.32</v>
      </c>
      <c r="J121" s="112">
        <f t="shared" si="3"/>
        <v>-1</v>
      </c>
    </row>
    <row r="122" spans="1:10">
      <c r="A122" s="343" t="s">
        <v>775</v>
      </c>
      <c r="B122" s="347">
        <v>3364280000000</v>
      </c>
      <c r="C122" t="s">
        <v>776</v>
      </c>
      <c r="D122" s="70">
        <v>0</v>
      </c>
      <c r="E122" s="70">
        <v>618.75</v>
      </c>
      <c r="F122" s="70">
        <v>-618.75</v>
      </c>
      <c r="G122" s="70">
        <v>0</v>
      </c>
      <c r="H122" s="70">
        <v>0</v>
      </c>
      <c r="I122" s="112">
        <f t="shared" si="2"/>
        <v>0</v>
      </c>
      <c r="J122" s="112">
        <f t="shared" si="3"/>
        <v>0</v>
      </c>
    </row>
    <row r="123" spans="1:10">
      <c r="A123" s="343" t="s">
        <v>777</v>
      </c>
      <c r="B123" s="347">
        <v>7718940000000</v>
      </c>
      <c r="C123" t="s">
        <v>778</v>
      </c>
      <c r="D123" s="70">
        <v>0</v>
      </c>
      <c r="E123" s="70">
        <v>280</v>
      </c>
      <c r="F123" s="70">
        <v>-280</v>
      </c>
      <c r="G123" s="70">
        <v>0</v>
      </c>
      <c r="H123" s="70">
        <v>0</v>
      </c>
      <c r="I123" s="112">
        <f t="shared" si="2"/>
        <v>0</v>
      </c>
      <c r="J123" s="112">
        <f t="shared" si="3"/>
        <v>0</v>
      </c>
    </row>
    <row r="124" spans="1:10">
      <c r="A124" s="343" t="s">
        <v>779</v>
      </c>
      <c r="B124" s="347">
        <v>9079570000000</v>
      </c>
      <c r="C124" t="s">
        <v>780</v>
      </c>
      <c r="D124" s="70">
        <v>-2000</v>
      </c>
      <c r="E124" s="70">
        <v>4397.07</v>
      </c>
      <c r="F124" s="70">
        <v>-6397.07</v>
      </c>
      <c r="G124" s="70">
        <v>-2000</v>
      </c>
      <c r="H124" s="70">
        <v>-4000</v>
      </c>
      <c r="I124" s="112">
        <f t="shared" si="2"/>
        <v>-2</v>
      </c>
      <c r="J124" s="112">
        <f t="shared" si="3"/>
        <v>-2</v>
      </c>
    </row>
    <row r="125" spans="1:10">
      <c r="A125" s="343" t="s">
        <v>781</v>
      </c>
      <c r="B125" s="347">
        <v>54207700000000</v>
      </c>
      <c r="C125" t="s">
        <v>782</v>
      </c>
      <c r="D125" s="70">
        <v>-350</v>
      </c>
      <c r="E125" s="70">
        <v>350</v>
      </c>
      <c r="F125" s="70">
        <v>-350</v>
      </c>
      <c r="G125" s="70">
        <v>0</v>
      </c>
      <c r="H125" s="70">
        <v>-350</v>
      </c>
      <c r="I125" s="112">
        <f t="shared" si="2"/>
        <v>0</v>
      </c>
      <c r="J125" s="112">
        <f t="shared" si="3"/>
        <v>0</v>
      </c>
    </row>
    <row r="126" spans="1:10">
      <c r="A126" s="343" t="s">
        <v>783</v>
      </c>
      <c r="B126" s="347">
        <v>19088600000000</v>
      </c>
      <c r="C126" t="s">
        <v>784</v>
      </c>
      <c r="D126" s="70">
        <v>-90000</v>
      </c>
      <c r="E126" s="70">
        <v>201843.3</v>
      </c>
      <c r="F126" s="70">
        <v>-201843.3</v>
      </c>
      <c r="G126" s="70">
        <v>0</v>
      </c>
      <c r="H126" s="70">
        <v>-90000</v>
      </c>
      <c r="I126" s="112">
        <f t="shared" si="2"/>
        <v>0</v>
      </c>
      <c r="J126" s="112">
        <f t="shared" si="3"/>
        <v>0</v>
      </c>
    </row>
    <row r="127" spans="1:10">
      <c r="A127" s="343" t="s">
        <v>785</v>
      </c>
      <c r="B127" s="347">
        <v>34036200000000</v>
      </c>
      <c r="C127" t="s">
        <v>786</v>
      </c>
      <c r="D127" s="70">
        <v>-136438.35999999999</v>
      </c>
      <c r="E127" s="70">
        <v>309217.46999999997</v>
      </c>
      <c r="F127" s="70">
        <v>-292779.11</v>
      </c>
      <c r="G127" s="70">
        <v>16438.36</v>
      </c>
      <c r="H127" s="70">
        <v>-120000</v>
      </c>
      <c r="I127" s="112">
        <f t="shared" si="2"/>
        <v>16.438359999999999</v>
      </c>
      <c r="J127" s="112">
        <f t="shared" si="3"/>
        <v>16</v>
      </c>
    </row>
    <row r="128" spans="1:10">
      <c r="A128" s="343" t="s">
        <v>787</v>
      </c>
      <c r="B128" s="347">
        <v>36813600000000</v>
      </c>
      <c r="C128" t="s">
        <v>788</v>
      </c>
      <c r="D128" s="70">
        <v>-28717.58</v>
      </c>
      <c r="E128" s="70">
        <v>43530.11</v>
      </c>
      <c r="F128" s="70">
        <v>-29625.06</v>
      </c>
      <c r="G128" s="70">
        <v>13905.05</v>
      </c>
      <c r="H128" s="70">
        <v>-14812.53</v>
      </c>
      <c r="I128" s="112">
        <f t="shared" si="2"/>
        <v>13.905049999999999</v>
      </c>
      <c r="J128" s="112">
        <f t="shared" si="3"/>
        <v>14</v>
      </c>
    </row>
    <row r="129" spans="1:10">
      <c r="A129" s="343" t="s">
        <v>789</v>
      </c>
      <c r="B129" s="347">
        <v>191477000000</v>
      </c>
      <c r="C129" t="s">
        <v>790</v>
      </c>
      <c r="D129" s="70">
        <v>0</v>
      </c>
      <c r="E129" s="70">
        <v>66970.8</v>
      </c>
      <c r="F129" s="70">
        <v>-66970.8</v>
      </c>
      <c r="G129" s="70">
        <v>0</v>
      </c>
      <c r="H129" s="70">
        <v>0</v>
      </c>
      <c r="I129" s="112">
        <f t="shared" si="2"/>
        <v>0</v>
      </c>
      <c r="J129" s="112">
        <f t="shared" si="3"/>
        <v>0</v>
      </c>
    </row>
    <row r="130" spans="1:10">
      <c r="A130" s="343" t="s">
        <v>791</v>
      </c>
      <c r="B130" s="347">
        <v>34977900000000</v>
      </c>
      <c r="C130" t="s">
        <v>792</v>
      </c>
      <c r="D130" s="70">
        <v>-1522.18</v>
      </c>
      <c r="E130" s="70">
        <v>4566.54</v>
      </c>
      <c r="F130" s="70">
        <v>-3044.36</v>
      </c>
      <c r="G130" s="70">
        <v>1522.18</v>
      </c>
      <c r="H130" s="70">
        <v>0</v>
      </c>
      <c r="I130" s="112">
        <f t="shared" si="2"/>
        <v>1.5221800000000001</v>
      </c>
      <c r="J130" s="112">
        <f t="shared" si="3"/>
        <v>2</v>
      </c>
    </row>
    <row r="131" spans="1:10">
      <c r="A131" s="343" t="s">
        <v>793</v>
      </c>
      <c r="B131" s="347">
        <v>25131900000000</v>
      </c>
      <c r="C131" t="s">
        <v>794</v>
      </c>
      <c r="D131" s="70">
        <v>0</v>
      </c>
      <c r="E131" s="70">
        <v>49000</v>
      </c>
      <c r="F131" s="70">
        <v>-49000</v>
      </c>
      <c r="G131" s="70">
        <v>0</v>
      </c>
      <c r="H131" s="70">
        <v>0</v>
      </c>
      <c r="I131" s="112">
        <f t="shared" si="2"/>
        <v>0</v>
      </c>
      <c r="J131" s="112">
        <f t="shared" si="3"/>
        <v>0</v>
      </c>
    </row>
    <row r="132" spans="1:10">
      <c r="A132" s="343" t="s">
        <v>795</v>
      </c>
      <c r="B132" s="347">
        <v>33198300000000</v>
      </c>
      <c r="C132" t="s">
        <v>796</v>
      </c>
      <c r="D132" s="70">
        <v>0</v>
      </c>
      <c r="E132" s="70">
        <v>999.2</v>
      </c>
      <c r="F132" s="70">
        <v>-999.2</v>
      </c>
      <c r="G132" s="70">
        <v>0</v>
      </c>
      <c r="H132" s="70">
        <v>0</v>
      </c>
      <c r="I132" s="112">
        <f t="shared" si="2"/>
        <v>0</v>
      </c>
      <c r="J132" s="112">
        <f t="shared" si="3"/>
        <v>0</v>
      </c>
    </row>
    <row r="133" spans="1:10">
      <c r="A133" s="343" t="s">
        <v>797</v>
      </c>
      <c r="B133" s="347">
        <v>28712100000000</v>
      </c>
      <c r="C133" t="s">
        <v>798</v>
      </c>
      <c r="D133" s="70">
        <v>-4500</v>
      </c>
      <c r="E133" s="70">
        <v>31260</v>
      </c>
      <c r="F133" s="70">
        <v>-31260</v>
      </c>
      <c r="G133" s="70">
        <v>0</v>
      </c>
      <c r="H133" s="70">
        <v>-4500</v>
      </c>
      <c r="I133" s="112">
        <f t="shared" si="2"/>
        <v>0</v>
      </c>
      <c r="J133" s="112">
        <f t="shared" si="3"/>
        <v>0</v>
      </c>
    </row>
    <row r="134" spans="1:10">
      <c r="A134" s="343" t="s">
        <v>799</v>
      </c>
      <c r="B134" s="347">
        <v>1406620000000</v>
      </c>
      <c r="C134" t="s">
        <v>800</v>
      </c>
      <c r="D134" s="70">
        <v>0</v>
      </c>
      <c r="E134" s="70">
        <v>65889.64</v>
      </c>
      <c r="F134" s="70">
        <v>-139253.75</v>
      </c>
      <c r="G134" s="70">
        <v>-73364.11</v>
      </c>
      <c r="H134" s="70">
        <v>-73364.11</v>
      </c>
      <c r="I134" s="112">
        <f t="shared" si="2"/>
        <v>-73.364109999999997</v>
      </c>
      <c r="J134" s="112">
        <f t="shared" si="3"/>
        <v>-73</v>
      </c>
    </row>
    <row r="135" spans="1:10">
      <c r="A135" s="343" t="s">
        <v>801</v>
      </c>
      <c r="B135" s="347">
        <v>12499500000000</v>
      </c>
      <c r="C135" t="s">
        <v>802</v>
      </c>
      <c r="D135" s="70">
        <v>0</v>
      </c>
      <c r="E135" s="70">
        <v>706.56</v>
      </c>
      <c r="F135" s="70">
        <v>-706.56</v>
      </c>
      <c r="G135" s="70">
        <v>0</v>
      </c>
      <c r="H135" s="70">
        <v>0</v>
      </c>
      <c r="I135" s="112">
        <f t="shared" si="2"/>
        <v>0</v>
      </c>
      <c r="J135" s="112">
        <f t="shared" si="3"/>
        <v>0</v>
      </c>
    </row>
    <row r="136" spans="1:10">
      <c r="A136" s="343" t="s">
        <v>803</v>
      </c>
      <c r="B136" s="347">
        <v>7843950000000</v>
      </c>
      <c r="C136" t="s">
        <v>804</v>
      </c>
      <c r="D136" s="70">
        <v>0</v>
      </c>
      <c r="E136" s="70">
        <v>5500</v>
      </c>
      <c r="F136" s="70">
        <v>-5500</v>
      </c>
      <c r="G136" s="70">
        <v>0</v>
      </c>
      <c r="H136" s="70">
        <v>0</v>
      </c>
      <c r="I136" s="112">
        <f t="shared" si="2"/>
        <v>0</v>
      </c>
      <c r="J136" s="112">
        <f t="shared" si="3"/>
        <v>0</v>
      </c>
    </row>
    <row r="137" spans="1:10">
      <c r="A137" s="343" t="s">
        <v>805</v>
      </c>
      <c r="B137" s="347">
        <v>12979000000000</v>
      </c>
      <c r="C137" t="s">
        <v>806</v>
      </c>
      <c r="D137" s="70">
        <v>0</v>
      </c>
      <c r="E137" s="70">
        <v>65744.52</v>
      </c>
      <c r="F137" s="70">
        <v>-65744.52</v>
      </c>
      <c r="G137" s="70">
        <v>0</v>
      </c>
      <c r="H137" s="70">
        <v>0</v>
      </c>
      <c r="I137" s="112">
        <f t="shared" ref="I137:I200" si="4">G137/1000</f>
        <v>0</v>
      </c>
      <c r="J137" s="112">
        <f t="shared" ref="J137:J200" si="5">ROUND(I137,0)</f>
        <v>0</v>
      </c>
    </row>
    <row r="138" spans="1:10">
      <c r="A138" s="343" t="s">
        <v>807</v>
      </c>
      <c r="B138" s="347">
        <v>38056400000000</v>
      </c>
      <c r="C138" t="s">
        <v>808</v>
      </c>
      <c r="D138" s="70">
        <v>-30953.65</v>
      </c>
      <c r="E138" s="70">
        <v>95661.99</v>
      </c>
      <c r="F138" s="70">
        <v>-64708.34</v>
      </c>
      <c r="G138" s="70">
        <v>30953.65</v>
      </c>
      <c r="H138" s="70">
        <v>0</v>
      </c>
      <c r="I138" s="112">
        <f t="shared" si="4"/>
        <v>30.953650000000003</v>
      </c>
      <c r="J138" s="112">
        <f t="shared" si="5"/>
        <v>31</v>
      </c>
    </row>
    <row r="139" spans="1:10">
      <c r="A139" s="343" t="s">
        <v>809</v>
      </c>
      <c r="B139" s="347" t="s">
        <v>810</v>
      </c>
      <c r="C139" t="s">
        <v>811</v>
      </c>
      <c r="D139" s="70">
        <v>0</v>
      </c>
      <c r="E139" s="70">
        <v>72708.34</v>
      </c>
      <c r="F139" s="70">
        <v>-72708.34</v>
      </c>
      <c r="G139" s="70">
        <v>0</v>
      </c>
      <c r="H139" s="70">
        <v>0</v>
      </c>
      <c r="I139" s="112">
        <f t="shared" si="4"/>
        <v>0</v>
      </c>
      <c r="J139" s="112">
        <f t="shared" si="5"/>
        <v>0</v>
      </c>
    </row>
    <row r="140" spans="1:10">
      <c r="A140" s="343" t="s">
        <v>812</v>
      </c>
      <c r="B140" s="347">
        <v>26915400000000</v>
      </c>
      <c r="C140" t="s">
        <v>813</v>
      </c>
      <c r="D140" s="70">
        <v>-12512</v>
      </c>
      <c r="E140" s="70">
        <v>12512</v>
      </c>
      <c r="F140" s="70">
        <v>-2924</v>
      </c>
      <c r="G140" s="70">
        <v>9588</v>
      </c>
      <c r="H140" s="70">
        <v>-2924</v>
      </c>
      <c r="I140" s="112">
        <f t="shared" si="4"/>
        <v>9.5879999999999992</v>
      </c>
      <c r="J140" s="112">
        <f t="shared" si="5"/>
        <v>10</v>
      </c>
    </row>
    <row r="141" spans="1:10">
      <c r="A141" s="343" t="s">
        <v>814</v>
      </c>
      <c r="B141" s="347">
        <v>37563500000000</v>
      </c>
      <c r="C141" t="s">
        <v>815</v>
      </c>
      <c r="D141" s="70">
        <v>0</v>
      </c>
      <c r="E141" s="70">
        <v>1389.41</v>
      </c>
      <c r="F141" s="70">
        <v>-1389.41</v>
      </c>
      <c r="G141" s="70">
        <v>0</v>
      </c>
      <c r="H141" s="70">
        <v>0</v>
      </c>
      <c r="I141" s="112">
        <f t="shared" si="4"/>
        <v>0</v>
      </c>
      <c r="J141" s="112">
        <f t="shared" si="5"/>
        <v>0</v>
      </c>
    </row>
    <row r="142" spans="1:10">
      <c r="A142" s="343" t="s">
        <v>816</v>
      </c>
      <c r="B142" s="347">
        <v>32681700000000</v>
      </c>
      <c r="C142" t="s">
        <v>817</v>
      </c>
      <c r="D142" s="70">
        <v>0</v>
      </c>
      <c r="E142" s="70">
        <v>193</v>
      </c>
      <c r="F142" s="70">
        <v>-193</v>
      </c>
      <c r="G142" s="70">
        <v>0</v>
      </c>
      <c r="H142" s="70">
        <v>0</v>
      </c>
      <c r="I142" s="112">
        <f t="shared" si="4"/>
        <v>0</v>
      </c>
      <c r="J142" s="112">
        <f t="shared" si="5"/>
        <v>0</v>
      </c>
    </row>
    <row r="143" spans="1:10">
      <c r="A143" s="343" t="s">
        <v>818</v>
      </c>
      <c r="B143" s="347">
        <v>27553300000000</v>
      </c>
      <c r="C143" t="s">
        <v>819</v>
      </c>
      <c r="D143" s="70">
        <v>0</v>
      </c>
      <c r="E143" s="70">
        <v>3200</v>
      </c>
      <c r="F143" s="70">
        <v>-3200</v>
      </c>
      <c r="G143" s="70">
        <v>0</v>
      </c>
      <c r="H143" s="70">
        <v>0</v>
      </c>
      <c r="I143" s="112">
        <f t="shared" si="4"/>
        <v>0</v>
      </c>
      <c r="J143" s="112">
        <f t="shared" si="5"/>
        <v>0</v>
      </c>
    </row>
    <row r="144" spans="1:10">
      <c r="A144" s="343" t="s">
        <v>820</v>
      </c>
      <c r="B144" s="347">
        <v>5630090000000</v>
      </c>
      <c r="C144" t="s">
        <v>821</v>
      </c>
      <c r="D144" s="70">
        <v>0</v>
      </c>
      <c r="E144" s="70">
        <v>7774.78</v>
      </c>
      <c r="F144" s="70">
        <v>-7774.78</v>
      </c>
      <c r="G144" s="70">
        <v>0</v>
      </c>
      <c r="H144" s="70">
        <v>0</v>
      </c>
      <c r="I144" s="112">
        <f t="shared" si="4"/>
        <v>0</v>
      </c>
      <c r="J144" s="112">
        <f t="shared" si="5"/>
        <v>0</v>
      </c>
    </row>
    <row r="145" spans="1:10">
      <c r="A145" s="343" t="s">
        <v>822</v>
      </c>
      <c r="B145" s="347">
        <v>2114998</v>
      </c>
      <c r="C145" t="s">
        <v>823</v>
      </c>
      <c r="D145" s="70">
        <v>0</v>
      </c>
      <c r="E145" s="70">
        <v>197500</v>
      </c>
      <c r="F145" s="70">
        <v>-197500</v>
      </c>
      <c r="G145" s="70">
        <v>0</v>
      </c>
      <c r="H145" s="70">
        <v>0</v>
      </c>
      <c r="I145" s="112">
        <f t="shared" si="4"/>
        <v>0</v>
      </c>
      <c r="J145" s="112">
        <f t="shared" si="5"/>
        <v>0</v>
      </c>
    </row>
    <row r="146" spans="1:10">
      <c r="A146" s="343" t="s">
        <v>824</v>
      </c>
      <c r="B146" s="347">
        <v>8210270000000</v>
      </c>
      <c r="C146" t="s">
        <v>825</v>
      </c>
      <c r="D146" s="70">
        <v>0</v>
      </c>
      <c r="E146" s="70">
        <v>3662</v>
      </c>
      <c r="F146" s="70">
        <v>-3662</v>
      </c>
      <c r="G146" s="70">
        <v>0</v>
      </c>
      <c r="H146" s="70">
        <v>0</v>
      </c>
      <c r="I146" s="112">
        <f t="shared" si="4"/>
        <v>0</v>
      </c>
      <c r="J146" s="112">
        <f t="shared" si="5"/>
        <v>0</v>
      </c>
    </row>
    <row r="147" spans="1:10">
      <c r="A147" s="343" t="s">
        <v>826</v>
      </c>
      <c r="B147" s="347">
        <v>1976530000000</v>
      </c>
      <c r="C147" t="s">
        <v>827</v>
      </c>
      <c r="D147" s="70">
        <v>0</v>
      </c>
      <c r="E147" s="70">
        <v>1398</v>
      </c>
      <c r="F147" s="70">
        <v>-1398</v>
      </c>
      <c r="G147" s="70">
        <v>0</v>
      </c>
      <c r="H147" s="70">
        <v>0</v>
      </c>
      <c r="I147" s="112">
        <f t="shared" si="4"/>
        <v>0</v>
      </c>
      <c r="J147" s="112">
        <f t="shared" si="5"/>
        <v>0</v>
      </c>
    </row>
    <row r="148" spans="1:10">
      <c r="A148" s="343" t="s">
        <v>828</v>
      </c>
      <c r="B148" s="347">
        <v>44459900000000</v>
      </c>
      <c r="C148" t="s">
        <v>829</v>
      </c>
      <c r="D148" s="70">
        <v>0</v>
      </c>
      <c r="E148" s="70">
        <v>3631.71</v>
      </c>
      <c r="F148" s="70">
        <v>-3631.71</v>
      </c>
      <c r="G148" s="70">
        <v>0</v>
      </c>
      <c r="H148" s="70">
        <v>0</v>
      </c>
      <c r="I148" s="112">
        <f t="shared" si="4"/>
        <v>0</v>
      </c>
      <c r="J148" s="112">
        <f t="shared" si="5"/>
        <v>0</v>
      </c>
    </row>
    <row r="149" spans="1:10">
      <c r="A149" s="343" t="s">
        <v>830</v>
      </c>
      <c r="B149" s="347">
        <v>37381900000000</v>
      </c>
      <c r="C149" t="s">
        <v>831</v>
      </c>
      <c r="D149" s="70">
        <v>-3726.41</v>
      </c>
      <c r="E149" s="70">
        <v>7590.42</v>
      </c>
      <c r="F149" s="70">
        <v>-7663.78</v>
      </c>
      <c r="G149" s="70">
        <v>-73.36</v>
      </c>
      <c r="H149" s="70">
        <v>-3799.77</v>
      </c>
      <c r="I149" s="112">
        <f t="shared" si="4"/>
        <v>-7.3359999999999995E-2</v>
      </c>
      <c r="J149" s="112">
        <f t="shared" si="5"/>
        <v>0</v>
      </c>
    </row>
    <row r="150" spans="1:10">
      <c r="A150" s="343" t="s">
        <v>832</v>
      </c>
      <c r="B150" s="347">
        <v>12782100000000</v>
      </c>
      <c r="C150" t="s">
        <v>833</v>
      </c>
      <c r="D150" s="70">
        <v>-4665</v>
      </c>
      <c r="E150" s="70">
        <v>9330</v>
      </c>
      <c r="F150" s="70">
        <v>-4665</v>
      </c>
      <c r="G150" s="70">
        <v>4665</v>
      </c>
      <c r="H150" s="70">
        <v>0</v>
      </c>
      <c r="I150" s="112">
        <f t="shared" si="4"/>
        <v>4.665</v>
      </c>
      <c r="J150" s="112">
        <f t="shared" si="5"/>
        <v>5</v>
      </c>
    </row>
    <row r="151" spans="1:10">
      <c r="A151" s="343" t="s">
        <v>834</v>
      </c>
      <c r="B151" s="347">
        <v>7658540000000</v>
      </c>
      <c r="C151" t="s">
        <v>835</v>
      </c>
      <c r="D151" s="70">
        <v>0</v>
      </c>
      <c r="E151" s="70">
        <v>17200</v>
      </c>
      <c r="F151" s="70">
        <v>-17200</v>
      </c>
      <c r="G151" s="70">
        <v>0</v>
      </c>
      <c r="H151" s="70">
        <v>0</v>
      </c>
      <c r="I151" s="112">
        <f t="shared" si="4"/>
        <v>0</v>
      </c>
      <c r="J151" s="112">
        <f t="shared" si="5"/>
        <v>0</v>
      </c>
    </row>
    <row r="152" spans="1:10">
      <c r="A152" s="343" t="s">
        <v>836</v>
      </c>
      <c r="B152" s="347">
        <v>24185200000000</v>
      </c>
      <c r="C152" t="s">
        <v>837</v>
      </c>
      <c r="D152" s="70">
        <v>0</v>
      </c>
      <c r="E152" s="70">
        <v>7225</v>
      </c>
      <c r="F152" s="70">
        <v>-7225</v>
      </c>
      <c r="G152" s="70">
        <v>0</v>
      </c>
      <c r="H152" s="70">
        <v>0</v>
      </c>
      <c r="I152" s="112">
        <f t="shared" si="4"/>
        <v>0</v>
      </c>
      <c r="J152" s="112">
        <f t="shared" si="5"/>
        <v>0</v>
      </c>
    </row>
    <row r="153" spans="1:10">
      <c r="A153" s="343" t="s">
        <v>838</v>
      </c>
      <c r="B153" s="347">
        <v>48659500000000</v>
      </c>
      <c r="C153" t="s">
        <v>839</v>
      </c>
      <c r="D153" s="70">
        <v>0</v>
      </c>
      <c r="E153" s="70">
        <v>1380</v>
      </c>
      <c r="F153" s="70">
        <v>-1380</v>
      </c>
      <c r="G153" s="70">
        <v>0</v>
      </c>
      <c r="H153" s="70">
        <v>0</v>
      </c>
      <c r="I153" s="112">
        <f t="shared" si="4"/>
        <v>0</v>
      </c>
      <c r="J153" s="112">
        <f t="shared" si="5"/>
        <v>0</v>
      </c>
    </row>
    <row r="154" spans="1:10">
      <c r="A154" s="343" t="s">
        <v>840</v>
      </c>
      <c r="B154" s="347">
        <v>9012640000000</v>
      </c>
      <c r="C154" t="s">
        <v>841</v>
      </c>
      <c r="D154" s="70">
        <v>-9132</v>
      </c>
      <c r="E154" s="70">
        <v>9132</v>
      </c>
      <c r="F154" s="70">
        <v>0</v>
      </c>
      <c r="G154" s="70">
        <v>9132</v>
      </c>
      <c r="H154" s="70">
        <v>0</v>
      </c>
      <c r="I154" s="112">
        <f t="shared" si="4"/>
        <v>9.1319999999999997</v>
      </c>
      <c r="J154" s="112">
        <f t="shared" si="5"/>
        <v>9</v>
      </c>
    </row>
    <row r="155" spans="1:10">
      <c r="A155" s="343" t="s">
        <v>842</v>
      </c>
      <c r="B155" s="347">
        <v>47982500000000</v>
      </c>
      <c r="C155" t="s">
        <v>843</v>
      </c>
      <c r="D155" s="70">
        <v>-8316</v>
      </c>
      <c r="E155" s="70">
        <v>8316</v>
      </c>
      <c r="F155" s="70">
        <v>0</v>
      </c>
      <c r="G155" s="70">
        <v>8316</v>
      </c>
      <c r="H155" s="70">
        <v>0</v>
      </c>
      <c r="I155" s="112">
        <f t="shared" si="4"/>
        <v>8.3160000000000007</v>
      </c>
      <c r="J155" s="112">
        <f t="shared" si="5"/>
        <v>8</v>
      </c>
    </row>
    <row r="156" spans="1:10">
      <c r="A156" s="343" t="s">
        <v>844</v>
      </c>
      <c r="B156" s="347">
        <v>40176000000000</v>
      </c>
      <c r="C156" t="s">
        <v>845</v>
      </c>
      <c r="D156" s="70">
        <v>0</v>
      </c>
      <c r="E156" s="70">
        <v>29250</v>
      </c>
      <c r="F156" s="70">
        <v>-29250</v>
      </c>
      <c r="G156" s="70">
        <v>0</v>
      </c>
      <c r="H156" s="70">
        <v>0</v>
      </c>
      <c r="I156" s="112">
        <f t="shared" si="4"/>
        <v>0</v>
      </c>
      <c r="J156" s="112">
        <f t="shared" si="5"/>
        <v>0</v>
      </c>
    </row>
    <row r="157" spans="1:10">
      <c r="A157" s="343" t="s">
        <v>846</v>
      </c>
      <c r="B157" s="347">
        <v>6201990000000</v>
      </c>
      <c r="C157" t="s">
        <v>847</v>
      </c>
      <c r="D157" s="70">
        <v>0</v>
      </c>
      <c r="E157" s="70">
        <v>2330.16</v>
      </c>
      <c r="F157" s="70">
        <v>-2330.16</v>
      </c>
      <c r="G157" s="70">
        <v>0</v>
      </c>
      <c r="H157" s="70">
        <v>0</v>
      </c>
      <c r="I157" s="112">
        <f t="shared" si="4"/>
        <v>0</v>
      </c>
      <c r="J157" s="112">
        <f t="shared" si="5"/>
        <v>0</v>
      </c>
    </row>
    <row r="158" spans="1:10">
      <c r="A158" s="343" t="s">
        <v>848</v>
      </c>
      <c r="B158" s="347">
        <v>48753000000000</v>
      </c>
      <c r="C158" t="s">
        <v>849</v>
      </c>
      <c r="D158" s="70">
        <v>0</v>
      </c>
      <c r="E158" s="70">
        <v>473</v>
      </c>
      <c r="F158" s="70">
        <v>-473</v>
      </c>
      <c r="G158" s="70">
        <v>0</v>
      </c>
      <c r="H158" s="70">
        <v>0</v>
      </c>
      <c r="I158" s="112">
        <f t="shared" si="4"/>
        <v>0</v>
      </c>
      <c r="J158" s="112">
        <f t="shared" si="5"/>
        <v>0</v>
      </c>
    </row>
    <row r="159" spans="1:10">
      <c r="A159" s="343" t="s">
        <v>850</v>
      </c>
      <c r="B159" s="347">
        <v>5824180000000</v>
      </c>
      <c r="C159" t="s">
        <v>851</v>
      </c>
      <c r="D159" s="70">
        <v>0</v>
      </c>
      <c r="E159" s="70">
        <v>1025</v>
      </c>
      <c r="F159" s="70">
        <v>-1025</v>
      </c>
      <c r="G159" s="70">
        <v>0</v>
      </c>
      <c r="H159" s="70">
        <v>0</v>
      </c>
      <c r="I159" s="112">
        <f t="shared" si="4"/>
        <v>0</v>
      </c>
      <c r="J159" s="112">
        <f t="shared" si="5"/>
        <v>0</v>
      </c>
    </row>
    <row r="160" spans="1:10">
      <c r="A160" s="343" t="s">
        <v>852</v>
      </c>
      <c r="B160" s="347">
        <v>50396700000000</v>
      </c>
      <c r="C160" t="s">
        <v>853</v>
      </c>
      <c r="D160" s="70">
        <v>0</v>
      </c>
      <c r="E160" s="70">
        <v>49600</v>
      </c>
      <c r="F160" s="70">
        <v>-49600</v>
      </c>
      <c r="G160" s="70">
        <v>0</v>
      </c>
      <c r="H160" s="70">
        <v>0</v>
      </c>
      <c r="I160" s="112">
        <f t="shared" si="4"/>
        <v>0</v>
      </c>
      <c r="J160" s="112">
        <f t="shared" si="5"/>
        <v>0</v>
      </c>
    </row>
    <row r="161" spans="1:10">
      <c r="A161" s="343" t="s">
        <v>854</v>
      </c>
      <c r="B161" s="347">
        <v>29864300000000</v>
      </c>
      <c r="C161" t="s">
        <v>855</v>
      </c>
      <c r="D161" s="70">
        <v>0</v>
      </c>
      <c r="E161" s="70">
        <v>0</v>
      </c>
      <c r="F161" s="70">
        <v>-2013</v>
      </c>
      <c r="G161" s="70">
        <v>-2013</v>
      </c>
      <c r="H161" s="70">
        <v>-2013</v>
      </c>
      <c r="I161" s="112">
        <f t="shared" si="4"/>
        <v>-2.0129999999999999</v>
      </c>
      <c r="J161" s="112">
        <f t="shared" si="5"/>
        <v>-2</v>
      </c>
    </row>
    <row r="162" spans="1:10">
      <c r="A162" s="343" t="s">
        <v>856</v>
      </c>
      <c r="B162" s="347">
        <v>10535800000000</v>
      </c>
      <c r="C162" t="s">
        <v>857</v>
      </c>
      <c r="D162" s="70">
        <v>0</v>
      </c>
      <c r="E162" s="70">
        <v>0</v>
      </c>
      <c r="F162" s="70">
        <v>-2216.4299999999998</v>
      </c>
      <c r="G162" s="70">
        <v>-2216.4299999999998</v>
      </c>
      <c r="H162" s="70">
        <v>-2216.4299999999998</v>
      </c>
      <c r="I162" s="112">
        <f t="shared" si="4"/>
        <v>-2.2164299999999999</v>
      </c>
      <c r="J162" s="112">
        <f t="shared" si="5"/>
        <v>-2</v>
      </c>
    </row>
    <row r="163" spans="1:10">
      <c r="A163" s="343" t="s">
        <v>858</v>
      </c>
      <c r="B163" s="347">
        <v>69112500000000</v>
      </c>
      <c r="C163" t="s">
        <v>859</v>
      </c>
      <c r="D163" s="70">
        <v>0</v>
      </c>
      <c r="E163" s="70">
        <v>0</v>
      </c>
      <c r="F163" s="70">
        <v>-13890</v>
      </c>
      <c r="G163" s="70">
        <v>-13890</v>
      </c>
      <c r="H163" s="70">
        <v>-13890</v>
      </c>
      <c r="I163" s="112">
        <f t="shared" si="4"/>
        <v>-13.89</v>
      </c>
      <c r="J163" s="112">
        <f t="shared" si="5"/>
        <v>-14</v>
      </c>
    </row>
    <row r="164" spans="1:10">
      <c r="A164" s="343" t="s">
        <v>860</v>
      </c>
      <c r="B164" s="347">
        <v>67129900000000</v>
      </c>
      <c r="C164" t="s">
        <v>861</v>
      </c>
      <c r="D164" s="70">
        <v>0</v>
      </c>
      <c r="E164" s="70">
        <v>0</v>
      </c>
      <c r="F164" s="70">
        <v>-200000</v>
      </c>
      <c r="G164" s="70">
        <v>-200000</v>
      </c>
      <c r="H164" s="70">
        <v>-200000</v>
      </c>
      <c r="I164" s="112">
        <f t="shared" si="4"/>
        <v>-200</v>
      </c>
      <c r="J164" s="112">
        <f t="shared" si="5"/>
        <v>-200</v>
      </c>
    </row>
    <row r="165" spans="1:10">
      <c r="A165" s="343" t="s">
        <v>862</v>
      </c>
      <c r="B165" s="347">
        <v>33327000000000</v>
      </c>
      <c r="C165" t="s">
        <v>863</v>
      </c>
      <c r="D165" s="70">
        <v>0</v>
      </c>
      <c r="E165" s="70">
        <v>0</v>
      </c>
      <c r="F165" s="70">
        <v>-2555.9699999999998</v>
      </c>
      <c r="G165" s="70">
        <v>-2555.9699999999998</v>
      </c>
      <c r="H165" s="70">
        <v>-2555.9699999999998</v>
      </c>
      <c r="I165" s="112">
        <f t="shared" si="4"/>
        <v>-2.5559699999999999</v>
      </c>
      <c r="J165" s="112">
        <f t="shared" si="5"/>
        <v>-3</v>
      </c>
    </row>
    <row r="166" spans="1:10">
      <c r="A166" s="343" t="s">
        <v>864</v>
      </c>
      <c r="B166" s="343">
        <v>2116</v>
      </c>
      <c r="C166" t="s">
        <v>180</v>
      </c>
      <c r="D166" s="70">
        <v>-1334.48</v>
      </c>
      <c r="E166" s="70">
        <v>41133.81</v>
      </c>
      <c r="F166" s="70">
        <v>-87878</v>
      </c>
      <c r="G166" s="70">
        <v>-46744.19</v>
      </c>
      <c r="H166" s="70">
        <v>-48078.67</v>
      </c>
      <c r="I166" s="112">
        <f t="shared" si="4"/>
        <v>-46.744190000000003</v>
      </c>
      <c r="J166" s="112">
        <f t="shared" si="5"/>
        <v>-47</v>
      </c>
    </row>
    <row r="167" spans="1:10">
      <c r="A167" s="343" t="s">
        <v>865</v>
      </c>
      <c r="B167" s="343">
        <v>21162</v>
      </c>
      <c r="C167" t="s">
        <v>866</v>
      </c>
      <c r="D167" s="70">
        <v>-186.54</v>
      </c>
      <c r="E167" s="70">
        <v>7185.66</v>
      </c>
      <c r="F167" s="70">
        <v>-15463.92</v>
      </c>
      <c r="G167" s="70">
        <v>-8278.26</v>
      </c>
      <c r="H167" s="70">
        <v>-8464.7999999999993</v>
      </c>
      <c r="I167" s="112">
        <f t="shared" si="4"/>
        <v>-8.2782599999999995</v>
      </c>
      <c r="J167" s="112">
        <f t="shared" si="5"/>
        <v>-8</v>
      </c>
    </row>
    <row r="168" spans="1:10">
      <c r="A168" s="343" t="s">
        <v>867</v>
      </c>
      <c r="B168" s="343">
        <v>21163</v>
      </c>
      <c r="C168" t="s">
        <v>868</v>
      </c>
      <c r="D168" s="70">
        <v>-1147.94</v>
      </c>
      <c r="E168" s="70">
        <v>33948.15</v>
      </c>
      <c r="F168" s="70">
        <v>-72414.080000000002</v>
      </c>
      <c r="G168" s="70">
        <v>-38465.93</v>
      </c>
      <c r="H168" s="70">
        <v>-39613.870000000003</v>
      </c>
      <c r="I168" s="112">
        <f t="shared" si="4"/>
        <v>-38.46593</v>
      </c>
      <c r="J168" s="112">
        <f t="shared" si="5"/>
        <v>-38</v>
      </c>
    </row>
    <row r="169" spans="1:10">
      <c r="A169" s="343" t="s">
        <v>869</v>
      </c>
      <c r="B169" s="343">
        <v>2117</v>
      </c>
      <c r="C169" t="s">
        <v>870</v>
      </c>
      <c r="D169" s="70">
        <v>-1739282.06</v>
      </c>
      <c r="E169" s="70">
        <v>2057215.69</v>
      </c>
      <c r="F169" s="70">
        <v>-2018617.92</v>
      </c>
      <c r="G169" s="70">
        <v>38597.769999999997</v>
      </c>
      <c r="H169" s="70">
        <v>-1700684.29</v>
      </c>
      <c r="I169" s="112">
        <f t="shared" si="4"/>
        <v>38.597769999999997</v>
      </c>
      <c r="J169" s="112">
        <f t="shared" si="5"/>
        <v>39</v>
      </c>
    </row>
    <row r="170" spans="1:10">
      <c r="A170" s="343" t="s">
        <v>871</v>
      </c>
      <c r="B170" s="343">
        <v>561</v>
      </c>
      <c r="C170" t="s">
        <v>872</v>
      </c>
      <c r="D170" s="70">
        <v>-1722080.1</v>
      </c>
      <c r="E170" s="70">
        <v>1857038.02</v>
      </c>
      <c r="F170" s="70">
        <v>-1819716.33</v>
      </c>
      <c r="G170" s="70">
        <v>37321.69</v>
      </c>
      <c r="H170" s="70">
        <v>-1684758.41</v>
      </c>
      <c r="I170" s="112">
        <f t="shared" si="4"/>
        <v>37.321690000000004</v>
      </c>
      <c r="J170" s="112">
        <f t="shared" si="5"/>
        <v>37</v>
      </c>
    </row>
    <row r="171" spans="1:10">
      <c r="A171" s="343" t="s">
        <v>873</v>
      </c>
      <c r="B171" s="343" t="s">
        <v>874</v>
      </c>
      <c r="C171" t="s">
        <v>875</v>
      </c>
      <c r="D171" s="70">
        <v>-17201.96</v>
      </c>
      <c r="E171" s="70">
        <v>33687.870000000003</v>
      </c>
      <c r="F171" s="70">
        <v>-32411.79</v>
      </c>
      <c r="G171" s="70">
        <v>1276.08</v>
      </c>
      <c r="H171" s="70">
        <v>-15925.88</v>
      </c>
      <c r="I171" s="112">
        <f t="shared" si="4"/>
        <v>1.2760799999999999</v>
      </c>
      <c r="J171" s="112">
        <f t="shared" si="5"/>
        <v>1</v>
      </c>
    </row>
    <row r="172" spans="1:10">
      <c r="A172" s="343" t="s">
        <v>876</v>
      </c>
      <c r="B172" s="343">
        <v>6147</v>
      </c>
      <c r="C172" t="s">
        <v>877</v>
      </c>
      <c r="D172" s="70">
        <v>0</v>
      </c>
      <c r="E172" s="70">
        <v>16919.88</v>
      </c>
      <c r="F172" s="70">
        <v>-16919.88</v>
      </c>
      <c r="G172" s="70">
        <v>0</v>
      </c>
      <c r="H172" s="70">
        <v>0</v>
      </c>
      <c r="I172" s="112">
        <f t="shared" si="4"/>
        <v>0</v>
      </c>
      <c r="J172" s="112">
        <f t="shared" si="5"/>
        <v>0</v>
      </c>
    </row>
    <row r="173" spans="1:10">
      <c r="A173" s="343" t="s">
        <v>878</v>
      </c>
      <c r="B173" s="343">
        <v>6190</v>
      </c>
      <c r="C173" t="s">
        <v>879</v>
      </c>
      <c r="D173" s="70">
        <v>0</v>
      </c>
      <c r="E173" s="70">
        <v>111333.63</v>
      </c>
      <c r="F173" s="70">
        <v>-111333.63</v>
      </c>
      <c r="G173" s="70">
        <v>0</v>
      </c>
      <c r="H173" s="70">
        <v>0</v>
      </c>
      <c r="I173" s="112">
        <f t="shared" si="4"/>
        <v>0</v>
      </c>
      <c r="J173" s="112">
        <f t="shared" si="5"/>
        <v>0</v>
      </c>
    </row>
    <row r="174" spans="1:10">
      <c r="A174" s="343" t="s">
        <v>880</v>
      </c>
      <c r="B174" s="343">
        <v>6175</v>
      </c>
      <c r="C174" t="s">
        <v>881</v>
      </c>
      <c r="D174" s="70">
        <v>0</v>
      </c>
      <c r="E174" s="70">
        <v>3160.39</v>
      </c>
      <c r="F174" s="70">
        <v>-3160.39</v>
      </c>
      <c r="G174" s="70">
        <v>0</v>
      </c>
      <c r="H174" s="70">
        <v>0</v>
      </c>
      <c r="I174" s="112">
        <f t="shared" si="4"/>
        <v>0</v>
      </c>
      <c r="J174" s="112">
        <f t="shared" si="5"/>
        <v>0</v>
      </c>
    </row>
    <row r="175" spans="1:10">
      <c r="A175" s="343" t="s">
        <v>882</v>
      </c>
      <c r="B175" s="343" t="s">
        <v>883</v>
      </c>
      <c r="C175" t="s">
        <v>884</v>
      </c>
      <c r="D175" s="70">
        <v>0</v>
      </c>
      <c r="E175" s="70">
        <v>29097.65</v>
      </c>
      <c r="F175" s="70">
        <v>-29097.65</v>
      </c>
      <c r="G175" s="70">
        <v>0</v>
      </c>
      <c r="H175" s="70">
        <v>0</v>
      </c>
      <c r="I175" s="112">
        <f t="shared" si="4"/>
        <v>0</v>
      </c>
      <c r="J175" s="112">
        <f t="shared" si="5"/>
        <v>0</v>
      </c>
    </row>
    <row r="176" spans="1:10">
      <c r="A176" s="343" t="s">
        <v>885</v>
      </c>
      <c r="B176" s="343">
        <v>211773</v>
      </c>
      <c r="C176" t="s">
        <v>886</v>
      </c>
      <c r="D176" s="70">
        <v>0</v>
      </c>
      <c r="E176" s="70">
        <v>4219.9399999999996</v>
      </c>
      <c r="F176" s="70">
        <v>-4219.9399999999996</v>
      </c>
      <c r="G176" s="70">
        <v>0</v>
      </c>
      <c r="H176" s="70">
        <v>0</v>
      </c>
      <c r="I176" s="112">
        <f t="shared" si="4"/>
        <v>0</v>
      </c>
      <c r="J176" s="112">
        <f t="shared" si="5"/>
        <v>0</v>
      </c>
    </row>
    <row r="177" spans="1:10">
      <c r="A177" s="343" t="s">
        <v>887</v>
      </c>
      <c r="B177" s="343">
        <v>211774</v>
      </c>
      <c r="C177" t="s">
        <v>888</v>
      </c>
      <c r="D177" s="70">
        <v>0</v>
      </c>
      <c r="E177" s="70">
        <v>1758.31</v>
      </c>
      <c r="F177" s="70">
        <v>-1758.31</v>
      </c>
      <c r="G177" s="70">
        <v>0</v>
      </c>
      <c r="H177" s="70">
        <v>0</v>
      </c>
      <c r="I177" s="112">
        <f t="shared" si="4"/>
        <v>0</v>
      </c>
      <c r="J177" s="112">
        <f t="shared" si="5"/>
        <v>0</v>
      </c>
    </row>
    <row r="178" spans="1:10">
      <c r="A178" s="343" t="s">
        <v>889</v>
      </c>
      <c r="B178" s="343">
        <v>2118</v>
      </c>
      <c r="C178" t="s">
        <v>537</v>
      </c>
      <c r="D178" s="70">
        <v>-18156086.859999999</v>
      </c>
      <c r="E178" s="70">
        <v>17410913.809999999</v>
      </c>
      <c r="F178" s="70">
        <v>-16895484.09</v>
      </c>
      <c r="G178" s="70">
        <v>515429.72</v>
      </c>
      <c r="H178" s="70">
        <v>-17640657.140000001</v>
      </c>
      <c r="I178" s="112">
        <f t="shared" si="4"/>
        <v>515.42971999999997</v>
      </c>
      <c r="J178" s="112">
        <f t="shared" si="5"/>
        <v>515</v>
      </c>
    </row>
    <row r="179" spans="1:10">
      <c r="A179" s="343" t="s">
        <v>890</v>
      </c>
      <c r="B179" s="343">
        <v>21181</v>
      </c>
      <c r="C179" t="s">
        <v>891</v>
      </c>
      <c r="D179" s="70">
        <v>-4528601.21</v>
      </c>
      <c r="E179" s="70">
        <v>11736403.060000001</v>
      </c>
      <c r="F179" s="70">
        <v>-10510961.029999999</v>
      </c>
      <c r="G179" s="70">
        <v>1225442.03</v>
      </c>
      <c r="H179" s="70">
        <v>-3303159.18</v>
      </c>
      <c r="I179" s="112">
        <f t="shared" si="4"/>
        <v>1225.4420299999999</v>
      </c>
      <c r="J179" s="112">
        <f t="shared" si="5"/>
        <v>1225</v>
      </c>
    </row>
    <row r="180" spans="1:10">
      <c r="A180" s="343" t="s">
        <v>892</v>
      </c>
      <c r="B180" s="343">
        <v>21182</v>
      </c>
      <c r="C180" t="s">
        <v>893</v>
      </c>
      <c r="D180" s="70">
        <v>-2344599.13</v>
      </c>
      <c r="E180" s="70">
        <v>0</v>
      </c>
      <c r="F180" s="70">
        <v>-785383.53</v>
      </c>
      <c r="G180" s="70">
        <v>-785383.53</v>
      </c>
      <c r="H180" s="70">
        <v>-3129982.66</v>
      </c>
      <c r="I180" s="112">
        <f t="shared" si="4"/>
        <v>-785.38353000000006</v>
      </c>
      <c r="J180" s="112">
        <f t="shared" si="5"/>
        <v>-785</v>
      </c>
    </row>
    <row r="181" spans="1:10">
      <c r="A181" s="343" t="s">
        <v>894</v>
      </c>
      <c r="B181" s="343">
        <v>21183</v>
      </c>
      <c r="C181" t="s">
        <v>895</v>
      </c>
      <c r="D181" s="70">
        <v>-6746790.5199999996</v>
      </c>
      <c r="E181" s="70">
        <v>1197552.04</v>
      </c>
      <c r="F181" s="70">
        <v>-1050803.04</v>
      </c>
      <c r="G181" s="70">
        <v>146749</v>
      </c>
      <c r="H181" s="70">
        <v>-6600041.5199999996</v>
      </c>
      <c r="I181" s="112">
        <f t="shared" si="4"/>
        <v>146.749</v>
      </c>
      <c r="J181" s="112">
        <f t="shared" si="5"/>
        <v>147</v>
      </c>
    </row>
    <row r="182" spans="1:10">
      <c r="A182" s="343" t="s">
        <v>896</v>
      </c>
      <c r="B182" s="343">
        <v>21184</v>
      </c>
      <c r="C182" t="s">
        <v>897</v>
      </c>
      <c r="D182" s="70">
        <v>-1238773.6200000001</v>
      </c>
      <c r="E182" s="70">
        <v>2520190.41</v>
      </c>
      <c r="F182" s="70">
        <v>-2500953.9</v>
      </c>
      <c r="G182" s="70">
        <v>19236.509999999998</v>
      </c>
      <c r="H182" s="70">
        <v>-1219537.1100000001</v>
      </c>
      <c r="I182" s="112">
        <f t="shared" si="4"/>
        <v>19.236509999999999</v>
      </c>
      <c r="J182" s="112">
        <f t="shared" si="5"/>
        <v>19</v>
      </c>
    </row>
    <row r="183" spans="1:10">
      <c r="A183" s="343" t="s">
        <v>898</v>
      </c>
      <c r="B183" s="343">
        <v>21185</v>
      </c>
      <c r="C183" t="s">
        <v>899</v>
      </c>
      <c r="D183" s="70">
        <v>-504722.98</v>
      </c>
      <c r="E183" s="70">
        <v>899099.36</v>
      </c>
      <c r="F183" s="70">
        <v>-783264.66</v>
      </c>
      <c r="G183" s="70">
        <v>115834.7</v>
      </c>
      <c r="H183" s="70">
        <v>-388888.28</v>
      </c>
      <c r="I183" s="112">
        <f t="shared" si="4"/>
        <v>115.8347</v>
      </c>
      <c r="J183" s="112">
        <f t="shared" si="5"/>
        <v>116</v>
      </c>
    </row>
    <row r="184" spans="1:10">
      <c r="A184" s="343" t="s">
        <v>900</v>
      </c>
      <c r="B184" s="343">
        <v>21186</v>
      </c>
      <c r="C184" t="s">
        <v>901</v>
      </c>
      <c r="D184" s="70">
        <v>0</v>
      </c>
      <c r="E184" s="70">
        <v>300</v>
      </c>
      <c r="F184" s="70">
        <v>-300</v>
      </c>
      <c r="G184" s="70">
        <v>0</v>
      </c>
      <c r="H184" s="70">
        <v>0</v>
      </c>
      <c r="I184" s="112">
        <f t="shared" si="4"/>
        <v>0</v>
      </c>
      <c r="J184" s="112">
        <f t="shared" si="5"/>
        <v>0</v>
      </c>
    </row>
    <row r="185" spans="1:10">
      <c r="A185" s="343" t="s">
        <v>902</v>
      </c>
      <c r="B185" s="343">
        <v>21187</v>
      </c>
      <c r="C185" t="s">
        <v>903</v>
      </c>
      <c r="D185" s="70">
        <v>0</v>
      </c>
      <c r="E185" s="70">
        <v>43969.72</v>
      </c>
      <c r="F185" s="70">
        <v>-43969.72</v>
      </c>
      <c r="G185" s="70">
        <v>0</v>
      </c>
      <c r="H185" s="70">
        <v>0</v>
      </c>
      <c r="I185" s="112">
        <f t="shared" si="4"/>
        <v>0</v>
      </c>
      <c r="J185" s="112">
        <f t="shared" si="5"/>
        <v>0</v>
      </c>
    </row>
    <row r="186" spans="1:10">
      <c r="A186" s="343" t="s">
        <v>904</v>
      </c>
      <c r="B186" s="343">
        <v>21188</v>
      </c>
      <c r="C186" t="s">
        <v>905</v>
      </c>
      <c r="D186" s="70">
        <v>0</v>
      </c>
      <c r="E186" s="70">
        <v>4140.01</v>
      </c>
      <c r="F186" s="70">
        <v>-4140.01</v>
      </c>
      <c r="G186" s="70">
        <v>0</v>
      </c>
      <c r="H186" s="70">
        <v>0</v>
      </c>
      <c r="I186" s="112">
        <f t="shared" si="4"/>
        <v>0</v>
      </c>
      <c r="J186" s="112">
        <f t="shared" si="5"/>
        <v>0</v>
      </c>
    </row>
    <row r="187" spans="1:10">
      <c r="A187" s="343" t="s">
        <v>906</v>
      </c>
      <c r="B187" s="343">
        <v>21189</v>
      </c>
      <c r="C187" t="s">
        <v>907</v>
      </c>
      <c r="D187" s="70">
        <v>-338771.54</v>
      </c>
      <c r="E187" s="70">
        <v>679023.38</v>
      </c>
      <c r="F187" s="70">
        <v>-679799.44</v>
      </c>
      <c r="G187" s="70">
        <v>-776.06</v>
      </c>
      <c r="H187" s="70">
        <v>-339547.6</v>
      </c>
      <c r="I187" s="112">
        <f t="shared" si="4"/>
        <v>-0.77605999999999997</v>
      </c>
      <c r="J187" s="112">
        <f t="shared" si="5"/>
        <v>-1</v>
      </c>
    </row>
    <row r="188" spans="1:10">
      <c r="A188" s="343" t="s">
        <v>908</v>
      </c>
      <c r="B188" s="343">
        <v>211810</v>
      </c>
      <c r="C188" t="s">
        <v>909</v>
      </c>
      <c r="D188" s="70">
        <v>-489682.86</v>
      </c>
      <c r="E188" s="70">
        <v>0.13</v>
      </c>
      <c r="F188" s="70">
        <v>-164036.81</v>
      </c>
      <c r="G188" s="70">
        <v>-164036.68</v>
      </c>
      <c r="H188" s="70">
        <v>-653719.54</v>
      </c>
      <c r="I188" s="112">
        <f t="shared" si="4"/>
        <v>-164.03667999999999</v>
      </c>
      <c r="J188" s="112">
        <f t="shared" si="5"/>
        <v>-164</v>
      </c>
    </row>
    <row r="189" spans="1:10">
      <c r="A189" s="343" t="s">
        <v>910</v>
      </c>
      <c r="B189" s="343">
        <v>211811</v>
      </c>
      <c r="C189" t="s">
        <v>911</v>
      </c>
      <c r="D189" s="70">
        <v>-854.03</v>
      </c>
      <c r="E189" s="70">
        <v>0</v>
      </c>
      <c r="F189" s="70">
        <v>-62646.16</v>
      </c>
      <c r="G189" s="70">
        <v>-62646.16</v>
      </c>
      <c r="H189" s="70">
        <v>-63500.19</v>
      </c>
      <c r="I189" s="112">
        <f t="shared" si="4"/>
        <v>-62.646160000000002</v>
      </c>
      <c r="J189" s="112">
        <f t="shared" si="5"/>
        <v>-63</v>
      </c>
    </row>
    <row r="190" spans="1:10">
      <c r="A190" s="343" t="s">
        <v>912</v>
      </c>
      <c r="B190" s="343">
        <v>211812</v>
      </c>
      <c r="C190" t="s">
        <v>913</v>
      </c>
      <c r="D190" s="70">
        <v>-1421693.85</v>
      </c>
      <c r="E190" s="70">
        <v>239136.43</v>
      </c>
      <c r="F190" s="70">
        <v>-223922.41</v>
      </c>
      <c r="G190" s="70">
        <v>15214.02</v>
      </c>
      <c r="H190" s="70">
        <v>-1406479.83</v>
      </c>
      <c r="I190" s="112">
        <f t="shared" si="4"/>
        <v>15.21402</v>
      </c>
      <c r="J190" s="112">
        <f t="shared" si="5"/>
        <v>15</v>
      </c>
    </row>
    <row r="191" spans="1:10">
      <c r="A191" s="343" t="s">
        <v>914</v>
      </c>
      <c r="B191" s="343">
        <v>211813</v>
      </c>
      <c r="C191" t="s">
        <v>915</v>
      </c>
      <c r="D191" s="70">
        <v>-541597.12</v>
      </c>
      <c r="E191" s="70">
        <v>91099.27</v>
      </c>
      <c r="F191" s="70">
        <v>-85303.38</v>
      </c>
      <c r="G191" s="70">
        <v>5795.89</v>
      </c>
      <c r="H191" s="70">
        <v>-535801.23</v>
      </c>
      <c r="I191" s="112">
        <f t="shared" si="4"/>
        <v>5.79589</v>
      </c>
      <c r="J191" s="112">
        <f t="shared" si="5"/>
        <v>6</v>
      </c>
    </row>
    <row r="192" spans="1:10">
      <c r="A192" s="343" t="s">
        <v>80</v>
      </c>
      <c r="B192" s="343">
        <v>21114</v>
      </c>
      <c r="C192" t="s">
        <v>79</v>
      </c>
      <c r="D192" s="70">
        <v>-25867.81</v>
      </c>
      <c r="E192" s="70">
        <v>51735.62</v>
      </c>
      <c r="F192" s="70">
        <v>-51735.62</v>
      </c>
      <c r="G192" s="70">
        <v>0</v>
      </c>
      <c r="H192" s="70">
        <v>-25867.81</v>
      </c>
      <c r="I192" s="112">
        <f t="shared" si="4"/>
        <v>0</v>
      </c>
      <c r="J192" s="112">
        <f t="shared" si="5"/>
        <v>0</v>
      </c>
    </row>
    <row r="193" spans="1:10">
      <c r="A193" s="343" t="s">
        <v>916</v>
      </c>
      <c r="B193" s="343">
        <v>211145</v>
      </c>
      <c r="C193" t="s">
        <v>917</v>
      </c>
      <c r="D193" s="70">
        <v>-25867.81</v>
      </c>
      <c r="E193" s="70">
        <v>51735.62</v>
      </c>
      <c r="F193" s="70">
        <v>-51735.62</v>
      </c>
      <c r="G193" s="70">
        <v>0</v>
      </c>
      <c r="H193" s="70">
        <v>-25867.81</v>
      </c>
      <c r="I193" s="112">
        <f t="shared" si="4"/>
        <v>0</v>
      </c>
      <c r="J193" s="112">
        <f t="shared" si="5"/>
        <v>0</v>
      </c>
    </row>
    <row r="194" spans="1:10">
      <c r="A194" s="343" t="s">
        <v>918</v>
      </c>
      <c r="B194" s="343">
        <v>21115</v>
      </c>
      <c r="C194" t="s">
        <v>907</v>
      </c>
      <c r="D194" s="70">
        <v>-336660.79</v>
      </c>
      <c r="E194" s="70">
        <v>675708.26</v>
      </c>
      <c r="F194" s="70">
        <v>-676505.75</v>
      </c>
      <c r="G194" s="70">
        <v>-797.49</v>
      </c>
      <c r="H194" s="70">
        <v>-337458.28</v>
      </c>
      <c r="I194" s="112">
        <f t="shared" si="4"/>
        <v>-0.79749000000000003</v>
      </c>
      <c r="J194" s="112">
        <f t="shared" si="5"/>
        <v>-1</v>
      </c>
    </row>
    <row r="195" spans="1:10">
      <c r="A195" s="343" t="s">
        <v>919</v>
      </c>
      <c r="B195" s="343">
        <v>211151</v>
      </c>
      <c r="C195" t="s">
        <v>920</v>
      </c>
      <c r="D195" s="70">
        <v>-336660.79</v>
      </c>
      <c r="E195" s="70">
        <v>675708.26</v>
      </c>
      <c r="F195" s="70">
        <v>-676505.75</v>
      </c>
      <c r="G195" s="70">
        <v>-797.49</v>
      </c>
      <c r="H195" s="70">
        <v>-337458.28</v>
      </c>
      <c r="I195" s="112">
        <f t="shared" si="4"/>
        <v>-0.79749000000000003</v>
      </c>
      <c r="J195" s="112">
        <f t="shared" si="5"/>
        <v>-1</v>
      </c>
    </row>
    <row r="196" spans="1:10">
      <c r="A196" s="343" t="s">
        <v>921</v>
      </c>
      <c r="B196" s="343">
        <v>22</v>
      </c>
      <c r="C196" t="s">
        <v>369</v>
      </c>
      <c r="D196" s="70">
        <v>-10843606.84</v>
      </c>
      <c r="E196" s="70">
        <v>0</v>
      </c>
      <c r="F196" s="70">
        <v>-216872.38</v>
      </c>
      <c r="G196" s="70">
        <v>-216872.38</v>
      </c>
      <c r="H196" s="70">
        <v>-11060479.220000001</v>
      </c>
      <c r="I196" s="112">
        <f t="shared" si="4"/>
        <v>-216.87237999999999</v>
      </c>
      <c r="J196" s="112">
        <f t="shared" si="5"/>
        <v>-217</v>
      </c>
    </row>
    <row r="197" spans="1:10">
      <c r="A197" s="343" t="s">
        <v>922</v>
      </c>
      <c r="B197" s="343">
        <v>221</v>
      </c>
      <c r="C197" t="s">
        <v>923</v>
      </c>
      <c r="D197" s="70">
        <v>-10843606.84</v>
      </c>
      <c r="E197" s="70">
        <v>0</v>
      </c>
      <c r="F197" s="70">
        <v>-216872.38</v>
      </c>
      <c r="G197" s="70">
        <v>-216872.38</v>
      </c>
      <c r="H197" s="70">
        <v>-11060479.220000001</v>
      </c>
      <c r="I197" s="112">
        <f t="shared" si="4"/>
        <v>-216.87237999999999</v>
      </c>
      <c r="J197" s="112">
        <f t="shared" si="5"/>
        <v>-217</v>
      </c>
    </row>
    <row r="198" spans="1:10">
      <c r="A198" s="343" t="s">
        <v>85</v>
      </c>
      <c r="B198" s="343">
        <v>2215</v>
      </c>
      <c r="C198" t="s">
        <v>924</v>
      </c>
      <c r="D198" s="70">
        <v>-10843606.84</v>
      </c>
      <c r="E198" s="70">
        <v>0</v>
      </c>
      <c r="F198" s="70">
        <v>-216872.38</v>
      </c>
      <c r="G198" s="70">
        <v>-216872.38</v>
      </c>
      <c r="H198" s="70">
        <v>-11060479.220000001</v>
      </c>
      <c r="I198" s="112">
        <f t="shared" si="4"/>
        <v>-216.87237999999999</v>
      </c>
      <c r="J198" s="112">
        <f t="shared" si="5"/>
        <v>-217</v>
      </c>
    </row>
    <row r="199" spans="1:10">
      <c r="A199" s="343" t="s">
        <v>925</v>
      </c>
      <c r="B199" s="343">
        <v>22151</v>
      </c>
      <c r="C199" t="s">
        <v>926</v>
      </c>
      <c r="D199" s="70">
        <v>-4382587.93</v>
      </c>
      <c r="E199" s="70">
        <v>0</v>
      </c>
      <c r="F199" s="70">
        <v>-87651.76</v>
      </c>
      <c r="G199" s="70">
        <v>-87651.76</v>
      </c>
      <c r="H199" s="70">
        <v>-4470239.6900000004</v>
      </c>
      <c r="I199" s="112">
        <f t="shared" si="4"/>
        <v>-87.651759999999996</v>
      </c>
      <c r="J199" s="112">
        <f t="shared" si="5"/>
        <v>-88</v>
      </c>
    </row>
    <row r="200" spans="1:10">
      <c r="A200" s="343" t="s">
        <v>927</v>
      </c>
      <c r="B200" s="343">
        <v>22152</v>
      </c>
      <c r="C200" t="s">
        <v>928</v>
      </c>
      <c r="D200" s="70">
        <v>-2407.6799999999998</v>
      </c>
      <c r="E200" s="70">
        <v>0</v>
      </c>
      <c r="F200" s="70">
        <v>-48.4</v>
      </c>
      <c r="G200" s="70">
        <v>-48.4</v>
      </c>
      <c r="H200" s="70">
        <v>-2456.08</v>
      </c>
      <c r="I200" s="112">
        <f t="shared" si="4"/>
        <v>-4.8399999999999999E-2</v>
      </c>
      <c r="J200" s="112">
        <f t="shared" si="5"/>
        <v>0</v>
      </c>
    </row>
    <row r="201" spans="1:10">
      <c r="A201" s="343" t="s">
        <v>929</v>
      </c>
      <c r="B201" s="343">
        <v>22153</v>
      </c>
      <c r="C201" t="s">
        <v>930</v>
      </c>
      <c r="D201" s="70">
        <v>-6458611.2300000004</v>
      </c>
      <c r="E201" s="70">
        <v>0</v>
      </c>
      <c r="F201" s="70">
        <v>-129172.22</v>
      </c>
      <c r="G201" s="70">
        <v>-129172.22</v>
      </c>
      <c r="H201" s="70">
        <v>-6587783.4500000002</v>
      </c>
      <c r="I201" s="112">
        <f t="shared" ref="I201:I264" si="6">G201/1000</f>
        <v>-129.17222000000001</v>
      </c>
      <c r="J201" s="112">
        <f t="shared" ref="J201:J264" si="7">ROUND(I201,0)</f>
        <v>-129</v>
      </c>
    </row>
    <row r="202" spans="1:10">
      <c r="A202" s="343" t="s">
        <v>931</v>
      </c>
      <c r="B202" s="343" t="s">
        <v>932</v>
      </c>
      <c r="C202" t="s">
        <v>371</v>
      </c>
      <c r="D202" s="70">
        <v>-27437984.129999999</v>
      </c>
      <c r="E202" s="70">
        <v>812746.65</v>
      </c>
      <c r="F202" s="70">
        <v>-204000</v>
      </c>
      <c r="G202" s="70">
        <v>608746.65</v>
      </c>
      <c r="H202" s="70">
        <v>-26829237.48</v>
      </c>
      <c r="I202" s="112">
        <f t="shared" si="6"/>
        <v>608.74665000000005</v>
      </c>
      <c r="J202" s="112">
        <f t="shared" si="7"/>
        <v>609</v>
      </c>
    </row>
    <row r="203" spans="1:10">
      <c r="A203" s="343" t="s">
        <v>89</v>
      </c>
      <c r="B203" s="343">
        <v>241</v>
      </c>
      <c r="C203" t="s">
        <v>88</v>
      </c>
      <c r="D203" s="70">
        <v>-31018914.460000001</v>
      </c>
      <c r="E203" s="70">
        <v>0</v>
      </c>
      <c r="F203" s="70">
        <v>0</v>
      </c>
      <c r="G203" s="70">
        <v>0</v>
      </c>
      <c r="H203" s="70">
        <v>-31018914.460000001</v>
      </c>
      <c r="I203" s="112">
        <f t="shared" si="6"/>
        <v>0</v>
      </c>
      <c r="J203" s="112">
        <f t="shared" si="7"/>
        <v>0</v>
      </c>
    </row>
    <row r="204" spans="1:10">
      <c r="A204" s="343" t="s">
        <v>933</v>
      </c>
      <c r="B204" s="343">
        <v>2411</v>
      </c>
      <c r="C204" t="s">
        <v>934</v>
      </c>
      <c r="D204" s="70">
        <v>-31018914.460000001</v>
      </c>
      <c r="E204" s="70">
        <v>0</v>
      </c>
      <c r="F204" s="70">
        <v>0</v>
      </c>
      <c r="G204" s="70">
        <v>0</v>
      </c>
      <c r="H204" s="70">
        <v>-31018914.460000001</v>
      </c>
      <c r="I204" s="112">
        <f t="shared" si="6"/>
        <v>0</v>
      </c>
      <c r="J204" s="112">
        <f t="shared" si="7"/>
        <v>0</v>
      </c>
    </row>
    <row r="205" spans="1:10">
      <c r="A205" s="343" t="s">
        <v>935</v>
      </c>
      <c r="B205" s="343">
        <v>24111</v>
      </c>
      <c r="C205" t="s">
        <v>934</v>
      </c>
      <c r="D205" s="70">
        <v>-31018914.460000001</v>
      </c>
      <c r="E205" s="70">
        <v>0</v>
      </c>
      <c r="F205" s="70">
        <v>0</v>
      </c>
      <c r="G205" s="70">
        <v>0</v>
      </c>
      <c r="H205" s="70">
        <v>-31018914.460000001</v>
      </c>
      <c r="I205" s="112">
        <f t="shared" si="6"/>
        <v>0</v>
      </c>
      <c r="J205" s="112">
        <f t="shared" si="7"/>
        <v>0</v>
      </c>
    </row>
    <row r="206" spans="1:10">
      <c r="A206" s="343" t="s">
        <v>936</v>
      </c>
      <c r="B206" s="343">
        <v>243</v>
      </c>
      <c r="C206" t="s">
        <v>937</v>
      </c>
      <c r="D206" s="70">
        <v>21.68</v>
      </c>
      <c r="E206" s="70">
        <v>0</v>
      </c>
      <c r="F206" s="70">
        <v>0</v>
      </c>
      <c r="G206" s="70">
        <v>0</v>
      </c>
      <c r="H206" s="70">
        <v>21.68</v>
      </c>
      <c r="I206" s="112">
        <f t="shared" si="6"/>
        <v>0</v>
      </c>
      <c r="J206" s="112">
        <f t="shared" si="7"/>
        <v>0</v>
      </c>
    </row>
    <row r="207" spans="1:10">
      <c r="A207" s="343" t="s">
        <v>938</v>
      </c>
      <c r="B207" s="343">
        <v>2431</v>
      </c>
      <c r="C207" t="s">
        <v>939</v>
      </c>
      <c r="D207" s="70">
        <v>21.68</v>
      </c>
      <c r="E207" s="70">
        <v>0</v>
      </c>
      <c r="F207" s="70">
        <v>0</v>
      </c>
      <c r="G207" s="70">
        <v>0</v>
      </c>
      <c r="H207" s="70">
        <v>21.68</v>
      </c>
      <c r="I207" s="112">
        <f t="shared" si="6"/>
        <v>0</v>
      </c>
      <c r="J207" s="112">
        <f t="shared" si="7"/>
        <v>0</v>
      </c>
    </row>
    <row r="208" spans="1:10">
      <c r="A208" s="343" t="s">
        <v>940</v>
      </c>
      <c r="B208" s="343">
        <v>24311</v>
      </c>
      <c r="C208" t="s">
        <v>941</v>
      </c>
      <c r="D208" s="70">
        <v>21.68</v>
      </c>
      <c r="E208" s="70">
        <v>0</v>
      </c>
      <c r="F208" s="70">
        <v>0</v>
      </c>
      <c r="G208" s="70">
        <v>0</v>
      </c>
      <c r="H208" s="70">
        <v>21.68</v>
      </c>
      <c r="I208" s="112">
        <f t="shared" si="6"/>
        <v>0</v>
      </c>
      <c r="J208" s="112">
        <f t="shared" si="7"/>
        <v>0</v>
      </c>
    </row>
    <row r="209" spans="1:10">
      <c r="A209" s="343" t="s">
        <v>94</v>
      </c>
      <c r="B209" s="343">
        <v>246</v>
      </c>
      <c r="C209" t="s">
        <v>942</v>
      </c>
      <c r="D209" s="70">
        <v>3609391.27</v>
      </c>
      <c r="E209" s="70">
        <v>812746.65</v>
      </c>
      <c r="F209" s="70">
        <v>0</v>
      </c>
      <c r="G209" s="70">
        <v>812746.65</v>
      </c>
      <c r="H209" s="70">
        <v>4422137.92</v>
      </c>
      <c r="I209" s="112">
        <f t="shared" si="6"/>
        <v>812.74665000000005</v>
      </c>
      <c r="J209" s="112">
        <f t="shared" si="7"/>
        <v>813</v>
      </c>
    </row>
    <row r="210" spans="1:10">
      <c r="A210" s="343" t="s">
        <v>943</v>
      </c>
      <c r="B210" s="343">
        <v>2462</v>
      </c>
      <c r="C210" t="s">
        <v>944</v>
      </c>
      <c r="D210" s="70">
        <v>5809983.8700000001</v>
      </c>
      <c r="E210" s="70">
        <v>0</v>
      </c>
      <c r="F210" s="70">
        <v>0</v>
      </c>
      <c r="G210" s="70">
        <v>0</v>
      </c>
      <c r="H210" s="70">
        <v>5809983.8700000001</v>
      </c>
      <c r="I210" s="112">
        <f t="shared" si="6"/>
        <v>0</v>
      </c>
      <c r="J210" s="112">
        <f t="shared" si="7"/>
        <v>0</v>
      </c>
    </row>
    <row r="211" spans="1:10">
      <c r="A211" s="343" t="s">
        <v>945</v>
      </c>
      <c r="B211" s="343">
        <v>24622</v>
      </c>
      <c r="C211" t="s">
        <v>946</v>
      </c>
      <c r="D211" s="70">
        <v>5809983.8700000001</v>
      </c>
      <c r="E211" s="70">
        <v>0</v>
      </c>
      <c r="F211" s="70">
        <v>0</v>
      </c>
      <c r="G211" s="70">
        <v>0</v>
      </c>
      <c r="H211" s="70">
        <v>5809983.8700000001</v>
      </c>
      <c r="I211" s="112">
        <f t="shared" si="6"/>
        <v>0</v>
      </c>
      <c r="J211" s="112">
        <f t="shared" si="7"/>
        <v>0</v>
      </c>
    </row>
    <row r="212" spans="1:10">
      <c r="A212" s="343" t="s">
        <v>947</v>
      </c>
      <c r="B212" s="343">
        <v>24699</v>
      </c>
      <c r="C212" t="s">
        <v>121</v>
      </c>
      <c r="D212" s="70">
        <v>-2200592.6</v>
      </c>
      <c r="E212" s="70">
        <v>812746.65</v>
      </c>
      <c r="F212" s="70">
        <v>0</v>
      </c>
      <c r="G212" s="70">
        <v>812746.65</v>
      </c>
      <c r="H212" s="70">
        <v>-1387845.95</v>
      </c>
      <c r="I212" s="112">
        <f t="shared" si="6"/>
        <v>812.74665000000005</v>
      </c>
      <c r="J212" s="112">
        <f t="shared" si="7"/>
        <v>813</v>
      </c>
    </row>
    <row r="213" spans="1:10">
      <c r="A213" s="343" t="s">
        <v>948</v>
      </c>
      <c r="B213" s="343">
        <v>246991</v>
      </c>
      <c r="C213" t="s">
        <v>121</v>
      </c>
      <c r="D213" s="70">
        <v>-2200592.6</v>
      </c>
      <c r="E213" s="70">
        <v>812746.65</v>
      </c>
      <c r="F213" s="70">
        <v>0</v>
      </c>
      <c r="G213" s="70">
        <v>812746.65</v>
      </c>
      <c r="H213" s="70">
        <v>-1387845.95</v>
      </c>
      <c r="I213" s="112">
        <f t="shared" si="6"/>
        <v>812.74665000000005</v>
      </c>
      <c r="J213" s="112">
        <f t="shared" si="7"/>
        <v>813</v>
      </c>
    </row>
    <row r="214" spans="1:10">
      <c r="A214" s="343" t="s">
        <v>92</v>
      </c>
      <c r="B214" s="343">
        <v>247</v>
      </c>
      <c r="C214" t="s">
        <v>949</v>
      </c>
      <c r="D214" s="70">
        <v>-28482.62</v>
      </c>
      <c r="E214" s="70">
        <v>0</v>
      </c>
      <c r="F214" s="70">
        <v>-204000</v>
      </c>
      <c r="G214" s="70">
        <v>-204000</v>
      </c>
      <c r="H214" s="70">
        <v>-232482.62</v>
      </c>
      <c r="I214" s="112">
        <f t="shared" si="6"/>
        <v>-204</v>
      </c>
      <c r="J214" s="112">
        <f t="shared" si="7"/>
        <v>-204</v>
      </c>
    </row>
    <row r="215" spans="1:10">
      <c r="A215" s="343" t="s">
        <v>950</v>
      </c>
      <c r="B215" s="343">
        <v>2471</v>
      </c>
      <c r="C215" t="s">
        <v>949</v>
      </c>
      <c r="D215" s="70">
        <v>-28482.62</v>
      </c>
      <c r="E215" s="70">
        <v>0</v>
      </c>
      <c r="F215" s="70">
        <v>-204000</v>
      </c>
      <c r="G215" s="70">
        <v>-204000</v>
      </c>
      <c r="H215" s="70">
        <v>-232482.62</v>
      </c>
      <c r="I215" s="112">
        <f t="shared" si="6"/>
        <v>-204</v>
      </c>
      <c r="J215" s="112">
        <f t="shared" si="7"/>
        <v>-204</v>
      </c>
    </row>
    <row r="216" spans="1:10">
      <c r="A216" s="343" t="s">
        <v>951</v>
      </c>
      <c r="B216" s="343">
        <v>24711</v>
      </c>
      <c r="C216" t="s">
        <v>949</v>
      </c>
      <c r="D216" s="70">
        <v>-28482.62</v>
      </c>
      <c r="E216" s="70">
        <v>0</v>
      </c>
      <c r="F216" s="70">
        <v>-204000</v>
      </c>
      <c r="G216" s="70">
        <v>-204000</v>
      </c>
      <c r="H216" s="70">
        <v>-232482.62</v>
      </c>
      <c r="I216" s="112">
        <f t="shared" si="6"/>
        <v>-204</v>
      </c>
      <c r="J216" s="112">
        <f t="shared" si="7"/>
        <v>-204</v>
      </c>
    </row>
    <row r="217" spans="1:10">
      <c r="A217" s="343">
        <v>3</v>
      </c>
      <c r="B217" s="343">
        <v>3</v>
      </c>
      <c r="C217" t="s">
        <v>184</v>
      </c>
      <c r="D217" s="70">
        <v>-65865984.630000003</v>
      </c>
      <c r="E217" s="70">
        <v>1855.73</v>
      </c>
      <c r="F217" s="70">
        <v>-18945734.390000001</v>
      </c>
      <c r="G217" s="70">
        <v>-18943878.66</v>
      </c>
      <c r="H217" s="70">
        <v>-84809863.290000007</v>
      </c>
      <c r="I217" s="112">
        <f t="shared" si="6"/>
        <v>-18943.878659999998</v>
      </c>
      <c r="J217" s="112">
        <f t="shared" si="7"/>
        <v>-18944</v>
      </c>
    </row>
    <row r="218" spans="1:10">
      <c r="A218" s="343" t="s">
        <v>952</v>
      </c>
      <c r="B218" s="343">
        <v>31</v>
      </c>
      <c r="C218" t="s">
        <v>185</v>
      </c>
      <c r="D218" s="70">
        <v>-63601986.700000003</v>
      </c>
      <c r="E218" s="70">
        <v>0</v>
      </c>
      <c r="F218" s="70">
        <v>-17936441.350000001</v>
      </c>
      <c r="G218" s="70">
        <v>-17936441.350000001</v>
      </c>
      <c r="H218" s="70">
        <v>-81538428.049999997</v>
      </c>
      <c r="I218" s="112">
        <f t="shared" si="6"/>
        <v>-17936.441350000001</v>
      </c>
      <c r="J218" s="112">
        <f t="shared" si="7"/>
        <v>-17936</v>
      </c>
    </row>
    <row r="219" spans="1:10">
      <c r="A219" s="343" t="s">
        <v>953</v>
      </c>
      <c r="B219" s="343">
        <v>311</v>
      </c>
      <c r="C219" t="s">
        <v>954</v>
      </c>
      <c r="D219" s="70">
        <v>-63601986.700000003</v>
      </c>
      <c r="E219" s="70">
        <v>0</v>
      </c>
      <c r="F219" s="70">
        <v>-17936441.350000001</v>
      </c>
      <c r="G219" s="70">
        <v>-17936441.350000001</v>
      </c>
      <c r="H219" s="70">
        <v>-81538428.049999997</v>
      </c>
      <c r="I219" s="112">
        <f t="shared" si="6"/>
        <v>-17936.441350000001</v>
      </c>
      <c r="J219" s="112">
        <f t="shared" si="7"/>
        <v>-17936</v>
      </c>
    </row>
    <row r="220" spans="1:10">
      <c r="A220" s="343" t="s">
        <v>30</v>
      </c>
      <c r="B220" s="343">
        <v>3111</v>
      </c>
      <c r="C220" t="s">
        <v>954</v>
      </c>
      <c r="D220" s="70">
        <v>-63601986.700000003</v>
      </c>
      <c r="E220" s="70">
        <v>0</v>
      </c>
      <c r="F220" s="70">
        <v>-17936441.350000001</v>
      </c>
      <c r="G220" s="70">
        <v>-17936441.350000001</v>
      </c>
      <c r="H220" s="70">
        <v>-81538428.049999997</v>
      </c>
      <c r="I220" s="112">
        <f t="shared" si="6"/>
        <v>-17936.441350000001</v>
      </c>
      <c r="J220" s="112">
        <f t="shared" si="7"/>
        <v>-17936</v>
      </c>
    </row>
    <row r="221" spans="1:10">
      <c r="A221" s="343" t="s">
        <v>955</v>
      </c>
      <c r="B221" s="343">
        <v>31111</v>
      </c>
      <c r="C221" t="s">
        <v>29</v>
      </c>
      <c r="D221" s="70">
        <v>-63601986.700000003</v>
      </c>
      <c r="E221" s="70">
        <v>0</v>
      </c>
      <c r="F221" s="70">
        <v>-17936441.350000001</v>
      </c>
      <c r="G221" s="70">
        <v>-17936441.350000001</v>
      </c>
      <c r="H221" s="70">
        <v>-81538428.049999997</v>
      </c>
      <c r="I221" s="112">
        <f t="shared" si="6"/>
        <v>-17936.441350000001</v>
      </c>
      <c r="J221" s="112">
        <f t="shared" si="7"/>
        <v>-17936</v>
      </c>
    </row>
    <row r="222" spans="1:10">
      <c r="A222" s="343" t="s">
        <v>956</v>
      </c>
      <c r="B222" s="343">
        <v>33</v>
      </c>
      <c r="C222" t="s">
        <v>957</v>
      </c>
      <c r="D222" s="70">
        <v>-2263997.9300000002</v>
      </c>
      <c r="E222" s="70">
        <v>1855.73</v>
      </c>
      <c r="F222" s="70">
        <v>-1009293.04</v>
      </c>
      <c r="G222" s="70">
        <v>-1007437.31</v>
      </c>
      <c r="H222" s="70">
        <v>-3271435.24</v>
      </c>
      <c r="I222" s="112">
        <f t="shared" si="6"/>
        <v>-1007.43731</v>
      </c>
      <c r="J222" s="112">
        <f t="shared" si="7"/>
        <v>-1007</v>
      </c>
    </row>
    <row r="223" spans="1:10">
      <c r="A223" s="343" t="s">
        <v>37</v>
      </c>
      <c r="B223" s="343">
        <v>331</v>
      </c>
      <c r="C223" t="s">
        <v>36</v>
      </c>
      <c r="D223" s="70">
        <v>-297850.75</v>
      </c>
      <c r="E223" s="70">
        <v>620.44000000000005</v>
      </c>
      <c r="F223" s="70">
        <v>-118538.18</v>
      </c>
      <c r="G223" s="70">
        <v>-117917.74</v>
      </c>
      <c r="H223" s="70">
        <v>-415768.49</v>
      </c>
      <c r="I223" s="112">
        <f t="shared" si="6"/>
        <v>-117.91774000000001</v>
      </c>
      <c r="J223" s="112">
        <f t="shared" si="7"/>
        <v>-118</v>
      </c>
    </row>
    <row r="224" spans="1:10">
      <c r="A224" s="343" t="s">
        <v>958</v>
      </c>
      <c r="B224" s="343">
        <v>3311</v>
      </c>
      <c r="C224" t="s">
        <v>959</v>
      </c>
      <c r="D224" s="70">
        <v>-297850.75</v>
      </c>
      <c r="E224" s="70">
        <v>620.44000000000005</v>
      </c>
      <c r="F224" s="70">
        <v>-118538.18</v>
      </c>
      <c r="G224" s="70">
        <v>-117917.74</v>
      </c>
      <c r="H224" s="70">
        <v>-415768.49</v>
      </c>
      <c r="I224" s="112">
        <f t="shared" si="6"/>
        <v>-117.91774000000001</v>
      </c>
      <c r="J224" s="112">
        <f t="shared" si="7"/>
        <v>-118</v>
      </c>
    </row>
    <row r="225" spans="1:10">
      <c r="A225" s="343" t="s">
        <v>960</v>
      </c>
      <c r="B225" s="343">
        <v>33113</v>
      </c>
      <c r="C225" t="s">
        <v>324</v>
      </c>
      <c r="D225" s="70">
        <v>-292979.43</v>
      </c>
      <c r="E225" s="70">
        <v>620.44000000000005</v>
      </c>
      <c r="F225" s="70">
        <v>-118538.18</v>
      </c>
      <c r="G225" s="70">
        <v>-117917.74</v>
      </c>
      <c r="H225" s="70">
        <v>-410897.17</v>
      </c>
      <c r="I225" s="112">
        <f t="shared" si="6"/>
        <v>-117.91774000000001</v>
      </c>
      <c r="J225" s="112">
        <f t="shared" si="7"/>
        <v>-118</v>
      </c>
    </row>
    <row r="226" spans="1:10">
      <c r="A226" s="343" t="s">
        <v>961</v>
      </c>
      <c r="B226" s="343">
        <v>33114</v>
      </c>
      <c r="C226" t="s">
        <v>962</v>
      </c>
      <c r="D226" s="70">
        <v>-4871.32</v>
      </c>
      <c r="E226" s="70">
        <v>0</v>
      </c>
      <c r="F226" s="70">
        <v>0</v>
      </c>
      <c r="G226" s="70">
        <v>0</v>
      </c>
      <c r="H226" s="70">
        <v>-4871.32</v>
      </c>
      <c r="I226" s="112">
        <f t="shared" si="6"/>
        <v>0</v>
      </c>
      <c r="J226" s="112">
        <f t="shared" si="7"/>
        <v>0</v>
      </c>
    </row>
    <row r="227" spans="1:10">
      <c r="A227" s="343" t="s">
        <v>963</v>
      </c>
      <c r="B227" s="343">
        <v>332</v>
      </c>
      <c r="C227" t="s">
        <v>964</v>
      </c>
      <c r="D227" s="70">
        <v>-1966147.18</v>
      </c>
      <c r="E227" s="70">
        <v>1235.29</v>
      </c>
      <c r="F227" s="70">
        <v>-890754.86</v>
      </c>
      <c r="G227" s="70">
        <v>-889519.57</v>
      </c>
      <c r="H227" s="70">
        <v>-2855666.75</v>
      </c>
      <c r="I227" s="112">
        <f t="shared" si="6"/>
        <v>-889.51956999999993</v>
      </c>
      <c r="J227" s="112">
        <f t="shared" si="7"/>
        <v>-890</v>
      </c>
    </row>
    <row r="228" spans="1:10">
      <c r="A228" s="343" t="s">
        <v>965</v>
      </c>
      <c r="B228" s="343">
        <v>3321</v>
      </c>
      <c r="C228" t="s">
        <v>193</v>
      </c>
      <c r="D228" s="70">
        <v>-1966147.18</v>
      </c>
      <c r="E228" s="70">
        <v>1235.29</v>
      </c>
      <c r="F228" s="70">
        <v>-890754.86</v>
      </c>
      <c r="G228" s="70">
        <v>-889519.57</v>
      </c>
      <c r="H228" s="70">
        <v>-2855666.75</v>
      </c>
      <c r="I228" s="112">
        <f t="shared" si="6"/>
        <v>-889.51956999999993</v>
      </c>
      <c r="J228" s="112">
        <f t="shared" si="7"/>
        <v>-890</v>
      </c>
    </row>
    <row r="229" spans="1:10">
      <c r="A229" s="343" t="s">
        <v>966</v>
      </c>
      <c r="B229" s="343">
        <v>33212</v>
      </c>
      <c r="C229" t="s">
        <v>967</v>
      </c>
      <c r="D229" s="70">
        <v>-1924298.62</v>
      </c>
      <c r="E229" s="70">
        <v>0</v>
      </c>
      <c r="F229" s="70">
        <v>-890754.86</v>
      </c>
      <c r="G229" s="70">
        <v>-890754.86</v>
      </c>
      <c r="H229" s="70">
        <v>-2815053.48</v>
      </c>
      <c r="I229" s="112">
        <f t="shared" si="6"/>
        <v>-890.75486000000001</v>
      </c>
      <c r="J229" s="112">
        <f t="shared" si="7"/>
        <v>-891</v>
      </c>
    </row>
    <row r="230" spans="1:10">
      <c r="A230" s="343" t="s">
        <v>968</v>
      </c>
      <c r="B230" s="343">
        <v>33213</v>
      </c>
      <c r="C230" t="s">
        <v>969</v>
      </c>
      <c r="D230" s="70">
        <v>-41848.559999999998</v>
      </c>
      <c r="E230" s="70">
        <v>1235.29</v>
      </c>
      <c r="F230" s="70">
        <v>0</v>
      </c>
      <c r="G230" s="70">
        <v>1235.29</v>
      </c>
      <c r="H230" s="70">
        <v>-40613.269999999997</v>
      </c>
      <c r="I230" s="112">
        <f t="shared" si="6"/>
        <v>1.23529</v>
      </c>
      <c r="J230" s="112">
        <f t="shared" si="7"/>
        <v>1</v>
      </c>
    </row>
    <row r="231" spans="1:10">
      <c r="A231" s="343">
        <v>4</v>
      </c>
      <c r="B231" s="343">
        <v>4</v>
      </c>
      <c r="C231" t="s">
        <v>970</v>
      </c>
      <c r="D231" s="70">
        <v>63665392.030000001</v>
      </c>
      <c r="E231" s="70">
        <v>20301639.920000002</v>
      </c>
      <c r="F231" s="70">
        <v>-545014.61</v>
      </c>
      <c r="G231" s="70">
        <v>19756625.309999999</v>
      </c>
      <c r="H231" s="70">
        <v>83422017.340000004</v>
      </c>
      <c r="I231" s="112">
        <f t="shared" si="6"/>
        <v>19756.625309999999</v>
      </c>
      <c r="J231" s="112">
        <f t="shared" si="7"/>
        <v>19757</v>
      </c>
    </row>
    <row r="232" spans="1:10">
      <c r="A232" s="343" t="s">
        <v>971</v>
      </c>
      <c r="B232" s="343">
        <v>41</v>
      </c>
      <c r="C232" t="s">
        <v>972</v>
      </c>
      <c r="D232" s="70">
        <v>41705367.740000002</v>
      </c>
      <c r="E232" s="70">
        <v>13266761.65</v>
      </c>
      <c r="F232" s="70">
        <v>-244553.62</v>
      </c>
      <c r="G232" s="70">
        <v>13022208.029999999</v>
      </c>
      <c r="H232" s="70">
        <v>54727575.770000003</v>
      </c>
      <c r="I232" s="112">
        <f t="shared" si="6"/>
        <v>13022.20803</v>
      </c>
      <c r="J232" s="112">
        <f t="shared" si="7"/>
        <v>13022</v>
      </c>
    </row>
    <row r="233" spans="1:10">
      <c r="A233" s="343" t="s">
        <v>973</v>
      </c>
      <c r="B233" s="343">
        <v>411</v>
      </c>
      <c r="C233" t="s">
        <v>974</v>
      </c>
      <c r="D233" s="70">
        <v>31936618.899999999</v>
      </c>
      <c r="E233" s="70">
        <v>10877998.199999999</v>
      </c>
      <c r="F233" s="70">
        <v>-227604.97</v>
      </c>
      <c r="G233" s="70">
        <v>10650393.23</v>
      </c>
      <c r="H233" s="70">
        <v>42587012.130000003</v>
      </c>
      <c r="I233" s="112">
        <f t="shared" si="6"/>
        <v>10650.39323</v>
      </c>
      <c r="J233" s="112">
        <f t="shared" si="7"/>
        <v>10650</v>
      </c>
    </row>
    <row r="234" spans="1:10">
      <c r="A234" s="343" t="s">
        <v>975</v>
      </c>
      <c r="B234" s="343">
        <v>4111</v>
      </c>
      <c r="C234" t="s">
        <v>976</v>
      </c>
      <c r="D234" s="70">
        <v>22228203.190000001</v>
      </c>
      <c r="E234" s="70">
        <v>7582168.9199999999</v>
      </c>
      <c r="F234" s="70">
        <v>-204110.1</v>
      </c>
      <c r="G234" s="70">
        <v>7378058.8200000003</v>
      </c>
      <c r="H234" s="70">
        <v>29606262.010000002</v>
      </c>
      <c r="I234" s="112">
        <f t="shared" si="6"/>
        <v>7378.0588200000002</v>
      </c>
      <c r="J234" s="112">
        <f t="shared" si="7"/>
        <v>7378</v>
      </c>
    </row>
    <row r="235" spans="1:10">
      <c r="A235" s="343" t="s">
        <v>977</v>
      </c>
      <c r="B235" s="343">
        <v>41111</v>
      </c>
      <c r="C235" t="s">
        <v>978</v>
      </c>
      <c r="D235" s="70">
        <v>18130399.489999998</v>
      </c>
      <c r="E235" s="70">
        <v>6147098.7000000002</v>
      </c>
      <c r="F235" s="70">
        <v>-142416.85999999999</v>
      </c>
      <c r="G235" s="70">
        <v>6004681.8399999999</v>
      </c>
      <c r="H235" s="70">
        <v>24135081.329999998</v>
      </c>
      <c r="I235" s="112">
        <f t="shared" si="6"/>
        <v>6004.6818400000002</v>
      </c>
      <c r="J235" s="112">
        <f t="shared" si="7"/>
        <v>6005</v>
      </c>
    </row>
    <row r="236" spans="1:10">
      <c r="A236" s="343" t="s">
        <v>979</v>
      </c>
      <c r="B236" s="343">
        <v>41117</v>
      </c>
      <c r="C236" t="s">
        <v>980</v>
      </c>
      <c r="D236" s="70">
        <v>2043707.11</v>
      </c>
      <c r="E236" s="70">
        <v>758183.59</v>
      </c>
      <c r="F236" s="70">
        <v>-61693.24</v>
      </c>
      <c r="G236" s="70">
        <v>696490.35</v>
      </c>
      <c r="H236" s="70">
        <v>2740197.46</v>
      </c>
      <c r="I236" s="112">
        <f t="shared" si="6"/>
        <v>696.49034999999992</v>
      </c>
      <c r="J236" s="112">
        <f t="shared" si="7"/>
        <v>696</v>
      </c>
    </row>
    <row r="237" spans="1:10">
      <c r="A237" s="343" t="s">
        <v>981</v>
      </c>
      <c r="B237" s="343">
        <v>41118</v>
      </c>
      <c r="C237" t="s">
        <v>982</v>
      </c>
      <c r="D237" s="70">
        <v>271458.15999999997</v>
      </c>
      <c r="E237" s="70">
        <v>60387.27</v>
      </c>
      <c r="F237" s="70">
        <v>0</v>
      </c>
      <c r="G237" s="70">
        <v>60387.27</v>
      </c>
      <c r="H237" s="70">
        <v>331845.43</v>
      </c>
      <c r="I237" s="112">
        <f t="shared" si="6"/>
        <v>60.387269999999994</v>
      </c>
      <c r="J237" s="112">
        <f t="shared" si="7"/>
        <v>60</v>
      </c>
    </row>
    <row r="238" spans="1:10">
      <c r="A238" s="343" t="s">
        <v>983</v>
      </c>
      <c r="B238" s="343">
        <v>41119</v>
      </c>
      <c r="C238" t="s">
        <v>984</v>
      </c>
      <c r="D238" s="70">
        <v>1699462.98</v>
      </c>
      <c r="E238" s="70">
        <v>564463.01</v>
      </c>
      <c r="F238" s="70">
        <v>0</v>
      </c>
      <c r="G238" s="70">
        <v>564463.01</v>
      </c>
      <c r="H238" s="70">
        <v>2263925.9900000002</v>
      </c>
      <c r="I238" s="112">
        <f t="shared" si="6"/>
        <v>564.46301000000005</v>
      </c>
      <c r="J238" s="112">
        <f t="shared" si="7"/>
        <v>564</v>
      </c>
    </row>
    <row r="239" spans="1:10">
      <c r="A239" s="343" t="s">
        <v>985</v>
      </c>
      <c r="B239" s="343">
        <v>411111</v>
      </c>
      <c r="C239" t="s">
        <v>986</v>
      </c>
      <c r="D239" s="70">
        <v>0</v>
      </c>
      <c r="E239" s="70">
        <v>33396</v>
      </c>
      <c r="F239" s="70">
        <v>0</v>
      </c>
      <c r="G239" s="70">
        <v>33396</v>
      </c>
      <c r="H239" s="70">
        <v>33396</v>
      </c>
      <c r="I239" s="112">
        <f t="shared" si="6"/>
        <v>33.396000000000001</v>
      </c>
      <c r="J239" s="112">
        <f t="shared" si="7"/>
        <v>33</v>
      </c>
    </row>
    <row r="240" spans="1:10">
      <c r="A240" s="343" t="s">
        <v>987</v>
      </c>
      <c r="B240" s="343">
        <v>411113</v>
      </c>
      <c r="C240" t="s">
        <v>988</v>
      </c>
      <c r="D240" s="70">
        <v>51621.279999999999</v>
      </c>
      <c r="E240" s="70">
        <v>8251.32</v>
      </c>
      <c r="F240" s="70">
        <v>0</v>
      </c>
      <c r="G240" s="70">
        <v>8251.32</v>
      </c>
      <c r="H240" s="70">
        <v>59872.6</v>
      </c>
      <c r="I240" s="112">
        <f t="shared" si="6"/>
        <v>8.2513199999999998</v>
      </c>
      <c r="J240" s="112">
        <f t="shared" si="7"/>
        <v>8</v>
      </c>
    </row>
    <row r="241" spans="1:10">
      <c r="A241" s="343" t="s">
        <v>989</v>
      </c>
      <c r="B241" s="343">
        <v>411114</v>
      </c>
      <c r="C241" t="s">
        <v>990</v>
      </c>
      <c r="D241" s="70">
        <v>31554.17</v>
      </c>
      <c r="E241" s="70">
        <v>10389.030000000001</v>
      </c>
      <c r="F241" s="70">
        <v>0</v>
      </c>
      <c r="G241" s="70">
        <v>10389.030000000001</v>
      </c>
      <c r="H241" s="70">
        <v>41943.199999999997</v>
      </c>
      <c r="I241" s="112">
        <f t="shared" si="6"/>
        <v>10.38903</v>
      </c>
      <c r="J241" s="112">
        <f t="shared" si="7"/>
        <v>10</v>
      </c>
    </row>
    <row r="242" spans="1:10">
      <c r="A242" s="343" t="s">
        <v>991</v>
      </c>
      <c r="B242" s="343">
        <v>4112</v>
      </c>
      <c r="C242" t="s">
        <v>8</v>
      </c>
      <c r="D242" s="70">
        <v>6503597.0700000003</v>
      </c>
      <c r="E242" s="70">
        <v>2206804.98</v>
      </c>
      <c r="F242" s="70">
        <v>-19104.419999999998</v>
      </c>
      <c r="G242" s="70">
        <v>2187700.56</v>
      </c>
      <c r="H242" s="70">
        <v>8691297.6300000008</v>
      </c>
      <c r="I242" s="112">
        <f t="shared" si="6"/>
        <v>2187.7005600000002</v>
      </c>
      <c r="J242" s="112">
        <f t="shared" si="7"/>
        <v>2188</v>
      </c>
    </row>
    <row r="243" spans="1:10">
      <c r="A243" s="343" t="s">
        <v>992</v>
      </c>
      <c r="B243" s="343">
        <v>41121</v>
      </c>
      <c r="C243" t="s">
        <v>874</v>
      </c>
      <c r="D243" s="70">
        <v>3929806.73</v>
      </c>
      <c r="E243" s="70">
        <v>1317224.1399999999</v>
      </c>
      <c r="F243" s="70">
        <v>0</v>
      </c>
      <c r="G243" s="70">
        <v>1317224.1399999999</v>
      </c>
      <c r="H243" s="70">
        <v>5247030.87</v>
      </c>
      <c r="I243" s="112">
        <f t="shared" si="6"/>
        <v>1317.2241399999998</v>
      </c>
      <c r="J243" s="112">
        <f t="shared" si="7"/>
        <v>1317</v>
      </c>
    </row>
    <row r="244" spans="1:10">
      <c r="A244" s="343" t="s">
        <v>993</v>
      </c>
      <c r="B244" s="343">
        <v>41122</v>
      </c>
      <c r="C244" t="s">
        <v>198</v>
      </c>
      <c r="D244" s="70">
        <v>1503099.6</v>
      </c>
      <c r="E244" s="70">
        <v>505857.64</v>
      </c>
      <c r="F244" s="70">
        <v>0</v>
      </c>
      <c r="G244" s="70">
        <v>505857.64</v>
      </c>
      <c r="H244" s="70">
        <v>2008957.24</v>
      </c>
      <c r="I244" s="112">
        <f t="shared" si="6"/>
        <v>505.85764</v>
      </c>
      <c r="J244" s="112">
        <f t="shared" si="7"/>
        <v>506</v>
      </c>
    </row>
    <row r="245" spans="1:10">
      <c r="A245" s="343" t="s">
        <v>994</v>
      </c>
      <c r="B245" s="343">
        <v>41124</v>
      </c>
      <c r="C245" t="s">
        <v>995</v>
      </c>
      <c r="D245" s="70">
        <v>356274.34</v>
      </c>
      <c r="E245" s="70">
        <v>118537.37</v>
      </c>
      <c r="F245" s="70">
        <v>-0.13</v>
      </c>
      <c r="G245" s="70">
        <v>118537.24</v>
      </c>
      <c r="H245" s="70">
        <v>474811.58</v>
      </c>
      <c r="I245" s="112">
        <f t="shared" si="6"/>
        <v>118.53724000000001</v>
      </c>
      <c r="J245" s="112">
        <f t="shared" si="7"/>
        <v>119</v>
      </c>
    </row>
    <row r="246" spans="1:10">
      <c r="A246" s="343" t="s">
        <v>996</v>
      </c>
      <c r="B246" s="343">
        <v>41125</v>
      </c>
      <c r="C246" t="s">
        <v>997</v>
      </c>
      <c r="D246" s="70">
        <v>418903.46</v>
      </c>
      <c r="E246" s="70">
        <v>159218.32999999999</v>
      </c>
      <c r="F246" s="70">
        <v>-13834.34</v>
      </c>
      <c r="G246" s="70">
        <v>145383.99</v>
      </c>
      <c r="H246" s="70">
        <v>564287.44999999995</v>
      </c>
      <c r="I246" s="112">
        <f t="shared" si="6"/>
        <v>145.38398999999998</v>
      </c>
      <c r="J246" s="112">
        <f t="shared" si="7"/>
        <v>145</v>
      </c>
    </row>
    <row r="247" spans="1:10">
      <c r="A247" s="343" t="s">
        <v>998</v>
      </c>
      <c r="B247" s="343">
        <v>41126</v>
      </c>
      <c r="C247" t="s">
        <v>999</v>
      </c>
      <c r="D247" s="70">
        <v>159582.19</v>
      </c>
      <c r="E247" s="70">
        <v>60654.58</v>
      </c>
      <c r="F247" s="70">
        <v>-5269.95</v>
      </c>
      <c r="G247" s="70">
        <v>55384.63</v>
      </c>
      <c r="H247" s="70">
        <v>214966.82</v>
      </c>
      <c r="I247" s="112">
        <f t="shared" si="6"/>
        <v>55.384629999999994</v>
      </c>
      <c r="J247" s="112">
        <f t="shared" si="7"/>
        <v>55</v>
      </c>
    </row>
    <row r="248" spans="1:10">
      <c r="A248" s="343" t="s">
        <v>1000</v>
      </c>
      <c r="B248" s="343">
        <v>41127</v>
      </c>
      <c r="C248" t="s">
        <v>1001</v>
      </c>
      <c r="D248" s="70">
        <v>135930.75</v>
      </c>
      <c r="E248" s="70">
        <v>45312.92</v>
      </c>
      <c r="F248" s="70">
        <v>0</v>
      </c>
      <c r="G248" s="70">
        <v>45312.92</v>
      </c>
      <c r="H248" s="70">
        <v>181243.67</v>
      </c>
      <c r="I248" s="112">
        <f t="shared" si="6"/>
        <v>45.312919999999998</v>
      </c>
      <c r="J248" s="112">
        <f t="shared" si="7"/>
        <v>45</v>
      </c>
    </row>
    <row r="249" spans="1:10">
      <c r="A249" s="343" t="s">
        <v>1002</v>
      </c>
      <c r="B249" s="343">
        <v>4113</v>
      </c>
      <c r="C249" t="s">
        <v>9</v>
      </c>
      <c r="D249" s="70">
        <v>3070382.81</v>
      </c>
      <c r="E249" s="70">
        <v>1089024.3</v>
      </c>
      <c r="F249" s="70">
        <v>-4390.45</v>
      </c>
      <c r="G249" s="70">
        <v>1084633.8500000001</v>
      </c>
      <c r="H249" s="70">
        <v>4155016.66</v>
      </c>
      <c r="I249" s="112">
        <f t="shared" si="6"/>
        <v>1084.6338500000002</v>
      </c>
      <c r="J249" s="112">
        <f t="shared" si="7"/>
        <v>1085</v>
      </c>
    </row>
    <row r="250" spans="1:10">
      <c r="A250" s="343" t="s">
        <v>1003</v>
      </c>
      <c r="B250" s="343">
        <v>41131</v>
      </c>
      <c r="C250" t="s">
        <v>907</v>
      </c>
      <c r="D250" s="70">
        <v>1396676.87</v>
      </c>
      <c r="E250" s="70">
        <v>479962.08</v>
      </c>
      <c r="F250" s="70">
        <v>-303.67</v>
      </c>
      <c r="G250" s="70">
        <v>479658.41</v>
      </c>
      <c r="H250" s="70">
        <v>1876335.28</v>
      </c>
      <c r="I250" s="112">
        <f t="shared" si="6"/>
        <v>479.65840999999995</v>
      </c>
      <c r="J250" s="112">
        <f t="shared" si="7"/>
        <v>480</v>
      </c>
    </row>
    <row r="251" spans="1:10">
      <c r="A251" s="343" t="s">
        <v>1004</v>
      </c>
      <c r="B251" s="343">
        <v>41132</v>
      </c>
      <c r="C251" t="s">
        <v>1005</v>
      </c>
      <c r="D251" s="70">
        <v>779436.96</v>
      </c>
      <c r="E251" s="70">
        <v>299009.46000000002</v>
      </c>
      <c r="F251" s="70">
        <v>-71.88</v>
      </c>
      <c r="G251" s="70">
        <v>298937.58</v>
      </c>
      <c r="H251" s="70">
        <v>1078374.54</v>
      </c>
      <c r="I251" s="112">
        <f t="shared" si="6"/>
        <v>298.93758000000003</v>
      </c>
      <c r="J251" s="112">
        <f t="shared" si="7"/>
        <v>299</v>
      </c>
    </row>
    <row r="252" spans="1:10">
      <c r="A252" s="343" t="s">
        <v>1006</v>
      </c>
      <c r="B252" s="343">
        <v>41133</v>
      </c>
      <c r="C252" t="s">
        <v>1007</v>
      </c>
      <c r="D252" s="70">
        <v>0</v>
      </c>
      <c r="E252" s="70">
        <v>3574.9</v>
      </c>
      <c r="F252" s="70">
        <v>-3574.9</v>
      </c>
      <c r="G252" s="70">
        <v>0</v>
      </c>
      <c r="H252" s="70">
        <v>0</v>
      </c>
      <c r="I252" s="112">
        <f t="shared" si="6"/>
        <v>0</v>
      </c>
      <c r="J252" s="112">
        <f t="shared" si="7"/>
        <v>0</v>
      </c>
    </row>
    <row r="253" spans="1:10">
      <c r="A253" s="343" t="s">
        <v>1008</v>
      </c>
      <c r="B253" s="343">
        <v>41135</v>
      </c>
      <c r="C253" t="s">
        <v>1009</v>
      </c>
      <c r="D253" s="70">
        <v>247396.1</v>
      </c>
      <c r="E253" s="70">
        <v>80685.83</v>
      </c>
      <c r="F253" s="70">
        <v>0</v>
      </c>
      <c r="G253" s="70">
        <v>80685.83</v>
      </c>
      <c r="H253" s="70">
        <v>328081.93</v>
      </c>
      <c r="I253" s="112">
        <f t="shared" si="6"/>
        <v>80.685829999999996</v>
      </c>
      <c r="J253" s="112">
        <f t="shared" si="7"/>
        <v>81</v>
      </c>
    </row>
    <row r="254" spans="1:10">
      <c r="A254" s="343" t="s">
        <v>1010</v>
      </c>
      <c r="B254" s="343">
        <v>41136</v>
      </c>
      <c r="C254" t="s">
        <v>1011</v>
      </c>
      <c r="D254" s="70">
        <v>635253.32999999996</v>
      </c>
      <c r="E254" s="70">
        <v>220167.38</v>
      </c>
      <c r="F254" s="70">
        <v>0</v>
      </c>
      <c r="G254" s="70">
        <v>220167.38</v>
      </c>
      <c r="H254" s="70">
        <v>855420.71</v>
      </c>
      <c r="I254" s="112">
        <f t="shared" si="6"/>
        <v>220.16738000000001</v>
      </c>
      <c r="J254" s="112">
        <f t="shared" si="7"/>
        <v>220</v>
      </c>
    </row>
    <row r="255" spans="1:10">
      <c r="A255" s="343" t="s">
        <v>1012</v>
      </c>
      <c r="B255" s="343">
        <v>411310</v>
      </c>
      <c r="C255" t="s">
        <v>1013</v>
      </c>
      <c r="D255" s="70">
        <v>2030</v>
      </c>
      <c r="E255" s="70">
        <v>1100</v>
      </c>
      <c r="F255" s="70">
        <v>-440</v>
      </c>
      <c r="G255" s="70">
        <v>660</v>
      </c>
      <c r="H255" s="70">
        <v>2690</v>
      </c>
      <c r="I255" s="112">
        <f t="shared" si="6"/>
        <v>0.66</v>
      </c>
      <c r="J255" s="112">
        <f t="shared" si="7"/>
        <v>1</v>
      </c>
    </row>
    <row r="256" spans="1:10">
      <c r="A256" s="343" t="s">
        <v>1014</v>
      </c>
      <c r="B256" s="343">
        <v>411311</v>
      </c>
      <c r="C256" t="s">
        <v>1015</v>
      </c>
      <c r="D256" s="70">
        <v>9589.5499999999993</v>
      </c>
      <c r="E256" s="70">
        <v>4524.6499999999996</v>
      </c>
      <c r="F256" s="70">
        <v>0</v>
      </c>
      <c r="G256" s="70">
        <v>4524.6499999999996</v>
      </c>
      <c r="H256" s="70">
        <v>14114.2</v>
      </c>
      <c r="I256" s="112">
        <f t="shared" si="6"/>
        <v>4.5246499999999994</v>
      </c>
      <c r="J256" s="112">
        <f t="shared" si="7"/>
        <v>5</v>
      </c>
    </row>
    <row r="257" spans="1:10">
      <c r="A257" s="343" t="s">
        <v>1016</v>
      </c>
      <c r="B257" s="343">
        <v>41110</v>
      </c>
      <c r="C257" t="s">
        <v>1017</v>
      </c>
      <c r="D257" s="70">
        <v>134435.82999999999</v>
      </c>
      <c r="E257" s="70">
        <v>0</v>
      </c>
      <c r="F257" s="70">
        <v>0</v>
      </c>
      <c r="G257" s="70">
        <v>0</v>
      </c>
      <c r="H257" s="70">
        <v>134435.82999999999</v>
      </c>
      <c r="I257" s="112">
        <f t="shared" si="6"/>
        <v>0</v>
      </c>
      <c r="J257" s="112">
        <f t="shared" si="7"/>
        <v>0</v>
      </c>
    </row>
    <row r="258" spans="1:10">
      <c r="A258" s="343" t="s">
        <v>1018</v>
      </c>
      <c r="B258" s="343">
        <v>411101</v>
      </c>
      <c r="C258" t="s">
        <v>1019</v>
      </c>
      <c r="D258" s="70">
        <v>134435.82999999999</v>
      </c>
      <c r="E258" s="70">
        <v>0</v>
      </c>
      <c r="F258" s="70">
        <v>0</v>
      </c>
      <c r="G258" s="70">
        <v>0</v>
      </c>
      <c r="H258" s="70">
        <v>134435.82999999999</v>
      </c>
      <c r="I258" s="112">
        <f t="shared" si="6"/>
        <v>0</v>
      </c>
      <c r="J258" s="112">
        <f t="shared" si="7"/>
        <v>0</v>
      </c>
    </row>
    <row r="259" spans="1:10">
      <c r="A259" s="343" t="s">
        <v>1020</v>
      </c>
      <c r="B259" s="343">
        <v>413</v>
      </c>
      <c r="C259" t="s">
        <v>1021</v>
      </c>
      <c r="D259" s="70">
        <v>5280906.82</v>
      </c>
      <c r="E259" s="70">
        <v>723539.31</v>
      </c>
      <c r="F259" s="70">
        <v>0</v>
      </c>
      <c r="G259" s="70">
        <v>723539.31</v>
      </c>
      <c r="H259" s="70">
        <v>6004446.1299999999</v>
      </c>
      <c r="I259" s="112">
        <f t="shared" si="6"/>
        <v>723.53931</v>
      </c>
      <c r="J259" s="112">
        <f t="shared" si="7"/>
        <v>724</v>
      </c>
    </row>
    <row r="260" spans="1:10">
      <c r="A260" s="343" t="s">
        <v>12</v>
      </c>
      <c r="B260" s="343">
        <v>4131</v>
      </c>
      <c r="C260" t="s">
        <v>11</v>
      </c>
      <c r="D260" s="70">
        <v>5280906.82</v>
      </c>
      <c r="E260" s="70">
        <v>723539.31</v>
      </c>
      <c r="F260" s="70">
        <v>0</v>
      </c>
      <c r="G260" s="70">
        <v>723539.31</v>
      </c>
      <c r="H260" s="70">
        <v>6004446.1299999999</v>
      </c>
      <c r="I260" s="112">
        <f t="shared" si="6"/>
        <v>723.53931</v>
      </c>
      <c r="J260" s="112">
        <f t="shared" si="7"/>
        <v>724</v>
      </c>
    </row>
    <row r="261" spans="1:10">
      <c r="A261" s="343" t="s">
        <v>1022</v>
      </c>
      <c r="B261" s="343">
        <v>41311</v>
      </c>
      <c r="C261" t="s">
        <v>1023</v>
      </c>
      <c r="D261" s="70">
        <v>2900230.71</v>
      </c>
      <c r="E261" s="70">
        <v>40533.339999999997</v>
      </c>
      <c r="F261" s="70">
        <v>0</v>
      </c>
      <c r="G261" s="70">
        <v>40533.339999999997</v>
      </c>
      <c r="H261" s="70">
        <v>2940764.05</v>
      </c>
      <c r="I261" s="112">
        <f t="shared" si="6"/>
        <v>40.533339999999995</v>
      </c>
      <c r="J261" s="112">
        <f t="shared" si="7"/>
        <v>41</v>
      </c>
    </row>
    <row r="262" spans="1:10">
      <c r="A262" s="343" t="s">
        <v>1024</v>
      </c>
      <c r="B262" s="343">
        <v>41312</v>
      </c>
      <c r="C262" t="s">
        <v>1025</v>
      </c>
      <c r="D262" s="70">
        <v>686624.37</v>
      </c>
      <c r="E262" s="70">
        <v>146389.56</v>
      </c>
      <c r="F262" s="70">
        <v>0</v>
      </c>
      <c r="G262" s="70">
        <v>146389.56</v>
      </c>
      <c r="H262" s="70">
        <v>833013.93</v>
      </c>
      <c r="I262" s="112">
        <f t="shared" si="6"/>
        <v>146.38955999999999</v>
      </c>
      <c r="J262" s="112">
        <f t="shared" si="7"/>
        <v>146</v>
      </c>
    </row>
    <row r="263" spans="1:10">
      <c r="A263" s="343" t="s">
        <v>1026</v>
      </c>
      <c r="B263" s="343">
        <v>41315</v>
      </c>
      <c r="C263" t="s">
        <v>1027</v>
      </c>
      <c r="D263" s="70">
        <v>371095.15</v>
      </c>
      <c r="E263" s="70">
        <v>225994.82</v>
      </c>
      <c r="F263" s="70">
        <v>0</v>
      </c>
      <c r="G263" s="70">
        <v>225994.82</v>
      </c>
      <c r="H263" s="70">
        <v>597089.97</v>
      </c>
      <c r="I263" s="112">
        <f t="shared" si="6"/>
        <v>225.99482</v>
      </c>
      <c r="J263" s="112">
        <f t="shared" si="7"/>
        <v>226</v>
      </c>
    </row>
    <row r="264" spans="1:10">
      <c r="A264" s="343" t="s">
        <v>1028</v>
      </c>
      <c r="B264" s="343">
        <v>413114</v>
      </c>
      <c r="C264" t="s">
        <v>1029</v>
      </c>
      <c r="D264" s="70">
        <v>1114406.29</v>
      </c>
      <c r="E264" s="70">
        <v>231794.46</v>
      </c>
      <c r="F264" s="70">
        <v>0</v>
      </c>
      <c r="G264" s="70">
        <v>231794.46</v>
      </c>
      <c r="H264" s="70">
        <v>1346200.75</v>
      </c>
      <c r="I264" s="112">
        <f t="shared" si="6"/>
        <v>231.79445999999999</v>
      </c>
      <c r="J264" s="112">
        <f t="shared" si="7"/>
        <v>232</v>
      </c>
    </row>
    <row r="265" spans="1:10">
      <c r="A265" s="343" t="s">
        <v>1030</v>
      </c>
      <c r="B265" s="343">
        <v>413117</v>
      </c>
      <c r="C265" t="s">
        <v>1031</v>
      </c>
      <c r="D265" s="70">
        <v>200362.06</v>
      </c>
      <c r="E265" s="70">
        <v>76456.81</v>
      </c>
      <c r="F265" s="70">
        <v>0</v>
      </c>
      <c r="G265" s="70">
        <v>76456.81</v>
      </c>
      <c r="H265" s="70">
        <v>276818.87</v>
      </c>
      <c r="I265" s="112">
        <f t="shared" ref="I265:I328" si="8">G265/1000</f>
        <v>76.456810000000004</v>
      </c>
      <c r="J265" s="112">
        <f t="shared" ref="J265:J328" si="9">ROUND(I265,0)</f>
        <v>76</v>
      </c>
    </row>
    <row r="266" spans="1:10">
      <c r="A266" s="343" t="s">
        <v>1032</v>
      </c>
      <c r="B266" s="343">
        <v>4131997</v>
      </c>
      <c r="C266" t="s">
        <v>1033</v>
      </c>
      <c r="D266" s="70">
        <v>8188.24</v>
      </c>
      <c r="E266" s="70">
        <v>2370.3200000000002</v>
      </c>
      <c r="F266" s="70">
        <v>0</v>
      </c>
      <c r="G266" s="70">
        <v>2370.3200000000002</v>
      </c>
      <c r="H266" s="70">
        <v>10558.56</v>
      </c>
      <c r="I266" s="112">
        <f t="shared" si="8"/>
        <v>2.37032</v>
      </c>
      <c r="J266" s="112">
        <f t="shared" si="9"/>
        <v>2</v>
      </c>
    </row>
    <row r="267" spans="1:10">
      <c r="A267" s="343" t="s">
        <v>18</v>
      </c>
      <c r="B267" s="343">
        <v>414</v>
      </c>
      <c r="C267" t="s">
        <v>1034</v>
      </c>
      <c r="D267" s="70">
        <v>168663.49</v>
      </c>
      <c r="E267" s="70">
        <v>53712.56</v>
      </c>
      <c r="F267" s="70">
        <v>0</v>
      </c>
      <c r="G267" s="70">
        <v>53712.56</v>
      </c>
      <c r="H267" s="70">
        <v>222376.05</v>
      </c>
      <c r="I267" s="112">
        <f t="shared" si="8"/>
        <v>53.712559999999996</v>
      </c>
      <c r="J267" s="112">
        <f t="shared" si="9"/>
        <v>54</v>
      </c>
    </row>
    <row r="268" spans="1:10">
      <c r="A268" s="343" t="s">
        <v>1035</v>
      </c>
      <c r="B268" s="343">
        <v>4141</v>
      </c>
      <c r="C268" t="s">
        <v>17</v>
      </c>
      <c r="D268" s="70">
        <v>168663.49</v>
      </c>
      <c r="E268" s="70">
        <v>53712.56</v>
      </c>
      <c r="F268" s="70">
        <v>0</v>
      </c>
      <c r="G268" s="70">
        <v>53712.56</v>
      </c>
      <c r="H268" s="70">
        <v>222376.05</v>
      </c>
      <c r="I268" s="112">
        <f t="shared" si="8"/>
        <v>53.712559999999996</v>
      </c>
      <c r="J268" s="112">
        <f t="shared" si="9"/>
        <v>54</v>
      </c>
    </row>
    <row r="269" spans="1:10">
      <c r="A269" s="343" t="s">
        <v>1036</v>
      </c>
      <c r="B269" s="343">
        <v>41412</v>
      </c>
      <c r="C269" t="s">
        <v>1037</v>
      </c>
      <c r="D269" s="70">
        <v>156806.01999999999</v>
      </c>
      <c r="E269" s="70">
        <v>53712.56</v>
      </c>
      <c r="F269" s="70">
        <v>0</v>
      </c>
      <c r="G269" s="70">
        <v>53712.56</v>
      </c>
      <c r="H269" s="70">
        <v>210518.58</v>
      </c>
      <c r="I269" s="112">
        <f t="shared" si="8"/>
        <v>53.712559999999996</v>
      </c>
      <c r="J269" s="112">
        <f t="shared" si="9"/>
        <v>54</v>
      </c>
    </row>
    <row r="270" spans="1:10">
      <c r="A270" s="343" t="s">
        <v>1038</v>
      </c>
      <c r="B270" s="343">
        <v>41418</v>
      </c>
      <c r="C270" t="s">
        <v>1039</v>
      </c>
      <c r="D270" s="70">
        <v>11857.47</v>
      </c>
      <c r="E270" s="70">
        <v>0</v>
      </c>
      <c r="F270" s="70">
        <v>0</v>
      </c>
      <c r="G270" s="70">
        <v>0</v>
      </c>
      <c r="H270" s="70">
        <v>11857.47</v>
      </c>
      <c r="I270" s="112">
        <f t="shared" si="8"/>
        <v>0</v>
      </c>
      <c r="J270" s="112">
        <f t="shared" si="9"/>
        <v>0</v>
      </c>
    </row>
    <row r="271" spans="1:10">
      <c r="A271" s="343" t="s">
        <v>1040</v>
      </c>
      <c r="B271" s="343">
        <v>416</v>
      </c>
      <c r="C271" t="s">
        <v>1041</v>
      </c>
      <c r="D271" s="70">
        <v>4319178.53</v>
      </c>
      <c r="E271" s="70">
        <v>1611511.58</v>
      </c>
      <c r="F271" s="70">
        <v>-16948.650000000001</v>
      </c>
      <c r="G271" s="70">
        <v>1594562.93</v>
      </c>
      <c r="H271" s="70">
        <v>5913741.46</v>
      </c>
      <c r="I271" s="112">
        <f t="shared" si="8"/>
        <v>1594.5629299999998</v>
      </c>
      <c r="J271" s="112">
        <f t="shared" si="9"/>
        <v>1595</v>
      </c>
    </row>
    <row r="272" spans="1:10">
      <c r="A272" s="343" t="s">
        <v>14</v>
      </c>
      <c r="B272" s="343">
        <v>4161</v>
      </c>
      <c r="C272" t="s">
        <v>1042</v>
      </c>
      <c r="D272" s="70">
        <v>2371480.12</v>
      </c>
      <c r="E272" s="70">
        <v>836175.31</v>
      </c>
      <c r="F272" s="70">
        <v>-734.16</v>
      </c>
      <c r="G272" s="70">
        <v>835441.15</v>
      </c>
      <c r="H272" s="70">
        <v>3206921.27</v>
      </c>
      <c r="I272" s="112">
        <f t="shared" si="8"/>
        <v>835.44114999999999</v>
      </c>
      <c r="J272" s="112">
        <f t="shared" si="9"/>
        <v>835</v>
      </c>
    </row>
    <row r="273" spans="1:10">
      <c r="A273" s="343" t="s">
        <v>1043</v>
      </c>
      <c r="B273" s="343">
        <v>41611</v>
      </c>
      <c r="C273" t="s">
        <v>1044</v>
      </c>
      <c r="D273" s="70">
        <v>1172767.92</v>
      </c>
      <c r="E273" s="70">
        <v>402646.48</v>
      </c>
      <c r="F273" s="70">
        <v>0</v>
      </c>
      <c r="G273" s="70">
        <v>402646.48</v>
      </c>
      <c r="H273" s="70">
        <v>1575414.4</v>
      </c>
      <c r="I273" s="112">
        <f t="shared" si="8"/>
        <v>402.64648</v>
      </c>
      <c r="J273" s="112">
        <f t="shared" si="9"/>
        <v>403</v>
      </c>
    </row>
    <row r="274" spans="1:10">
      <c r="A274" s="343" t="s">
        <v>1045</v>
      </c>
      <c r="B274" s="343">
        <v>41614</v>
      </c>
      <c r="C274" t="s">
        <v>1046</v>
      </c>
      <c r="D274" s="70">
        <v>320691.95</v>
      </c>
      <c r="E274" s="70">
        <v>86634.41</v>
      </c>
      <c r="F274" s="70">
        <v>0</v>
      </c>
      <c r="G274" s="70">
        <v>86634.41</v>
      </c>
      <c r="H274" s="70">
        <v>407326.36</v>
      </c>
      <c r="I274" s="112">
        <f t="shared" si="8"/>
        <v>86.634410000000003</v>
      </c>
      <c r="J274" s="112">
        <f t="shared" si="9"/>
        <v>87</v>
      </c>
    </row>
    <row r="275" spans="1:10">
      <c r="A275" s="343" t="s">
        <v>1047</v>
      </c>
      <c r="B275" s="343">
        <v>41616</v>
      </c>
      <c r="C275" t="s">
        <v>1048</v>
      </c>
      <c r="D275" s="70">
        <v>9272.3799999999992</v>
      </c>
      <c r="E275" s="70">
        <v>3841.72</v>
      </c>
      <c r="F275" s="70">
        <v>-734.16</v>
      </c>
      <c r="G275" s="70">
        <v>3107.56</v>
      </c>
      <c r="H275" s="70">
        <v>12379.94</v>
      </c>
      <c r="I275" s="112">
        <f t="shared" si="8"/>
        <v>3.1075599999999999</v>
      </c>
      <c r="J275" s="112">
        <f t="shared" si="9"/>
        <v>3</v>
      </c>
    </row>
    <row r="276" spans="1:10">
      <c r="A276" s="343" t="s">
        <v>1049</v>
      </c>
      <c r="B276" s="343">
        <v>416110</v>
      </c>
      <c r="C276" t="s">
        <v>1050</v>
      </c>
      <c r="D276" s="70">
        <v>44.92</v>
      </c>
      <c r="E276" s="70">
        <v>70.92</v>
      </c>
      <c r="F276" s="70">
        <v>0</v>
      </c>
      <c r="G276" s="70">
        <v>70.92</v>
      </c>
      <c r="H276" s="70">
        <v>115.84</v>
      </c>
      <c r="I276" s="112">
        <f t="shared" si="8"/>
        <v>7.0919999999999997E-2</v>
      </c>
      <c r="J276" s="112">
        <f t="shared" si="9"/>
        <v>0</v>
      </c>
    </row>
    <row r="277" spans="1:10">
      <c r="A277" s="343" t="s">
        <v>1051</v>
      </c>
      <c r="B277" s="343">
        <v>416112</v>
      </c>
      <c r="C277" t="s">
        <v>1052</v>
      </c>
      <c r="D277" s="70">
        <v>2120.2199999999998</v>
      </c>
      <c r="E277" s="70">
        <v>50306.74</v>
      </c>
      <c r="F277" s="70">
        <v>0</v>
      </c>
      <c r="G277" s="70">
        <v>50306.74</v>
      </c>
      <c r="H277" s="70">
        <v>52426.96</v>
      </c>
      <c r="I277" s="112">
        <f t="shared" si="8"/>
        <v>50.306739999999998</v>
      </c>
      <c r="J277" s="112">
        <f t="shared" si="9"/>
        <v>50</v>
      </c>
    </row>
    <row r="278" spans="1:10">
      <c r="A278" s="343" t="s">
        <v>1053</v>
      </c>
      <c r="B278" s="343">
        <v>416114</v>
      </c>
      <c r="C278" t="s">
        <v>1054</v>
      </c>
      <c r="D278" s="70">
        <v>252322.12</v>
      </c>
      <c r="E278" s="70">
        <v>85806.68</v>
      </c>
      <c r="F278" s="70">
        <v>0</v>
      </c>
      <c r="G278" s="70">
        <v>85806.68</v>
      </c>
      <c r="H278" s="70">
        <v>338128.8</v>
      </c>
      <c r="I278" s="112">
        <f t="shared" si="8"/>
        <v>85.80668</v>
      </c>
      <c r="J278" s="112">
        <f t="shared" si="9"/>
        <v>86</v>
      </c>
    </row>
    <row r="279" spans="1:10">
      <c r="A279" s="343" t="s">
        <v>1055</v>
      </c>
      <c r="B279" s="343">
        <v>416115</v>
      </c>
      <c r="C279" t="s">
        <v>1056</v>
      </c>
      <c r="D279" s="70">
        <v>163673.26</v>
      </c>
      <c r="E279" s="70">
        <v>56957.08</v>
      </c>
      <c r="F279" s="70">
        <v>0</v>
      </c>
      <c r="G279" s="70">
        <v>56957.08</v>
      </c>
      <c r="H279" s="70">
        <v>220630.34</v>
      </c>
      <c r="I279" s="112">
        <f t="shared" si="8"/>
        <v>56.957080000000005</v>
      </c>
      <c r="J279" s="112">
        <f t="shared" si="9"/>
        <v>57</v>
      </c>
    </row>
    <row r="280" spans="1:10">
      <c r="A280" s="343" t="s">
        <v>1057</v>
      </c>
      <c r="B280" s="343">
        <v>416116</v>
      </c>
      <c r="C280" t="s">
        <v>1058</v>
      </c>
      <c r="D280" s="70">
        <v>450587.35</v>
      </c>
      <c r="E280" s="70">
        <v>149911.28</v>
      </c>
      <c r="F280" s="70">
        <v>0</v>
      </c>
      <c r="G280" s="70">
        <v>149911.28</v>
      </c>
      <c r="H280" s="70">
        <v>600498.63</v>
      </c>
      <c r="I280" s="112">
        <f t="shared" si="8"/>
        <v>149.91128</v>
      </c>
      <c r="J280" s="112">
        <f t="shared" si="9"/>
        <v>150</v>
      </c>
    </row>
    <row r="281" spans="1:10">
      <c r="A281" s="343" t="s">
        <v>16</v>
      </c>
      <c r="B281" s="343">
        <v>4162</v>
      </c>
      <c r="C281" t="s">
        <v>1059</v>
      </c>
      <c r="D281" s="70">
        <v>1947698.41</v>
      </c>
      <c r="E281" s="70">
        <v>775336.27</v>
      </c>
      <c r="F281" s="70">
        <v>-16214.49</v>
      </c>
      <c r="G281" s="70">
        <v>759121.78</v>
      </c>
      <c r="H281" s="70">
        <v>2706820.19</v>
      </c>
      <c r="I281" s="112">
        <f t="shared" si="8"/>
        <v>759.12178000000006</v>
      </c>
      <c r="J281" s="112">
        <f t="shared" si="9"/>
        <v>759</v>
      </c>
    </row>
    <row r="282" spans="1:10">
      <c r="A282" s="343" t="s">
        <v>1060</v>
      </c>
      <c r="B282" s="343">
        <v>41621</v>
      </c>
      <c r="C282" t="s">
        <v>1061</v>
      </c>
      <c r="D282" s="70">
        <v>301261.23</v>
      </c>
      <c r="E282" s="70">
        <v>95762.6</v>
      </c>
      <c r="F282" s="70">
        <v>0</v>
      </c>
      <c r="G282" s="70">
        <v>95762.6</v>
      </c>
      <c r="H282" s="70">
        <v>397023.83</v>
      </c>
      <c r="I282" s="112">
        <f t="shared" si="8"/>
        <v>95.762600000000006</v>
      </c>
      <c r="J282" s="112">
        <f t="shared" si="9"/>
        <v>96</v>
      </c>
    </row>
    <row r="283" spans="1:10">
      <c r="A283" s="343" t="s">
        <v>1062</v>
      </c>
      <c r="B283" s="343">
        <v>41622</v>
      </c>
      <c r="C283" t="s">
        <v>1063</v>
      </c>
      <c r="D283" s="70">
        <v>0</v>
      </c>
      <c r="E283" s="70">
        <v>15960.43</v>
      </c>
      <c r="F283" s="70">
        <v>-15960.43</v>
      </c>
      <c r="G283" s="70">
        <v>0</v>
      </c>
      <c r="H283" s="70">
        <v>0</v>
      </c>
      <c r="I283" s="112">
        <f t="shared" si="8"/>
        <v>0</v>
      </c>
      <c r="J283" s="112">
        <f t="shared" si="9"/>
        <v>0</v>
      </c>
    </row>
    <row r="284" spans="1:10">
      <c r="A284" s="343" t="s">
        <v>1064</v>
      </c>
      <c r="B284" s="343">
        <v>41624</v>
      </c>
      <c r="C284" t="s">
        <v>1065</v>
      </c>
      <c r="D284" s="70">
        <v>425669.49</v>
      </c>
      <c r="E284" s="70">
        <v>207182.48</v>
      </c>
      <c r="F284" s="70">
        <v>0</v>
      </c>
      <c r="G284" s="70">
        <v>207182.48</v>
      </c>
      <c r="H284" s="70">
        <v>632851.97</v>
      </c>
      <c r="I284" s="112">
        <f t="shared" si="8"/>
        <v>207.18248</v>
      </c>
      <c r="J284" s="112">
        <f t="shared" si="9"/>
        <v>207</v>
      </c>
    </row>
    <row r="285" spans="1:10">
      <c r="A285" s="343" t="s">
        <v>1066</v>
      </c>
      <c r="B285" s="343">
        <v>41626</v>
      </c>
      <c r="C285" t="s">
        <v>1067</v>
      </c>
      <c r="D285" s="70">
        <v>143717.41</v>
      </c>
      <c r="E285" s="70">
        <v>39461.07</v>
      </c>
      <c r="F285" s="70">
        <v>-254.06</v>
      </c>
      <c r="G285" s="70">
        <v>39207.01</v>
      </c>
      <c r="H285" s="70">
        <v>182924.42</v>
      </c>
      <c r="I285" s="112">
        <f t="shared" si="8"/>
        <v>39.207010000000004</v>
      </c>
      <c r="J285" s="112">
        <f t="shared" si="9"/>
        <v>39</v>
      </c>
    </row>
    <row r="286" spans="1:10">
      <c r="A286" s="343" t="s">
        <v>1068</v>
      </c>
      <c r="B286" s="343">
        <v>41627</v>
      </c>
      <c r="C286" t="s">
        <v>1069</v>
      </c>
      <c r="D286" s="70">
        <v>874097.96</v>
      </c>
      <c r="E286" s="70">
        <v>372771.42</v>
      </c>
      <c r="F286" s="70">
        <v>0</v>
      </c>
      <c r="G286" s="70">
        <v>372771.42</v>
      </c>
      <c r="H286" s="70">
        <v>1246869.3799999999</v>
      </c>
      <c r="I286" s="112">
        <f t="shared" si="8"/>
        <v>372.77141999999998</v>
      </c>
      <c r="J286" s="112">
        <f t="shared" si="9"/>
        <v>373</v>
      </c>
    </row>
    <row r="287" spans="1:10">
      <c r="A287" s="343" t="s">
        <v>1070</v>
      </c>
      <c r="B287" s="343">
        <v>416210</v>
      </c>
      <c r="C287" t="s">
        <v>1071</v>
      </c>
      <c r="D287" s="70">
        <v>202952.32000000001</v>
      </c>
      <c r="E287" s="70">
        <v>44198.27</v>
      </c>
      <c r="F287" s="70">
        <v>0</v>
      </c>
      <c r="G287" s="70">
        <v>44198.27</v>
      </c>
      <c r="H287" s="70">
        <v>247150.59</v>
      </c>
      <c r="I287" s="112">
        <f t="shared" si="8"/>
        <v>44.198269999999994</v>
      </c>
      <c r="J287" s="112">
        <f t="shared" si="9"/>
        <v>44</v>
      </c>
    </row>
    <row r="288" spans="1:10">
      <c r="A288" s="343" t="s">
        <v>1072</v>
      </c>
      <c r="B288" s="343">
        <v>42</v>
      </c>
      <c r="C288" t="s">
        <v>1073</v>
      </c>
      <c r="D288" s="70">
        <v>21960024.289999999</v>
      </c>
      <c r="E288" s="70">
        <v>7034878.2699999996</v>
      </c>
      <c r="F288" s="70">
        <v>-300460.99</v>
      </c>
      <c r="G288" s="70">
        <v>6734417.2800000003</v>
      </c>
      <c r="H288" s="70">
        <v>28694441.57</v>
      </c>
      <c r="I288" s="112">
        <f t="shared" si="8"/>
        <v>6734.4172800000006</v>
      </c>
      <c r="J288" s="112">
        <f t="shared" si="9"/>
        <v>6734</v>
      </c>
    </row>
    <row r="289" spans="1:10">
      <c r="A289" s="343" t="s">
        <v>1074</v>
      </c>
      <c r="B289" s="343">
        <v>421</v>
      </c>
      <c r="C289" t="s">
        <v>1075</v>
      </c>
      <c r="D289" s="70">
        <v>12895707.449999999</v>
      </c>
      <c r="E289" s="70">
        <v>4251011.95</v>
      </c>
      <c r="F289" s="70">
        <v>-36093.83</v>
      </c>
      <c r="G289" s="70">
        <v>4214918.12</v>
      </c>
      <c r="H289" s="70">
        <v>17110625.57</v>
      </c>
      <c r="I289" s="112">
        <f t="shared" si="8"/>
        <v>4214.9181200000003</v>
      </c>
      <c r="J289" s="112">
        <f t="shared" si="9"/>
        <v>4215</v>
      </c>
    </row>
    <row r="290" spans="1:10">
      <c r="A290" s="343" t="s">
        <v>1076</v>
      </c>
      <c r="B290" s="343">
        <v>4211</v>
      </c>
      <c r="C290" t="s">
        <v>976</v>
      </c>
      <c r="D290" s="70">
        <v>8946591.4000000004</v>
      </c>
      <c r="E290" s="70">
        <v>2917883.09</v>
      </c>
      <c r="F290" s="70">
        <v>-20065.669999999998</v>
      </c>
      <c r="G290" s="70">
        <v>2897817.42</v>
      </c>
      <c r="H290" s="70">
        <v>11844408.82</v>
      </c>
      <c r="I290" s="112">
        <f t="shared" si="8"/>
        <v>2897.8174199999999</v>
      </c>
      <c r="J290" s="112">
        <f>ROUND(I290,0)-1</f>
        <v>2897</v>
      </c>
    </row>
    <row r="291" spans="1:10">
      <c r="A291" s="343" t="s">
        <v>1077</v>
      </c>
      <c r="B291" s="343">
        <v>42111</v>
      </c>
      <c r="C291" t="s">
        <v>978</v>
      </c>
      <c r="D291" s="70">
        <v>7277539.7000000002</v>
      </c>
      <c r="E291" s="70">
        <v>2372424.48</v>
      </c>
      <c r="F291" s="70">
        <v>-1470.08</v>
      </c>
      <c r="G291" s="70">
        <v>2370954.4</v>
      </c>
      <c r="H291" s="70">
        <v>9648494.0999999996</v>
      </c>
      <c r="I291" s="112">
        <f t="shared" si="8"/>
        <v>2370.9544000000001</v>
      </c>
      <c r="J291" s="112">
        <f t="shared" si="9"/>
        <v>2371</v>
      </c>
    </row>
    <row r="292" spans="1:10">
      <c r="A292" s="343" t="s">
        <v>1078</v>
      </c>
      <c r="B292" s="343">
        <v>42117</v>
      </c>
      <c r="C292" t="s">
        <v>980</v>
      </c>
      <c r="D292" s="70">
        <v>847804.32</v>
      </c>
      <c r="E292" s="70">
        <v>292619.45</v>
      </c>
      <c r="F292" s="70">
        <v>-18595.59</v>
      </c>
      <c r="G292" s="70">
        <v>274023.86</v>
      </c>
      <c r="H292" s="70">
        <v>1121828.18</v>
      </c>
      <c r="I292" s="112">
        <f t="shared" si="8"/>
        <v>274.02386000000001</v>
      </c>
      <c r="J292" s="112">
        <f t="shared" si="9"/>
        <v>274</v>
      </c>
    </row>
    <row r="293" spans="1:10">
      <c r="A293" s="343" t="s">
        <v>1079</v>
      </c>
      <c r="B293" s="343">
        <v>42118</v>
      </c>
      <c r="C293" t="s">
        <v>982</v>
      </c>
      <c r="D293" s="70">
        <v>108907.85</v>
      </c>
      <c r="E293" s="70">
        <v>11217.99</v>
      </c>
      <c r="F293" s="70">
        <v>0</v>
      </c>
      <c r="G293" s="70">
        <v>11217.99</v>
      </c>
      <c r="H293" s="70">
        <v>120125.84</v>
      </c>
      <c r="I293" s="112">
        <f t="shared" si="8"/>
        <v>11.21799</v>
      </c>
      <c r="J293" s="112">
        <f t="shared" si="9"/>
        <v>11</v>
      </c>
    </row>
    <row r="294" spans="1:10">
      <c r="A294" s="343" t="s">
        <v>1080</v>
      </c>
      <c r="B294" s="343">
        <v>42119</v>
      </c>
      <c r="C294" t="s">
        <v>1081</v>
      </c>
      <c r="D294" s="70">
        <v>682050.86</v>
      </c>
      <c r="E294" s="70">
        <v>220920.52</v>
      </c>
      <c r="F294" s="70">
        <v>0</v>
      </c>
      <c r="G294" s="70">
        <v>220920.52</v>
      </c>
      <c r="H294" s="70">
        <v>902971.38</v>
      </c>
      <c r="I294" s="112">
        <f t="shared" si="8"/>
        <v>220.92051999999998</v>
      </c>
      <c r="J294" s="112">
        <f t="shared" si="9"/>
        <v>221</v>
      </c>
    </row>
    <row r="295" spans="1:10">
      <c r="A295" s="343" t="s">
        <v>1082</v>
      </c>
      <c r="B295" s="343">
        <v>421110</v>
      </c>
      <c r="C295" t="s">
        <v>986</v>
      </c>
      <c r="D295" s="70">
        <v>22715.26</v>
      </c>
      <c r="E295" s="70">
        <v>20700.650000000001</v>
      </c>
      <c r="F295" s="70">
        <v>0</v>
      </c>
      <c r="G295" s="70">
        <v>20700.650000000001</v>
      </c>
      <c r="H295" s="70">
        <v>43415.91</v>
      </c>
      <c r="I295" s="112">
        <f t="shared" si="8"/>
        <v>20.700650000000003</v>
      </c>
      <c r="J295" s="112">
        <f t="shared" si="9"/>
        <v>21</v>
      </c>
    </row>
    <row r="296" spans="1:10">
      <c r="A296" s="343" t="s">
        <v>1083</v>
      </c>
      <c r="B296" s="343">
        <v>421112</v>
      </c>
      <c r="C296" t="s">
        <v>988</v>
      </c>
      <c r="D296" s="70">
        <v>7573.41</v>
      </c>
      <c r="E296" s="70">
        <v>0</v>
      </c>
      <c r="F296" s="70">
        <v>0</v>
      </c>
      <c r="G296" s="70">
        <v>0</v>
      </c>
      <c r="H296" s="70">
        <v>7573.41</v>
      </c>
      <c r="I296" s="112">
        <f t="shared" si="8"/>
        <v>0</v>
      </c>
      <c r="J296" s="112">
        <f t="shared" si="9"/>
        <v>0</v>
      </c>
    </row>
    <row r="297" spans="1:10">
      <c r="A297" s="343" t="s">
        <v>1084</v>
      </c>
      <c r="B297" s="343">
        <v>4212</v>
      </c>
      <c r="C297" t="s">
        <v>8</v>
      </c>
      <c r="D297" s="70">
        <v>2598910.79</v>
      </c>
      <c r="E297" s="70">
        <v>863442.25</v>
      </c>
      <c r="F297" s="70">
        <v>-11532.19</v>
      </c>
      <c r="G297" s="70">
        <v>851910.06</v>
      </c>
      <c r="H297" s="70">
        <v>3450820.85</v>
      </c>
      <c r="I297" s="112">
        <f t="shared" si="8"/>
        <v>851.91006000000004</v>
      </c>
      <c r="J297" s="112">
        <f t="shared" si="9"/>
        <v>852</v>
      </c>
    </row>
    <row r="298" spans="1:10">
      <c r="A298" s="343" t="s">
        <v>1085</v>
      </c>
      <c r="B298" s="343">
        <v>42121</v>
      </c>
      <c r="C298" t="s">
        <v>874</v>
      </c>
      <c r="D298" s="70">
        <v>1580152.04</v>
      </c>
      <c r="E298" s="70">
        <v>516497.7</v>
      </c>
      <c r="F298" s="70">
        <v>0</v>
      </c>
      <c r="G298" s="70">
        <v>516497.7</v>
      </c>
      <c r="H298" s="70">
        <v>2096649.74</v>
      </c>
      <c r="I298" s="112">
        <f t="shared" si="8"/>
        <v>516.49770000000001</v>
      </c>
      <c r="J298" s="112">
        <f t="shared" si="9"/>
        <v>516</v>
      </c>
    </row>
    <row r="299" spans="1:10">
      <c r="A299" s="343" t="s">
        <v>1086</v>
      </c>
      <c r="B299" s="343">
        <v>42122</v>
      </c>
      <c r="C299" t="s">
        <v>198</v>
      </c>
      <c r="D299" s="70">
        <v>604087.03</v>
      </c>
      <c r="E299" s="70">
        <v>194758.99</v>
      </c>
      <c r="F299" s="70">
        <v>0</v>
      </c>
      <c r="G299" s="70">
        <v>194758.99</v>
      </c>
      <c r="H299" s="70">
        <v>798846.02</v>
      </c>
      <c r="I299" s="112">
        <f t="shared" si="8"/>
        <v>194.75898999999998</v>
      </c>
      <c r="J299" s="112">
        <f t="shared" si="9"/>
        <v>195</v>
      </c>
    </row>
    <row r="300" spans="1:10">
      <c r="A300" s="343" t="s">
        <v>1087</v>
      </c>
      <c r="B300" s="343">
        <v>42124</v>
      </c>
      <c r="C300" t="s">
        <v>995</v>
      </c>
      <c r="D300" s="70">
        <v>140504.57999999999</v>
      </c>
      <c r="E300" s="70">
        <v>45499.44</v>
      </c>
      <c r="F300" s="70">
        <v>0</v>
      </c>
      <c r="G300" s="70">
        <v>45499.44</v>
      </c>
      <c r="H300" s="70">
        <v>186004.02</v>
      </c>
      <c r="I300" s="112">
        <f t="shared" si="8"/>
        <v>45.49944</v>
      </c>
      <c r="J300" s="112">
        <f t="shared" si="9"/>
        <v>45</v>
      </c>
    </row>
    <row r="301" spans="1:10">
      <c r="A301" s="343" t="s">
        <v>1088</v>
      </c>
      <c r="B301" s="343">
        <v>42125</v>
      </c>
      <c r="C301" t="s">
        <v>997</v>
      </c>
      <c r="D301" s="70">
        <v>160576.41</v>
      </c>
      <c r="E301" s="70">
        <v>64704.08</v>
      </c>
      <c r="F301" s="70">
        <v>-8350.9</v>
      </c>
      <c r="G301" s="70">
        <v>56353.18</v>
      </c>
      <c r="H301" s="70">
        <v>216929.59</v>
      </c>
      <c r="I301" s="112">
        <f t="shared" si="8"/>
        <v>56.353180000000002</v>
      </c>
      <c r="J301" s="112">
        <f t="shared" si="9"/>
        <v>56</v>
      </c>
    </row>
    <row r="302" spans="1:10">
      <c r="A302" s="343" t="s">
        <v>1089</v>
      </c>
      <c r="B302" s="343">
        <v>42126</v>
      </c>
      <c r="C302" t="s">
        <v>999</v>
      </c>
      <c r="D302" s="70">
        <v>61171.85</v>
      </c>
      <c r="E302" s="70">
        <v>24648.799999999999</v>
      </c>
      <c r="F302" s="70">
        <v>-3181.29</v>
      </c>
      <c r="G302" s="70">
        <v>21467.51</v>
      </c>
      <c r="H302" s="70">
        <v>82639.360000000001</v>
      </c>
      <c r="I302" s="112">
        <f t="shared" si="8"/>
        <v>21.467509999999997</v>
      </c>
      <c r="J302" s="112">
        <f t="shared" si="9"/>
        <v>21</v>
      </c>
    </row>
    <row r="303" spans="1:10">
      <c r="A303" s="343" t="s">
        <v>1090</v>
      </c>
      <c r="B303" s="343">
        <v>42127</v>
      </c>
      <c r="C303" t="s">
        <v>1001</v>
      </c>
      <c r="D303" s="70">
        <v>52418.879999999997</v>
      </c>
      <c r="E303" s="70">
        <v>17333.240000000002</v>
      </c>
      <c r="F303" s="70">
        <v>0</v>
      </c>
      <c r="G303" s="70">
        <v>17333.240000000002</v>
      </c>
      <c r="H303" s="70">
        <v>69752.12</v>
      </c>
      <c r="I303" s="112">
        <f t="shared" si="8"/>
        <v>17.33324</v>
      </c>
      <c r="J303" s="112">
        <f t="shared" si="9"/>
        <v>17</v>
      </c>
    </row>
    <row r="304" spans="1:10">
      <c r="A304" s="343" t="s">
        <v>1091</v>
      </c>
      <c r="B304" s="343">
        <v>4213</v>
      </c>
      <c r="C304" t="s">
        <v>9</v>
      </c>
      <c r="D304" s="70">
        <v>1350205.26</v>
      </c>
      <c r="E304" s="70">
        <v>469686.61</v>
      </c>
      <c r="F304" s="70">
        <v>-4495.97</v>
      </c>
      <c r="G304" s="70">
        <v>465190.64</v>
      </c>
      <c r="H304" s="70">
        <v>1815395.9</v>
      </c>
      <c r="I304" s="112">
        <f t="shared" si="8"/>
        <v>465.19064000000003</v>
      </c>
      <c r="J304" s="112">
        <f t="shared" si="9"/>
        <v>465</v>
      </c>
    </row>
    <row r="305" spans="1:10">
      <c r="A305" s="343" t="s">
        <v>1092</v>
      </c>
      <c r="B305" s="343">
        <v>42131</v>
      </c>
      <c r="C305" t="s">
        <v>907</v>
      </c>
      <c r="D305" s="70">
        <v>580638.54</v>
      </c>
      <c r="E305" s="70">
        <v>196543.67</v>
      </c>
      <c r="F305" s="70">
        <v>0</v>
      </c>
      <c r="G305" s="70">
        <v>196543.67</v>
      </c>
      <c r="H305" s="70">
        <v>777182.21</v>
      </c>
      <c r="I305" s="112">
        <f t="shared" si="8"/>
        <v>196.54367000000002</v>
      </c>
      <c r="J305" s="112">
        <f t="shared" si="9"/>
        <v>197</v>
      </c>
    </row>
    <row r="306" spans="1:10">
      <c r="A306" s="343" t="s">
        <v>1093</v>
      </c>
      <c r="B306" s="343">
        <v>42132</v>
      </c>
      <c r="C306" t="s">
        <v>1005</v>
      </c>
      <c r="D306" s="70">
        <v>357713.39</v>
      </c>
      <c r="E306" s="70">
        <v>137497.51999999999</v>
      </c>
      <c r="F306" s="70">
        <v>0</v>
      </c>
      <c r="G306" s="70">
        <v>137497.51999999999</v>
      </c>
      <c r="H306" s="70">
        <v>495210.91</v>
      </c>
      <c r="I306" s="112">
        <f t="shared" si="8"/>
        <v>137.49751999999998</v>
      </c>
      <c r="J306" s="112">
        <f t="shared" si="9"/>
        <v>137</v>
      </c>
    </row>
    <row r="307" spans="1:10">
      <c r="A307" s="343" t="s">
        <v>1094</v>
      </c>
      <c r="B307" s="343">
        <v>42133</v>
      </c>
      <c r="C307" t="s">
        <v>1007</v>
      </c>
      <c r="D307" s="70">
        <v>7934.17</v>
      </c>
      <c r="E307" s="70">
        <v>7459.25</v>
      </c>
      <c r="F307" s="70">
        <v>-3789.35</v>
      </c>
      <c r="G307" s="70">
        <v>3669.9</v>
      </c>
      <c r="H307" s="70">
        <v>11604.07</v>
      </c>
      <c r="I307" s="112">
        <f t="shared" si="8"/>
        <v>3.6699000000000002</v>
      </c>
      <c r="J307" s="112">
        <f t="shared" si="9"/>
        <v>4</v>
      </c>
    </row>
    <row r="308" spans="1:10">
      <c r="A308" s="343" t="s">
        <v>1095</v>
      </c>
      <c r="B308" s="343">
        <v>42134</v>
      </c>
      <c r="C308" t="s">
        <v>1096</v>
      </c>
      <c r="D308" s="70">
        <v>23400</v>
      </c>
      <c r="E308" s="70">
        <v>7800</v>
      </c>
      <c r="F308" s="70">
        <v>0</v>
      </c>
      <c r="G308" s="70">
        <v>7800</v>
      </c>
      <c r="H308" s="70">
        <v>31200</v>
      </c>
      <c r="I308" s="112">
        <f t="shared" si="8"/>
        <v>7.8</v>
      </c>
      <c r="J308" s="112">
        <f t="shared" si="9"/>
        <v>8</v>
      </c>
    </row>
    <row r="309" spans="1:10">
      <c r="A309" s="343" t="s">
        <v>1097</v>
      </c>
      <c r="B309" s="343">
        <v>42135</v>
      </c>
      <c r="C309" t="s">
        <v>1009</v>
      </c>
      <c r="D309" s="70">
        <v>79147.25</v>
      </c>
      <c r="E309" s="70">
        <v>25433.08</v>
      </c>
      <c r="F309" s="70">
        <v>0</v>
      </c>
      <c r="G309" s="70">
        <v>25433.08</v>
      </c>
      <c r="H309" s="70">
        <v>104580.33</v>
      </c>
      <c r="I309" s="112">
        <f t="shared" si="8"/>
        <v>25.43308</v>
      </c>
      <c r="J309" s="112">
        <f t="shared" si="9"/>
        <v>25</v>
      </c>
    </row>
    <row r="310" spans="1:10">
      <c r="A310" s="343" t="s">
        <v>1098</v>
      </c>
      <c r="B310" s="343">
        <v>42136</v>
      </c>
      <c r="C310" t="s">
        <v>1011</v>
      </c>
      <c r="D310" s="70">
        <v>239058.23</v>
      </c>
      <c r="E310" s="70">
        <v>78391.67</v>
      </c>
      <c r="F310" s="70">
        <v>-352.62</v>
      </c>
      <c r="G310" s="70">
        <v>78039.05</v>
      </c>
      <c r="H310" s="70">
        <v>317097.28000000003</v>
      </c>
      <c r="I310" s="112">
        <f t="shared" si="8"/>
        <v>78.039050000000003</v>
      </c>
      <c r="J310" s="112">
        <f t="shared" si="9"/>
        <v>78</v>
      </c>
    </row>
    <row r="311" spans="1:10">
      <c r="A311" s="343" t="s">
        <v>1099</v>
      </c>
      <c r="B311" s="343">
        <v>421310</v>
      </c>
      <c r="C311" t="s">
        <v>1013</v>
      </c>
      <c r="D311" s="70">
        <v>3751</v>
      </c>
      <c r="E311" s="70">
        <v>1600</v>
      </c>
      <c r="F311" s="70">
        <v>-354</v>
      </c>
      <c r="G311" s="70">
        <v>1246</v>
      </c>
      <c r="H311" s="70">
        <v>4997</v>
      </c>
      <c r="I311" s="112">
        <f t="shared" si="8"/>
        <v>1.246</v>
      </c>
      <c r="J311" s="112">
        <f t="shared" si="9"/>
        <v>1</v>
      </c>
    </row>
    <row r="312" spans="1:10">
      <c r="A312" s="343" t="s">
        <v>1100</v>
      </c>
      <c r="B312" s="343">
        <v>421311</v>
      </c>
      <c r="C312" t="s">
        <v>1015</v>
      </c>
      <c r="D312" s="70">
        <v>58562.68</v>
      </c>
      <c r="E312" s="70">
        <v>14961.42</v>
      </c>
      <c r="F312" s="70">
        <v>0</v>
      </c>
      <c r="G312" s="70">
        <v>14961.42</v>
      </c>
      <c r="H312" s="70">
        <v>73524.100000000006</v>
      </c>
      <c r="I312" s="112">
        <f t="shared" si="8"/>
        <v>14.96142</v>
      </c>
      <c r="J312" s="112">
        <f t="shared" si="9"/>
        <v>15</v>
      </c>
    </row>
    <row r="313" spans="1:10">
      <c r="A313" s="343" t="s">
        <v>22</v>
      </c>
      <c r="B313" s="343">
        <v>422</v>
      </c>
      <c r="C313" t="s">
        <v>1101</v>
      </c>
      <c r="D313" s="70">
        <v>16249</v>
      </c>
      <c r="E313" s="70">
        <v>6117.97</v>
      </c>
      <c r="F313" s="70">
        <v>0</v>
      </c>
      <c r="G313" s="70">
        <v>6117.97</v>
      </c>
      <c r="H313" s="70">
        <v>22366.97</v>
      </c>
      <c r="I313" s="112">
        <f t="shared" si="8"/>
        <v>6.1179700000000006</v>
      </c>
      <c r="J313" s="112">
        <f t="shared" si="9"/>
        <v>6</v>
      </c>
    </row>
    <row r="314" spans="1:10">
      <c r="A314" s="343" t="s">
        <v>1102</v>
      </c>
      <c r="B314" s="343">
        <v>4221</v>
      </c>
      <c r="C314" t="s">
        <v>1103</v>
      </c>
      <c r="D314" s="70">
        <v>16249</v>
      </c>
      <c r="E314" s="70">
        <v>6117.97</v>
      </c>
      <c r="F314" s="70">
        <v>0</v>
      </c>
      <c r="G314" s="70">
        <v>6117.97</v>
      </c>
      <c r="H314" s="70">
        <v>22366.97</v>
      </c>
      <c r="I314" s="112">
        <f t="shared" si="8"/>
        <v>6.1179700000000006</v>
      </c>
      <c r="J314" s="112">
        <f t="shared" si="9"/>
        <v>6</v>
      </c>
    </row>
    <row r="315" spans="1:10">
      <c r="A315" s="343" t="s">
        <v>1104</v>
      </c>
      <c r="B315" s="343">
        <v>42211</v>
      </c>
      <c r="C315" t="s">
        <v>1105</v>
      </c>
      <c r="D315" s="70">
        <v>16249</v>
      </c>
      <c r="E315" s="70">
        <v>6117.97</v>
      </c>
      <c r="F315" s="70">
        <v>0</v>
      </c>
      <c r="G315" s="70">
        <v>6117.97</v>
      </c>
      <c r="H315" s="70">
        <v>22366.97</v>
      </c>
      <c r="I315" s="112">
        <f t="shared" si="8"/>
        <v>6.1179700000000006</v>
      </c>
      <c r="J315" s="112">
        <f t="shared" si="9"/>
        <v>6</v>
      </c>
    </row>
    <row r="316" spans="1:10">
      <c r="A316" s="343" t="s">
        <v>1106</v>
      </c>
      <c r="B316" s="343">
        <v>423</v>
      </c>
      <c r="C316" t="s">
        <v>1107</v>
      </c>
      <c r="D316" s="70">
        <v>2656953</v>
      </c>
      <c r="E316" s="70">
        <v>1046551.41</v>
      </c>
      <c r="F316" s="70">
        <v>0</v>
      </c>
      <c r="G316" s="70">
        <v>1046551.41</v>
      </c>
      <c r="H316" s="70">
        <v>3703504.41</v>
      </c>
      <c r="I316" s="112">
        <f t="shared" si="8"/>
        <v>1046.55141</v>
      </c>
      <c r="J316" s="112">
        <f t="shared" si="9"/>
        <v>1047</v>
      </c>
    </row>
    <row r="317" spans="1:10">
      <c r="A317" s="343" t="s">
        <v>23</v>
      </c>
      <c r="B317" s="343">
        <v>4231</v>
      </c>
      <c r="C317" t="s">
        <v>1107</v>
      </c>
      <c r="D317" s="70">
        <v>2656953</v>
      </c>
      <c r="E317" s="70">
        <v>1046551.41</v>
      </c>
      <c r="F317" s="70">
        <v>0</v>
      </c>
      <c r="G317" s="70">
        <v>1046551.41</v>
      </c>
      <c r="H317" s="70">
        <v>3703504.41</v>
      </c>
      <c r="I317" s="112">
        <f t="shared" si="8"/>
        <v>1046.55141</v>
      </c>
      <c r="J317" s="112">
        <f t="shared" si="9"/>
        <v>1047</v>
      </c>
    </row>
    <row r="318" spans="1:10">
      <c r="A318" s="343" t="s">
        <v>1108</v>
      </c>
      <c r="B318" s="343">
        <v>42311</v>
      </c>
      <c r="C318" t="s">
        <v>1023</v>
      </c>
      <c r="D318" s="70">
        <v>169441.6</v>
      </c>
      <c r="E318" s="70">
        <v>110000</v>
      </c>
      <c r="F318" s="70">
        <v>0</v>
      </c>
      <c r="G318" s="70">
        <v>110000</v>
      </c>
      <c r="H318" s="70">
        <v>279441.59999999998</v>
      </c>
      <c r="I318" s="112">
        <f t="shared" si="8"/>
        <v>110</v>
      </c>
      <c r="J318" s="112">
        <f t="shared" si="9"/>
        <v>110</v>
      </c>
    </row>
    <row r="319" spans="1:10">
      <c r="A319" s="343" t="s">
        <v>1109</v>
      </c>
      <c r="B319" s="343">
        <v>42312</v>
      </c>
      <c r="C319" t="s">
        <v>1025</v>
      </c>
      <c r="D319" s="70">
        <v>752822.08</v>
      </c>
      <c r="E319" s="70">
        <v>281055.96000000002</v>
      </c>
      <c r="F319" s="70">
        <v>0</v>
      </c>
      <c r="G319" s="70">
        <v>281055.96000000002</v>
      </c>
      <c r="H319" s="70">
        <v>1033878.04</v>
      </c>
      <c r="I319" s="112">
        <f t="shared" si="8"/>
        <v>281.05596000000003</v>
      </c>
      <c r="J319" s="112">
        <f t="shared" si="9"/>
        <v>281</v>
      </c>
    </row>
    <row r="320" spans="1:10">
      <c r="A320" s="343" t="s">
        <v>1110</v>
      </c>
      <c r="B320" s="343">
        <v>42313</v>
      </c>
      <c r="C320" t="s">
        <v>1111</v>
      </c>
      <c r="D320" s="70">
        <v>160065.35999999999</v>
      </c>
      <c r="E320" s="70">
        <v>51735.62</v>
      </c>
      <c r="F320" s="70">
        <v>0</v>
      </c>
      <c r="G320" s="70">
        <v>51735.62</v>
      </c>
      <c r="H320" s="70">
        <v>211800.98</v>
      </c>
      <c r="I320" s="112">
        <f t="shared" si="8"/>
        <v>51.735620000000004</v>
      </c>
      <c r="J320" s="112">
        <f t="shared" si="9"/>
        <v>52</v>
      </c>
    </row>
    <row r="321" spans="1:10">
      <c r="A321" s="343" t="s">
        <v>1112</v>
      </c>
      <c r="B321" s="343">
        <v>42315</v>
      </c>
      <c r="C321" t="s">
        <v>1027</v>
      </c>
      <c r="D321" s="70">
        <v>270597.23</v>
      </c>
      <c r="E321" s="70">
        <v>95712.73</v>
      </c>
      <c r="F321" s="70">
        <v>0</v>
      </c>
      <c r="G321" s="70">
        <v>95712.73</v>
      </c>
      <c r="H321" s="70">
        <v>366309.96</v>
      </c>
      <c r="I321" s="112">
        <f t="shared" si="8"/>
        <v>95.712729999999993</v>
      </c>
      <c r="J321" s="112">
        <f t="shared" si="9"/>
        <v>96</v>
      </c>
    </row>
    <row r="322" spans="1:10">
      <c r="A322" s="343" t="s">
        <v>1113</v>
      </c>
      <c r="B322" s="343">
        <v>42316</v>
      </c>
      <c r="C322" t="s">
        <v>1114</v>
      </c>
      <c r="D322" s="70">
        <v>23556</v>
      </c>
      <c r="E322" s="70">
        <v>0</v>
      </c>
      <c r="F322" s="70">
        <v>0</v>
      </c>
      <c r="G322" s="70">
        <v>0</v>
      </c>
      <c r="H322" s="70">
        <v>23556</v>
      </c>
      <c r="I322" s="112">
        <f t="shared" si="8"/>
        <v>0</v>
      </c>
      <c r="J322" s="112">
        <f t="shared" si="9"/>
        <v>0</v>
      </c>
    </row>
    <row r="323" spans="1:10">
      <c r="A323" s="343" t="s">
        <v>1115</v>
      </c>
      <c r="B323" s="343">
        <v>42317</v>
      </c>
      <c r="C323" t="s">
        <v>1116</v>
      </c>
      <c r="D323" s="70">
        <v>108465.15</v>
      </c>
      <c r="E323" s="70">
        <v>36157.949999999997</v>
      </c>
      <c r="F323" s="70">
        <v>0</v>
      </c>
      <c r="G323" s="70">
        <v>36157.949999999997</v>
      </c>
      <c r="H323" s="70">
        <v>144623.1</v>
      </c>
      <c r="I323" s="112">
        <f t="shared" si="8"/>
        <v>36.15795</v>
      </c>
      <c r="J323" s="112">
        <f t="shared" si="9"/>
        <v>36</v>
      </c>
    </row>
    <row r="324" spans="1:10">
      <c r="A324" s="343" t="s">
        <v>1117</v>
      </c>
      <c r="B324" s="343">
        <v>42318</v>
      </c>
      <c r="C324" t="s">
        <v>1118</v>
      </c>
      <c r="D324" s="70">
        <v>105911.23</v>
      </c>
      <c r="E324" s="70">
        <v>39519.050000000003</v>
      </c>
      <c r="F324" s="70">
        <v>0</v>
      </c>
      <c r="G324" s="70">
        <v>39519.050000000003</v>
      </c>
      <c r="H324" s="70">
        <v>145430.28</v>
      </c>
      <c r="I324" s="112">
        <f t="shared" si="8"/>
        <v>39.51905</v>
      </c>
      <c r="J324" s="112">
        <f t="shared" si="9"/>
        <v>40</v>
      </c>
    </row>
    <row r="325" spans="1:10">
      <c r="A325" s="343" t="s">
        <v>1119</v>
      </c>
      <c r="B325" s="343">
        <v>423113</v>
      </c>
      <c r="C325" t="s">
        <v>1120</v>
      </c>
      <c r="D325" s="70">
        <v>112962.57</v>
      </c>
      <c r="E325" s="70">
        <v>35257.78</v>
      </c>
      <c r="F325" s="70">
        <v>0</v>
      </c>
      <c r="G325" s="70">
        <v>35257.78</v>
      </c>
      <c r="H325" s="70">
        <v>148220.35</v>
      </c>
      <c r="I325" s="112">
        <f t="shared" si="8"/>
        <v>35.257779999999997</v>
      </c>
      <c r="J325" s="112">
        <f t="shared" si="9"/>
        <v>35</v>
      </c>
    </row>
    <row r="326" spans="1:10">
      <c r="A326" s="343" t="s">
        <v>1121</v>
      </c>
      <c r="B326" s="343">
        <v>423114</v>
      </c>
      <c r="C326" t="s">
        <v>1122</v>
      </c>
      <c r="D326" s="70">
        <v>740961.56</v>
      </c>
      <c r="E326" s="70">
        <v>320651.59999999998</v>
      </c>
      <c r="F326" s="70">
        <v>0</v>
      </c>
      <c r="G326" s="70">
        <v>320651.59999999998</v>
      </c>
      <c r="H326" s="70">
        <v>1061613.1599999999</v>
      </c>
      <c r="I326" s="112">
        <f t="shared" si="8"/>
        <v>320.65159999999997</v>
      </c>
      <c r="J326" s="112">
        <f t="shared" si="9"/>
        <v>321</v>
      </c>
    </row>
    <row r="327" spans="1:10">
      <c r="A327" s="343" t="s">
        <v>1123</v>
      </c>
      <c r="B327" s="343">
        <v>423115</v>
      </c>
      <c r="C327" t="s">
        <v>1124</v>
      </c>
      <c r="D327" s="70">
        <v>27000</v>
      </c>
      <c r="E327" s="70">
        <v>6000</v>
      </c>
      <c r="F327" s="70">
        <v>0</v>
      </c>
      <c r="G327" s="70">
        <v>6000</v>
      </c>
      <c r="H327" s="70">
        <v>33000</v>
      </c>
      <c r="I327" s="112">
        <f t="shared" si="8"/>
        <v>6</v>
      </c>
      <c r="J327" s="112">
        <f t="shared" si="9"/>
        <v>6</v>
      </c>
    </row>
    <row r="328" spans="1:10">
      <c r="A328" s="343" t="s">
        <v>1125</v>
      </c>
      <c r="B328" s="343">
        <v>423117</v>
      </c>
      <c r="C328" t="s">
        <v>1126</v>
      </c>
      <c r="D328" s="70">
        <v>164565.15</v>
      </c>
      <c r="E328" s="70">
        <v>62796.94</v>
      </c>
      <c r="F328" s="70">
        <v>0</v>
      </c>
      <c r="G328" s="70">
        <v>62796.94</v>
      </c>
      <c r="H328" s="70">
        <v>227362.09</v>
      </c>
      <c r="I328" s="112">
        <f t="shared" si="8"/>
        <v>62.796939999999999</v>
      </c>
      <c r="J328" s="112">
        <f t="shared" si="9"/>
        <v>63</v>
      </c>
    </row>
    <row r="329" spans="1:10">
      <c r="A329" s="343" t="s">
        <v>1127</v>
      </c>
      <c r="B329" s="343">
        <v>423119</v>
      </c>
      <c r="C329" t="s">
        <v>1128</v>
      </c>
      <c r="D329" s="70">
        <v>20605.07</v>
      </c>
      <c r="E329" s="70">
        <v>7663.78</v>
      </c>
      <c r="F329" s="70">
        <v>0</v>
      </c>
      <c r="G329" s="70">
        <v>7663.78</v>
      </c>
      <c r="H329" s="70">
        <v>28268.85</v>
      </c>
      <c r="I329" s="112">
        <f t="shared" ref="I329:I381" si="10">G329/1000</f>
        <v>7.66378</v>
      </c>
      <c r="J329" s="112">
        <f t="shared" ref="J329:J381" si="11">ROUND(I329,0)</f>
        <v>8</v>
      </c>
    </row>
    <row r="330" spans="1:10">
      <c r="A330" s="343" t="s">
        <v>24</v>
      </c>
      <c r="B330" s="343">
        <v>424</v>
      </c>
      <c r="C330" t="s">
        <v>1129</v>
      </c>
      <c r="D330" s="70">
        <v>265778.78999999998</v>
      </c>
      <c r="E330" s="70">
        <v>111430.29</v>
      </c>
      <c r="F330" s="70">
        <v>0</v>
      </c>
      <c r="G330" s="70">
        <v>111430.29</v>
      </c>
      <c r="H330" s="70">
        <v>377209.08</v>
      </c>
      <c r="I330" s="112">
        <f t="shared" si="10"/>
        <v>111.43029</v>
      </c>
      <c r="J330" s="112">
        <f t="shared" si="11"/>
        <v>111</v>
      </c>
    </row>
    <row r="331" spans="1:10">
      <c r="A331" s="343" t="s">
        <v>1130</v>
      </c>
      <c r="B331" s="343">
        <v>4241</v>
      </c>
      <c r="C331" t="s">
        <v>1131</v>
      </c>
      <c r="D331" s="70">
        <v>265778.78999999998</v>
      </c>
      <c r="E331" s="70">
        <v>111430.29</v>
      </c>
      <c r="F331" s="70">
        <v>0</v>
      </c>
      <c r="G331" s="70">
        <v>111430.29</v>
      </c>
      <c r="H331" s="70">
        <v>377209.08</v>
      </c>
      <c r="I331" s="112">
        <f t="shared" si="10"/>
        <v>111.43029</v>
      </c>
      <c r="J331" s="112">
        <f t="shared" si="11"/>
        <v>111</v>
      </c>
    </row>
    <row r="332" spans="1:10">
      <c r="A332" s="343" t="s">
        <v>1132</v>
      </c>
      <c r="B332" s="343">
        <v>42412</v>
      </c>
      <c r="C332" t="s">
        <v>1037</v>
      </c>
      <c r="D332" s="70">
        <v>64890.59</v>
      </c>
      <c r="E332" s="70">
        <v>22227.71</v>
      </c>
      <c r="F332" s="70">
        <v>0</v>
      </c>
      <c r="G332" s="70">
        <v>22227.71</v>
      </c>
      <c r="H332" s="70">
        <v>87118.3</v>
      </c>
      <c r="I332" s="112">
        <f t="shared" si="10"/>
        <v>22.227709999999998</v>
      </c>
      <c r="J332" s="112">
        <f t="shared" si="11"/>
        <v>22</v>
      </c>
    </row>
    <row r="333" spans="1:10">
      <c r="A333" s="343" t="s">
        <v>1133</v>
      </c>
      <c r="B333" s="343">
        <v>42415</v>
      </c>
      <c r="C333" t="s">
        <v>1134</v>
      </c>
      <c r="D333" s="70">
        <v>33686.949999999997</v>
      </c>
      <c r="E333" s="70">
        <v>15463.92</v>
      </c>
      <c r="F333" s="70">
        <v>0</v>
      </c>
      <c r="G333" s="70">
        <v>15463.92</v>
      </c>
      <c r="H333" s="70">
        <v>49150.87</v>
      </c>
      <c r="I333" s="112">
        <f t="shared" si="10"/>
        <v>15.46392</v>
      </c>
      <c r="J333" s="112">
        <f t="shared" si="11"/>
        <v>15</v>
      </c>
    </row>
    <row r="334" spans="1:10">
      <c r="A334" s="343" t="s">
        <v>1135</v>
      </c>
      <c r="B334" s="343">
        <v>42416</v>
      </c>
      <c r="C334" t="s">
        <v>1136</v>
      </c>
      <c r="D334" s="70">
        <v>158160.74</v>
      </c>
      <c r="E334" s="70">
        <v>72414.080000000002</v>
      </c>
      <c r="F334" s="70">
        <v>0</v>
      </c>
      <c r="G334" s="70">
        <v>72414.080000000002</v>
      </c>
      <c r="H334" s="70">
        <v>230574.82</v>
      </c>
      <c r="I334" s="112">
        <f t="shared" si="10"/>
        <v>72.414079999999998</v>
      </c>
      <c r="J334" s="112">
        <f t="shared" si="11"/>
        <v>72</v>
      </c>
    </row>
    <row r="335" spans="1:10">
      <c r="A335" s="343" t="s">
        <v>1137</v>
      </c>
      <c r="B335" s="343">
        <v>424112</v>
      </c>
      <c r="C335" t="s">
        <v>1039</v>
      </c>
      <c r="D335" s="70">
        <v>9040.51</v>
      </c>
      <c r="E335" s="70">
        <v>1324.58</v>
      </c>
      <c r="F335" s="70">
        <v>0</v>
      </c>
      <c r="G335" s="70">
        <v>1324.58</v>
      </c>
      <c r="H335" s="70">
        <v>10365.09</v>
      </c>
      <c r="I335" s="112">
        <f t="shared" si="10"/>
        <v>1.3245799999999999</v>
      </c>
      <c r="J335" s="112">
        <f t="shared" si="11"/>
        <v>1</v>
      </c>
    </row>
    <row r="336" spans="1:10">
      <c r="A336" s="343" t="s">
        <v>1138</v>
      </c>
      <c r="B336" s="343">
        <v>425</v>
      </c>
      <c r="C336" t="s">
        <v>1139</v>
      </c>
      <c r="D336" s="70">
        <v>890684.97</v>
      </c>
      <c r="E336" s="70">
        <v>7377.12</v>
      </c>
      <c r="F336" s="70">
        <v>-256190.48</v>
      </c>
      <c r="G336" s="70">
        <v>-248813.36</v>
      </c>
      <c r="H336" s="70">
        <v>641871.61</v>
      </c>
      <c r="I336" s="112">
        <f t="shared" si="10"/>
        <v>-248.81335999999999</v>
      </c>
      <c r="J336" s="112">
        <f t="shared" si="11"/>
        <v>-249</v>
      </c>
    </row>
    <row r="337" spans="1:10">
      <c r="A337" s="343" t="s">
        <v>1140</v>
      </c>
      <c r="B337" s="343">
        <v>4251</v>
      </c>
      <c r="C337" t="s">
        <v>1141</v>
      </c>
      <c r="D337" s="70">
        <v>613430</v>
      </c>
      <c r="E337" s="70">
        <v>0</v>
      </c>
      <c r="F337" s="70">
        <v>-199646.04</v>
      </c>
      <c r="G337" s="70">
        <v>-199646.04</v>
      </c>
      <c r="H337" s="70">
        <v>413783.96</v>
      </c>
      <c r="I337" s="112">
        <f t="shared" si="10"/>
        <v>-199.64604</v>
      </c>
      <c r="J337" s="112">
        <f t="shared" si="11"/>
        <v>-200</v>
      </c>
    </row>
    <row r="338" spans="1:10">
      <c r="A338" s="343" t="s">
        <v>1142</v>
      </c>
      <c r="B338" s="343">
        <v>42511</v>
      </c>
      <c r="C338" t="s">
        <v>1143</v>
      </c>
      <c r="D338" s="70">
        <v>613430</v>
      </c>
      <c r="E338" s="70">
        <v>0</v>
      </c>
      <c r="F338" s="70">
        <v>-199646.04</v>
      </c>
      <c r="G338" s="70">
        <v>-199646.04</v>
      </c>
      <c r="H338" s="70">
        <v>413783.96</v>
      </c>
      <c r="I338" s="112">
        <f t="shared" si="10"/>
        <v>-199.64604</v>
      </c>
      <c r="J338" s="112">
        <f t="shared" si="11"/>
        <v>-200</v>
      </c>
    </row>
    <row r="339" spans="1:10">
      <c r="A339" s="343" t="s">
        <v>1144</v>
      </c>
      <c r="B339" s="343">
        <v>4252</v>
      </c>
      <c r="C339" t="s">
        <v>1145</v>
      </c>
      <c r="D339" s="70">
        <v>260904.08</v>
      </c>
      <c r="E339" s="70">
        <v>7377.12</v>
      </c>
      <c r="F339" s="70">
        <v>-56544.44</v>
      </c>
      <c r="G339" s="70">
        <v>-49167.32</v>
      </c>
      <c r="H339" s="70">
        <v>211736.76</v>
      </c>
      <c r="I339" s="112">
        <f t="shared" si="10"/>
        <v>-49.167319999999997</v>
      </c>
      <c r="J339" s="112">
        <f t="shared" si="11"/>
        <v>-49</v>
      </c>
    </row>
    <row r="340" spans="1:10">
      <c r="A340" s="343" t="s">
        <v>1146</v>
      </c>
      <c r="B340" s="343">
        <v>42521</v>
      </c>
      <c r="C340" t="s">
        <v>1147</v>
      </c>
      <c r="D340" s="70">
        <v>260904.08</v>
      </c>
      <c r="E340" s="70">
        <v>7377.12</v>
      </c>
      <c r="F340" s="70">
        <v>-56544.44</v>
      </c>
      <c r="G340" s="70">
        <v>-49167.32</v>
      </c>
      <c r="H340" s="70">
        <v>211736.76</v>
      </c>
      <c r="I340" s="112">
        <f t="shared" si="10"/>
        <v>-49.167319999999997</v>
      </c>
      <c r="J340" s="112">
        <f t="shared" si="11"/>
        <v>-49</v>
      </c>
    </row>
    <row r="341" spans="1:10">
      <c r="A341" s="343" t="s">
        <v>1148</v>
      </c>
      <c r="B341" s="343">
        <v>4254</v>
      </c>
      <c r="C341" t="s">
        <v>1149</v>
      </c>
      <c r="D341" s="70">
        <v>16350.89</v>
      </c>
      <c r="E341" s="70">
        <v>0</v>
      </c>
      <c r="F341" s="70">
        <v>0</v>
      </c>
      <c r="G341" s="70">
        <v>0</v>
      </c>
      <c r="H341" s="70">
        <v>16350.89</v>
      </c>
      <c r="I341" s="112">
        <f t="shared" si="10"/>
        <v>0</v>
      </c>
      <c r="J341" s="112">
        <f t="shared" si="11"/>
        <v>0</v>
      </c>
    </row>
    <row r="342" spans="1:10">
      <c r="A342" s="343" t="s">
        <v>1150</v>
      </c>
      <c r="B342" s="343">
        <v>42541</v>
      </c>
      <c r="C342" t="s">
        <v>1151</v>
      </c>
      <c r="D342" s="70">
        <v>16350.89</v>
      </c>
      <c r="E342" s="70">
        <v>0</v>
      </c>
      <c r="F342" s="70">
        <v>0</v>
      </c>
      <c r="G342" s="70">
        <v>0</v>
      </c>
      <c r="H342" s="70">
        <v>16350.89</v>
      </c>
      <c r="I342" s="112">
        <f t="shared" si="10"/>
        <v>0</v>
      </c>
      <c r="J342" s="112">
        <f t="shared" si="11"/>
        <v>0</v>
      </c>
    </row>
    <row r="343" spans="1:10">
      <c r="A343" s="343" t="s">
        <v>1152</v>
      </c>
      <c r="B343" s="343">
        <v>426</v>
      </c>
      <c r="C343" t="s">
        <v>1153</v>
      </c>
      <c r="D343" s="70">
        <v>4271784.01</v>
      </c>
      <c r="E343" s="70">
        <v>1395517.15</v>
      </c>
      <c r="F343" s="70">
        <v>-8176.68</v>
      </c>
      <c r="G343" s="70">
        <v>1387340.47</v>
      </c>
      <c r="H343" s="70">
        <v>5659124.4800000004</v>
      </c>
      <c r="I343" s="112">
        <f t="shared" si="10"/>
        <v>1387.3404699999999</v>
      </c>
      <c r="J343" s="112">
        <f t="shared" si="11"/>
        <v>1387</v>
      </c>
    </row>
    <row r="344" spans="1:10">
      <c r="A344" s="343" t="s">
        <v>25</v>
      </c>
      <c r="B344" s="343">
        <v>4261</v>
      </c>
      <c r="C344" t="s">
        <v>1154</v>
      </c>
      <c r="D344" s="70">
        <v>2647786.5499999998</v>
      </c>
      <c r="E344" s="70">
        <v>877010.19</v>
      </c>
      <c r="F344" s="70">
        <v>-303.82</v>
      </c>
      <c r="G344" s="70">
        <v>876706.37</v>
      </c>
      <c r="H344" s="70">
        <v>3524492.92</v>
      </c>
      <c r="I344" s="112">
        <f t="shared" si="10"/>
        <v>876.70636999999999</v>
      </c>
      <c r="J344" s="112">
        <f t="shared" si="11"/>
        <v>877</v>
      </c>
    </row>
    <row r="345" spans="1:10">
      <c r="A345" s="343" t="s">
        <v>1155</v>
      </c>
      <c r="B345" s="343">
        <v>42611</v>
      </c>
      <c r="C345" t="s">
        <v>1044</v>
      </c>
      <c r="D345" s="70">
        <v>493288.88</v>
      </c>
      <c r="E345" s="70">
        <v>166626.07999999999</v>
      </c>
      <c r="F345" s="70">
        <v>0</v>
      </c>
      <c r="G345" s="70">
        <v>166626.07999999999</v>
      </c>
      <c r="H345" s="70">
        <v>659914.96</v>
      </c>
      <c r="I345" s="112">
        <f t="shared" si="10"/>
        <v>166.62607999999997</v>
      </c>
      <c r="J345" s="112">
        <f t="shared" si="11"/>
        <v>167</v>
      </c>
    </row>
    <row r="346" spans="1:10">
      <c r="A346" s="343" t="s">
        <v>1156</v>
      </c>
      <c r="B346" s="343">
        <v>42613</v>
      </c>
      <c r="C346" t="s">
        <v>1157</v>
      </c>
      <c r="D346" s="70">
        <v>15940.7</v>
      </c>
      <c r="E346" s="70">
        <v>5260.79</v>
      </c>
      <c r="F346" s="70">
        <v>0</v>
      </c>
      <c r="G346" s="70">
        <v>5260.79</v>
      </c>
      <c r="H346" s="70">
        <v>21201.49</v>
      </c>
      <c r="I346" s="112">
        <f t="shared" si="10"/>
        <v>5.2607900000000001</v>
      </c>
      <c r="J346" s="112">
        <f t="shared" si="11"/>
        <v>5</v>
      </c>
    </row>
    <row r="347" spans="1:10">
      <c r="A347" s="343" t="s">
        <v>1158</v>
      </c>
      <c r="B347" s="343">
        <v>42614</v>
      </c>
      <c r="C347" t="s">
        <v>1046</v>
      </c>
      <c r="D347" s="70">
        <v>132711.06</v>
      </c>
      <c r="E347" s="70">
        <v>35851.69</v>
      </c>
      <c r="F347" s="70">
        <v>0</v>
      </c>
      <c r="G347" s="70">
        <v>35851.69</v>
      </c>
      <c r="H347" s="70">
        <v>168562.75</v>
      </c>
      <c r="I347" s="112">
        <f t="shared" si="10"/>
        <v>35.851690000000005</v>
      </c>
      <c r="J347" s="112">
        <f t="shared" si="11"/>
        <v>36</v>
      </c>
    </row>
    <row r="348" spans="1:10">
      <c r="A348" s="343" t="s">
        <v>1159</v>
      </c>
      <c r="B348" s="343">
        <v>42616</v>
      </c>
      <c r="C348" t="s">
        <v>1048</v>
      </c>
      <c r="D348" s="70">
        <v>3837.24</v>
      </c>
      <c r="E348" s="70">
        <v>1587.82</v>
      </c>
      <c r="F348" s="70">
        <v>-303.82</v>
      </c>
      <c r="G348" s="70">
        <v>1284</v>
      </c>
      <c r="H348" s="70">
        <v>5121.24</v>
      </c>
      <c r="I348" s="112">
        <f t="shared" si="10"/>
        <v>1.284</v>
      </c>
      <c r="J348" s="112">
        <f t="shared" si="11"/>
        <v>1</v>
      </c>
    </row>
    <row r="349" spans="1:10">
      <c r="A349" s="343" t="s">
        <v>1160</v>
      </c>
      <c r="B349" s="343">
        <v>42617</v>
      </c>
      <c r="C349" t="s">
        <v>1161</v>
      </c>
      <c r="D349" s="70">
        <v>1471.4</v>
      </c>
      <c r="E349" s="70">
        <v>110.83</v>
      </c>
      <c r="F349" s="70">
        <v>0</v>
      </c>
      <c r="G349" s="70">
        <v>110.83</v>
      </c>
      <c r="H349" s="70">
        <v>1582.23</v>
      </c>
      <c r="I349" s="112">
        <f t="shared" si="10"/>
        <v>0.11083</v>
      </c>
      <c r="J349" s="112">
        <f t="shared" si="11"/>
        <v>0</v>
      </c>
    </row>
    <row r="350" spans="1:10">
      <c r="A350" s="343" t="s">
        <v>1162</v>
      </c>
      <c r="B350" s="343">
        <v>426110</v>
      </c>
      <c r="C350" t="s">
        <v>1050</v>
      </c>
      <c r="D350" s="70">
        <v>273.52999999999997</v>
      </c>
      <c r="E350" s="70">
        <v>0</v>
      </c>
      <c r="F350" s="70">
        <v>0</v>
      </c>
      <c r="G350" s="70">
        <v>0</v>
      </c>
      <c r="H350" s="70">
        <v>273.52999999999997</v>
      </c>
      <c r="I350" s="112">
        <f t="shared" si="10"/>
        <v>0</v>
      </c>
      <c r="J350" s="112">
        <f t="shared" si="11"/>
        <v>0</v>
      </c>
    </row>
    <row r="351" spans="1:10">
      <c r="A351" s="343" t="s">
        <v>1163</v>
      </c>
      <c r="B351" s="343">
        <v>426111</v>
      </c>
      <c r="C351" t="s">
        <v>190</v>
      </c>
      <c r="D351" s="70">
        <v>1611382.94</v>
      </c>
      <c r="E351" s="70">
        <v>538388.82999999996</v>
      </c>
      <c r="F351" s="70">
        <v>0</v>
      </c>
      <c r="G351" s="70">
        <v>538388.82999999996</v>
      </c>
      <c r="H351" s="70">
        <v>2149771.77</v>
      </c>
      <c r="I351" s="112">
        <f t="shared" si="10"/>
        <v>538.38882999999998</v>
      </c>
      <c r="J351" s="112">
        <f t="shared" si="11"/>
        <v>538</v>
      </c>
    </row>
    <row r="352" spans="1:10">
      <c r="A352" s="343" t="s">
        <v>1164</v>
      </c>
      <c r="B352" s="343">
        <v>426112</v>
      </c>
      <c r="C352" t="s">
        <v>1052</v>
      </c>
      <c r="D352" s="70">
        <v>20045.439999999999</v>
      </c>
      <c r="E352" s="70">
        <v>8067.24</v>
      </c>
      <c r="F352" s="70">
        <v>0</v>
      </c>
      <c r="G352" s="70">
        <v>8067.24</v>
      </c>
      <c r="H352" s="70">
        <v>28112.68</v>
      </c>
      <c r="I352" s="112">
        <f t="shared" si="10"/>
        <v>8.06724</v>
      </c>
      <c r="J352" s="112">
        <f t="shared" si="11"/>
        <v>8</v>
      </c>
    </row>
    <row r="353" spans="1:10">
      <c r="A353" s="343" t="s">
        <v>1165</v>
      </c>
      <c r="B353" s="343">
        <v>426114</v>
      </c>
      <c r="C353" t="s">
        <v>1054</v>
      </c>
      <c r="D353" s="70">
        <v>114638.31</v>
      </c>
      <c r="E353" s="70">
        <v>35509.129999999997</v>
      </c>
      <c r="F353" s="70">
        <v>0</v>
      </c>
      <c r="G353" s="70">
        <v>35509.129999999997</v>
      </c>
      <c r="H353" s="70">
        <v>150147.44</v>
      </c>
      <c r="I353" s="112">
        <f t="shared" si="10"/>
        <v>35.509129999999999</v>
      </c>
      <c r="J353" s="112">
        <f t="shared" si="11"/>
        <v>36</v>
      </c>
    </row>
    <row r="354" spans="1:10">
      <c r="A354" s="343" t="s">
        <v>1166</v>
      </c>
      <c r="B354" s="343">
        <v>426116</v>
      </c>
      <c r="C354" t="s">
        <v>1058</v>
      </c>
      <c r="D354" s="70">
        <v>186465.32</v>
      </c>
      <c r="E354" s="70">
        <v>62037.37</v>
      </c>
      <c r="F354" s="70">
        <v>0</v>
      </c>
      <c r="G354" s="70">
        <v>62037.37</v>
      </c>
      <c r="H354" s="70">
        <v>248502.69</v>
      </c>
      <c r="I354" s="112">
        <f t="shared" si="10"/>
        <v>62.037370000000003</v>
      </c>
      <c r="J354" s="112">
        <f t="shared" si="11"/>
        <v>62</v>
      </c>
    </row>
    <row r="355" spans="1:10">
      <c r="A355" s="343" t="s">
        <v>1167</v>
      </c>
      <c r="B355" s="343">
        <v>426117</v>
      </c>
      <c r="C355" t="s">
        <v>1056</v>
      </c>
      <c r="D355" s="70">
        <v>67731.73</v>
      </c>
      <c r="E355" s="70">
        <v>23570.41</v>
      </c>
      <c r="F355" s="70">
        <v>0</v>
      </c>
      <c r="G355" s="70">
        <v>23570.41</v>
      </c>
      <c r="H355" s="70">
        <v>91302.14</v>
      </c>
      <c r="I355" s="112">
        <f t="shared" si="10"/>
        <v>23.570409999999999</v>
      </c>
      <c r="J355" s="112">
        <f t="shared" si="11"/>
        <v>24</v>
      </c>
    </row>
    <row r="356" spans="1:10">
      <c r="A356" s="343" t="s">
        <v>26</v>
      </c>
      <c r="B356" s="343">
        <v>4262</v>
      </c>
      <c r="C356" t="s">
        <v>1168</v>
      </c>
      <c r="D356" s="70">
        <v>1623997.46</v>
      </c>
      <c r="E356" s="70">
        <v>518506.96</v>
      </c>
      <c r="F356" s="70">
        <v>-7872.86</v>
      </c>
      <c r="G356" s="70">
        <v>510634.1</v>
      </c>
      <c r="H356" s="70">
        <v>2134631.56</v>
      </c>
      <c r="I356" s="112">
        <f t="shared" si="10"/>
        <v>510.63409999999999</v>
      </c>
      <c r="J356" s="112">
        <f t="shared" si="11"/>
        <v>511</v>
      </c>
    </row>
    <row r="357" spans="1:10">
      <c r="A357" s="343" t="s">
        <v>1169</v>
      </c>
      <c r="B357" s="343">
        <v>42621</v>
      </c>
      <c r="C357" t="s">
        <v>1061</v>
      </c>
      <c r="D357" s="70">
        <v>269547.53000000003</v>
      </c>
      <c r="E357" s="70">
        <v>70811.039999999994</v>
      </c>
      <c r="F357" s="70">
        <v>0</v>
      </c>
      <c r="G357" s="70">
        <v>70811.039999999994</v>
      </c>
      <c r="H357" s="70">
        <v>340358.57</v>
      </c>
      <c r="I357" s="112">
        <f t="shared" si="10"/>
        <v>70.811039999999991</v>
      </c>
      <c r="J357" s="112">
        <f t="shared" si="11"/>
        <v>71</v>
      </c>
    </row>
    <row r="358" spans="1:10">
      <c r="A358" s="343" t="s">
        <v>1170</v>
      </c>
      <c r="B358" s="343">
        <v>42622</v>
      </c>
      <c r="C358" t="s">
        <v>1063</v>
      </c>
      <c r="D358" s="70">
        <v>184507.05</v>
      </c>
      <c r="E358" s="70">
        <v>70071.789999999994</v>
      </c>
      <c r="F358" s="70">
        <v>0</v>
      </c>
      <c r="G358" s="70">
        <v>70071.789999999994</v>
      </c>
      <c r="H358" s="70">
        <v>254578.84</v>
      </c>
      <c r="I358" s="112">
        <f t="shared" si="10"/>
        <v>70.071789999999993</v>
      </c>
      <c r="J358" s="112">
        <f t="shared" si="11"/>
        <v>70</v>
      </c>
    </row>
    <row r="359" spans="1:10">
      <c r="A359" s="343" t="s">
        <v>1171</v>
      </c>
      <c r="B359" s="343">
        <v>42624</v>
      </c>
      <c r="C359" t="s">
        <v>1172</v>
      </c>
      <c r="D359" s="70">
        <v>172586.82</v>
      </c>
      <c r="E359" s="70">
        <v>51550.39</v>
      </c>
      <c r="F359" s="70">
        <v>0</v>
      </c>
      <c r="G359" s="70">
        <v>51550.39</v>
      </c>
      <c r="H359" s="70">
        <v>224137.21</v>
      </c>
      <c r="I359" s="112">
        <f t="shared" si="10"/>
        <v>51.55039</v>
      </c>
      <c r="J359" s="112">
        <f t="shared" si="11"/>
        <v>52</v>
      </c>
    </row>
    <row r="360" spans="1:10">
      <c r="A360" s="343" t="s">
        <v>1173</v>
      </c>
      <c r="B360" s="343">
        <v>42626</v>
      </c>
      <c r="C360" t="s">
        <v>1174</v>
      </c>
      <c r="D360" s="70">
        <v>51832.08</v>
      </c>
      <c r="E360" s="70">
        <v>26231.26</v>
      </c>
      <c r="F360" s="70">
        <v>-2186.1999999999998</v>
      </c>
      <c r="G360" s="70">
        <v>24045.06</v>
      </c>
      <c r="H360" s="70">
        <v>75877.14</v>
      </c>
      <c r="I360" s="112">
        <f t="shared" si="10"/>
        <v>24.045060000000003</v>
      </c>
      <c r="J360" s="112">
        <f t="shared" si="11"/>
        <v>24</v>
      </c>
    </row>
    <row r="361" spans="1:10">
      <c r="A361" s="343" t="s">
        <v>1175</v>
      </c>
      <c r="B361" s="343">
        <v>42627</v>
      </c>
      <c r="C361" t="s">
        <v>1176</v>
      </c>
      <c r="D361" s="70">
        <v>738686.67</v>
      </c>
      <c r="E361" s="70">
        <v>243764.71</v>
      </c>
      <c r="F361" s="70">
        <v>0</v>
      </c>
      <c r="G361" s="70">
        <v>243764.71</v>
      </c>
      <c r="H361" s="70">
        <v>982451.38</v>
      </c>
      <c r="I361" s="112">
        <f t="shared" si="10"/>
        <v>243.76470999999998</v>
      </c>
      <c r="J361" s="112">
        <f t="shared" si="11"/>
        <v>244</v>
      </c>
    </row>
    <row r="362" spans="1:10">
      <c r="A362" s="343" t="s">
        <v>1177</v>
      </c>
      <c r="B362" s="343">
        <v>42629</v>
      </c>
      <c r="C362" t="s">
        <v>1178</v>
      </c>
      <c r="D362" s="70">
        <v>9340.24</v>
      </c>
      <c r="E362" s="70">
        <v>0</v>
      </c>
      <c r="F362" s="70">
        <v>0</v>
      </c>
      <c r="G362" s="70">
        <v>0</v>
      </c>
      <c r="H362" s="70">
        <v>9340.24</v>
      </c>
      <c r="I362" s="112">
        <f t="shared" si="10"/>
        <v>0</v>
      </c>
      <c r="J362" s="112">
        <f t="shared" si="11"/>
        <v>0</v>
      </c>
    </row>
    <row r="363" spans="1:10">
      <c r="A363" s="343" t="s">
        <v>1179</v>
      </c>
      <c r="B363" s="343">
        <v>426210</v>
      </c>
      <c r="C363" t="s">
        <v>1180</v>
      </c>
      <c r="D363" s="70">
        <v>34780.519999999997</v>
      </c>
      <c r="E363" s="70">
        <v>0</v>
      </c>
      <c r="F363" s="70">
        <v>-5686.66</v>
      </c>
      <c r="G363" s="70">
        <v>-5686.66</v>
      </c>
      <c r="H363" s="70">
        <v>29093.86</v>
      </c>
      <c r="I363" s="112">
        <f t="shared" si="10"/>
        <v>-5.6866599999999998</v>
      </c>
      <c r="J363" s="112">
        <f t="shared" si="11"/>
        <v>-6</v>
      </c>
    </row>
    <row r="364" spans="1:10">
      <c r="A364" s="343" t="s">
        <v>1181</v>
      </c>
      <c r="B364" s="343">
        <v>426214</v>
      </c>
      <c r="C364" t="s">
        <v>1182</v>
      </c>
      <c r="D364" s="70">
        <v>66190.5</v>
      </c>
      <c r="E364" s="70">
        <v>23013.599999999999</v>
      </c>
      <c r="F364" s="70">
        <v>0</v>
      </c>
      <c r="G364" s="70">
        <v>23013.599999999999</v>
      </c>
      <c r="H364" s="70">
        <v>89204.1</v>
      </c>
      <c r="I364" s="112">
        <f t="shared" si="10"/>
        <v>23.0136</v>
      </c>
      <c r="J364" s="112">
        <f t="shared" si="11"/>
        <v>23</v>
      </c>
    </row>
    <row r="365" spans="1:10">
      <c r="A365" s="343" t="s">
        <v>1183</v>
      </c>
      <c r="B365" s="343">
        <v>426215</v>
      </c>
      <c r="C365" t="s">
        <v>1184</v>
      </c>
      <c r="D365" s="70">
        <v>96526.05</v>
      </c>
      <c r="E365" s="70">
        <v>33064.17</v>
      </c>
      <c r="F365" s="70">
        <v>0</v>
      </c>
      <c r="G365" s="70">
        <v>33064.17</v>
      </c>
      <c r="H365" s="70">
        <v>129590.22</v>
      </c>
      <c r="I365" s="112">
        <f t="shared" si="10"/>
        <v>33.064169999999997</v>
      </c>
      <c r="J365" s="112">
        <f t="shared" si="11"/>
        <v>33</v>
      </c>
    </row>
    <row r="366" spans="1:10">
      <c r="A366" s="343" t="s">
        <v>39</v>
      </c>
      <c r="B366" s="343">
        <v>427</v>
      </c>
      <c r="C366" t="s">
        <v>38</v>
      </c>
      <c r="D366" s="70">
        <v>962867.07</v>
      </c>
      <c r="E366" s="70">
        <v>216872.38</v>
      </c>
      <c r="F366" s="70">
        <v>0</v>
      </c>
      <c r="G366" s="70">
        <v>216872.38</v>
      </c>
      <c r="H366" s="70">
        <v>1179739.45</v>
      </c>
      <c r="I366" s="112">
        <f t="shared" si="10"/>
        <v>216.87237999999999</v>
      </c>
      <c r="J366" s="112">
        <f t="shared" si="11"/>
        <v>217</v>
      </c>
    </row>
    <row r="367" spans="1:10">
      <c r="A367" s="343" t="s">
        <v>1185</v>
      </c>
      <c r="B367" s="343">
        <v>42701</v>
      </c>
      <c r="C367" t="s">
        <v>38</v>
      </c>
      <c r="D367" s="70">
        <v>962867.07</v>
      </c>
      <c r="E367" s="70">
        <v>216872.38</v>
      </c>
      <c r="F367" s="70">
        <v>0</v>
      </c>
      <c r="G367" s="70">
        <v>216872.38</v>
      </c>
      <c r="H367" s="70">
        <v>1179739.45</v>
      </c>
      <c r="I367" s="112">
        <f t="shared" si="10"/>
        <v>216.87237999999999</v>
      </c>
      <c r="J367" s="112">
        <f t="shared" si="11"/>
        <v>217</v>
      </c>
    </row>
    <row r="368" spans="1:10">
      <c r="A368" s="343" t="s">
        <v>1186</v>
      </c>
      <c r="B368" s="343">
        <v>42711</v>
      </c>
      <c r="C368" t="s">
        <v>1187</v>
      </c>
      <c r="D368" s="70">
        <v>501</v>
      </c>
      <c r="E368" s="70">
        <v>0</v>
      </c>
      <c r="F368" s="70">
        <v>0</v>
      </c>
      <c r="G368" s="70">
        <v>0</v>
      </c>
      <c r="H368" s="70">
        <v>501</v>
      </c>
      <c r="I368" s="112">
        <f t="shared" si="10"/>
        <v>0</v>
      </c>
      <c r="J368" s="112">
        <f t="shared" si="11"/>
        <v>0</v>
      </c>
    </row>
    <row r="369" spans="1:10">
      <c r="A369" s="343" t="s">
        <v>1188</v>
      </c>
      <c r="B369" s="343">
        <v>42720</v>
      </c>
      <c r="C369" t="s">
        <v>1189</v>
      </c>
      <c r="D369" s="70">
        <v>962366.07</v>
      </c>
      <c r="E369" s="70">
        <v>216872.38</v>
      </c>
      <c r="F369" s="70">
        <v>0</v>
      </c>
      <c r="G369" s="70">
        <v>216872.38</v>
      </c>
      <c r="H369" s="70">
        <v>1179238.45</v>
      </c>
      <c r="I369" s="112">
        <f t="shared" si="10"/>
        <v>216.87237999999999</v>
      </c>
      <c r="J369" s="112">
        <f t="shared" si="11"/>
        <v>217</v>
      </c>
    </row>
    <row r="370" spans="1:10">
      <c r="A370" s="343">
        <v>5</v>
      </c>
      <c r="B370" s="343">
        <v>5</v>
      </c>
      <c r="C370" t="s">
        <v>1190</v>
      </c>
      <c r="D370" s="70">
        <v>2200592.6</v>
      </c>
      <c r="E370" s="70">
        <v>0</v>
      </c>
      <c r="F370" s="70">
        <v>-812746.65</v>
      </c>
      <c r="G370" s="70">
        <v>-812746.65</v>
      </c>
      <c r="H370" s="70">
        <v>1387845.95</v>
      </c>
      <c r="I370" s="112">
        <f t="shared" si="10"/>
        <v>-812.74665000000005</v>
      </c>
      <c r="J370" s="112">
        <f t="shared" si="11"/>
        <v>-813</v>
      </c>
    </row>
    <row r="371" spans="1:10">
      <c r="A371" s="343" t="s">
        <v>1191</v>
      </c>
      <c r="B371" s="343">
        <v>51</v>
      </c>
      <c r="C371" t="s">
        <v>1190</v>
      </c>
      <c r="D371" s="70">
        <v>2200592.6</v>
      </c>
      <c r="E371" s="70">
        <v>0</v>
      </c>
      <c r="F371" s="70">
        <v>-812746.65</v>
      </c>
      <c r="G371" s="70">
        <v>-812746.65</v>
      </c>
      <c r="H371" s="70">
        <v>1387845.95</v>
      </c>
      <c r="I371" s="112">
        <f t="shared" si="10"/>
        <v>-812.74665000000005</v>
      </c>
      <c r="J371" s="112">
        <f t="shared" si="11"/>
        <v>-813</v>
      </c>
    </row>
    <row r="372" spans="1:10">
      <c r="A372" s="343" t="s">
        <v>1192</v>
      </c>
      <c r="B372" s="343">
        <v>511</v>
      </c>
      <c r="C372" t="s">
        <v>1193</v>
      </c>
      <c r="D372" s="70">
        <v>4914444.7699999996</v>
      </c>
      <c r="E372" s="70">
        <v>0</v>
      </c>
      <c r="F372" s="70">
        <v>0</v>
      </c>
      <c r="G372" s="70">
        <v>0</v>
      </c>
      <c r="H372" s="70">
        <v>4914444.7699999996</v>
      </c>
      <c r="I372" s="112">
        <f t="shared" si="10"/>
        <v>0</v>
      </c>
      <c r="J372" s="112">
        <f t="shared" si="11"/>
        <v>0</v>
      </c>
    </row>
    <row r="373" spans="1:10">
      <c r="A373" s="343" t="s">
        <v>1194</v>
      </c>
      <c r="B373" s="343">
        <v>5111</v>
      </c>
      <c r="C373" t="s">
        <v>1195</v>
      </c>
      <c r="D373" s="70">
        <v>1198297.77</v>
      </c>
      <c r="E373" s="70">
        <v>0</v>
      </c>
      <c r="F373" s="70">
        <v>0</v>
      </c>
      <c r="G373" s="70">
        <v>0</v>
      </c>
      <c r="H373" s="70">
        <v>1198297.77</v>
      </c>
      <c r="I373" s="112">
        <f t="shared" si="10"/>
        <v>0</v>
      </c>
      <c r="J373" s="112">
        <f t="shared" si="11"/>
        <v>0</v>
      </c>
    </row>
    <row r="374" spans="1:10">
      <c r="A374" s="343" t="s">
        <v>1196</v>
      </c>
      <c r="B374" s="343">
        <v>5112</v>
      </c>
      <c r="C374" t="s">
        <v>1197</v>
      </c>
      <c r="D374" s="70">
        <v>1804659.7</v>
      </c>
      <c r="E374" s="70">
        <v>0</v>
      </c>
      <c r="F374" s="70">
        <v>0</v>
      </c>
      <c r="G374" s="70">
        <v>0</v>
      </c>
      <c r="H374" s="70">
        <v>1804659.7</v>
      </c>
      <c r="I374" s="112">
        <f t="shared" si="10"/>
        <v>0</v>
      </c>
      <c r="J374" s="112">
        <f t="shared" si="11"/>
        <v>0</v>
      </c>
    </row>
    <row r="375" spans="1:10">
      <c r="A375" s="343" t="s">
        <v>1198</v>
      </c>
      <c r="B375" s="343">
        <v>5114</v>
      </c>
      <c r="C375" t="s">
        <v>1199</v>
      </c>
      <c r="D375" s="70">
        <v>430516.94</v>
      </c>
      <c r="E375" s="70">
        <v>0</v>
      </c>
      <c r="F375" s="70">
        <v>0</v>
      </c>
      <c r="G375" s="70">
        <v>0</v>
      </c>
      <c r="H375" s="70">
        <v>430516.94</v>
      </c>
      <c r="I375" s="112">
        <f t="shared" si="10"/>
        <v>0</v>
      </c>
      <c r="J375" s="112">
        <f t="shared" si="11"/>
        <v>0</v>
      </c>
    </row>
    <row r="376" spans="1:10">
      <c r="A376" s="343" t="s">
        <v>1200</v>
      </c>
      <c r="B376" s="343">
        <v>5116</v>
      </c>
      <c r="C376" t="s">
        <v>1201</v>
      </c>
      <c r="D376" s="70">
        <v>1480970.36</v>
      </c>
      <c r="E376" s="70">
        <v>0</v>
      </c>
      <c r="F376" s="70">
        <v>0</v>
      </c>
      <c r="G376" s="70">
        <v>0</v>
      </c>
      <c r="H376" s="70">
        <v>1480970.36</v>
      </c>
      <c r="I376" s="112">
        <f t="shared" si="10"/>
        <v>0</v>
      </c>
      <c r="J376" s="112">
        <f t="shared" si="11"/>
        <v>0</v>
      </c>
    </row>
    <row r="377" spans="1:10">
      <c r="A377" s="343" t="s">
        <v>1202</v>
      </c>
      <c r="B377" s="343">
        <v>512</v>
      </c>
      <c r="C377" t="s">
        <v>1203</v>
      </c>
      <c r="D377" s="70">
        <v>-2713852.17</v>
      </c>
      <c r="E377" s="70">
        <v>0</v>
      </c>
      <c r="F377" s="70">
        <v>-812746.65</v>
      </c>
      <c r="G377" s="70">
        <v>-812746.65</v>
      </c>
      <c r="H377" s="70">
        <v>-3526598.82</v>
      </c>
      <c r="I377" s="112">
        <f t="shared" si="10"/>
        <v>-812.74665000000005</v>
      </c>
      <c r="J377" s="112">
        <f t="shared" si="11"/>
        <v>-813</v>
      </c>
    </row>
    <row r="378" spans="1:10">
      <c r="A378" s="343" t="s">
        <v>1204</v>
      </c>
      <c r="B378" s="343">
        <v>5123</v>
      </c>
      <c r="C378" t="s">
        <v>1205</v>
      </c>
      <c r="D378" s="70">
        <v>-903438.85</v>
      </c>
      <c r="E378" s="70">
        <v>0</v>
      </c>
      <c r="F378" s="70">
        <v>0</v>
      </c>
      <c r="G378" s="70">
        <v>0</v>
      </c>
      <c r="H378" s="70">
        <v>-903438.85</v>
      </c>
      <c r="I378" s="112">
        <f t="shared" si="10"/>
        <v>0</v>
      </c>
      <c r="J378" s="112">
        <f t="shared" si="11"/>
        <v>0</v>
      </c>
    </row>
    <row r="379" spans="1:10">
      <c r="A379" s="343" t="s">
        <v>1206</v>
      </c>
      <c r="B379" s="343">
        <v>5125</v>
      </c>
      <c r="C379" t="s">
        <v>1207</v>
      </c>
      <c r="D379" s="70">
        <v>-1810413.32</v>
      </c>
      <c r="E379" s="70">
        <v>0</v>
      </c>
      <c r="F379" s="70">
        <v>0</v>
      </c>
      <c r="G379" s="70">
        <v>0</v>
      </c>
      <c r="H379" s="70">
        <v>-1810413.32</v>
      </c>
      <c r="I379" s="112">
        <f t="shared" si="10"/>
        <v>0</v>
      </c>
      <c r="J379" s="112">
        <f t="shared" si="11"/>
        <v>0</v>
      </c>
    </row>
    <row r="380" spans="1:10">
      <c r="A380" s="343" t="s">
        <v>1208</v>
      </c>
      <c r="B380" s="343">
        <v>5127</v>
      </c>
      <c r="C380" t="s">
        <v>1209</v>
      </c>
      <c r="D380" s="70">
        <v>0</v>
      </c>
      <c r="E380" s="70">
        <v>0</v>
      </c>
      <c r="F380" s="70">
        <v>-795077.21</v>
      </c>
      <c r="G380" s="70">
        <v>-795077.21</v>
      </c>
      <c r="H380" s="70">
        <v>-795077.21</v>
      </c>
      <c r="I380" s="112">
        <f t="shared" si="10"/>
        <v>-795.07720999999992</v>
      </c>
      <c r="J380" s="112">
        <f t="shared" si="11"/>
        <v>-795</v>
      </c>
    </row>
    <row r="381" spans="1:10">
      <c r="A381" s="343" t="s">
        <v>1210</v>
      </c>
      <c r="B381" s="343">
        <v>5128</v>
      </c>
      <c r="C381" t="s">
        <v>1211</v>
      </c>
      <c r="D381" s="70">
        <v>0</v>
      </c>
      <c r="E381" s="70">
        <v>0</v>
      </c>
      <c r="F381" s="70">
        <v>-17669.439999999999</v>
      </c>
      <c r="G381" s="70">
        <v>-17669.439999999999</v>
      </c>
      <c r="H381" s="70">
        <v>-17669.439999999999</v>
      </c>
      <c r="I381" s="112">
        <f t="shared" si="10"/>
        <v>-17.669439999999998</v>
      </c>
      <c r="J381" s="112">
        <f t="shared" si="11"/>
        <v>-18</v>
      </c>
    </row>
  </sheetData>
  <autoFilter ref="A7:H7" xr:uid="{00000000-0009-0000-0000-000009000000}"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91"/>
  <sheetViews>
    <sheetView zoomScale="115" zoomScaleNormal="115" workbookViewId="0">
      <selection activeCell="C41" sqref="C41"/>
    </sheetView>
  </sheetViews>
  <sheetFormatPr defaultColWidth="28" defaultRowHeight="14.45"/>
  <cols>
    <col min="1" max="1" width="32.7109375" customWidth="1"/>
    <col min="4" max="4" width="10.140625" bestFit="1" customWidth="1"/>
    <col min="7" max="7" width="8.7109375" bestFit="1" customWidth="1"/>
  </cols>
  <sheetData>
    <row r="1" spans="1:7" ht="15.6">
      <c r="A1" s="666" t="s">
        <v>1212</v>
      </c>
    </row>
    <row r="3" spans="1:7" ht="15" thickBot="1">
      <c r="A3" s="642"/>
      <c r="B3" s="640" t="s">
        <v>1</v>
      </c>
      <c r="C3" s="643">
        <v>45473</v>
      </c>
      <c r="D3" s="645"/>
      <c r="E3" s="645"/>
      <c r="F3" s="643">
        <v>45291</v>
      </c>
    </row>
    <row r="4" spans="1:7" ht="15" thickTop="1">
      <c r="A4" s="645" t="s">
        <v>49</v>
      </c>
      <c r="B4" s="642"/>
      <c r="C4" s="642"/>
      <c r="D4" s="642"/>
      <c r="E4" s="642"/>
      <c r="F4" s="642"/>
    </row>
    <row r="5" spans="1:7">
      <c r="A5" s="642"/>
      <c r="B5" s="642"/>
      <c r="C5" s="642"/>
      <c r="D5" s="642"/>
      <c r="E5" s="642"/>
      <c r="F5" s="642"/>
    </row>
    <row r="6" spans="1:7">
      <c r="A6" s="645" t="s">
        <v>50</v>
      </c>
      <c r="B6" s="642"/>
      <c r="C6" s="642"/>
      <c r="D6" s="642"/>
      <c r="E6" s="642"/>
      <c r="F6" s="642"/>
    </row>
    <row r="7" spans="1:7">
      <c r="A7" s="646" t="s">
        <v>51</v>
      </c>
      <c r="B7" s="647">
        <v>5</v>
      </c>
      <c r="C7" s="648">
        <v>47335</v>
      </c>
      <c r="D7" s="648">
        <f>C7-BP!F11</f>
        <v>13916</v>
      </c>
      <c r="E7" s="648"/>
      <c r="F7" s="648">
        <v>33538</v>
      </c>
      <c r="G7" s="595">
        <f>F7-BP!H11</f>
        <v>-10979</v>
      </c>
    </row>
    <row r="8" spans="1:7">
      <c r="A8" s="649" t="s">
        <v>1213</v>
      </c>
      <c r="B8" s="647">
        <v>6</v>
      </c>
      <c r="C8" s="648">
        <v>2674</v>
      </c>
      <c r="D8" s="648">
        <f>C8-BP!F12</f>
        <v>2412</v>
      </c>
      <c r="E8" s="648"/>
      <c r="F8" s="648">
        <v>3614</v>
      </c>
      <c r="G8" s="595">
        <f>F8-BP!H12</f>
        <v>2504</v>
      </c>
    </row>
    <row r="9" spans="1:7">
      <c r="A9" s="646" t="s">
        <v>55</v>
      </c>
      <c r="B9" s="647">
        <v>7</v>
      </c>
      <c r="C9" s="648">
        <v>3028</v>
      </c>
      <c r="D9" s="648">
        <f>C9-BP!F13</f>
        <v>-1284</v>
      </c>
      <c r="E9" s="648"/>
      <c r="F9" s="642">
        <v>750</v>
      </c>
      <c r="G9" s="595">
        <f>F9-BP!H13</f>
        <v>116</v>
      </c>
    </row>
    <row r="10" spans="1:7" ht="15" thickBot="1">
      <c r="A10" s="646" t="s">
        <v>176</v>
      </c>
      <c r="B10" s="647">
        <v>8</v>
      </c>
      <c r="C10" s="648">
        <v>4692</v>
      </c>
      <c r="D10" s="648">
        <f>C10-BP!F14</f>
        <v>40</v>
      </c>
      <c r="E10" s="648"/>
      <c r="F10" s="648">
        <v>2178</v>
      </c>
      <c r="G10" s="595">
        <f>F10-BP!H14</f>
        <v>-5632</v>
      </c>
    </row>
    <row r="11" spans="1:7" ht="15" thickBot="1">
      <c r="A11" s="642"/>
      <c r="B11" s="642"/>
      <c r="C11" s="650">
        <v>57729</v>
      </c>
      <c r="D11" s="648">
        <f>C11-BP!F16</f>
        <v>14977</v>
      </c>
      <c r="E11" s="648"/>
      <c r="F11" s="650">
        <v>40080</v>
      </c>
      <c r="G11" s="595">
        <f>F11-BP!H16</f>
        <v>-13991</v>
      </c>
    </row>
    <row r="12" spans="1:7">
      <c r="A12" s="642"/>
      <c r="B12" s="642"/>
      <c r="C12" s="626"/>
      <c r="D12" s="642"/>
      <c r="E12" s="642"/>
      <c r="F12" s="626"/>
    </row>
    <row r="13" spans="1:7">
      <c r="A13" s="645" t="s">
        <v>60</v>
      </c>
      <c r="B13" s="642"/>
      <c r="C13" s="626"/>
      <c r="D13" s="642"/>
      <c r="E13" s="642"/>
      <c r="F13" s="626"/>
    </row>
    <row r="14" spans="1:7">
      <c r="A14" s="646" t="s">
        <v>1213</v>
      </c>
      <c r="B14" s="647">
        <v>6</v>
      </c>
      <c r="C14" s="642">
        <v>188</v>
      </c>
      <c r="D14" s="642">
        <f>C14-BP!F19</f>
        <v>-3496</v>
      </c>
      <c r="E14" s="642"/>
      <c r="F14" s="642">
        <v>180</v>
      </c>
      <c r="G14">
        <f>F14-BP!H19</f>
        <v>-2831</v>
      </c>
    </row>
    <row r="15" spans="1:7">
      <c r="A15" s="646" t="s">
        <v>62</v>
      </c>
      <c r="B15" s="647">
        <v>9</v>
      </c>
      <c r="C15" s="648">
        <v>5754</v>
      </c>
      <c r="D15" s="642">
        <f>C15-BP!F20</f>
        <v>-1063</v>
      </c>
      <c r="E15" s="642"/>
      <c r="F15" s="648">
        <v>5600</v>
      </c>
      <c r="G15">
        <f>F15-BP!H20</f>
        <v>328</v>
      </c>
    </row>
    <row r="16" spans="1:7">
      <c r="A16" s="646" t="s">
        <v>65</v>
      </c>
      <c r="B16" s="647">
        <v>10</v>
      </c>
      <c r="C16" s="648">
        <v>5348</v>
      </c>
      <c r="D16" s="648">
        <f>C16-BP!F22</f>
        <v>-179</v>
      </c>
      <c r="E16" s="642"/>
      <c r="F16" s="648">
        <v>5515</v>
      </c>
      <c r="G16" s="595">
        <f>F16-BP!H22</f>
        <v>-354</v>
      </c>
    </row>
    <row r="17" spans="1:7">
      <c r="A17" s="649" t="s">
        <v>67</v>
      </c>
      <c r="B17" s="647">
        <v>11</v>
      </c>
      <c r="C17" s="648">
        <v>16347</v>
      </c>
      <c r="D17" s="648">
        <f>C17-BP!F23</f>
        <v>4526</v>
      </c>
      <c r="E17" s="642"/>
      <c r="F17" s="648">
        <v>17709</v>
      </c>
      <c r="G17" s="595">
        <f>F17-BP!H23</f>
        <v>4410</v>
      </c>
    </row>
    <row r="18" spans="1:7" ht="15" thickBot="1">
      <c r="A18" s="646" t="s">
        <v>69</v>
      </c>
      <c r="B18" s="647">
        <v>12</v>
      </c>
      <c r="C18" s="648">
        <v>2029</v>
      </c>
      <c r="D18" s="648">
        <f>C18-BP!F24</f>
        <v>324</v>
      </c>
      <c r="E18" s="642"/>
      <c r="F18" s="648">
        <v>2676</v>
      </c>
      <c r="G18" s="595">
        <f>F18-BP!H24</f>
        <v>1492</v>
      </c>
    </row>
    <row r="19" spans="1:7" ht="15" thickBot="1">
      <c r="A19" s="642"/>
      <c r="B19" s="642"/>
      <c r="C19" s="650">
        <v>29666</v>
      </c>
      <c r="D19" s="648">
        <f>C19-BP!F25</f>
        <v>112</v>
      </c>
      <c r="E19" s="642"/>
      <c r="F19" s="650">
        <v>31680</v>
      </c>
      <c r="G19" s="595">
        <f>F19-BP!H25</f>
        <v>3045</v>
      </c>
    </row>
    <row r="20" spans="1:7">
      <c r="A20" s="642"/>
      <c r="B20" s="642"/>
      <c r="C20" s="626"/>
      <c r="D20" s="642"/>
      <c r="E20" s="642"/>
      <c r="F20" s="626"/>
    </row>
    <row r="21" spans="1:7" ht="15" thickBot="1">
      <c r="A21" s="642"/>
      <c r="B21" s="642"/>
      <c r="C21" s="626"/>
      <c r="D21" s="642"/>
      <c r="E21" s="642"/>
      <c r="F21" s="626"/>
    </row>
    <row r="22" spans="1:7" ht="15" thickBot="1">
      <c r="A22" s="645" t="s">
        <v>71</v>
      </c>
      <c r="B22" s="626"/>
      <c r="C22" s="651">
        <v>87395</v>
      </c>
      <c r="D22" s="652">
        <f>C22-BP!F28</f>
        <v>15089</v>
      </c>
      <c r="E22" s="626"/>
      <c r="F22" s="651">
        <v>71760</v>
      </c>
      <c r="G22" s="595">
        <f>F22-BP!H28</f>
        <v>-10946</v>
      </c>
    </row>
    <row r="23" spans="1:7" ht="15" thickTop="1">
      <c r="A23" s="642"/>
      <c r="B23" s="642"/>
      <c r="C23" s="626"/>
      <c r="D23" s="645"/>
      <c r="E23" s="645"/>
      <c r="F23" s="626"/>
    </row>
    <row r="24" spans="1:7">
      <c r="A24" s="645" t="s">
        <v>72</v>
      </c>
      <c r="B24" s="642"/>
      <c r="C24" s="642"/>
      <c r="D24" s="642"/>
      <c r="E24" s="642"/>
      <c r="F24" s="642"/>
    </row>
    <row r="25" spans="1:7">
      <c r="A25" s="645" t="s">
        <v>50</v>
      </c>
      <c r="B25" s="642"/>
      <c r="C25" s="642"/>
      <c r="D25" s="642"/>
      <c r="E25" s="642"/>
      <c r="F25" s="642"/>
    </row>
    <row r="26" spans="1:7">
      <c r="A26" s="649" t="s">
        <v>73</v>
      </c>
      <c r="B26" s="647">
        <v>13</v>
      </c>
      <c r="C26" s="648">
        <v>1061</v>
      </c>
      <c r="D26" s="648">
        <f>C26-BP!F32</f>
        <v>-104</v>
      </c>
      <c r="E26" s="642"/>
      <c r="F26" s="642">
        <v>883</v>
      </c>
      <c r="G26">
        <f>F26-BP!H32</f>
        <v>687</v>
      </c>
    </row>
    <row r="27" spans="1:7">
      <c r="A27" s="646" t="s">
        <v>74</v>
      </c>
      <c r="B27" s="647">
        <v>14</v>
      </c>
      <c r="C27" s="648">
        <v>3045</v>
      </c>
      <c r="D27" s="648">
        <f>C27-BP!F33</f>
        <v>-129</v>
      </c>
      <c r="E27" s="642"/>
      <c r="F27" s="648">
        <v>2881</v>
      </c>
      <c r="G27">
        <f>F27-BP!H33</f>
        <v>-2408</v>
      </c>
    </row>
    <row r="28" spans="1:7">
      <c r="A28" s="646" t="s">
        <v>76</v>
      </c>
      <c r="B28" s="647">
        <v>15</v>
      </c>
      <c r="C28" s="648">
        <v>21049</v>
      </c>
      <c r="D28" s="648">
        <f>C28-BP!F34</f>
        <v>-10854</v>
      </c>
      <c r="E28" s="642"/>
      <c r="F28" s="648">
        <v>15302</v>
      </c>
      <c r="G28">
        <f>F28-BP!H34</f>
        <v>-9713</v>
      </c>
    </row>
    <row r="29" spans="1:7">
      <c r="A29" s="1078" t="s">
        <v>79</v>
      </c>
      <c r="B29" s="1078"/>
      <c r="C29" s="642">
        <v>27</v>
      </c>
      <c r="D29" s="648">
        <f>C29-BP!F36</f>
        <v>-41</v>
      </c>
      <c r="E29" s="642"/>
      <c r="F29" s="642">
        <v>30</v>
      </c>
      <c r="G29">
        <f>F29-BP!H36</f>
        <v>-37</v>
      </c>
    </row>
    <row r="30" spans="1:7">
      <c r="A30" s="646" t="s">
        <v>81</v>
      </c>
      <c r="B30" s="647">
        <v>17</v>
      </c>
      <c r="C30" s="642">
        <v>798</v>
      </c>
      <c r="D30" s="648">
        <f>C30-BP!F37</f>
        <v>-262</v>
      </c>
      <c r="E30" s="642"/>
      <c r="F30" s="642">
        <v>698</v>
      </c>
      <c r="G30">
        <f>F30-BP!H37</f>
        <v>698</v>
      </c>
    </row>
    <row r="31" spans="1:7" ht="15" thickBot="1">
      <c r="A31" s="646" t="s">
        <v>1214</v>
      </c>
      <c r="B31" s="647">
        <v>11</v>
      </c>
      <c r="C31" s="648">
        <v>2607</v>
      </c>
      <c r="D31" s="648">
        <f>C31-BP!F38</f>
        <v>-528</v>
      </c>
      <c r="E31" s="642"/>
      <c r="F31" s="648">
        <v>2544</v>
      </c>
      <c r="G31">
        <f>F31-BP!H38</f>
        <v>-515</v>
      </c>
    </row>
    <row r="32" spans="1:7" ht="15" thickBot="1">
      <c r="A32" s="642"/>
      <c r="B32" s="642"/>
      <c r="C32" s="650">
        <v>28587</v>
      </c>
      <c r="D32" s="652">
        <f>C32-BP!F39</f>
        <v>-11918</v>
      </c>
      <c r="E32" s="626"/>
      <c r="F32" s="650">
        <v>22338</v>
      </c>
      <c r="G32">
        <f>F32-BP!H39</f>
        <v>-11288</v>
      </c>
    </row>
    <row r="33" spans="1:7">
      <c r="A33" s="642"/>
      <c r="B33" s="642"/>
      <c r="C33" s="626"/>
      <c r="D33" s="642"/>
      <c r="E33" s="642"/>
      <c r="F33" s="626"/>
    </row>
    <row r="34" spans="1:7">
      <c r="A34" s="645" t="s">
        <v>60</v>
      </c>
      <c r="B34" s="642"/>
      <c r="C34" s="626"/>
      <c r="D34" s="642"/>
      <c r="E34" s="642"/>
      <c r="F34" s="626"/>
    </row>
    <row r="35" spans="1:7">
      <c r="A35" s="646" t="s">
        <v>78</v>
      </c>
      <c r="B35" s="647">
        <v>16</v>
      </c>
      <c r="C35" s="648">
        <v>11181</v>
      </c>
      <c r="D35" s="648">
        <f>C35-BP!F42</f>
        <v>1431</v>
      </c>
      <c r="E35" s="642"/>
      <c r="F35" s="648">
        <v>11016</v>
      </c>
      <c r="G35" s="595">
        <f>F35-BP!H42</f>
        <v>-1432</v>
      </c>
    </row>
    <row r="36" spans="1:7" ht="15" thickBot="1">
      <c r="A36" s="646" t="s">
        <v>1214</v>
      </c>
      <c r="B36" s="647">
        <v>11</v>
      </c>
      <c r="C36" s="648">
        <v>15124</v>
      </c>
      <c r="D36" s="648">
        <f>C36-BP!F43</f>
        <v>4748</v>
      </c>
      <c r="E36" s="642"/>
      <c r="F36" s="648">
        <v>16443</v>
      </c>
      <c r="G36" s="595">
        <f>F36-BP!H43</f>
        <v>4481</v>
      </c>
    </row>
    <row r="37" spans="1:7" ht="15" thickBot="1">
      <c r="A37" s="646"/>
      <c r="B37" s="647"/>
      <c r="C37" s="650">
        <v>26305</v>
      </c>
      <c r="D37" s="648">
        <f>C37-BP!F44</f>
        <v>6179</v>
      </c>
      <c r="E37" s="626"/>
      <c r="F37" s="650">
        <v>27459</v>
      </c>
      <c r="G37" s="595">
        <f>F37-BP!H44</f>
        <v>3049</v>
      </c>
    </row>
    <row r="38" spans="1:7">
      <c r="A38" s="642"/>
      <c r="B38" s="647"/>
      <c r="C38" s="626"/>
      <c r="D38" s="642"/>
      <c r="E38" s="642"/>
      <c r="F38" s="626"/>
    </row>
    <row r="39" spans="1:7">
      <c r="A39" s="645" t="s">
        <v>87</v>
      </c>
      <c r="B39" s="647"/>
      <c r="C39" s="626"/>
      <c r="D39" s="642"/>
      <c r="E39" s="642"/>
      <c r="F39" s="626"/>
    </row>
    <row r="40" spans="1:7">
      <c r="A40" s="646" t="s">
        <v>88</v>
      </c>
      <c r="B40" s="647">
        <v>18</v>
      </c>
      <c r="C40" s="648">
        <v>31458</v>
      </c>
      <c r="D40" s="648">
        <f>C40-BP!F47</f>
        <v>-4696</v>
      </c>
      <c r="E40" s="642"/>
      <c r="F40" s="648">
        <v>31019</v>
      </c>
      <c r="G40" s="595">
        <f>F40-BP!H47</f>
        <v>-3425</v>
      </c>
    </row>
    <row r="41" spans="1:7" ht="26.45">
      <c r="A41" s="646" t="s">
        <v>91</v>
      </c>
      <c r="B41" s="647">
        <v>19</v>
      </c>
      <c r="C41" s="642">
        <v>690</v>
      </c>
      <c r="D41" s="648">
        <f>C41-BP!F49</f>
        <v>-997</v>
      </c>
      <c r="E41" s="642"/>
      <c r="F41" s="642">
        <v>439</v>
      </c>
      <c r="G41" s="595">
        <f>F41-BP!H49</f>
        <v>-1272</v>
      </c>
    </row>
    <row r="42" spans="1:7" ht="15" thickBot="1">
      <c r="A42" s="646" t="s">
        <v>93</v>
      </c>
      <c r="B42" s="647">
        <v>20</v>
      </c>
      <c r="C42" s="642">
        <v>355</v>
      </c>
      <c r="D42" s="648">
        <f>C42-BP!F50</f>
        <v>26521</v>
      </c>
      <c r="E42" s="642"/>
      <c r="F42" s="648">
        <v>-9495</v>
      </c>
      <c r="G42" s="595">
        <f>F42-BP!H50</f>
        <v>1990</v>
      </c>
    </row>
    <row r="43" spans="1:7" ht="15" thickBot="1">
      <c r="A43" s="642"/>
      <c r="B43" s="642"/>
      <c r="C43" s="650">
        <v>32503</v>
      </c>
      <c r="D43" s="648">
        <f>C43-BP!F51</f>
        <v>20828</v>
      </c>
      <c r="E43" s="642"/>
      <c r="F43" s="650">
        <v>21963</v>
      </c>
      <c r="G43" s="595">
        <f>F43-BP!H51</f>
        <v>-2707</v>
      </c>
    </row>
    <row r="44" spans="1:7">
      <c r="A44" s="642"/>
      <c r="B44" s="642"/>
      <c r="C44" s="626"/>
      <c r="D44" s="642"/>
      <c r="E44" s="642"/>
      <c r="F44" s="626"/>
    </row>
    <row r="45" spans="1:7" ht="15" thickBot="1">
      <c r="A45" s="642"/>
      <c r="B45" s="642"/>
      <c r="C45" s="645"/>
      <c r="D45" s="642"/>
      <c r="E45" s="642"/>
      <c r="F45" s="626"/>
    </row>
    <row r="46" spans="1:7" ht="15" thickBot="1">
      <c r="A46" s="1077" t="s">
        <v>95</v>
      </c>
      <c r="B46" s="1077"/>
      <c r="C46" s="651">
        <v>87395</v>
      </c>
      <c r="D46" s="652">
        <f>C46-BP!F54</f>
        <v>15089</v>
      </c>
      <c r="E46" s="626"/>
      <c r="F46" s="651">
        <v>71760</v>
      </c>
      <c r="G46" s="595">
        <f>F46-BP!H54</f>
        <v>-10946</v>
      </c>
    </row>
    <row r="47" spans="1:7" ht="15" thickTop="1"/>
    <row r="49" spans="1:8" ht="15.6">
      <c r="A49" s="666" t="s">
        <v>1215</v>
      </c>
    </row>
    <row r="51" spans="1:8" ht="15" thickBot="1">
      <c r="A51" s="642"/>
      <c r="B51" s="642"/>
      <c r="C51" s="640" t="s">
        <v>1</v>
      </c>
      <c r="D51" s="643">
        <v>45473</v>
      </c>
      <c r="E51" s="645"/>
      <c r="F51" s="645"/>
      <c r="G51" s="1076" t="s">
        <v>1216</v>
      </c>
      <c r="H51" s="1076"/>
    </row>
    <row r="52" spans="1:8" ht="27" thickTop="1">
      <c r="A52" s="645" t="s">
        <v>4</v>
      </c>
      <c r="B52" s="642"/>
      <c r="C52" s="640"/>
      <c r="D52" s="642" t="s">
        <v>1217</v>
      </c>
      <c r="E52" s="626"/>
      <c r="F52" s="626"/>
      <c r="G52" s="642" t="s">
        <v>1217</v>
      </c>
      <c r="H52" s="644"/>
    </row>
    <row r="53" spans="1:8" ht="15.6">
      <c r="A53" s="654"/>
      <c r="B53" s="642"/>
      <c r="C53" s="640"/>
      <c r="D53" s="642"/>
      <c r="E53" s="626"/>
      <c r="F53" s="626"/>
      <c r="G53" s="642"/>
      <c r="H53" s="644"/>
    </row>
    <row r="54" spans="1:8" ht="15.6">
      <c r="A54" s="1077" t="s">
        <v>5</v>
      </c>
      <c r="B54" s="1077"/>
      <c r="C54" s="647">
        <v>22</v>
      </c>
      <c r="D54" s="642"/>
      <c r="E54" s="642"/>
      <c r="F54" s="642"/>
      <c r="G54" s="642"/>
      <c r="H54" s="644"/>
    </row>
    <row r="55" spans="1:8" ht="15.6">
      <c r="A55" s="646" t="s">
        <v>976</v>
      </c>
      <c r="B55" s="642"/>
      <c r="C55" s="647"/>
      <c r="D55" s="648">
        <v>-28358</v>
      </c>
      <c r="E55" s="648">
        <f>D55-DRE!G12</f>
        <v>24358</v>
      </c>
      <c r="F55" s="642"/>
      <c r="G55" s="648">
        <v>-22362</v>
      </c>
      <c r="H55" s="665">
        <f>G55-DRE!K12</f>
        <v>26648</v>
      </c>
    </row>
    <row r="56" spans="1:8" ht="15.6">
      <c r="A56" s="646" t="s">
        <v>8</v>
      </c>
      <c r="B56" s="642"/>
      <c r="C56" s="647"/>
      <c r="D56" s="648">
        <v>-8312</v>
      </c>
      <c r="E56" s="648">
        <f>D56-DRE!G13</f>
        <v>-8312</v>
      </c>
      <c r="F56" s="642"/>
      <c r="G56" s="648">
        <v>-6504</v>
      </c>
      <c r="H56" s="665">
        <f>G56-DRE!K13</f>
        <v>-6504</v>
      </c>
    </row>
    <row r="57" spans="1:8" ht="15.6">
      <c r="A57" s="646" t="s">
        <v>9</v>
      </c>
      <c r="B57" s="642"/>
      <c r="C57" s="647"/>
      <c r="D57" s="648">
        <v>-4426</v>
      </c>
      <c r="E57" s="648">
        <f>D57-DRE!G14</f>
        <v>-4426</v>
      </c>
      <c r="F57" s="642"/>
      <c r="G57" s="648">
        <v>-3070</v>
      </c>
      <c r="H57" s="665">
        <f>G57-DRE!K14</f>
        <v>-3070</v>
      </c>
    </row>
    <row r="58" spans="1:8" ht="15.6">
      <c r="A58" s="646" t="s">
        <v>11</v>
      </c>
      <c r="B58" s="642"/>
      <c r="C58" s="647"/>
      <c r="D58" s="648">
        <v>-5892</v>
      </c>
      <c r="E58" s="648">
        <f>D58-DRE!G16</f>
        <v>-844</v>
      </c>
      <c r="F58" s="642"/>
      <c r="G58" s="648">
        <v>-5281</v>
      </c>
      <c r="H58" s="665">
        <f>G58-DRE!K16</f>
        <v>-1651</v>
      </c>
    </row>
    <row r="59" spans="1:8" ht="15.6">
      <c r="A59" s="1078" t="s">
        <v>13</v>
      </c>
      <c r="B59" s="1078"/>
      <c r="C59" s="1078"/>
      <c r="D59" s="648">
        <v>-1299</v>
      </c>
      <c r="E59" s="648">
        <f>D59-DRE!G17</f>
        <v>-7</v>
      </c>
      <c r="F59" s="642"/>
      <c r="G59" s="648">
        <v>-1198</v>
      </c>
      <c r="H59" s="665">
        <f>G59-DRE!K17</f>
        <v>171</v>
      </c>
    </row>
    <row r="60" spans="1:8" ht="15.6">
      <c r="A60" s="646" t="s">
        <v>15</v>
      </c>
      <c r="B60" s="642"/>
      <c r="C60" s="647"/>
      <c r="D60" s="648">
        <v>-1687</v>
      </c>
      <c r="E60" s="648">
        <f>D60-DRE!G18</f>
        <v>867</v>
      </c>
      <c r="F60" s="642"/>
      <c r="G60" s="648">
        <v>-1948</v>
      </c>
      <c r="H60" s="665">
        <f>G60-DRE!K18</f>
        <v>-491</v>
      </c>
    </row>
    <row r="61" spans="1:8" ht="16.149999999999999" thickBot="1">
      <c r="A61" s="646" t="s">
        <v>17</v>
      </c>
      <c r="B61" s="642"/>
      <c r="C61" s="647"/>
      <c r="D61" s="642">
        <v>-189</v>
      </c>
      <c r="E61" s="648">
        <f>D61-DRE!G19</f>
        <v>-3</v>
      </c>
      <c r="F61" s="642"/>
      <c r="G61" s="642">
        <v>-169</v>
      </c>
      <c r="H61" s="665">
        <f>G61-DRE!K19</f>
        <v>20</v>
      </c>
    </row>
    <row r="62" spans="1:8" ht="16.899999999999999" thickTop="1" thickBot="1">
      <c r="A62" s="642"/>
      <c r="B62" s="642"/>
      <c r="C62" s="647"/>
      <c r="D62" s="655">
        <v>-50163</v>
      </c>
      <c r="E62" s="648">
        <f>D62-DRE!G20</f>
        <v>11633</v>
      </c>
      <c r="F62" s="626"/>
      <c r="G62" s="655">
        <v>-40532</v>
      </c>
      <c r="H62" s="665">
        <f>G62-DRE!K20</f>
        <v>15123</v>
      </c>
    </row>
    <row r="63" spans="1:8" ht="16.149999999999999" thickBot="1">
      <c r="A63" s="642"/>
      <c r="B63" s="642"/>
      <c r="C63" s="647"/>
      <c r="D63" s="656"/>
      <c r="E63" s="656"/>
      <c r="F63" s="656"/>
      <c r="G63" s="656"/>
      <c r="H63" s="644"/>
    </row>
    <row r="64" spans="1:8" ht="16.149999999999999" thickBot="1">
      <c r="A64" s="645" t="s">
        <v>19</v>
      </c>
      <c r="B64" s="642"/>
      <c r="C64" s="640"/>
      <c r="D64" s="650">
        <v>-50163</v>
      </c>
      <c r="E64" s="648">
        <f>D64-DRE!G22</f>
        <v>11633</v>
      </c>
      <c r="F64" s="642"/>
      <c r="G64" s="650">
        <v>-40532</v>
      </c>
      <c r="H64" s="665">
        <f>G64-DRE!K22</f>
        <v>15123</v>
      </c>
    </row>
    <row r="65" spans="1:8" ht="15.6">
      <c r="A65" s="654"/>
      <c r="B65" s="642"/>
      <c r="C65" s="647"/>
      <c r="D65" s="642"/>
      <c r="E65" s="642"/>
      <c r="F65" s="642"/>
      <c r="G65" s="642"/>
      <c r="H65" s="644"/>
    </row>
    <row r="66" spans="1:8" ht="15.6">
      <c r="A66" s="645" t="s">
        <v>20</v>
      </c>
      <c r="B66" s="642"/>
      <c r="C66" s="647">
        <v>22</v>
      </c>
      <c r="D66" s="642"/>
      <c r="E66" s="642"/>
      <c r="F66" s="642"/>
      <c r="G66" s="642"/>
      <c r="H66" s="644"/>
    </row>
    <row r="67" spans="1:8" ht="15.6">
      <c r="A67" s="646" t="s">
        <v>976</v>
      </c>
      <c r="B67" s="642"/>
      <c r="C67" s="647"/>
      <c r="D67" s="648">
        <v>-11689</v>
      </c>
      <c r="E67" s="648">
        <f>D67-DRE!G25</f>
        <v>13381</v>
      </c>
      <c r="F67" s="642"/>
      <c r="G67" s="648">
        <v>-8947</v>
      </c>
      <c r="H67" s="665">
        <f>G67-DRE!K25</f>
        <v>13831</v>
      </c>
    </row>
    <row r="68" spans="1:8" ht="15.6">
      <c r="A68" s="646" t="s">
        <v>8</v>
      </c>
      <c r="B68" s="642"/>
      <c r="C68" s="647"/>
      <c r="D68" s="648">
        <v>-3186</v>
      </c>
      <c r="E68" s="648">
        <f>D68-DRE!G26</f>
        <v>-3186</v>
      </c>
      <c r="F68" s="642"/>
      <c r="G68" s="648">
        <v>-2599</v>
      </c>
      <c r="H68" s="665">
        <f>G68-DRE!K26</f>
        <v>-2599</v>
      </c>
    </row>
    <row r="69" spans="1:8" ht="15.6">
      <c r="A69" s="646" t="s">
        <v>9</v>
      </c>
      <c r="B69" s="642"/>
      <c r="C69" s="647"/>
      <c r="D69" s="648">
        <v>-2049</v>
      </c>
      <c r="E69" s="648">
        <f>D69-DRE!G27</f>
        <v>-2049</v>
      </c>
      <c r="F69" s="642"/>
      <c r="G69" s="648">
        <v>-1350</v>
      </c>
      <c r="H69" s="665">
        <f>G69-DRE!K27</f>
        <v>-1350</v>
      </c>
    </row>
    <row r="70" spans="1:8" ht="15.6">
      <c r="A70" s="646" t="s">
        <v>10</v>
      </c>
      <c r="B70" s="642"/>
      <c r="C70" s="647"/>
      <c r="D70" s="642">
        <v>-11</v>
      </c>
      <c r="E70" s="648">
        <f>D70-DRE!G28</f>
        <v>11</v>
      </c>
      <c r="F70" s="642"/>
      <c r="G70" s="642">
        <v>-16</v>
      </c>
      <c r="H70" s="665">
        <f>G70-DRE!K28</f>
        <v>32</v>
      </c>
    </row>
    <row r="71" spans="1:8" ht="15.6">
      <c r="A71" s="646" t="s">
        <v>11</v>
      </c>
      <c r="B71" s="642"/>
      <c r="C71" s="647"/>
      <c r="D71" s="648">
        <v>-3109</v>
      </c>
      <c r="E71" s="648">
        <f>D71-DRE!G29</f>
        <v>1185</v>
      </c>
      <c r="F71" s="642"/>
      <c r="G71" s="648">
        <v>-2647</v>
      </c>
      <c r="H71" s="665">
        <f>G71-DRE!K29</f>
        <v>746</v>
      </c>
    </row>
    <row r="72" spans="1:8" ht="15.6">
      <c r="A72" s="646" t="s">
        <v>17</v>
      </c>
      <c r="B72" s="642"/>
      <c r="C72" s="647"/>
      <c r="D72" s="648">
        <v>-1260</v>
      </c>
      <c r="E72" s="648">
        <f>D72-DRE!G32</f>
        <v>-806</v>
      </c>
      <c r="F72" s="642"/>
      <c r="G72" s="642">
        <v>-234</v>
      </c>
      <c r="H72" s="665">
        <f>G72-DRE!K32</f>
        <v>-131</v>
      </c>
    </row>
    <row r="73" spans="1:8" ht="15.6">
      <c r="A73" s="1078" t="s">
        <v>13</v>
      </c>
      <c r="B73" s="1078"/>
      <c r="C73" s="1078"/>
      <c r="D73" s="648">
        <v>-3442</v>
      </c>
      <c r="E73" s="648">
        <f>D73-DRE!G30</f>
        <v>-161</v>
      </c>
      <c r="F73" s="642"/>
      <c r="G73" s="648">
        <v>-3525</v>
      </c>
      <c r="H73" s="665">
        <f>G73-DRE!K30</f>
        <v>-95</v>
      </c>
    </row>
    <row r="74" spans="1:8" ht="15" customHeight="1">
      <c r="A74" s="646" t="s">
        <v>15</v>
      </c>
      <c r="B74" s="1079"/>
      <c r="C74" s="1080"/>
      <c r="D74" s="648">
        <v>-1322</v>
      </c>
      <c r="E74" s="664">
        <f>D74-DRE!G31</f>
        <v>1105</v>
      </c>
      <c r="F74" s="1079"/>
      <c r="G74" s="648">
        <v>-1624</v>
      </c>
      <c r="H74" s="665">
        <f>G74-DRE!K31</f>
        <v>-374</v>
      </c>
    </row>
    <row r="75" spans="1:8" ht="15.75" customHeight="1" thickBot="1">
      <c r="A75" s="646" t="s">
        <v>1218</v>
      </c>
      <c r="B75" s="1079"/>
      <c r="C75" s="1080"/>
      <c r="D75" s="642">
        <v>-694</v>
      </c>
      <c r="E75" s="646" t="e">
        <f>D75-DRE!#REF!</f>
        <v>#REF!</v>
      </c>
      <c r="F75" s="1079"/>
      <c r="G75" s="642">
        <v>-16</v>
      </c>
      <c r="H75" s="665" t="e">
        <f>G75-DRE!#REF!</f>
        <v>#REF!</v>
      </c>
    </row>
    <row r="76" spans="1:8" ht="16.899999999999999" thickTop="1" thickBot="1">
      <c r="A76" s="642"/>
      <c r="B76" s="642"/>
      <c r="C76" s="647"/>
      <c r="D76" s="655">
        <v>-26762</v>
      </c>
      <c r="E76" s="652">
        <f>D76-DRE!G34</f>
        <v>8786</v>
      </c>
      <c r="F76" s="626"/>
      <c r="G76" s="655">
        <v>-20958</v>
      </c>
      <c r="H76" s="665">
        <f>G76-DRE!K34</f>
        <v>10044</v>
      </c>
    </row>
    <row r="77" spans="1:8" ht="15.6">
      <c r="A77" s="642"/>
      <c r="B77" s="642"/>
      <c r="C77" s="647"/>
      <c r="D77" s="626"/>
      <c r="E77" s="626"/>
      <c r="F77" s="626"/>
      <c r="G77" s="626"/>
      <c r="H77" s="644"/>
    </row>
    <row r="78" spans="1:8" ht="15.6">
      <c r="A78" s="1077" t="s">
        <v>28</v>
      </c>
      <c r="B78" s="1077"/>
      <c r="C78" s="647"/>
      <c r="D78" s="642"/>
      <c r="E78" s="642"/>
      <c r="F78" s="642"/>
      <c r="G78" s="642"/>
      <c r="H78" s="644"/>
    </row>
    <row r="79" spans="1:8" ht="15.6">
      <c r="A79" s="1078" t="s">
        <v>29</v>
      </c>
      <c r="B79" s="1078"/>
      <c r="C79" s="647">
        <v>23</v>
      </c>
      <c r="D79" s="648">
        <v>79053</v>
      </c>
      <c r="E79" s="648">
        <f>D79-DRE!G37</f>
        <v>3087</v>
      </c>
      <c r="F79" s="642"/>
      <c r="G79" s="648">
        <v>63602</v>
      </c>
      <c r="H79" s="665">
        <f>G79-DRE!K37</f>
        <v>-22317</v>
      </c>
    </row>
    <row r="80" spans="1:8" ht="15.6">
      <c r="A80" s="1078" t="s">
        <v>31</v>
      </c>
      <c r="B80" s="1078"/>
      <c r="C80" s="647">
        <v>24</v>
      </c>
      <c r="D80" s="648">
        <v>9824</v>
      </c>
      <c r="E80" s="648">
        <f>D80-DRE!G38</f>
        <v>6006</v>
      </c>
      <c r="F80" s="642"/>
      <c r="G80" s="648">
        <v>1924</v>
      </c>
      <c r="H80" s="665">
        <f>G80-DRE!K38</f>
        <v>1924</v>
      </c>
    </row>
    <row r="81" spans="1:8" ht="26.45">
      <c r="A81" s="1078" t="s">
        <v>1219</v>
      </c>
      <c r="B81" s="1078"/>
      <c r="C81" s="1078"/>
      <c r="D81" s="648">
        <v>1000</v>
      </c>
      <c r="E81" s="664" t="e">
        <f>'NE DOMINI'!D81-DRE!#REF!</f>
        <v>#REF!</v>
      </c>
      <c r="F81" s="1079"/>
      <c r="G81" s="642" t="s">
        <v>1220</v>
      </c>
      <c r="H81" s="665"/>
    </row>
    <row r="82" spans="1:8" ht="15.75" customHeight="1" thickBot="1">
      <c r="A82" s="1078" t="s">
        <v>1221</v>
      </c>
      <c r="B82" s="1078"/>
      <c r="C82" s="1078"/>
      <c r="D82" s="642">
        <v>236</v>
      </c>
      <c r="E82" s="664">
        <f>D82-DRE!G40</f>
        <v>236</v>
      </c>
      <c r="F82" s="1079"/>
      <c r="G82" s="642" t="s">
        <v>370</v>
      </c>
      <c r="H82" s="665"/>
    </row>
    <row r="83" spans="1:8" ht="16.149999999999999" thickTop="1">
      <c r="A83" s="654"/>
      <c r="B83" s="642"/>
      <c r="C83" s="640"/>
      <c r="D83" s="657">
        <v>90113</v>
      </c>
      <c r="E83" s="652">
        <f>D83-DRE!G41</f>
        <v>7217</v>
      </c>
      <c r="F83" s="626"/>
      <c r="G83" s="657">
        <v>65526</v>
      </c>
      <c r="H83" s="665">
        <f>G83-DRE!K41</f>
        <v>-20866</v>
      </c>
    </row>
    <row r="84" spans="1:8" ht="15.6">
      <c r="A84" s="654"/>
      <c r="B84" s="642"/>
      <c r="C84" s="640"/>
      <c r="D84" s="626"/>
      <c r="E84" s="626"/>
      <c r="F84" s="626"/>
      <c r="G84" s="626"/>
      <c r="H84" s="644"/>
    </row>
    <row r="85" spans="1:8" ht="15.6">
      <c r="A85" s="1077" t="s">
        <v>35</v>
      </c>
      <c r="B85" s="1077"/>
      <c r="C85" s="1077"/>
      <c r="D85" s="652">
        <v>13188</v>
      </c>
      <c r="E85" s="648">
        <f>D85-DRE!G43</f>
        <v>27636</v>
      </c>
      <c r="F85" s="642"/>
      <c r="G85" s="652">
        <v>4036</v>
      </c>
      <c r="H85" s="665">
        <f>G85-DRE!K43</f>
        <v>4301</v>
      </c>
    </row>
    <row r="86" spans="1:8" ht="15.6">
      <c r="A86" s="654"/>
      <c r="B86" s="642"/>
      <c r="C86" s="640"/>
      <c r="D86" s="656"/>
      <c r="E86" s="656"/>
      <c r="F86" s="656"/>
      <c r="G86" s="656"/>
      <c r="H86" s="644"/>
    </row>
    <row r="87" spans="1:8" ht="15.6">
      <c r="A87" s="646" t="s">
        <v>36</v>
      </c>
      <c r="B87" s="642"/>
      <c r="C87" s="647">
        <v>25</v>
      </c>
      <c r="D87" s="642">
        <v>615</v>
      </c>
      <c r="E87" s="626">
        <f>D87-DRE!G45</f>
        <v>76</v>
      </c>
      <c r="F87" s="626"/>
      <c r="G87" s="642">
        <v>298</v>
      </c>
      <c r="H87" s="644">
        <f>G87-DRE!K45</f>
        <v>-94</v>
      </c>
    </row>
    <row r="88" spans="1:8" ht="15.6">
      <c r="A88" s="646" t="s">
        <v>38</v>
      </c>
      <c r="B88" s="642"/>
      <c r="C88" s="647">
        <v>25</v>
      </c>
      <c r="D88" s="642">
        <v>-990</v>
      </c>
      <c r="E88" s="642">
        <f>D88-DRE!G46</f>
        <v>-224</v>
      </c>
      <c r="F88" s="642"/>
      <c r="G88" s="648">
        <v>-1474</v>
      </c>
      <c r="H88" s="665">
        <f>G88-DRE!K46</f>
        <v>-671</v>
      </c>
    </row>
    <row r="89" spans="1:8" ht="16.149999999999999" thickBot="1">
      <c r="A89" s="654"/>
      <c r="B89" s="642"/>
      <c r="C89" s="640"/>
      <c r="D89" s="658"/>
      <c r="E89" s="626"/>
      <c r="F89" s="626"/>
      <c r="G89" s="658"/>
      <c r="H89" s="644"/>
    </row>
    <row r="90" spans="1:8" ht="16.899999999999999" thickTop="1" thickBot="1">
      <c r="A90" s="642"/>
      <c r="B90" s="646"/>
      <c r="C90" s="640"/>
      <c r="D90" s="626">
        <v>-375</v>
      </c>
      <c r="E90" s="642">
        <f>D90-DRE!G48</f>
        <v>-148</v>
      </c>
      <c r="F90" s="642"/>
      <c r="G90" s="652">
        <v>-1176</v>
      </c>
      <c r="H90" s="665">
        <f>G90-DRE!K48</f>
        <v>-765</v>
      </c>
    </row>
    <row r="91" spans="1:8" ht="15.6">
      <c r="A91" s="642"/>
      <c r="B91" s="646"/>
      <c r="C91" s="640"/>
      <c r="D91" s="659"/>
      <c r="E91" s="642"/>
      <c r="F91" s="642"/>
      <c r="G91" s="659"/>
      <c r="H91" s="644"/>
    </row>
    <row r="92" spans="1:8" ht="15.6">
      <c r="A92" s="1077" t="s">
        <v>40</v>
      </c>
      <c r="B92" s="1077"/>
      <c r="C92" s="640"/>
      <c r="D92" s="652">
        <v>12813</v>
      </c>
      <c r="E92" s="652">
        <f>D92-DRE!G50</f>
        <v>27488</v>
      </c>
      <c r="F92" s="626"/>
      <c r="G92" s="652">
        <v>2860</v>
      </c>
      <c r="H92" s="665">
        <f>G92-DRE!K50</f>
        <v>3536</v>
      </c>
    </row>
    <row r="93" spans="1:8" ht="15.6">
      <c r="A93" s="642"/>
      <c r="B93" s="646"/>
      <c r="C93" s="640"/>
      <c r="D93" s="626"/>
      <c r="E93" s="642"/>
      <c r="F93" s="642"/>
      <c r="G93" s="626"/>
      <c r="H93" s="644"/>
    </row>
    <row r="94" spans="1:8" ht="15.6">
      <c r="A94" s="649" t="s">
        <v>41</v>
      </c>
      <c r="B94" s="654"/>
      <c r="C94" s="647">
        <v>26</v>
      </c>
      <c r="D94" s="648">
        <v>-2963</v>
      </c>
      <c r="E94" s="648">
        <f>D94-DRE!G52</f>
        <v>-2957</v>
      </c>
      <c r="F94" s="642"/>
      <c r="G94" s="642">
        <v>-874</v>
      </c>
      <c r="H94" s="644">
        <f>G94-DRE!K52</f>
        <v>-874</v>
      </c>
    </row>
    <row r="95" spans="1:8" ht="16.149999999999999" thickBot="1">
      <c r="A95" s="646"/>
      <c r="B95" s="654"/>
      <c r="C95" s="647"/>
      <c r="D95" s="660"/>
      <c r="E95" s="654"/>
      <c r="F95" s="654"/>
      <c r="G95" s="660"/>
      <c r="H95" s="644"/>
    </row>
    <row r="96" spans="1:8" ht="16.899999999999999" thickTop="1" thickBot="1">
      <c r="A96" s="1077" t="s">
        <v>1222</v>
      </c>
      <c r="B96" s="1077"/>
      <c r="C96" s="1077"/>
      <c r="D96" s="661">
        <v>9850</v>
      </c>
      <c r="E96" s="652">
        <f>D96-DRE!G54</f>
        <v>24531</v>
      </c>
      <c r="F96" s="626"/>
      <c r="G96" s="661">
        <v>1986</v>
      </c>
      <c r="H96" s="665">
        <f>G96-DRE!K54</f>
        <v>2662</v>
      </c>
    </row>
    <row r="97" spans="1:10" ht="16.149999999999999" thickTop="1">
      <c r="A97" s="662" t="s">
        <v>1223</v>
      </c>
    </row>
    <row r="98" spans="1:10" ht="15.6">
      <c r="A98" s="662" t="s">
        <v>1224</v>
      </c>
    </row>
    <row r="99" spans="1:10" ht="15.6">
      <c r="A99" s="662" t="s">
        <v>1225</v>
      </c>
    </row>
    <row r="100" spans="1:10" ht="15.6">
      <c r="A100" s="663" t="s">
        <v>1226</v>
      </c>
    </row>
    <row r="101" spans="1:10" ht="15.6">
      <c r="A101" s="662" t="s">
        <v>1227</v>
      </c>
    </row>
    <row r="103" spans="1:10" ht="15.6">
      <c r="A103" s="666" t="s">
        <v>1228</v>
      </c>
    </row>
    <row r="104" spans="1:10" ht="15" thickBot="1">
      <c r="A104" s="667"/>
      <c r="B104" s="667"/>
      <c r="C104" s="667"/>
      <c r="D104" s="667"/>
      <c r="E104" s="668"/>
      <c r="F104" s="643">
        <v>45473</v>
      </c>
      <c r="G104" s="669"/>
      <c r="H104" s="669"/>
      <c r="I104" s="1076" t="s">
        <v>1216</v>
      </c>
      <c r="J104" s="1076"/>
    </row>
    <row r="105" spans="1:10" ht="16.149999999999999" thickTop="1">
      <c r="A105" s="649"/>
      <c r="B105" s="670"/>
      <c r="C105" s="667"/>
      <c r="D105" s="667"/>
      <c r="E105" s="670"/>
      <c r="F105" s="654"/>
      <c r="G105" s="670"/>
      <c r="H105" s="670"/>
      <c r="I105" s="654"/>
      <c r="J105" s="644"/>
    </row>
    <row r="106" spans="1:10" ht="15.6">
      <c r="A106" s="1081" t="s">
        <v>1222</v>
      </c>
      <c r="B106" s="1081"/>
      <c r="C106" s="667"/>
      <c r="D106" s="667"/>
      <c r="E106" s="671"/>
      <c r="F106" s="652">
        <v>9850</v>
      </c>
      <c r="G106" s="672">
        <f>F106-'DRA '!G9</f>
        <v>24531</v>
      </c>
      <c r="H106" s="671"/>
      <c r="I106" s="652">
        <v>1986</v>
      </c>
      <c r="J106" s="665">
        <f>I106-'DRA '!K9</f>
        <v>2662</v>
      </c>
    </row>
    <row r="107" spans="1:10" ht="15.6">
      <c r="A107" s="669"/>
      <c r="B107" s="667"/>
      <c r="C107" s="667"/>
      <c r="D107" s="667"/>
      <c r="E107" s="667"/>
      <c r="F107" s="642"/>
      <c r="G107" s="667"/>
      <c r="H107" s="667"/>
      <c r="I107" s="642"/>
      <c r="J107" s="644"/>
    </row>
    <row r="108" spans="1:10" ht="15.6">
      <c r="A108" s="649" t="s">
        <v>106</v>
      </c>
      <c r="B108" s="667"/>
      <c r="C108" s="667"/>
      <c r="D108" s="667"/>
      <c r="E108" s="667"/>
      <c r="F108" s="642" t="s">
        <v>1229</v>
      </c>
      <c r="G108" s="667"/>
      <c r="H108" s="667"/>
      <c r="I108" s="642" t="s">
        <v>1230</v>
      </c>
      <c r="J108" s="644"/>
    </row>
    <row r="109" spans="1:10" ht="15.6">
      <c r="A109" s="667"/>
      <c r="B109" s="667"/>
      <c r="C109" s="667"/>
      <c r="D109" s="667"/>
      <c r="E109" s="667"/>
      <c r="F109" s="642"/>
      <c r="G109" s="667"/>
      <c r="H109" s="667"/>
      <c r="I109" s="642"/>
      <c r="J109" s="644"/>
    </row>
    <row r="110" spans="1:10" ht="15.6">
      <c r="A110" s="1081" t="s">
        <v>107</v>
      </c>
      <c r="B110" s="1081"/>
      <c r="C110" s="667"/>
      <c r="D110" s="667"/>
      <c r="E110" s="667"/>
      <c r="F110" s="652">
        <v>9850</v>
      </c>
      <c r="G110" s="652">
        <f>F110-'DRA '!G13</f>
        <v>24531</v>
      </c>
      <c r="H110" s="626"/>
      <c r="I110" s="652">
        <v>1986</v>
      </c>
      <c r="J110" s="665">
        <f>I110-'DRA '!K13</f>
        <v>2662</v>
      </c>
    </row>
    <row r="113" spans="1:10" ht="15.6">
      <c r="A113" s="666" t="s">
        <v>1231</v>
      </c>
    </row>
    <row r="114" spans="1:10">
      <c r="A114" s="1082"/>
      <c r="B114" s="1083" t="s">
        <v>1</v>
      </c>
      <c r="C114" s="1083" t="s">
        <v>88</v>
      </c>
      <c r="D114" s="1083"/>
      <c r="E114" s="1083" t="s">
        <v>116</v>
      </c>
      <c r="F114" s="1083"/>
      <c r="G114" s="1083" t="s">
        <v>1232</v>
      </c>
      <c r="H114" s="1083"/>
      <c r="I114" s="1083" t="s">
        <v>118</v>
      </c>
    </row>
    <row r="115" spans="1:10">
      <c r="A115" s="1082"/>
      <c r="B115" s="1083"/>
      <c r="C115" s="1083"/>
      <c r="D115" s="1083"/>
      <c r="E115" s="1083"/>
      <c r="F115" s="1083"/>
      <c r="G115" s="1083"/>
      <c r="H115" s="1083"/>
      <c r="I115" s="1083"/>
    </row>
    <row r="116" spans="1:10">
      <c r="A116" s="667"/>
      <c r="B116" s="647"/>
      <c r="C116" s="667"/>
      <c r="D116" s="667"/>
      <c r="E116" s="667"/>
      <c r="F116" s="667"/>
      <c r="G116" s="642"/>
      <c r="H116" s="667"/>
      <c r="I116" s="642"/>
    </row>
    <row r="117" spans="1:10" ht="15" thickBot="1">
      <c r="A117" s="642"/>
      <c r="B117" s="647"/>
      <c r="C117" s="642"/>
      <c r="D117" s="642"/>
      <c r="E117" s="642"/>
      <c r="F117" s="642"/>
      <c r="G117" s="642"/>
      <c r="H117" s="642"/>
      <c r="I117" s="642"/>
    </row>
    <row r="118" spans="1:10" ht="15" thickBot="1">
      <c r="A118" s="1077" t="s">
        <v>1233</v>
      </c>
      <c r="B118" s="1077"/>
      <c r="C118" s="651">
        <v>28469</v>
      </c>
      <c r="D118" s="652">
        <f>C118-DMPL!D30</f>
        <v>0</v>
      </c>
      <c r="E118" s="651">
        <v>2550</v>
      </c>
      <c r="F118" s="652">
        <f>E118-DMPL!J30</f>
        <v>0</v>
      </c>
      <c r="G118" s="651">
        <v>-6737</v>
      </c>
      <c r="H118" s="652">
        <f>G118-DMPL!L30</f>
        <v>0</v>
      </c>
      <c r="I118" s="651">
        <v>24282</v>
      </c>
      <c r="J118" s="595">
        <f>I118-DMPL!N30</f>
        <v>0</v>
      </c>
    </row>
    <row r="119" spans="1:10" ht="15" thickTop="1">
      <c r="A119" s="642"/>
      <c r="B119" s="647"/>
      <c r="C119" s="667"/>
      <c r="D119" s="667"/>
      <c r="E119" s="667"/>
      <c r="F119" s="667"/>
      <c r="G119" s="642"/>
      <c r="H119" s="667"/>
      <c r="I119" s="642"/>
    </row>
    <row r="120" spans="1:10">
      <c r="A120" s="646" t="s">
        <v>112</v>
      </c>
      <c r="B120" s="647">
        <v>17</v>
      </c>
      <c r="C120" s="648">
        <v>2550</v>
      </c>
      <c r="D120" s="675">
        <f>C120-DMPL!D33</f>
        <v>0</v>
      </c>
      <c r="E120" s="648">
        <v>-2550</v>
      </c>
      <c r="F120" s="675">
        <f>E120-DMPL!J33</f>
        <v>0</v>
      </c>
      <c r="G120" s="667" t="s">
        <v>1234</v>
      </c>
      <c r="H120" s="649"/>
      <c r="I120" s="642" t="s">
        <v>1235</v>
      </c>
    </row>
    <row r="121" spans="1:10" ht="26.45">
      <c r="A121" s="646" t="s">
        <v>91</v>
      </c>
      <c r="B121" s="647">
        <v>18</v>
      </c>
      <c r="C121" s="642" t="s">
        <v>115</v>
      </c>
      <c r="D121" s="649"/>
      <c r="E121" s="642">
        <v>28</v>
      </c>
      <c r="F121" s="649">
        <f>E121-DMPL!J34</f>
        <v>-411</v>
      </c>
      <c r="G121" s="667" t="s">
        <v>337</v>
      </c>
      <c r="H121" s="649"/>
      <c r="I121" s="642">
        <v>28</v>
      </c>
      <c r="J121">
        <f>I121-DMPL!N34</f>
        <v>-411</v>
      </c>
    </row>
    <row r="122" spans="1:10">
      <c r="A122" s="646" t="s">
        <v>1236</v>
      </c>
      <c r="B122" s="647">
        <v>19</v>
      </c>
      <c r="C122" s="642" t="s">
        <v>1230</v>
      </c>
      <c r="D122" s="667"/>
      <c r="E122" s="642" t="s">
        <v>1237</v>
      </c>
      <c r="F122" s="667"/>
      <c r="G122" s="673">
        <v>1986</v>
      </c>
      <c r="H122" s="673">
        <f>G122-DMPL!L36</f>
        <v>2662</v>
      </c>
      <c r="I122" s="648">
        <v>1986</v>
      </c>
      <c r="J122" s="595">
        <f>I122-DMPL!N36</f>
        <v>2662</v>
      </c>
    </row>
    <row r="123" spans="1:10" ht="15" thickBot="1">
      <c r="A123" s="667"/>
      <c r="B123" s="647"/>
      <c r="C123" s="667"/>
      <c r="D123" s="667"/>
      <c r="E123" s="667"/>
      <c r="F123" s="667"/>
      <c r="G123" s="667"/>
      <c r="H123" s="667"/>
      <c r="I123" s="667"/>
    </row>
    <row r="124" spans="1:10" ht="15" thickBot="1">
      <c r="A124" s="1077" t="s">
        <v>1238</v>
      </c>
      <c r="B124" s="1077"/>
      <c r="C124" s="651">
        <v>31019</v>
      </c>
      <c r="D124" s="652">
        <f>C124-DMPL!D39</f>
        <v>31019</v>
      </c>
      <c r="E124" s="674">
        <v>28</v>
      </c>
      <c r="F124" s="667">
        <f>E124-DMPL!J39</f>
        <v>28</v>
      </c>
      <c r="G124" s="651">
        <v>-4751</v>
      </c>
      <c r="H124" s="673">
        <f>G124-DMPL!L39</f>
        <v>-4751</v>
      </c>
      <c r="I124" s="651">
        <v>26296</v>
      </c>
      <c r="J124" s="595">
        <f>I124-DMPL!N39</f>
        <v>26296</v>
      </c>
    </row>
    <row r="125" spans="1:10" ht="15.6" thickTop="1" thickBot="1">
      <c r="A125" s="626"/>
      <c r="B125" s="647"/>
      <c r="C125" s="626"/>
      <c r="D125" s="626"/>
      <c r="E125" s="626"/>
      <c r="F125" s="667"/>
      <c r="G125" s="626"/>
      <c r="H125" s="667"/>
      <c r="I125" s="626"/>
    </row>
    <row r="126" spans="1:10" ht="15" thickBot="1">
      <c r="A126" s="645" t="s">
        <v>1239</v>
      </c>
      <c r="B126" s="626"/>
      <c r="C126" s="651">
        <v>31019</v>
      </c>
      <c r="D126" s="652">
        <f>C126-DMPL!D42</f>
        <v>-439</v>
      </c>
      <c r="E126" s="674">
        <v>439</v>
      </c>
      <c r="F126" s="626">
        <f>E126-DMPL!J42</f>
        <v>-2547</v>
      </c>
      <c r="G126" s="651">
        <v>-9495</v>
      </c>
      <c r="H126" s="652">
        <f>G126-DMPL!L42</f>
        <v>-6661</v>
      </c>
      <c r="I126" s="651">
        <v>21963</v>
      </c>
      <c r="J126" s="595">
        <f>I126-DMPL!N42</f>
        <v>-9647</v>
      </c>
    </row>
    <row r="127" spans="1:10" ht="15" thickTop="1">
      <c r="A127" s="626"/>
      <c r="B127" s="626"/>
      <c r="C127" s="626"/>
      <c r="D127" s="626"/>
      <c r="E127" s="626"/>
      <c r="F127" s="626"/>
      <c r="G127" s="626"/>
      <c r="H127" s="626"/>
      <c r="I127" s="626"/>
    </row>
    <row r="128" spans="1:10">
      <c r="A128" s="646" t="s">
        <v>112</v>
      </c>
      <c r="B128" s="647">
        <v>17</v>
      </c>
      <c r="C128" s="642">
        <v>439</v>
      </c>
      <c r="D128" s="649">
        <f>C128-DMPL!D44</f>
        <v>-2547</v>
      </c>
      <c r="E128" s="667">
        <v>-439</v>
      </c>
      <c r="F128" s="649">
        <f>E128-DMPL!J44</f>
        <v>2547</v>
      </c>
      <c r="G128" s="667" t="s">
        <v>1240</v>
      </c>
      <c r="H128" s="649"/>
      <c r="I128" s="642" t="s">
        <v>1241</v>
      </c>
    </row>
    <row r="129" spans="1:10" ht="26.45">
      <c r="A129" s="646" t="s">
        <v>91</v>
      </c>
      <c r="B129" s="647">
        <v>18</v>
      </c>
      <c r="C129" s="642" t="s">
        <v>370</v>
      </c>
      <c r="D129" s="649"/>
      <c r="E129" s="667">
        <v>690</v>
      </c>
      <c r="F129" s="649">
        <f>E129-DMPL!J45</f>
        <v>-5</v>
      </c>
      <c r="G129" s="667" t="s">
        <v>1242</v>
      </c>
      <c r="H129" s="649"/>
      <c r="I129" s="642">
        <v>690</v>
      </c>
      <c r="J129">
        <f>I129-DMPL!N45</f>
        <v>-5</v>
      </c>
    </row>
    <row r="130" spans="1:10">
      <c r="A130" s="646" t="s">
        <v>1236</v>
      </c>
      <c r="B130" s="647">
        <v>19</v>
      </c>
      <c r="C130" s="642" t="s">
        <v>1230</v>
      </c>
      <c r="D130" s="667"/>
      <c r="E130" s="642" t="s">
        <v>1237</v>
      </c>
      <c r="F130" s="667"/>
      <c r="G130" s="673">
        <v>9850</v>
      </c>
      <c r="H130" s="673">
        <f>G130-DMPL!L47</f>
        <v>10526</v>
      </c>
      <c r="I130" s="648">
        <v>9850</v>
      </c>
      <c r="J130" s="595">
        <f>I130-DMPL!N47</f>
        <v>10526</v>
      </c>
    </row>
    <row r="131" spans="1:10" ht="15" thickBot="1">
      <c r="A131" s="667"/>
      <c r="B131" s="647"/>
      <c r="C131" s="667"/>
      <c r="D131" s="667"/>
      <c r="E131" s="667"/>
      <c r="F131" s="667"/>
      <c r="G131" s="667"/>
      <c r="H131" s="667"/>
      <c r="I131" s="642"/>
    </row>
    <row r="132" spans="1:10" ht="15" thickBot="1">
      <c r="A132" s="645" t="s">
        <v>1243</v>
      </c>
      <c r="B132" s="626"/>
      <c r="C132" s="651">
        <v>31458</v>
      </c>
      <c r="D132" s="652">
        <f>C132-DMPL!D53</f>
        <v>-2986</v>
      </c>
      <c r="E132" s="674">
        <v>690</v>
      </c>
      <c r="F132" s="626">
        <f>E132-DMPL!J53</f>
        <v>-1020</v>
      </c>
      <c r="G132" s="674">
        <v>355</v>
      </c>
      <c r="H132" s="626">
        <f>G132-DMPL!L53</f>
        <v>11840</v>
      </c>
      <c r="I132" s="651">
        <v>32503</v>
      </c>
      <c r="J132" s="595">
        <f>I132-DMPL!N53</f>
        <v>7833</v>
      </c>
    </row>
    <row r="133" spans="1:10" ht="15" thickTop="1"/>
    <row r="134" spans="1:10" ht="15.6">
      <c r="A134" s="666" t="s">
        <v>47</v>
      </c>
    </row>
    <row r="136" spans="1:10" ht="15" thickBot="1">
      <c r="A136" s="646"/>
      <c r="B136" s="643">
        <v>45473</v>
      </c>
      <c r="C136" s="647"/>
      <c r="D136" s="1084" t="s">
        <v>1216</v>
      </c>
      <c r="E136" s="1084"/>
    </row>
    <row r="137" spans="1:10" ht="27" thickTop="1">
      <c r="A137" s="645" t="s">
        <v>132</v>
      </c>
      <c r="B137" s="645"/>
      <c r="C137" s="642"/>
      <c r="D137" s="626"/>
      <c r="E137" s="644"/>
    </row>
    <row r="138" spans="1:10" ht="15.6">
      <c r="A138" s="646" t="s">
        <v>1244</v>
      </c>
      <c r="B138" s="648">
        <v>9850</v>
      </c>
      <c r="C138" s="648">
        <f>B138-'DFC '!F7</f>
        <v>24531</v>
      </c>
      <c r="D138" s="648">
        <v>1986</v>
      </c>
      <c r="E138" s="665">
        <f>D138-'DFC '!I7</f>
        <v>2662</v>
      </c>
    </row>
    <row r="139" spans="1:10" ht="26.45">
      <c r="A139" s="646" t="s">
        <v>134</v>
      </c>
      <c r="B139" s="648">
        <v>-79053</v>
      </c>
      <c r="C139" s="648">
        <f>B139-'DFC '!F8</f>
        <v>-3087</v>
      </c>
      <c r="D139" s="680">
        <v>-63602</v>
      </c>
      <c r="E139" s="665">
        <f>D139-'DFC '!I8</f>
        <v>22317</v>
      </c>
    </row>
    <row r="140" spans="1:10" ht="15.6">
      <c r="A140" s="646" t="s">
        <v>190</v>
      </c>
      <c r="B140" s="648">
        <v>2866</v>
      </c>
      <c r="C140" s="648">
        <f>B140-'DFC '!F10</f>
        <v>175</v>
      </c>
      <c r="D140" s="648">
        <v>2974</v>
      </c>
      <c r="E140" s="665">
        <f>D140-'DFC '!I10</f>
        <v>150</v>
      </c>
    </row>
    <row r="141" spans="1:10" ht="26.45">
      <c r="A141" s="646" t="s">
        <v>137</v>
      </c>
      <c r="B141" s="642">
        <v>452</v>
      </c>
      <c r="C141" s="648">
        <f>B141-'DFC '!F12</f>
        <v>100</v>
      </c>
      <c r="D141" s="642">
        <v>510</v>
      </c>
      <c r="E141" s="644">
        <f>D141-'DFC '!I12</f>
        <v>107</v>
      </c>
    </row>
    <row r="142" spans="1:10" ht="26.45">
      <c r="A142" s="646" t="s">
        <v>139</v>
      </c>
      <c r="B142" s="642">
        <v>165</v>
      </c>
      <c r="C142" s="648">
        <f>B142-'DFC '!F14</f>
        <v>2863</v>
      </c>
      <c r="D142" s="642">
        <v>979</v>
      </c>
      <c r="E142" s="644">
        <f>D142-'DFC '!I14</f>
        <v>2178</v>
      </c>
    </row>
    <row r="143" spans="1:10" ht="26.45">
      <c r="A143" s="646" t="s">
        <v>1245</v>
      </c>
      <c r="B143" s="642">
        <v>-257</v>
      </c>
      <c r="C143" s="648">
        <f>B143-'DFC '!F15</f>
        <v>171</v>
      </c>
      <c r="D143" s="642">
        <v>-254</v>
      </c>
      <c r="E143" s="644">
        <f>D143-'DFC '!I15</f>
        <v>139</v>
      </c>
    </row>
    <row r="144" spans="1:10" ht="15.6">
      <c r="A144" s="646"/>
      <c r="B144" s="642"/>
      <c r="C144" s="642"/>
      <c r="D144" s="642"/>
      <c r="E144" s="644"/>
    </row>
    <row r="145" spans="1:5" ht="26.45">
      <c r="A145" s="645" t="s">
        <v>143</v>
      </c>
      <c r="B145" s="626"/>
      <c r="C145" s="642"/>
      <c r="D145" s="642"/>
      <c r="E145" s="644"/>
    </row>
    <row r="146" spans="1:5" ht="15.6">
      <c r="A146" s="646" t="s">
        <v>145</v>
      </c>
      <c r="B146" s="648">
        <v>-2278</v>
      </c>
      <c r="C146" s="648">
        <f>B146-'DFC '!F21</f>
        <v>1400</v>
      </c>
      <c r="D146" s="648">
        <v>-1693</v>
      </c>
      <c r="E146" s="665">
        <f>D146-'DFC '!I21</f>
        <v>1211</v>
      </c>
    </row>
    <row r="147" spans="1:5" ht="15.6">
      <c r="A147" s="646" t="s">
        <v>57</v>
      </c>
      <c r="B147" s="648">
        <v>-2514</v>
      </c>
      <c r="C147" s="648">
        <f>B147-'DFC '!F22</f>
        <v>-5672</v>
      </c>
      <c r="D147" s="642">
        <v>-539</v>
      </c>
      <c r="E147" s="644">
        <f>D147-'DFC '!I22</f>
        <v>-1315</v>
      </c>
    </row>
    <row r="148" spans="1:5" ht="15.6">
      <c r="A148" s="646" t="s">
        <v>146</v>
      </c>
      <c r="B148" s="642">
        <v>0</v>
      </c>
      <c r="C148" s="648">
        <f>B148-'DFC '!F23</f>
        <v>1324</v>
      </c>
      <c r="D148" s="642">
        <v>-86</v>
      </c>
      <c r="E148" s="644">
        <f>D148-'DFC '!I23</f>
        <v>-1155</v>
      </c>
    </row>
    <row r="149" spans="1:5" ht="15.6">
      <c r="A149" s="646" t="s">
        <v>147</v>
      </c>
      <c r="B149" s="648">
        <v>1035</v>
      </c>
      <c r="C149" s="648">
        <f>B149-'DFC '!F24</f>
        <v>653</v>
      </c>
      <c r="D149" s="642">
        <v>-981</v>
      </c>
      <c r="E149" s="644">
        <f>D149-'DFC '!I24</f>
        <v>-736</v>
      </c>
    </row>
    <row r="150" spans="1:5" ht="15.6">
      <c r="A150" s="646" t="s">
        <v>73</v>
      </c>
      <c r="B150" s="642">
        <v>178</v>
      </c>
      <c r="C150" s="648">
        <f>B150-'DFC '!F27</f>
        <v>-791</v>
      </c>
      <c r="D150" s="642">
        <v>285</v>
      </c>
      <c r="E150" s="644">
        <f>D150-'DFC '!I27</f>
        <v>-373</v>
      </c>
    </row>
    <row r="151" spans="1:5" ht="15.6">
      <c r="A151" s="646" t="s">
        <v>149</v>
      </c>
      <c r="B151" s="648">
        <v>2669</v>
      </c>
      <c r="C151" s="648">
        <f>B151-'DFC '!F28</f>
        <v>4778</v>
      </c>
      <c r="D151" s="648">
        <v>1931</v>
      </c>
      <c r="E151" s="665">
        <f>D151-'DFC '!I28</f>
        <v>3042</v>
      </c>
    </row>
    <row r="152" spans="1:5" ht="15.6">
      <c r="A152" s="646" t="s">
        <v>150</v>
      </c>
      <c r="B152" s="648">
        <v>5747</v>
      </c>
      <c r="C152" s="648">
        <f>B152-'DFC '!F29</f>
        <v>-1141</v>
      </c>
      <c r="D152" s="648">
        <v>3503</v>
      </c>
      <c r="E152" s="665">
        <f>D152-'DFC '!I29</f>
        <v>-5724</v>
      </c>
    </row>
    <row r="153" spans="1:5" ht="15.6">
      <c r="A153" s="646" t="s">
        <v>151</v>
      </c>
      <c r="B153" s="642">
        <v>100</v>
      </c>
      <c r="C153" s="648">
        <f>B153-'DFC '!F30</f>
        <v>-960</v>
      </c>
      <c r="D153" s="642" t="s">
        <v>115</v>
      </c>
      <c r="E153" s="644"/>
    </row>
    <row r="154" spans="1:5" ht="16.149999999999999" thickBot="1">
      <c r="A154" s="646" t="s">
        <v>79</v>
      </c>
      <c r="B154" s="676">
        <v>-3</v>
      </c>
      <c r="C154" s="648">
        <f>B154-'DFC '!F32</f>
        <v>-4</v>
      </c>
      <c r="D154" s="676">
        <v>8</v>
      </c>
      <c r="E154" s="644">
        <f>D154-'DFC '!I32</f>
        <v>7</v>
      </c>
    </row>
    <row r="155" spans="1:5" ht="27" thickTop="1">
      <c r="A155" s="645" t="s">
        <v>155</v>
      </c>
      <c r="B155" s="652">
        <v>-61043</v>
      </c>
      <c r="C155" s="648">
        <f>B155-'DFC '!F34</f>
        <v>24447</v>
      </c>
      <c r="D155" s="652">
        <v>-54979</v>
      </c>
      <c r="E155" s="665">
        <f>D155-'DFC '!I34</f>
        <v>22409</v>
      </c>
    </row>
    <row r="156" spans="1:5" ht="27" thickBot="1">
      <c r="A156" s="646" t="s">
        <v>1246</v>
      </c>
      <c r="B156" s="677">
        <v>-2505</v>
      </c>
      <c r="C156" s="648">
        <f>B156-'DFC '!F35</f>
        <v>-2499</v>
      </c>
      <c r="D156" s="677">
        <v>-1177</v>
      </c>
      <c r="E156" s="665">
        <f>D156-'DFC '!I35</f>
        <v>-932</v>
      </c>
    </row>
    <row r="157" spans="1:5" ht="27" thickTop="1">
      <c r="A157" s="645" t="s">
        <v>1247</v>
      </c>
      <c r="B157" s="652">
        <v>-63548</v>
      </c>
      <c r="C157" s="652">
        <f>B157-'DFC '!F36</f>
        <v>21948</v>
      </c>
      <c r="D157" s="652">
        <v>-56156</v>
      </c>
      <c r="E157" s="665">
        <f>D157-'DFC '!I36</f>
        <v>21477</v>
      </c>
    </row>
    <row r="158" spans="1:5" ht="15.6">
      <c r="A158" s="645"/>
      <c r="B158" s="626"/>
      <c r="C158" s="642"/>
      <c r="D158" s="642"/>
      <c r="E158" s="644"/>
    </row>
    <row r="159" spans="1:5" ht="26.45">
      <c r="A159" s="645" t="s">
        <v>158</v>
      </c>
      <c r="B159" s="626"/>
      <c r="C159" s="642"/>
      <c r="D159" s="642"/>
      <c r="E159" s="644"/>
    </row>
    <row r="160" spans="1:5" ht="16.149999999999999" thickBot="1">
      <c r="A160" s="646" t="s">
        <v>161</v>
      </c>
      <c r="B160" s="676">
        <v>-690</v>
      </c>
      <c r="C160" s="642">
        <f>B160-'DFC '!F41</f>
        <v>-98</v>
      </c>
      <c r="D160" s="676">
        <v>-59</v>
      </c>
      <c r="E160" s="644">
        <f>D160-'DFC '!I41</f>
        <v>576</v>
      </c>
    </row>
    <row r="161" spans="1:5" ht="27" thickTop="1">
      <c r="A161" s="645" t="s">
        <v>162</v>
      </c>
      <c r="B161" s="626">
        <v>-690</v>
      </c>
      <c r="C161" s="626">
        <f>B161-'DFC '!F42</f>
        <v>702</v>
      </c>
      <c r="D161" s="626">
        <v>-59</v>
      </c>
      <c r="E161" s="644">
        <f>D161-'DFC '!I42</f>
        <v>576</v>
      </c>
    </row>
    <row r="162" spans="1:5" ht="15.6">
      <c r="A162" s="645"/>
      <c r="B162" s="626"/>
      <c r="C162" s="642"/>
      <c r="D162" s="642"/>
      <c r="E162" s="644"/>
    </row>
    <row r="163" spans="1:5" ht="26.45">
      <c r="A163" s="645" t="s">
        <v>163</v>
      </c>
      <c r="B163" s="626"/>
      <c r="C163" s="642"/>
      <c r="D163" s="642"/>
      <c r="E163" s="644"/>
    </row>
    <row r="164" spans="1:5" ht="26.45">
      <c r="A164" s="646" t="s">
        <v>164</v>
      </c>
      <c r="B164" s="648">
        <v>-1708</v>
      </c>
      <c r="C164" s="648">
        <f>B164-'DFC '!F45</f>
        <v>154</v>
      </c>
      <c r="D164" s="648">
        <v>-1658</v>
      </c>
      <c r="E164" s="665">
        <f>D164-'DFC '!I45</f>
        <v>113</v>
      </c>
    </row>
    <row r="165" spans="1:5" ht="26.45">
      <c r="A165" s="646" t="s">
        <v>165</v>
      </c>
      <c r="B165" s="648">
        <v>79053</v>
      </c>
      <c r="C165" s="648">
        <f>B165-'DFC '!F46</f>
        <v>3087</v>
      </c>
      <c r="D165" s="648">
        <v>63602</v>
      </c>
      <c r="E165" s="665">
        <f>D165-'DFC '!I46</f>
        <v>-22317</v>
      </c>
    </row>
    <row r="166" spans="1:5" ht="16.149999999999999" thickBot="1">
      <c r="A166" s="646" t="s">
        <v>166</v>
      </c>
      <c r="B166" s="676">
        <v>690</v>
      </c>
      <c r="C166" s="642">
        <f>B166-'DFC '!F47</f>
        <v>-996</v>
      </c>
      <c r="D166" s="676">
        <v>28</v>
      </c>
      <c r="E166" s="644">
        <f>D166-'DFC '!I47</f>
        <v>-667</v>
      </c>
    </row>
    <row r="167" spans="1:5" ht="27" thickTop="1">
      <c r="A167" s="645" t="s">
        <v>167</v>
      </c>
      <c r="B167" s="652">
        <v>78035</v>
      </c>
      <c r="C167" s="679">
        <f>B167-'DFC '!F48</f>
        <v>2245</v>
      </c>
      <c r="D167" s="652">
        <v>61972</v>
      </c>
      <c r="E167" s="665">
        <f>D167-'DFC '!I48</f>
        <v>-22871</v>
      </c>
    </row>
    <row r="168" spans="1:5" ht="16.149999999999999" thickBot="1">
      <c r="A168" s="645"/>
      <c r="B168" s="676"/>
      <c r="C168" s="646"/>
      <c r="D168" s="676"/>
      <c r="E168" s="644"/>
    </row>
    <row r="169" spans="1:5" ht="27.6" thickTop="1" thickBot="1">
      <c r="A169" s="645" t="s">
        <v>1248</v>
      </c>
      <c r="B169" s="661">
        <v>13797</v>
      </c>
      <c r="C169" s="679">
        <f>B169-'DFC '!F50</f>
        <v>24895</v>
      </c>
      <c r="D169" s="661">
        <v>5757</v>
      </c>
      <c r="E169" s="665">
        <f>D169-'DFC '!I50</f>
        <v>-818</v>
      </c>
    </row>
    <row r="170" spans="1:5" ht="16.149999999999999" thickTop="1">
      <c r="A170" s="645"/>
      <c r="B170" s="645"/>
      <c r="C170" s="645"/>
      <c r="D170" s="626"/>
      <c r="E170" s="644"/>
    </row>
    <row r="171" spans="1:5" ht="15.6">
      <c r="A171" s="646" t="s">
        <v>169</v>
      </c>
      <c r="B171" s="648">
        <v>33538</v>
      </c>
      <c r="C171" s="664">
        <f>B171-'DFC '!F52</f>
        <v>-10979</v>
      </c>
      <c r="D171" s="648">
        <v>30622</v>
      </c>
      <c r="E171" s="665">
        <f>D171-'DFC '!I52</f>
        <v>-13846</v>
      </c>
    </row>
    <row r="172" spans="1:5" ht="15.6">
      <c r="A172" s="646" t="s">
        <v>170</v>
      </c>
      <c r="B172" s="648">
        <v>47335</v>
      </c>
      <c r="C172" s="664">
        <f>B172-'DFC '!F53</f>
        <v>13916</v>
      </c>
      <c r="D172" s="648">
        <v>36379</v>
      </c>
      <c r="E172" s="665">
        <f>D172-'DFC '!I53</f>
        <v>-14664</v>
      </c>
    </row>
    <row r="173" spans="1:5" ht="16.149999999999999" thickBot="1">
      <c r="A173" s="642"/>
      <c r="B173" s="642"/>
      <c r="C173" s="646"/>
      <c r="D173" s="646"/>
      <c r="E173" s="644"/>
    </row>
    <row r="174" spans="1:5" ht="27.6" thickTop="1" thickBot="1">
      <c r="A174" s="645" t="s">
        <v>1249</v>
      </c>
      <c r="B174" s="678">
        <v>13797</v>
      </c>
      <c r="C174" s="679">
        <f>B174-'DFC '!F55</f>
        <v>24895</v>
      </c>
      <c r="D174" s="678">
        <v>5757</v>
      </c>
      <c r="E174" s="665">
        <f>D174-'DFC '!I55</f>
        <v>-818</v>
      </c>
    </row>
    <row r="175" spans="1:5" ht="15" thickTop="1"/>
    <row r="176" spans="1:5" ht="15.6">
      <c r="A176" s="666" t="s">
        <v>1250</v>
      </c>
    </row>
    <row r="178" spans="1:7" ht="15" thickBot="1">
      <c r="A178" s="681"/>
      <c r="B178" s="681"/>
      <c r="C178" s="681"/>
      <c r="D178" s="643">
        <v>45473</v>
      </c>
      <c r="E178" s="640"/>
      <c r="F178" s="653" t="s">
        <v>1216</v>
      </c>
    </row>
    <row r="179" spans="1:7" ht="15" thickTop="1">
      <c r="A179" s="667"/>
      <c r="B179" s="667"/>
      <c r="C179" s="667"/>
      <c r="D179" s="642"/>
      <c r="E179" s="642"/>
      <c r="F179" s="642"/>
    </row>
    <row r="180" spans="1:7">
      <c r="A180" s="1081" t="s">
        <v>1251</v>
      </c>
      <c r="B180" s="1081"/>
      <c r="C180" s="1081"/>
      <c r="D180" s="626"/>
      <c r="E180" s="626"/>
      <c r="F180" s="626"/>
    </row>
    <row r="181" spans="1:7">
      <c r="A181" s="667"/>
      <c r="B181" s="1085" t="s">
        <v>1252</v>
      </c>
      <c r="C181" s="1085"/>
      <c r="D181" s="648">
        <v>79053</v>
      </c>
      <c r="E181" s="648">
        <f>D181-'DVA '!H10</f>
        <v>3087</v>
      </c>
      <c r="F181" s="648">
        <v>63602</v>
      </c>
      <c r="G181" s="595">
        <f>F181-'DVA '!L10</f>
        <v>-22317</v>
      </c>
    </row>
    <row r="182" spans="1:7" ht="15" thickBot="1">
      <c r="A182" s="667"/>
      <c r="B182" s="1085" t="s">
        <v>1253</v>
      </c>
      <c r="C182" s="1085"/>
      <c r="D182" s="682">
        <v>10776</v>
      </c>
      <c r="E182" s="648">
        <f>D182-'DVA '!H11</f>
        <v>3841</v>
      </c>
      <c r="F182" s="682">
        <v>1966</v>
      </c>
      <c r="G182" s="595">
        <f>F182-'DVA '!L11</f>
        <v>1493</v>
      </c>
    </row>
    <row r="183" spans="1:7">
      <c r="A183" s="671"/>
      <c r="B183" s="671"/>
      <c r="C183" s="671"/>
      <c r="D183" s="652">
        <v>89829</v>
      </c>
      <c r="E183" s="652">
        <f>D183-'DVA '!H12</f>
        <v>6928</v>
      </c>
      <c r="F183" s="652">
        <v>65568</v>
      </c>
      <c r="G183" s="595">
        <f>F183-'DVA '!L12</f>
        <v>-20824</v>
      </c>
    </row>
    <row r="184" spans="1:7">
      <c r="A184" s="683"/>
      <c r="B184" s="683"/>
      <c r="C184" s="649"/>
      <c r="D184" s="647"/>
      <c r="E184" s="647"/>
      <c r="F184" s="647"/>
    </row>
    <row r="185" spans="1:7">
      <c r="A185" s="1081" t="s">
        <v>1254</v>
      </c>
      <c r="B185" s="1081"/>
      <c r="C185" s="1081"/>
      <c r="D185" s="626"/>
      <c r="E185" s="626"/>
      <c r="F185" s="626"/>
    </row>
    <row r="186" spans="1:7" ht="15" thickBot="1">
      <c r="A186" s="667"/>
      <c r="B186" s="1085" t="s">
        <v>1255</v>
      </c>
      <c r="C186" s="1085"/>
      <c r="D186" s="682">
        <v>12823</v>
      </c>
      <c r="E186" s="648">
        <f>D186-'DVA '!H15</f>
        <v>27763</v>
      </c>
      <c r="F186" s="682">
        <v>11877</v>
      </c>
      <c r="G186" s="595">
        <f>F186-'DVA '!L15</f>
        <v>22654</v>
      </c>
    </row>
    <row r="187" spans="1:7">
      <c r="A187" s="671"/>
      <c r="B187" s="671"/>
      <c r="C187" s="671"/>
      <c r="D187" s="652">
        <v>12823</v>
      </c>
      <c r="E187" s="652">
        <f>D187-'DVA '!H16</f>
        <v>27763</v>
      </c>
      <c r="F187" s="652">
        <v>11877</v>
      </c>
      <c r="G187" s="595">
        <f>F187-'DVA '!L16</f>
        <v>22654</v>
      </c>
    </row>
    <row r="188" spans="1:7">
      <c r="A188" s="667"/>
      <c r="B188" s="667"/>
      <c r="C188" s="667"/>
      <c r="D188" s="642"/>
      <c r="E188" s="642"/>
      <c r="F188" s="642"/>
    </row>
    <row r="189" spans="1:7">
      <c r="A189" s="1081" t="s">
        <v>1256</v>
      </c>
      <c r="B189" s="1081"/>
      <c r="C189" s="1081"/>
      <c r="D189" s="652">
        <v>77006</v>
      </c>
      <c r="E189" s="652">
        <f>D189-'DVA '!H18</f>
        <v>9045</v>
      </c>
      <c r="F189" s="652">
        <v>53691</v>
      </c>
      <c r="G189" s="595">
        <f>F189-'DVA '!L18</f>
        <v>-21924</v>
      </c>
    </row>
    <row r="190" spans="1:7">
      <c r="A190" s="671"/>
      <c r="B190" s="671"/>
      <c r="C190" s="671"/>
      <c r="D190" s="626"/>
      <c r="E190" s="626"/>
      <c r="F190" s="626"/>
    </row>
    <row r="191" spans="1:7">
      <c r="A191" s="667"/>
      <c r="B191" s="1085" t="s">
        <v>1257</v>
      </c>
      <c r="C191" s="1085"/>
      <c r="D191" s="648">
        <v>2866</v>
      </c>
      <c r="E191" s="648">
        <f>D191-'DVA '!H20</f>
        <v>5557</v>
      </c>
      <c r="F191" s="648">
        <v>2974</v>
      </c>
      <c r="G191" s="595">
        <f>F191-'DVA '!L20</f>
        <v>5798</v>
      </c>
    </row>
    <row r="192" spans="1:7">
      <c r="A192" s="671"/>
      <c r="B192" s="671"/>
      <c r="C192" s="667"/>
      <c r="D192" s="642"/>
      <c r="E192" s="642"/>
      <c r="F192" s="642"/>
    </row>
    <row r="193" spans="1:7">
      <c r="A193" s="1081" t="s">
        <v>1258</v>
      </c>
      <c r="B193" s="1081"/>
      <c r="C193" s="1081"/>
      <c r="D193" s="652">
        <v>74140</v>
      </c>
      <c r="E193" s="652">
        <f>D193-'DVA '!H22</f>
        <v>8870</v>
      </c>
      <c r="F193" s="652">
        <v>50717</v>
      </c>
      <c r="G193" s="595">
        <f>F193-'DVA '!L22</f>
        <v>-22074</v>
      </c>
    </row>
    <row r="194" spans="1:7">
      <c r="A194" s="671"/>
      <c r="B194" s="671"/>
      <c r="C194" s="667"/>
      <c r="D194" s="626"/>
      <c r="E194" s="626"/>
      <c r="F194" s="626"/>
    </row>
    <row r="195" spans="1:7">
      <c r="A195" s="1081" t="s">
        <v>1259</v>
      </c>
      <c r="B195" s="1081"/>
      <c r="C195" s="1081"/>
      <c r="D195" s="626"/>
      <c r="E195" s="626"/>
      <c r="F195" s="626"/>
    </row>
    <row r="196" spans="1:7">
      <c r="A196" s="1085" t="s">
        <v>1260</v>
      </c>
      <c r="B196" s="1085"/>
      <c r="C196" s="1085"/>
      <c r="D196" s="642">
        <v>615</v>
      </c>
      <c r="E196" s="626">
        <f>D196-'DVA '!H25</f>
        <v>76</v>
      </c>
      <c r="F196" s="642">
        <v>298</v>
      </c>
      <c r="G196">
        <f>F196-'DVA '!L25</f>
        <v>-94</v>
      </c>
    </row>
    <row r="197" spans="1:7" ht="15" thickBot="1">
      <c r="A197" s="667"/>
      <c r="B197" s="1085" t="s">
        <v>1261</v>
      </c>
      <c r="C197" s="1085"/>
      <c r="D197" s="684">
        <v>310</v>
      </c>
      <c r="E197" s="642">
        <f>D197-'DVA '!H26</f>
        <v>310</v>
      </c>
      <c r="F197" s="684" t="s">
        <v>1230</v>
      </c>
    </row>
    <row r="198" spans="1:7">
      <c r="A198" s="671"/>
      <c r="B198" s="671"/>
      <c r="C198" s="671"/>
      <c r="D198" s="626">
        <v>925</v>
      </c>
      <c r="E198" s="626">
        <f>D198-'DVA '!H27</f>
        <v>386</v>
      </c>
      <c r="F198" s="626">
        <v>298</v>
      </c>
      <c r="G198">
        <f>F198-'DVA '!L27</f>
        <v>-94</v>
      </c>
    </row>
    <row r="199" spans="1:7" ht="15" thickBot="1">
      <c r="A199" s="667"/>
      <c r="B199" s="667"/>
      <c r="C199" s="667"/>
      <c r="D199" s="642"/>
      <c r="E199" s="642"/>
      <c r="F199" s="642"/>
    </row>
    <row r="200" spans="1:7" ht="15" thickBot="1">
      <c r="A200" s="1081" t="s">
        <v>1262</v>
      </c>
      <c r="B200" s="1081"/>
      <c r="C200" s="1081"/>
      <c r="D200" s="651">
        <v>75065</v>
      </c>
      <c r="E200" s="652">
        <f>D200-'DVA '!H30</f>
        <v>9256</v>
      </c>
      <c r="F200" s="651">
        <v>51015</v>
      </c>
      <c r="G200" s="595">
        <f>F200-'DVA '!L30</f>
        <v>-22168</v>
      </c>
    </row>
    <row r="201" spans="1:7" ht="15" thickTop="1">
      <c r="A201" s="1081" t="s">
        <v>1263</v>
      </c>
      <c r="B201" s="1081"/>
      <c r="C201" s="1081"/>
      <c r="D201" s="642"/>
      <c r="E201" s="642"/>
      <c r="F201" s="642"/>
    </row>
    <row r="202" spans="1:7">
      <c r="A202" s="671"/>
      <c r="B202" s="1081" t="s">
        <v>1264</v>
      </c>
      <c r="C202" s="1081"/>
      <c r="D202" s="626"/>
      <c r="E202" s="626"/>
      <c r="F202" s="626"/>
    </row>
    <row r="203" spans="1:7">
      <c r="A203" s="667"/>
      <c r="B203" s="667"/>
      <c r="C203" s="649" t="s">
        <v>1265</v>
      </c>
      <c r="D203" s="648">
        <v>41034</v>
      </c>
      <c r="E203" s="648">
        <f>D203-'DVA '!H33</f>
        <v>-13449</v>
      </c>
      <c r="F203" s="648">
        <v>32677</v>
      </c>
      <c r="G203" s="595">
        <f>F203-'DVA '!L33</f>
        <v>-17563</v>
      </c>
    </row>
    <row r="204" spans="1:7">
      <c r="A204" s="667"/>
      <c r="B204" s="667"/>
      <c r="C204" s="649" t="s">
        <v>1266</v>
      </c>
      <c r="D204" s="648">
        <v>6475</v>
      </c>
      <c r="E204" s="648">
        <f>D204-'DVA '!H34</f>
        <v>-1953</v>
      </c>
      <c r="F204" s="648">
        <v>4420</v>
      </c>
      <c r="G204" s="595">
        <f>F204-'DVA '!L34</f>
        <v>-3195</v>
      </c>
    </row>
    <row r="205" spans="1:7" ht="15" thickBot="1">
      <c r="A205" s="667"/>
      <c r="B205" s="667"/>
      <c r="C205" s="649" t="s">
        <v>1267</v>
      </c>
      <c r="D205" s="682">
        <v>3194</v>
      </c>
      <c r="E205" s="648">
        <f>D205-'DVA '!H35</f>
        <v>-1007</v>
      </c>
      <c r="F205" s="682">
        <v>2516</v>
      </c>
      <c r="G205" s="595">
        <f>F205-'DVA '!L35</f>
        <v>-1340</v>
      </c>
    </row>
    <row r="206" spans="1:7">
      <c r="A206" s="671"/>
      <c r="B206" s="671"/>
      <c r="C206" s="671"/>
      <c r="D206" s="652">
        <v>50703</v>
      </c>
      <c r="E206" s="652">
        <f>D206-'DVA '!H38</f>
        <v>-16409</v>
      </c>
      <c r="F206" s="652">
        <v>39613</v>
      </c>
      <c r="G206" s="595">
        <f>F206-'DVA '!L38</f>
        <v>-22098</v>
      </c>
    </row>
    <row r="207" spans="1:7">
      <c r="A207" s="667"/>
      <c r="B207" s="1081" t="s">
        <v>1268</v>
      </c>
      <c r="C207" s="1081"/>
      <c r="D207" s="626"/>
      <c r="E207" s="626"/>
      <c r="F207" s="626"/>
    </row>
    <row r="208" spans="1:7" ht="26.45">
      <c r="A208" s="667"/>
      <c r="B208" s="667"/>
      <c r="C208" s="649" t="s">
        <v>1269</v>
      </c>
      <c r="D208" s="648">
        <v>12445</v>
      </c>
      <c r="E208" s="648">
        <f>D208-'DVA '!H41</f>
        <v>272</v>
      </c>
      <c r="F208" s="648">
        <v>7653</v>
      </c>
      <c r="G208" s="595">
        <f>F208-'DVA '!L41</f>
        <v>-3303</v>
      </c>
    </row>
    <row r="209" spans="1:7">
      <c r="A209" s="667"/>
      <c r="B209" s="667"/>
      <c r="C209" s="649" t="s">
        <v>1270</v>
      </c>
      <c r="D209" s="642">
        <v>23</v>
      </c>
      <c r="E209" s="642">
        <f>D209-'DVA '!H42</f>
        <v>3</v>
      </c>
      <c r="F209" s="642">
        <v>21</v>
      </c>
      <c r="G209">
        <f>F209-'DVA '!L42</f>
        <v>-5</v>
      </c>
    </row>
    <row r="210" spans="1:7">
      <c r="A210" s="1082"/>
      <c r="B210" s="1082"/>
      <c r="C210" s="649" t="s">
        <v>1271</v>
      </c>
      <c r="D210" s="642">
        <v>250</v>
      </c>
      <c r="E210" s="646">
        <f>D210-'DVA '!H43</f>
        <v>9</v>
      </c>
      <c r="F210" s="642">
        <v>222</v>
      </c>
      <c r="G210">
        <f>F210-'DVA '!L43</f>
        <v>-27</v>
      </c>
    </row>
    <row r="211" spans="1:7" ht="15" thickBot="1">
      <c r="A211" s="1082"/>
      <c r="B211" s="1082"/>
      <c r="C211" s="649" t="s">
        <v>1272</v>
      </c>
      <c r="D211" s="684">
        <v>694</v>
      </c>
      <c r="E211" s="646">
        <f>D211-'DVA '!H44</f>
        <v>694</v>
      </c>
      <c r="F211" s="684">
        <v>16</v>
      </c>
      <c r="G211">
        <f>F211-'DVA '!L44</f>
        <v>16</v>
      </c>
    </row>
    <row r="212" spans="1:7">
      <c r="A212" s="671"/>
      <c r="B212" s="671"/>
      <c r="C212" s="671"/>
      <c r="D212" s="652">
        <v>13412</v>
      </c>
      <c r="E212" s="652">
        <f>D212-'DVA '!H45</f>
        <v>978</v>
      </c>
      <c r="F212" s="652">
        <v>7912</v>
      </c>
      <c r="G212" s="595">
        <f>F212-'DVA '!L45</f>
        <v>-3319</v>
      </c>
    </row>
    <row r="213" spans="1:7">
      <c r="A213" s="671"/>
      <c r="B213" s="1081" t="s">
        <v>1273</v>
      </c>
      <c r="C213" s="1081"/>
      <c r="D213" s="626"/>
      <c r="E213" s="626"/>
      <c r="F213" s="626"/>
    </row>
    <row r="214" spans="1:7" ht="26.45">
      <c r="A214" s="667"/>
      <c r="B214" s="667"/>
      <c r="C214" s="649" t="s">
        <v>1274</v>
      </c>
      <c r="D214" s="642">
        <v>990</v>
      </c>
      <c r="E214" s="642">
        <f>D214-'DVA '!H48</f>
        <v>224</v>
      </c>
      <c r="F214" s="648">
        <v>1474</v>
      </c>
      <c r="G214" s="595">
        <f>F214-'DVA '!L48</f>
        <v>671</v>
      </c>
    </row>
    <row r="215" spans="1:7" ht="15" thickBot="1">
      <c r="A215" s="667"/>
      <c r="B215" s="667"/>
      <c r="C215" s="649" t="s">
        <v>1275</v>
      </c>
      <c r="D215" s="642">
        <v>110</v>
      </c>
      <c r="E215" s="642">
        <f>D215-'DVA '!H49</f>
        <v>-12</v>
      </c>
      <c r="F215" s="642">
        <v>30</v>
      </c>
      <c r="G215">
        <f>F215-'DVA '!L49</f>
        <v>-84</v>
      </c>
    </row>
    <row r="216" spans="1:7">
      <c r="A216" s="671"/>
      <c r="B216" s="671"/>
      <c r="C216" s="671"/>
      <c r="D216" s="685">
        <v>1100</v>
      </c>
      <c r="E216" s="652">
        <f>D216-'DVA '!H51</f>
        <v>156</v>
      </c>
      <c r="F216" s="685">
        <v>1504</v>
      </c>
      <c r="G216" s="595">
        <f>F216-'DVA '!L51</f>
        <v>587</v>
      </c>
    </row>
    <row r="217" spans="1:7">
      <c r="A217" s="671"/>
      <c r="B217" s="1081" t="s">
        <v>1276</v>
      </c>
      <c r="C217" s="1081"/>
      <c r="D217" s="626"/>
      <c r="E217" s="626"/>
      <c r="F217" s="626"/>
    </row>
    <row r="218" spans="1:7" ht="15" thickBot="1">
      <c r="A218" s="667"/>
      <c r="B218" s="667"/>
      <c r="C218" s="649" t="s">
        <v>1277</v>
      </c>
      <c r="D218" s="682">
        <v>9850</v>
      </c>
      <c r="E218" s="648">
        <f>D218-'DVA '!H54</f>
        <v>24531</v>
      </c>
      <c r="F218" s="682">
        <v>1986</v>
      </c>
      <c r="G218" s="595">
        <f>F218-'DVA '!L54</f>
        <v>2662</v>
      </c>
    </row>
    <row r="219" spans="1:7">
      <c r="A219" s="671"/>
      <c r="B219" s="671"/>
      <c r="C219" s="671"/>
      <c r="D219" s="652">
        <v>9850</v>
      </c>
      <c r="E219" s="652">
        <f>D219-'DVA '!H55</f>
        <v>24531</v>
      </c>
      <c r="F219" s="652">
        <v>1986</v>
      </c>
      <c r="G219" s="595">
        <f>F219-'DVA '!L55</f>
        <v>2662</v>
      </c>
    </row>
    <row r="220" spans="1:7" ht="15" thickBot="1">
      <c r="A220" s="667"/>
      <c r="B220" s="667"/>
      <c r="C220" s="667"/>
      <c r="D220" s="642"/>
      <c r="E220" s="642"/>
      <c r="F220" s="642"/>
    </row>
    <row r="221" spans="1:7" ht="15" thickBot="1">
      <c r="A221" s="1081" t="s">
        <v>1278</v>
      </c>
      <c r="B221" s="1081"/>
      <c r="C221" s="1081"/>
      <c r="D221" s="651">
        <v>75065</v>
      </c>
      <c r="E221" s="652">
        <f>D221-'DVA '!H57</f>
        <v>9256</v>
      </c>
      <c r="F221" s="651">
        <v>51015</v>
      </c>
      <c r="G221" s="595">
        <f>F221-'DVA '!L57</f>
        <v>-22168</v>
      </c>
    </row>
    <row r="222" spans="1:7" ht="16.149999999999999" thickTop="1">
      <c r="A222" s="662" t="s">
        <v>1279</v>
      </c>
    </row>
    <row r="223" spans="1:7" ht="15.6">
      <c r="A223" s="662" t="s">
        <v>1224</v>
      </c>
    </row>
    <row r="224" spans="1:7">
      <c r="A224" s="662"/>
    </row>
    <row r="226" spans="1:5" ht="15.6">
      <c r="A226" s="666" t="s">
        <v>376</v>
      </c>
    </row>
    <row r="228" spans="1:5" ht="15" thickBot="1">
      <c r="A228" s="624" t="s">
        <v>377</v>
      </c>
      <c r="B228" s="625">
        <v>45473</v>
      </c>
      <c r="C228" s="626"/>
      <c r="D228" s="627">
        <v>45291</v>
      </c>
    </row>
    <row r="229" spans="1:5">
      <c r="A229" s="628" t="s">
        <v>378</v>
      </c>
      <c r="B229" s="629"/>
      <c r="C229" s="1086"/>
      <c r="D229" s="1086"/>
    </row>
    <row r="230" spans="1:5" ht="15" thickBot="1">
      <c r="A230" s="630" t="s">
        <v>1280</v>
      </c>
      <c r="B230" s="631">
        <v>47335</v>
      </c>
      <c r="C230" s="641">
        <f>B230-NE!B5</f>
        <v>13916</v>
      </c>
      <c r="D230" s="633">
        <v>33538</v>
      </c>
      <c r="E230" s="595">
        <f>D230-NE!D5</f>
        <v>-10978.806909999999</v>
      </c>
    </row>
    <row r="231" spans="1:5" ht="15" thickBot="1">
      <c r="A231" s="632"/>
      <c r="B231" s="634">
        <v>47335</v>
      </c>
      <c r="C231" s="641">
        <f>B231-NE!B6</f>
        <v>13916</v>
      </c>
      <c r="D231" s="635">
        <v>33538</v>
      </c>
      <c r="E231" s="595">
        <f>D231-NE!D6</f>
        <v>-10978.806909999999</v>
      </c>
    </row>
    <row r="232" spans="1:5">
      <c r="A232" s="636"/>
      <c r="B232" s="637"/>
      <c r="C232" s="637"/>
      <c r="D232" s="637"/>
    </row>
    <row r="233" spans="1:5">
      <c r="A233" s="624" t="s">
        <v>382</v>
      </c>
      <c r="B233" s="632"/>
      <c r="C233" s="632"/>
      <c r="D233" s="632"/>
    </row>
    <row r="234" spans="1:5">
      <c r="A234" s="628" t="s">
        <v>378</v>
      </c>
      <c r="B234" s="624"/>
      <c r="C234" s="638"/>
      <c r="D234" s="638"/>
    </row>
    <row r="235" spans="1:5">
      <c r="A235" s="630" t="s">
        <v>383</v>
      </c>
      <c r="B235" s="631">
        <v>1061</v>
      </c>
      <c r="C235" s="641">
        <f>B235-NE!B12</f>
        <v>-104</v>
      </c>
      <c r="D235" s="636">
        <v>883</v>
      </c>
      <c r="E235" s="595">
        <f>D235-NE!D12</f>
        <v>686.97639000000004</v>
      </c>
    </row>
    <row r="236" spans="1:5" ht="15" thickBot="1">
      <c r="A236" s="630" t="s">
        <v>384</v>
      </c>
      <c r="B236" s="639">
        <v>17731</v>
      </c>
      <c r="C236" s="631">
        <f>B236-BP!F43-BP!F38</f>
        <v>4220</v>
      </c>
      <c r="D236" s="631">
        <v>18987</v>
      </c>
      <c r="E236" s="595">
        <f>D236-BP!H38-BP!H43</f>
        <v>3966</v>
      </c>
    </row>
    <row r="237" spans="1:5" ht="15" thickBot="1">
      <c r="A237" s="632"/>
      <c r="B237" s="634">
        <v>18792</v>
      </c>
      <c r="C237" s="641">
        <f>B237-NE!B14-BP!F38-BP!F43</f>
        <v>-9395</v>
      </c>
      <c r="D237" s="634">
        <v>19870</v>
      </c>
      <c r="E237" s="595">
        <f>D237-NE!D14-BP!H38-BP!H43</f>
        <v>-10368.120139999999</v>
      </c>
    </row>
    <row r="238" spans="1:5">
      <c r="C238" t="s">
        <v>1281</v>
      </c>
    </row>
    <row r="240" spans="1:5" ht="15.6">
      <c r="A240" s="666" t="s">
        <v>1282</v>
      </c>
      <c r="B240" s="378"/>
    </row>
    <row r="242" spans="1:6" ht="15" thickBot="1">
      <c r="A242" s="686" t="s">
        <v>213</v>
      </c>
      <c r="B242" s="687"/>
      <c r="C242" s="688" t="s">
        <v>1283</v>
      </c>
      <c r="D242" s="627">
        <v>45291</v>
      </c>
    </row>
    <row r="243" spans="1:6" ht="26.45">
      <c r="A243" s="696" t="s">
        <v>215</v>
      </c>
      <c r="B243" s="690"/>
      <c r="C243" s="691">
        <v>9810</v>
      </c>
      <c r="D243" s="692">
        <v>5012</v>
      </c>
      <c r="E243" s="595">
        <f>C243-NE!C20</f>
        <v>-3836</v>
      </c>
      <c r="F243" s="595">
        <f>D243-NE!E20</f>
        <v>-2049</v>
      </c>
    </row>
    <row r="244" spans="1:6" ht="15" thickBot="1">
      <c r="A244" s="693" t="s">
        <v>216</v>
      </c>
      <c r="B244" s="642"/>
      <c r="C244" s="694">
        <v>37525</v>
      </c>
      <c r="D244" s="682">
        <v>28526</v>
      </c>
      <c r="E244" s="595">
        <f>C244-NE!C21</f>
        <v>17752</v>
      </c>
      <c r="F244" s="595">
        <f>D244-NE!E21</f>
        <v>-8930</v>
      </c>
    </row>
    <row r="245" spans="1:6">
      <c r="A245" s="695" t="s">
        <v>118</v>
      </c>
      <c r="B245" s="626"/>
      <c r="C245" s="652">
        <v>47335</v>
      </c>
      <c r="D245" s="652">
        <v>33538</v>
      </c>
      <c r="E245" s="595">
        <f>C245-NE!C22</f>
        <v>13916</v>
      </c>
      <c r="F245" s="595">
        <f>D245-NE!E22</f>
        <v>-10979</v>
      </c>
    </row>
    <row r="247" spans="1:6" ht="15.6">
      <c r="A247" s="666" t="s">
        <v>1284</v>
      </c>
    </row>
    <row r="249" spans="1:6" ht="15" thickBot="1">
      <c r="A249" s="697" t="s">
        <v>213</v>
      </c>
      <c r="B249" s="687"/>
      <c r="C249" s="627">
        <v>45473</v>
      </c>
      <c r="D249" s="627">
        <v>45291</v>
      </c>
    </row>
    <row r="250" spans="1:6" ht="15" thickBot="1">
      <c r="A250" s="698" t="s">
        <v>217</v>
      </c>
      <c r="B250" s="699"/>
      <c r="C250" s="700">
        <v>2</v>
      </c>
      <c r="D250" s="700">
        <v>2</v>
      </c>
      <c r="E250" s="595">
        <f>C250-NE!C28</f>
        <v>0</v>
      </c>
      <c r="F250" s="595">
        <f>D250-NE!E28</f>
        <v>0</v>
      </c>
    </row>
    <row r="251" spans="1:6" ht="15" thickBot="1">
      <c r="A251" s="698" t="s">
        <v>222</v>
      </c>
      <c r="B251" s="699"/>
      <c r="C251" s="700">
        <v>885</v>
      </c>
      <c r="D251" s="700">
        <v>842</v>
      </c>
      <c r="E251" s="595">
        <f>C251-NE!C35</f>
        <v>192</v>
      </c>
      <c r="F251" s="595">
        <f>D251-NE!E29</f>
        <v>842</v>
      </c>
    </row>
    <row r="252" spans="1:6" ht="15" thickBot="1">
      <c r="A252" s="698" t="s">
        <v>223</v>
      </c>
      <c r="B252" s="699"/>
      <c r="C252" s="700">
        <v>352</v>
      </c>
      <c r="D252" s="700">
        <v>335</v>
      </c>
      <c r="E252" s="595">
        <f>C252-NE!C36</f>
        <v>-86</v>
      </c>
      <c r="F252" s="595">
        <f>D252-NE!E30</f>
        <v>335</v>
      </c>
    </row>
    <row r="253" spans="1:6" ht="15" thickBot="1">
      <c r="A253" s="701" t="s">
        <v>224</v>
      </c>
      <c r="B253" s="700"/>
      <c r="C253" s="700">
        <v>137</v>
      </c>
      <c r="D253" s="700">
        <v>751</v>
      </c>
      <c r="E253" s="595">
        <f>C253-NE!C37</f>
        <v>137</v>
      </c>
      <c r="F253" s="595">
        <f>D253-NE!E37</f>
        <v>608</v>
      </c>
    </row>
    <row r="254" spans="1:6" ht="15" thickBot="1">
      <c r="A254" s="701" t="s">
        <v>395</v>
      </c>
      <c r="B254" s="700"/>
      <c r="C254" s="700">
        <v>137</v>
      </c>
      <c r="D254" s="700">
        <v>300</v>
      </c>
      <c r="E254" s="595">
        <f>C254-NE!C45</f>
        <v>137</v>
      </c>
      <c r="F254" s="595">
        <f>D254-NE!E45</f>
        <v>300</v>
      </c>
    </row>
    <row r="255" spans="1:6" ht="15" thickBot="1">
      <c r="A255" s="698" t="s">
        <v>225</v>
      </c>
      <c r="B255" s="699"/>
      <c r="C255" s="700">
        <v>202</v>
      </c>
      <c r="D255" s="700">
        <v>337</v>
      </c>
      <c r="E255" s="595">
        <f>C255-NE!C38</f>
        <v>-39</v>
      </c>
      <c r="F255" s="595">
        <f>D255-NE!E38</f>
        <v>106</v>
      </c>
    </row>
    <row r="256" spans="1:6" ht="15" thickBot="1">
      <c r="A256" s="698" t="s">
        <v>397</v>
      </c>
      <c r="B256" s="699"/>
      <c r="C256" s="700" t="s">
        <v>115</v>
      </c>
      <c r="D256" s="700">
        <v>129</v>
      </c>
      <c r="E256" s="595">
        <v>0</v>
      </c>
      <c r="F256" s="595">
        <f>D256-NE!E44</f>
        <v>129</v>
      </c>
    </row>
    <row r="257" spans="1:6" ht="15" thickBot="1">
      <c r="A257" s="698" t="s">
        <v>1285</v>
      </c>
      <c r="B257" s="699"/>
      <c r="C257" s="700">
        <v>24</v>
      </c>
      <c r="D257" s="700">
        <v>23</v>
      </c>
      <c r="E257" s="595">
        <f>C257-NE!C39</f>
        <v>-5</v>
      </c>
      <c r="F257" s="595">
        <f>D257-NE!E39</f>
        <v>-5</v>
      </c>
    </row>
    <row r="258" spans="1:6" ht="27" thickBot="1">
      <c r="A258" s="698" t="s">
        <v>1286</v>
      </c>
      <c r="B258" s="699"/>
      <c r="C258" s="700">
        <v>159</v>
      </c>
      <c r="D258" s="700">
        <v>152</v>
      </c>
      <c r="E258" s="595">
        <f>C258-NE!C40</f>
        <v>-29</v>
      </c>
      <c r="F258" s="595">
        <f>D258-NE!E40</f>
        <v>-28</v>
      </c>
    </row>
    <row r="259" spans="1:6" ht="15" thickBot="1">
      <c r="A259" s="698" t="s">
        <v>228</v>
      </c>
      <c r="B259" s="699"/>
      <c r="C259" s="700">
        <v>2</v>
      </c>
      <c r="D259" s="700">
        <v>2</v>
      </c>
      <c r="E259" s="595">
        <f>C259-NE!C41</f>
        <v>0</v>
      </c>
      <c r="F259" s="595">
        <f>D259-NE!E41</f>
        <v>0</v>
      </c>
    </row>
    <row r="260" spans="1:6" ht="15" thickBot="1">
      <c r="A260" s="698" t="s">
        <v>229</v>
      </c>
      <c r="B260" s="699"/>
      <c r="C260" s="700">
        <v>4</v>
      </c>
      <c r="D260" s="700">
        <v>4</v>
      </c>
      <c r="E260" s="595">
        <f>C260-NE!C42</f>
        <v>-1</v>
      </c>
      <c r="F260" s="595">
        <f>D260-NE!E42</f>
        <v>-1</v>
      </c>
    </row>
    <row r="261" spans="1:6" ht="15" thickBot="1">
      <c r="A261" s="698" t="s">
        <v>230</v>
      </c>
      <c r="B261" s="699"/>
      <c r="C261" s="700">
        <v>953</v>
      </c>
      <c r="D261" s="700">
        <v>912</v>
      </c>
      <c r="E261" s="595">
        <f>C261-NE!C43</f>
        <v>-214</v>
      </c>
      <c r="F261" s="595">
        <f>D261-NE!E43</f>
        <v>-198</v>
      </c>
    </row>
    <row r="262" spans="1:6">
      <c r="A262" s="702" t="s">
        <v>231</v>
      </c>
      <c r="B262" s="690"/>
      <c r="C262" s="703">
        <v>5</v>
      </c>
      <c r="D262" s="703">
        <v>5</v>
      </c>
      <c r="E262" s="595">
        <f>C262-NE!C46</f>
        <v>0</v>
      </c>
      <c r="F262" s="595">
        <f>D262-NE!E46</f>
        <v>0</v>
      </c>
    </row>
    <row r="263" spans="1:6" ht="15" thickBot="1">
      <c r="A263" s="697" t="s">
        <v>118</v>
      </c>
      <c r="B263" s="704"/>
      <c r="C263" s="705">
        <v>2862</v>
      </c>
      <c r="D263" s="705">
        <v>3794</v>
      </c>
      <c r="E263" s="595">
        <f>C263-NE!C48</f>
        <v>-1084</v>
      </c>
      <c r="F263" s="595">
        <f>D263-NE!E48</f>
        <v>-326.59815999999955</v>
      </c>
    </row>
    <row r="265" spans="1:6">
      <c r="A265" s="706" t="s">
        <v>233</v>
      </c>
    </row>
    <row r="266" spans="1:6">
      <c r="A266" s="707"/>
    </row>
    <row r="267" spans="1:6" ht="15" thickBot="1">
      <c r="A267" s="708" t="s">
        <v>213</v>
      </c>
      <c r="B267" s="687"/>
      <c r="C267" s="627">
        <v>45473</v>
      </c>
      <c r="D267" s="627">
        <v>45291</v>
      </c>
    </row>
    <row r="268" spans="1:6" ht="15" thickBot="1">
      <c r="A268" s="698" t="s">
        <v>1287</v>
      </c>
      <c r="B268" s="699"/>
      <c r="C268" s="700">
        <v>2</v>
      </c>
      <c r="D268" s="700">
        <v>2</v>
      </c>
      <c r="E268" s="595">
        <f>C268-NE!C53</f>
        <v>2</v>
      </c>
      <c r="F268" s="595">
        <f>D268-NE!E53</f>
        <v>2</v>
      </c>
    </row>
    <row r="269" spans="1:6" ht="15" thickBot="1">
      <c r="A269" s="698" t="s">
        <v>222</v>
      </c>
      <c r="B269" s="699"/>
      <c r="C269" s="700">
        <v>885</v>
      </c>
      <c r="D269" s="700">
        <v>842</v>
      </c>
      <c r="E269" s="595">
        <f>C269-NE!C63</f>
        <v>885</v>
      </c>
      <c r="F269" s="595">
        <f>D269-NE!E61</f>
        <v>663.37027999999998</v>
      </c>
    </row>
    <row r="270" spans="1:6" ht="15" thickBot="1">
      <c r="A270" s="698" t="s">
        <v>223</v>
      </c>
      <c r="B270" s="699"/>
      <c r="C270" s="700">
        <v>352</v>
      </c>
      <c r="D270" s="700">
        <v>335</v>
      </c>
      <c r="E270" s="595">
        <f>C270-NE!C64</f>
        <v>352</v>
      </c>
      <c r="F270" s="595">
        <f>D270-NE!E62</f>
        <v>267.37428</v>
      </c>
    </row>
    <row r="271" spans="1:6" ht="15" thickBot="1">
      <c r="A271" s="698" t="s">
        <v>224</v>
      </c>
      <c r="B271" s="699"/>
      <c r="C271" s="700">
        <v>137</v>
      </c>
      <c r="D271" s="700">
        <v>751</v>
      </c>
      <c r="E271" s="595">
        <f>C271-NE!C59</f>
        <v>137</v>
      </c>
      <c r="F271" s="595">
        <f>D271-NE!E59</f>
        <v>751</v>
      </c>
    </row>
    <row r="272" spans="1:6" ht="15" thickBot="1">
      <c r="A272" s="698" t="s">
        <v>395</v>
      </c>
      <c r="B272" s="699"/>
      <c r="C272" s="700">
        <v>137</v>
      </c>
      <c r="D272" s="700">
        <v>300</v>
      </c>
      <c r="E272" s="595">
        <f>C272-NE!C60</f>
        <v>137</v>
      </c>
      <c r="F272" s="595">
        <f>D272-NE!E60</f>
        <v>300</v>
      </c>
    </row>
    <row r="273" spans="1:6" ht="15" thickBot="1">
      <c r="A273" s="698" t="s">
        <v>393</v>
      </c>
      <c r="B273" s="699"/>
      <c r="C273" s="700">
        <v>4</v>
      </c>
      <c r="D273" s="700">
        <v>4</v>
      </c>
      <c r="E273" s="595">
        <f>C273-NE!C55</f>
        <v>4</v>
      </c>
      <c r="F273" s="595">
        <f>D273-NE!E55</f>
        <v>4</v>
      </c>
    </row>
    <row r="274" spans="1:6" ht="15" thickBot="1">
      <c r="A274" s="698" t="s">
        <v>225</v>
      </c>
      <c r="B274" s="699"/>
      <c r="C274" s="700">
        <v>202</v>
      </c>
      <c r="D274" s="700">
        <v>337</v>
      </c>
      <c r="E274" s="595">
        <f>C274-NE!C56</f>
        <v>202</v>
      </c>
      <c r="F274" s="595">
        <f>D274-NE!E56</f>
        <v>337</v>
      </c>
    </row>
    <row r="275" spans="1:6" ht="15" thickBot="1">
      <c r="A275" s="698" t="s">
        <v>1288</v>
      </c>
      <c r="B275" s="699"/>
      <c r="C275" s="700" t="s">
        <v>115</v>
      </c>
      <c r="D275" s="700">
        <v>129</v>
      </c>
      <c r="E275" s="595">
        <v>0</v>
      </c>
      <c r="F275" s="595">
        <f>D275-NE!E57</f>
        <v>129</v>
      </c>
    </row>
    <row r="276" spans="1:6" ht="15" thickBot="1">
      <c r="A276" s="698" t="s">
        <v>392</v>
      </c>
      <c r="B276" s="699"/>
      <c r="C276" s="700">
        <v>2</v>
      </c>
      <c r="D276" s="700">
        <v>2</v>
      </c>
      <c r="E276" s="595">
        <f>C276-NE!C58</f>
        <v>2</v>
      </c>
      <c r="F276" s="595">
        <f>D276-NE!E58</f>
        <v>2</v>
      </c>
    </row>
    <row r="277" spans="1:6" ht="15" thickBot="1">
      <c r="A277" s="698" t="s">
        <v>239</v>
      </c>
      <c r="B277" s="699"/>
      <c r="C277" s="700">
        <v>953</v>
      </c>
      <c r="D277" s="700">
        <v>912</v>
      </c>
      <c r="E277" s="595">
        <f>C277-NE!C54</f>
        <v>953</v>
      </c>
      <c r="F277" s="595">
        <f>D277-NE!E54</f>
        <v>912</v>
      </c>
    </row>
    <row r="278" spans="1:6" ht="15" thickBot="1">
      <c r="A278" s="697" t="s">
        <v>118</v>
      </c>
      <c r="B278" s="626"/>
      <c r="C278" s="709">
        <v>2674</v>
      </c>
      <c r="D278" s="709">
        <v>3614</v>
      </c>
      <c r="E278" s="595">
        <f>C278-NE!C70</f>
        <v>2412</v>
      </c>
      <c r="F278" s="595">
        <f>D278-NE!E70</f>
        <v>2504.03379</v>
      </c>
    </row>
    <row r="279" spans="1:6">
      <c r="A279" s="710"/>
    </row>
    <row r="280" spans="1:6">
      <c r="A280" s="706" t="s">
        <v>237</v>
      </c>
    </row>
    <row r="281" spans="1:6">
      <c r="A281" s="710"/>
    </row>
    <row r="282" spans="1:6" ht="15" thickBot="1">
      <c r="A282" s="708" t="s">
        <v>213</v>
      </c>
      <c r="B282" s="687"/>
      <c r="C282" s="627">
        <v>45473</v>
      </c>
      <c r="D282" s="627">
        <v>45291</v>
      </c>
    </row>
    <row r="283" spans="1:6" ht="15" thickBot="1">
      <c r="A283" s="698" t="s">
        <v>391</v>
      </c>
      <c r="B283" s="699"/>
      <c r="C283" s="700">
        <v>24</v>
      </c>
      <c r="D283" s="700">
        <v>23</v>
      </c>
      <c r="E283" s="595">
        <f>C283-NE!C76</f>
        <v>-5</v>
      </c>
      <c r="F283" s="595">
        <f>D283-NE!E76</f>
        <v>-4.5778400000000019</v>
      </c>
    </row>
    <row r="284" spans="1:6" ht="27" thickBot="1">
      <c r="A284" s="698" t="s">
        <v>238</v>
      </c>
      <c r="B284" s="699"/>
      <c r="C284" s="700">
        <v>159</v>
      </c>
      <c r="D284" s="700">
        <v>152</v>
      </c>
      <c r="E284" s="595">
        <f>C284-NE!C77</f>
        <v>-29</v>
      </c>
      <c r="F284" s="595">
        <f>D284-NE!E77</f>
        <v>-28.37260999999998</v>
      </c>
    </row>
    <row r="285" spans="1:6" ht="15" thickBot="1">
      <c r="A285" s="711" t="s">
        <v>396</v>
      </c>
      <c r="B285" s="699"/>
      <c r="C285" s="704">
        <v>5</v>
      </c>
      <c r="D285" s="704">
        <v>5</v>
      </c>
      <c r="E285" s="595">
        <f>C285-NE!C78</f>
        <v>0</v>
      </c>
      <c r="F285" s="595">
        <f>D285-NE!E78</f>
        <v>0.35942000000000007</v>
      </c>
    </row>
    <row r="286" spans="1:6" ht="15" thickBot="1">
      <c r="A286" s="697" t="s">
        <v>118</v>
      </c>
      <c r="B286" s="712"/>
      <c r="C286" s="713">
        <v>188</v>
      </c>
      <c r="D286" s="713">
        <v>180</v>
      </c>
      <c r="E286" s="595">
        <f>C286-NE!C89</f>
        <v>-3496</v>
      </c>
      <c r="F286" s="595">
        <f>D286-NE!E89</f>
        <v>-2831.0225099999998</v>
      </c>
    </row>
    <row r="289" spans="1:6" ht="15.6">
      <c r="A289" s="666" t="s">
        <v>1289</v>
      </c>
    </row>
    <row r="290" spans="1:6" ht="15" thickBot="1">
      <c r="A290" s="714"/>
      <c r="B290" s="687"/>
      <c r="C290" s="625">
        <v>45473</v>
      </c>
      <c r="D290" s="625">
        <v>45291</v>
      </c>
    </row>
    <row r="291" spans="1:6" ht="15" thickBot="1">
      <c r="A291" s="715" t="s">
        <v>240</v>
      </c>
      <c r="B291" s="716"/>
      <c r="C291" s="717">
        <v>196</v>
      </c>
      <c r="D291" s="717">
        <v>750</v>
      </c>
      <c r="E291" s="595">
        <f>C291-NE!C95</f>
        <v>-252</v>
      </c>
      <c r="F291" s="595">
        <f>D291-NE!E95</f>
        <v>116.26805000000002</v>
      </c>
    </row>
    <row r="292" spans="1:6" ht="15" thickBot="1">
      <c r="A292" s="715" t="s">
        <v>241</v>
      </c>
      <c r="B292" s="716"/>
      <c r="C292" s="718">
        <v>2832</v>
      </c>
      <c r="D292" s="719" t="s">
        <v>242</v>
      </c>
      <c r="E292" s="595">
        <f>C292-NE!C96</f>
        <v>-1032</v>
      </c>
      <c r="F292">
        <v>0</v>
      </c>
    </row>
    <row r="293" spans="1:6" ht="15" thickBot="1">
      <c r="A293" s="720" t="s">
        <v>118</v>
      </c>
      <c r="B293" s="671"/>
      <c r="C293" s="721">
        <v>3028</v>
      </c>
      <c r="D293" s="722">
        <v>750</v>
      </c>
      <c r="E293" s="595">
        <f>C293-NE!C97</f>
        <v>-1284</v>
      </c>
      <c r="F293" s="595">
        <f>D293-NE!E97</f>
        <v>116.26805000000002</v>
      </c>
    </row>
    <row r="295" spans="1:6" ht="15.6">
      <c r="A295" s="666" t="s">
        <v>1290</v>
      </c>
    </row>
    <row r="297" spans="1:6">
      <c r="A297" s="706" t="s">
        <v>233</v>
      </c>
    </row>
    <row r="298" spans="1:6" ht="15" thickBot="1">
      <c r="A298" s="697" t="s">
        <v>213</v>
      </c>
      <c r="B298" s="687"/>
      <c r="C298" s="627">
        <v>45473</v>
      </c>
      <c r="D298" s="627">
        <v>45291</v>
      </c>
    </row>
    <row r="299" spans="1:6" ht="15" thickBot="1">
      <c r="A299" s="698" t="s">
        <v>243</v>
      </c>
      <c r="B299" s="699"/>
      <c r="C299" s="700">
        <v>87</v>
      </c>
      <c r="D299" s="700">
        <v>185</v>
      </c>
      <c r="E299" s="595">
        <f>C299-NE!C104</f>
        <v>62</v>
      </c>
      <c r="F299" s="595">
        <f>D299-NE!E104</f>
        <v>133.16437999999999</v>
      </c>
    </row>
    <row r="300" spans="1:6" ht="15" thickBot="1">
      <c r="A300" s="698" t="s">
        <v>244</v>
      </c>
      <c r="B300" s="699"/>
      <c r="C300" s="723">
        <v>1658</v>
      </c>
      <c r="D300" s="700">
        <v>528</v>
      </c>
      <c r="E300" s="595">
        <f>C300-NE!C105</f>
        <v>132</v>
      </c>
      <c r="F300" s="595">
        <f>D300-NE!E105</f>
        <v>-2648.1896900000002</v>
      </c>
    </row>
    <row r="301" spans="1:6" ht="15" thickBot="1">
      <c r="A301" s="701" t="s">
        <v>245</v>
      </c>
      <c r="B301" s="699"/>
      <c r="C301" s="700">
        <v>424</v>
      </c>
      <c r="D301" s="700">
        <v>151</v>
      </c>
      <c r="E301" s="595">
        <f>C301-NE!C106</f>
        <v>365</v>
      </c>
      <c r="F301" s="595">
        <f>D301-NE!E106</f>
        <v>17.20478</v>
      </c>
    </row>
    <row r="302" spans="1:6" ht="15" thickBot="1">
      <c r="A302" s="701" t="s">
        <v>246</v>
      </c>
      <c r="B302" s="699"/>
      <c r="C302" s="700">
        <v>254</v>
      </c>
      <c r="D302" s="700">
        <v>0</v>
      </c>
      <c r="E302" s="595">
        <f>C302-NE!C107</f>
        <v>9</v>
      </c>
      <c r="F302" s="595">
        <f>D302-NE!E107</f>
        <v>0</v>
      </c>
    </row>
    <row r="303" spans="1:6" ht="15" thickBot="1">
      <c r="A303" s="701" t="s">
        <v>1291</v>
      </c>
      <c r="B303" s="699"/>
      <c r="C303" s="723">
        <v>2269</v>
      </c>
      <c r="D303" s="723">
        <v>1314</v>
      </c>
      <c r="E303" s="595">
        <f>C303-NE!C108</f>
        <v>-528</v>
      </c>
      <c r="F303" s="595">
        <f>D303-NE!E108</f>
        <v>-3134.65103</v>
      </c>
    </row>
    <row r="304" spans="1:6" ht="15" thickBot="1">
      <c r="A304" s="697" t="s">
        <v>248</v>
      </c>
      <c r="B304" s="704"/>
      <c r="C304" s="705">
        <v>4692</v>
      </c>
      <c r="D304" s="705">
        <v>2178</v>
      </c>
      <c r="E304" s="595">
        <f>C304-NE!C110</f>
        <v>40</v>
      </c>
      <c r="F304" s="595">
        <f>D304-NE!E110</f>
        <v>-5632.47156</v>
      </c>
    </row>
    <row r="306" spans="1:11" ht="15.6">
      <c r="A306" s="666" t="s">
        <v>1292</v>
      </c>
    </row>
    <row r="308" spans="1:11" ht="15" thickBot="1">
      <c r="A308" s="686" t="s">
        <v>213</v>
      </c>
      <c r="B308" s="626"/>
      <c r="C308" s="625">
        <v>45473</v>
      </c>
      <c r="D308" s="625">
        <v>45291</v>
      </c>
    </row>
    <row r="309" spans="1:11" ht="15" thickBot="1">
      <c r="A309" s="715" t="s">
        <v>249</v>
      </c>
      <c r="B309" s="712"/>
      <c r="C309" s="725">
        <v>4217</v>
      </c>
      <c r="D309" s="725">
        <v>4114</v>
      </c>
      <c r="E309" s="595">
        <f>C309-NE!C124</f>
        <v>-436</v>
      </c>
      <c r="F309" s="595">
        <f>D309-NE!E124</f>
        <v>-384.18523000000005</v>
      </c>
    </row>
    <row r="310" spans="1:11" ht="15" thickBot="1">
      <c r="A310" s="715" t="s">
        <v>250</v>
      </c>
      <c r="B310" s="712"/>
      <c r="C310" s="725">
        <v>1364</v>
      </c>
      <c r="D310" s="725">
        <v>1318</v>
      </c>
      <c r="E310" s="595">
        <f>C310-NE!C125</f>
        <v>-609</v>
      </c>
      <c r="F310" s="595">
        <f>D310-NE!E125</f>
        <v>727.56218000000001</v>
      </c>
    </row>
    <row r="311" spans="1:11" ht="15" thickBot="1">
      <c r="A311" s="693" t="s">
        <v>251</v>
      </c>
      <c r="B311" s="712"/>
      <c r="C311" s="726">
        <v>173</v>
      </c>
      <c r="D311" s="726">
        <v>168</v>
      </c>
      <c r="E311" s="595">
        <f>C311-NE!C126</f>
        <v>-18</v>
      </c>
      <c r="F311" s="595">
        <f>D311-NE!E126</f>
        <v>-15.873980000000017</v>
      </c>
    </row>
    <row r="312" spans="1:11" ht="15" thickBot="1">
      <c r="A312" s="720" t="s">
        <v>118</v>
      </c>
      <c r="B312" s="671"/>
      <c r="C312" s="721">
        <v>5754</v>
      </c>
      <c r="D312" s="727">
        <v>5600</v>
      </c>
      <c r="E312" s="595">
        <f>C312-NE!C127</f>
        <v>-1063</v>
      </c>
      <c r="F312" s="595">
        <f>D312-NE!E127</f>
        <v>327.50296999999955</v>
      </c>
    </row>
    <row r="315" spans="1:11" ht="15.6">
      <c r="A315" s="666" t="s">
        <v>1293</v>
      </c>
    </row>
    <row r="316" spans="1:11">
      <c r="A316" s="728"/>
    </row>
    <row r="317" spans="1:11">
      <c r="A317" s="729"/>
      <c r="B317" s="1067" t="s">
        <v>252</v>
      </c>
      <c r="C317" s="731" t="s">
        <v>253</v>
      </c>
      <c r="D317" s="729"/>
      <c r="E317" s="731" t="s">
        <v>254</v>
      </c>
      <c r="F317" s="729"/>
      <c r="G317" s="731" t="s">
        <v>1294</v>
      </c>
      <c r="H317" s="729"/>
      <c r="I317" s="731" t="s">
        <v>1295</v>
      </c>
    </row>
    <row r="318" spans="1:11">
      <c r="A318" s="732" t="s">
        <v>213</v>
      </c>
      <c r="B318" s="1067"/>
      <c r="C318" s="731" t="s">
        <v>257</v>
      </c>
      <c r="D318" s="729"/>
      <c r="E318" s="731" t="s">
        <v>258</v>
      </c>
      <c r="F318" s="729"/>
      <c r="G318" s="731" t="s">
        <v>259</v>
      </c>
      <c r="H318" s="729"/>
      <c r="I318" s="731" t="s">
        <v>259</v>
      </c>
    </row>
    <row r="319" spans="1:11">
      <c r="A319" s="707" t="s">
        <v>260</v>
      </c>
      <c r="B319" s="733">
        <v>0.1</v>
      </c>
      <c r="C319" s="631">
        <v>2400</v>
      </c>
      <c r="D319" s="631">
        <f>C319-NE!C136</f>
        <v>-314</v>
      </c>
      <c r="E319" s="636">
        <v>-839</v>
      </c>
      <c r="F319" s="631">
        <f>E319-NE!E136</f>
        <v>516</v>
      </c>
      <c r="G319" s="631">
        <v>1561</v>
      </c>
      <c r="H319" s="636"/>
      <c r="I319" s="631">
        <v>1681</v>
      </c>
      <c r="J319" s="595">
        <f>G319-NE!F136</f>
        <v>202</v>
      </c>
      <c r="K319" s="595">
        <f>I319-NE!G136</f>
        <v>185.27167000000009</v>
      </c>
    </row>
    <row r="320" spans="1:11">
      <c r="A320" s="707" t="s">
        <v>261</v>
      </c>
      <c r="B320" s="733">
        <v>0.1</v>
      </c>
      <c r="C320" s="636">
        <v>792</v>
      </c>
      <c r="D320" s="631">
        <f>C320-NE!C137</f>
        <v>-67</v>
      </c>
      <c r="E320" s="636">
        <v>-746</v>
      </c>
      <c r="F320" s="631">
        <f>E320-NE!E137</f>
        <v>35</v>
      </c>
      <c r="G320" s="636">
        <v>46</v>
      </c>
      <c r="H320" s="636"/>
      <c r="I320" s="636">
        <v>56</v>
      </c>
      <c r="J320" s="595">
        <f>G320-NE!F137</f>
        <v>-32</v>
      </c>
      <c r="K320" s="595">
        <f>I320-NE!G137</f>
        <v>-29.570429999999931</v>
      </c>
    </row>
    <row r="321" spans="1:11">
      <c r="A321" s="707" t="s">
        <v>262</v>
      </c>
      <c r="B321" s="733">
        <v>0.2</v>
      </c>
      <c r="C321" s="631">
        <v>12406</v>
      </c>
      <c r="D321" s="631">
        <f>C321-NE!C138</f>
        <v>-2789</v>
      </c>
      <c r="E321" s="631">
        <v>-8809</v>
      </c>
      <c r="F321" s="631">
        <f>E321-NE!E138</f>
        <v>2914</v>
      </c>
      <c r="G321" s="631">
        <v>3597</v>
      </c>
      <c r="H321" s="636"/>
      <c r="I321" s="631">
        <v>3613</v>
      </c>
      <c r="J321" s="595">
        <f>G321-NE!F138</f>
        <v>125</v>
      </c>
      <c r="K321" s="595">
        <f>I321-NE!G138</f>
        <v>-15.954810000000634</v>
      </c>
    </row>
    <row r="322" spans="1:11" ht="15" thickBot="1">
      <c r="A322" s="707" t="s">
        <v>263</v>
      </c>
      <c r="B322" s="733">
        <v>0.1</v>
      </c>
      <c r="C322" s="631">
        <v>2161</v>
      </c>
      <c r="D322" s="631">
        <f>C322-NE!C139</f>
        <v>-611</v>
      </c>
      <c r="E322" s="631">
        <v>-2017</v>
      </c>
      <c r="F322" s="631">
        <f>E322-NE!E139</f>
        <v>137</v>
      </c>
      <c r="G322" s="636">
        <v>144</v>
      </c>
      <c r="H322" s="636"/>
      <c r="I322" s="636">
        <v>165</v>
      </c>
      <c r="J322" s="595">
        <f>G322-NE!F139</f>
        <v>-474</v>
      </c>
      <c r="K322" s="595">
        <f>I322-NE!G139</f>
        <v>-494.18552</v>
      </c>
    </row>
    <row r="323" spans="1:11" ht="15" thickBot="1">
      <c r="A323" s="734" t="s">
        <v>118</v>
      </c>
      <c r="B323" s="735"/>
      <c r="C323" s="634">
        <v>17759</v>
      </c>
      <c r="D323" s="631">
        <f>C323-NE!C140</f>
        <v>-3781</v>
      </c>
      <c r="E323" s="634">
        <v>-12411</v>
      </c>
      <c r="F323" s="631">
        <f>E323-NE!E140</f>
        <v>3602</v>
      </c>
      <c r="G323" s="634">
        <v>5348</v>
      </c>
      <c r="H323" s="736"/>
      <c r="I323" s="634">
        <v>5515</v>
      </c>
      <c r="J323" s="595">
        <f>G323-NE!F140</f>
        <v>-179</v>
      </c>
      <c r="K323" s="595">
        <f>I323-NE!G140</f>
        <v>-354.43909000000076</v>
      </c>
    </row>
    <row r="324" spans="1:11">
      <c r="A324" s="728"/>
    </row>
    <row r="325" spans="1:11">
      <c r="A325" s="728"/>
    </row>
    <row r="326" spans="1:11">
      <c r="A326" s="707"/>
    </row>
    <row r="327" spans="1:11">
      <c r="A327" s="729"/>
      <c r="B327" s="737" t="s">
        <v>1295</v>
      </c>
      <c r="C327" s="737"/>
      <c r="D327" s="1087" t="s">
        <v>264</v>
      </c>
      <c r="E327" s="1088" t="s">
        <v>410</v>
      </c>
      <c r="F327" s="1087" t="s">
        <v>254</v>
      </c>
      <c r="G327" s="729"/>
      <c r="H327" s="1088" t="s">
        <v>1296</v>
      </c>
      <c r="I327" s="738" t="s">
        <v>1294</v>
      </c>
    </row>
    <row r="328" spans="1:11">
      <c r="A328" s="732" t="s">
        <v>213</v>
      </c>
      <c r="B328" s="737" t="s">
        <v>259</v>
      </c>
      <c r="C328" s="737"/>
      <c r="D328" s="1087"/>
      <c r="E328" s="1088"/>
      <c r="F328" s="1087"/>
      <c r="G328" s="729"/>
      <c r="H328" s="1088"/>
      <c r="I328" s="738" t="s">
        <v>259</v>
      </c>
    </row>
    <row r="329" spans="1:11">
      <c r="A329" s="707" t="s">
        <v>260</v>
      </c>
      <c r="B329" s="739">
        <v>1681</v>
      </c>
      <c r="C329" s="739">
        <f>B329-NE!B147</f>
        <v>185.27167000000009</v>
      </c>
      <c r="D329" s="636" t="s">
        <v>115</v>
      </c>
      <c r="E329" s="712"/>
      <c r="F329" s="636">
        <v>-120</v>
      </c>
      <c r="G329" s="636"/>
      <c r="H329" s="741">
        <f>F329-NE!E147</f>
        <v>15.700920000000025</v>
      </c>
      <c r="I329" s="631">
        <v>1561</v>
      </c>
      <c r="J329" s="595">
        <f>I329-NE!G147</f>
        <v>200.97260000000006</v>
      </c>
    </row>
    <row r="330" spans="1:11">
      <c r="A330" s="707" t="s">
        <v>261</v>
      </c>
      <c r="B330" s="712">
        <v>56</v>
      </c>
      <c r="C330" s="739">
        <f>B330-NE!B148</f>
        <v>-29.570429999999931</v>
      </c>
      <c r="D330" s="636" t="s">
        <v>115</v>
      </c>
      <c r="E330" s="712"/>
      <c r="F330" s="636">
        <v>-10</v>
      </c>
      <c r="G330" s="636"/>
      <c r="H330" s="741">
        <f>F330-NE!E148</f>
        <v>-1.9194399999999998</v>
      </c>
      <c r="I330" s="636">
        <v>46</v>
      </c>
      <c r="J330" s="595">
        <f>I330-NE!G148</f>
        <v>-31.489869999999925</v>
      </c>
    </row>
    <row r="331" spans="1:11">
      <c r="A331" s="707" t="s">
        <v>262</v>
      </c>
      <c r="B331" s="739">
        <v>3613</v>
      </c>
      <c r="C331" s="739">
        <f>B331-NE!B149</f>
        <v>-15.954810000000634</v>
      </c>
      <c r="D331" s="636">
        <v>690</v>
      </c>
      <c r="E331" s="712">
        <f>D331-NE!C149</f>
        <v>106.92499999999995</v>
      </c>
      <c r="F331" s="636">
        <v>-706</v>
      </c>
      <c r="G331" s="636"/>
      <c r="H331" s="741">
        <f>F331-NE!E149</f>
        <v>34.371080000000006</v>
      </c>
      <c r="I331" s="631">
        <v>3597</v>
      </c>
      <c r="J331" s="595">
        <f>I331-NE!G149</f>
        <v>125.34126999999899</v>
      </c>
    </row>
    <row r="332" spans="1:11" ht="15" thickBot="1">
      <c r="A332" s="707" t="s">
        <v>263</v>
      </c>
      <c r="B332" s="712">
        <v>165</v>
      </c>
      <c r="C332" s="739">
        <f>B332-NE!B150</f>
        <v>-494.18552</v>
      </c>
      <c r="D332" s="636" t="s">
        <v>115</v>
      </c>
      <c r="E332" s="712"/>
      <c r="F332" s="636">
        <v>-21</v>
      </c>
      <c r="G332" s="636"/>
      <c r="H332" s="741">
        <f>F332-NE!E150</f>
        <v>28.988459999999996</v>
      </c>
      <c r="I332" s="636">
        <v>144</v>
      </c>
      <c r="J332" s="595">
        <f>I332-NE!G150</f>
        <v>-473.72205999999994</v>
      </c>
    </row>
    <row r="333" spans="1:11" ht="15" thickBot="1">
      <c r="A333" s="734" t="s">
        <v>118</v>
      </c>
      <c r="B333" s="740">
        <v>5515</v>
      </c>
      <c r="C333" s="739">
        <f>B333-NE!B151</f>
        <v>-354.43909000000076</v>
      </c>
      <c r="D333" s="736">
        <v>690</v>
      </c>
      <c r="E333" s="712">
        <f>D333-NE!C151</f>
        <v>98.399999999999977</v>
      </c>
      <c r="F333" s="736">
        <v>-857</v>
      </c>
      <c r="G333" s="736"/>
      <c r="H333" s="741">
        <f>F333-NE!E151</f>
        <v>77.141020000000026</v>
      </c>
      <c r="I333" s="634">
        <v>5348</v>
      </c>
      <c r="J333" s="595">
        <f>I333-NE!G151</f>
        <v>-178.89806000000135</v>
      </c>
    </row>
    <row r="336" spans="1:11" ht="15.6">
      <c r="A336" s="666" t="s">
        <v>1297</v>
      </c>
      <c r="B336" s="378"/>
    </row>
    <row r="338" spans="1:9">
      <c r="A338" s="724" t="s">
        <v>1298</v>
      </c>
    </row>
    <row r="339" spans="1:9">
      <c r="A339" s="728"/>
    </row>
    <row r="340" spans="1:9">
      <c r="A340" s="729"/>
      <c r="B340" s="637" t="s">
        <v>1299</v>
      </c>
      <c r="C340" s="637" t="s">
        <v>266</v>
      </c>
      <c r="D340" s="637" t="s">
        <v>1300</v>
      </c>
      <c r="E340" s="637" t="s">
        <v>1299</v>
      </c>
    </row>
    <row r="341" spans="1:9">
      <c r="A341" s="732" t="s">
        <v>268</v>
      </c>
      <c r="B341" s="637" t="s">
        <v>271</v>
      </c>
      <c r="C341" s="637" t="s">
        <v>1301</v>
      </c>
      <c r="D341" s="637" t="s">
        <v>271</v>
      </c>
      <c r="E341" s="637" t="s">
        <v>271</v>
      </c>
    </row>
    <row r="342" spans="1:9" ht="15" thickBot="1">
      <c r="A342" s="707" t="s">
        <v>272</v>
      </c>
      <c r="B342" s="631">
        <v>17709</v>
      </c>
      <c r="C342" s="631">
        <v>-1362</v>
      </c>
      <c r="D342" s="631">
        <v>16347</v>
      </c>
      <c r="E342" s="631">
        <v>17709</v>
      </c>
      <c r="F342" s="595">
        <f>B342-NE!B158</f>
        <v>-6842</v>
      </c>
      <c r="G342" s="595">
        <f>C342-NE!E158</f>
        <v>11368.060320000001</v>
      </c>
      <c r="H342" s="595">
        <f>D342-NE!F158</f>
        <v>4526.0603200000005</v>
      </c>
      <c r="I342" s="595">
        <f>E342-NE!G158</f>
        <v>4410.2013099999986</v>
      </c>
    </row>
    <row r="343" spans="1:9" ht="15" thickBot="1">
      <c r="A343" s="734" t="s">
        <v>273</v>
      </c>
      <c r="B343" s="634">
        <v>17709</v>
      </c>
      <c r="C343" s="634">
        <v>-1362</v>
      </c>
      <c r="D343" s="634">
        <v>16347</v>
      </c>
      <c r="E343" s="634">
        <v>17709</v>
      </c>
      <c r="F343" s="595">
        <f>B343-NE!B159</f>
        <v>-6842</v>
      </c>
      <c r="G343" s="595">
        <f>C343-NE!E159</f>
        <v>11368.060320000001</v>
      </c>
      <c r="H343" s="595">
        <f>D343-NE!F159</f>
        <v>4526.0603200000005</v>
      </c>
      <c r="I343" s="595">
        <f>E343-NE!G159</f>
        <v>4410.2013099999986</v>
      </c>
    </row>
    <row r="344" spans="1:9">
      <c r="A344" s="636"/>
    </row>
    <row r="345" spans="1:9">
      <c r="A345" s="728"/>
    </row>
    <row r="346" spans="1:9">
      <c r="A346" s="724" t="s">
        <v>1302</v>
      </c>
    </row>
    <row r="347" spans="1:9">
      <c r="A347" s="724"/>
    </row>
    <row r="348" spans="1:9" ht="15" thickBot="1">
      <c r="A348" s="729"/>
      <c r="B348" s="729"/>
      <c r="C348" s="742">
        <v>45473</v>
      </c>
      <c r="D348" s="729"/>
      <c r="E348" s="742">
        <v>45291</v>
      </c>
    </row>
    <row r="349" spans="1:9">
      <c r="A349" s="632"/>
      <c r="B349" s="632"/>
      <c r="C349" s="632"/>
      <c r="D349" s="632"/>
      <c r="E349" s="632"/>
    </row>
    <row r="350" spans="1:9">
      <c r="A350" s="743" t="s">
        <v>274</v>
      </c>
      <c r="B350" s="632"/>
      <c r="C350" s="631">
        <v>2607</v>
      </c>
      <c r="D350" s="632"/>
      <c r="E350" s="631">
        <v>2544</v>
      </c>
      <c r="F350" s="595">
        <f>C350-NE!C166</f>
        <v>-528</v>
      </c>
      <c r="G350" s="595">
        <f>E350-NE!E166</f>
        <v>-514.99809000000005</v>
      </c>
    </row>
    <row r="351" spans="1:9" ht="15" thickBot="1">
      <c r="A351" s="743" t="s">
        <v>275</v>
      </c>
      <c r="B351" s="632"/>
      <c r="C351" s="631">
        <v>15124</v>
      </c>
      <c r="D351" s="632"/>
      <c r="E351" s="631">
        <v>16443</v>
      </c>
      <c r="F351" s="595">
        <f>C351-NE!C168</f>
        <v>4748</v>
      </c>
      <c r="G351" s="595">
        <f>E351-NE!E168</f>
        <v>4480.9015600000002</v>
      </c>
    </row>
    <row r="352" spans="1:9" ht="15" thickBot="1">
      <c r="A352" s="632"/>
      <c r="B352" s="632"/>
      <c r="C352" s="744">
        <v>17731</v>
      </c>
      <c r="D352" s="632"/>
      <c r="E352" s="744">
        <v>18987</v>
      </c>
      <c r="F352" s="595">
        <f>C352-NE!C170</f>
        <v>4220</v>
      </c>
      <c r="G352" s="595">
        <f>E352-NE!E170</f>
        <v>3965.9034700000011</v>
      </c>
    </row>
    <row r="353" spans="1:6" ht="15" thickTop="1">
      <c r="A353" s="724"/>
    </row>
    <row r="354" spans="1:6">
      <c r="A354" s="724"/>
    </row>
    <row r="355" spans="1:6">
      <c r="A355" s="1089" t="s">
        <v>1303</v>
      </c>
      <c r="B355" s="1089"/>
      <c r="C355" s="1089"/>
      <c r="D355" s="1090">
        <v>21361</v>
      </c>
      <c r="E355" s="1090"/>
      <c r="F355" s="595">
        <f>D355-NE!C174</f>
        <v>4310</v>
      </c>
    </row>
    <row r="356" spans="1:6">
      <c r="A356" s="1249"/>
      <c r="B356" s="1249"/>
      <c r="C356" s="632"/>
      <c r="D356" s="1249"/>
      <c r="E356" s="1249"/>
    </row>
    <row r="357" spans="1:6">
      <c r="A357" s="1091" t="s">
        <v>426</v>
      </c>
      <c r="B357" s="1091"/>
      <c r="C357" s="632"/>
      <c r="D357" s="1092">
        <v>-1658</v>
      </c>
      <c r="E357" s="1092"/>
      <c r="F357" s="595">
        <f>D357-NE!C176</f>
        <v>113</v>
      </c>
    </row>
    <row r="358" spans="1:6" ht="15" thickBot="1">
      <c r="A358" s="1091" t="s">
        <v>427</v>
      </c>
      <c r="B358" s="1091"/>
      <c r="C358" s="632"/>
      <c r="D358" s="1093">
        <v>510</v>
      </c>
      <c r="E358" s="1093"/>
      <c r="F358" s="595">
        <f>D358-NE!C177</f>
        <v>107</v>
      </c>
    </row>
    <row r="359" spans="1:6" ht="15" thickBot="1">
      <c r="A359" s="1089" t="s">
        <v>1304</v>
      </c>
      <c r="B359" s="1089"/>
      <c r="C359" s="632"/>
      <c r="D359" s="1094">
        <v>20213</v>
      </c>
      <c r="E359" s="1094"/>
      <c r="F359" s="595">
        <f>D359-NE!C178</f>
        <v>4530</v>
      </c>
    </row>
    <row r="360" spans="1:6" ht="15.6" thickTop="1" thickBot="1">
      <c r="A360" s="1249"/>
      <c r="B360" s="1249"/>
      <c r="C360" s="632"/>
      <c r="D360" s="1095" t="s">
        <v>276</v>
      </c>
      <c r="E360" s="1095"/>
    </row>
    <row r="361" spans="1:6" ht="15" thickBot="1">
      <c r="A361" s="724" t="s">
        <v>1305</v>
      </c>
      <c r="B361" s="1249"/>
      <c r="C361" s="1249"/>
      <c r="D361" s="1249"/>
      <c r="E361" s="744">
        <v>18987</v>
      </c>
      <c r="F361" s="595">
        <f>E361-NE!C180</f>
        <v>3966</v>
      </c>
    </row>
    <row r="362" spans="1:6" ht="15" thickTop="1">
      <c r="A362" s="1091" t="s">
        <v>543</v>
      </c>
      <c r="B362" s="1091"/>
      <c r="C362" s="1249"/>
      <c r="D362" s="1092">
        <v>-1708</v>
      </c>
      <c r="E362" s="1092"/>
      <c r="F362" s="595">
        <f>D362-NE!C182</f>
        <v>154</v>
      </c>
    </row>
    <row r="363" spans="1:6">
      <c r="A363" s="1091" t="s">
        <v>426</v>
      </c>
      <c r="B363" s="1091"/>
      <c r="C363" s="1249"/>
      <c r="D363" s="1092"/>
      <c r="E363" s="1092"/>
    </row>
    <row r="364" spans="1:6" ht="15" thickBot="1">
      <c r="A364" s="1091" t="s">
        <v>427</v>
      </c>
      <c r="B364" s="1091"/>
      <c r="C364" s="728"/>
      <c r="D364" s="1093">
        <v>452</v>
      </c>
      <c r="E364" s="1093"/>
      <c r="F364" s="595">
        <f>D364-NE!C183</f>
        <v>100</v>
      </c>
    </row>
    <row r="365" spans="1:6" ht="15" thickBot="1">
      <c r="A365" s="1089" t="s">
        <v>1306</v>
      </c>
      <c r="B365" s="1089"/>
      <c r="C365" s="632"/>
      <c r="D365" s="1094">
        <v>17731</v>
      </c>
      <c r="E365" s="1094"/>
      <c r="F365" s="595">
        <f>D365-NE!C184</f>
        <v>4220</v>
      </c>
    </row>
    <row r="366" spans="1:6" ht="15" thickTop="1"/>
    <row r="368" spans="1:6">
      <c r="A368" s="751" t="s">
        <v>1307</v>
      </c>
    </row>
    <row r="369" spans="1:10">
      <c r="A369" s="729"/>
      <c r="B369" s="1067" t="s">
        <v>432</v>
      </c>
      <c r="C369" s="731" t="s">
        <v>1308</v>
      </c>
      <c r="D369" s="729"/>
      <c r="E369" s="731" t="s">
        <v>436</v>
      </c>
      <c r="F369" s="729"/>
      <c r="G369" s="731" t="s">
        <v>1309</v>
      </c>
      <c r="H369" s="729"/>
      <c r="I369" s="731" t="s">
        <v>1295</v>
      </c>
    </row>
    <row r="370" spans="1:10">
      <c r="A370" s="732" t="s">
        <v>213</v>
      </c>
      <c r="B370" s="1067"/>
      <c r="C370" s="731" t="s">
        <v>1310</v>
      </c>
      <c r="D370" s="729"/>
      <c r="E370" s="731" t="s">
        <v>258</v>
      </c>
      <c r="F370" s="729"/>
      <c r="G370" s="731" t="s">
        <v>1311</v>
      </c>
      <c r="H370" s="729"/>
      <c r="I370" s="731" t="s">
        <v>259</v>
      </c>
    </row>
    <row r="371" spans="1:10" ht="15" thickBot="1">
      <c r="A371" s="745" t="s">
        <v>434</v>
      </c>
      <c r="B371" s="746">
        <v>0.2</v>
      </c>
      <c r="C371" s="633">
        <v>12791</v>
      </c>
      <c r="D371" s="633">
        <f>C371-NE!C190</f>
        <v>-1595</v>
      </c>
      <c r="E371" s="633">
        <v>-10762</v>
      </c>
      <c r="F371" s="633">
        <f>E371-NE!D190</f>
        <v>1919</v>
      </c>
      <c r="G371" s="633">
        <v>2029</v>
      </c>
      <c r="H371" s="633">
        <f>G371-NE!E190</f>
        <v>324</v>
      </c>
      <c r="I371" s="633">
        <v>2676</v>
      </c>
      <c r="J371" s="595">
        <f>I371-NE!F190</f>
        <v>1492.0554700000007</v>
      </c>
    </row>
    <row r="372" spans="1:10" ht="15" thickBot="1">
      <c r="A372" s="747" t="s">
        <v>118</v>
      </c>
      <c r="B372" s="713"/>
      <c r="C372" s="635">
        <v>12791</v>
      </c>
      <c r="D372" s="635">
        <f>C372-NE!C191</f>
        <v>-1595</v>
      </c>
      <c r="E372" s="635">
        <v>-10762</v>
      </c>
      <c r="F372" s="635">
        <f>E372-NE!D191</f>
        <v>1919</v>
      </c>
      <c r="G372" s="635">
        <v>2029</v>
      </c>
      <c r="H372" s="635">
        <f>G372-NE!E191</f>
        <v>324</v>
      </c>
      <c r="I372" s="635">
        <v>2676</v>
      </c>
      <c r="J372" s="595">
        <f>I372-NE!F191</f>
        <v>1492.0554700000007</v>
      </c>
    </row>
    <row r="373" spans="1:10">
      <c r="A373" s="728"/>
    </row>
    <row r="374" spans="1:10" ht="36" customHeight="1">
      <c r="A374" s="749"/>
      <c r="B374" s="730" t="s">
        <v>1295</v>
      </c>
      <c r="C374" s="1067" t="s">
        <v>264</v>
      </c>
      <c r="D374" s="1067" t="s">
        <v>410</v>
      </c>
      <c r="E374" s="1100" t="s">
        <v>436</v>
      </c>
      <c r="F374" s="1067" t="s">
        <v>1312</v>
      </c>
      <c r="G374" s="1067" t="s">
        <v>1313</v>
      </c>
    </row>
    <row r="375" spans="1:10">
      <c r="A375" s="732" t="s">
        <v>213</v>
      </c>
      <c r="B375" s="730" t="s">
        <v>259</v>
      </c>
      <c r="C375" s="1067"/>
      <c r="D375" s="1067"/>
      <c r="E375" s="1100"/>
      <c r="F375" s="1067"/>
      <c r="G375" s="1067"/>
    </row>
    <row r="376" spans="1:10" ht="15" thickBot="1">
      <c r="A376" s="745" t="s">
        <v>434</v>
      </c>
      <c r="B376" s="750">
        <v>2676</v>
      </c>
      <c r="C376" s="750">
        <f>B376-NE!B199</f>
        <v>1492.0554700000007</v>
      </c>
      <c r="D376" s="704" t="s">
        <v>115</v>
      </c>
      <c r="E376" s="726">
        <v>-647</v>
      </c>
      <c r="F376" s="750">
        <f>E376-NE!E199</f>
        <v>-367.90976000000001</v>
      </c>
      <c r="G376" s="750">
        <v>2029</v>
      </c>
      <c r="H376" s="595">
        <f>G376-NE!G199</f>
        <v>324.16594000000077</v>
      </c>
    </row>
    <row r="377" spans="1:10" ht="15" thickBot="1">
      <c r="A377" s="747" t="s">
        <v>118</v>
      </c>
      <c r="B377" s="705">
        <v>2676</v>
      </c>
      <c r="C377" s="705">
        <f>B377-NE!B200</f>
        <v>1492.0554700000007</v>
      </c>
      <c r="D377" s="713" t="s">
        <v>115</v>
      </c>
      <c r="E377" s="748">
        <v>-647</v>
      </c>
      <c r="F377" s="705">
        <f>E377-NE!E200</f>
        <v>-367.90976000000001</v>
      </c>
      <c r="G377" s="705">
        <v>2029</v>
      </c>
      <c r="H377" s="595">
        <f>G377-NE!G200</f>
        <v>324.16594000000077</v>
      </c>
    </row>
    <row r="379" spans="1:10">
      <c r="A379" s="751" t="s">
        <v>1314</v>
      </c>
    </row>
    <row r="380" spans="1:10" ht="15" thickBot="1"/>
    <row r="381" spans="1:10" ht="15" thickBot="1">
      <c r="A381" s="496" t="s">
        <v>73</v>
      </c>
      <c r="B381" s="752">
        <v>45473</v>
      </c>
      <c r="C381" s="497"/>
      <c r="D381" s="498">
        <v>45291</v>
      </c>
    </row>
    <row r="382" spans="1:10" ht="27" thickBot="1">
      <c r="A382" s="753" t="s">
        <v>1315</v>
      </c>
      <c r="B382" s="754">
        <v>252</v>
      </c>
      <c r="C382" s="755"/>
      <c r="D382" s="756" t="s">
        <v>115</v>
      </c>
      <c r="E382" t="e">
        <f>B382-NE!#REF!</f>
        <v>#REF!</v>
      </c>
    </row>
    <row r="383" spans="1:10" ht="27" thickBot="1">
      <c r="A383" s="757" t="s">
        <v>1316</v>
      </c>
      <c r="B383" s="642">
        <v>220</v>
      </c>
      <c r="C383" s="758"/>
      <c r="D383" s="759" t="s">
        <v>115</v>
      </c>
      <c r="E383" t="e">
        <f>B383-NE!#REF!</f>
        <v>#REF!</v>
      </c>
    </row>
    <row r="384" spans="1:10" ht="27" thickBot="1">
      <c r="A384" s="500" t="s">
        <v>1317</v>
      </c>
      <c r="B384" s="760">
        <v>127</v>
      </c>
      <c r="C384" s="501"/>
      <c r="D384" s="502">
        <v>254</v>
      </c>
      <c r="E384" t="e">
        <f>B384-NE!#REF!</f>
        <v>#REF!</v>
      </c>
    </row>
    <row r="385" spans="1:5" ht="15" thickBot="1">
      <c r="A385" s="757" t="s">
        <v>279</v>
      </c>
      <c r="B385" s="642" t="s">
        <v>115</v>
      </c>
      <c r="C385" s="758"/>
      <c r="D385" s="759">
        <v>195</v>
      </c>
      <c r="E385">
        <v>0</v>
      </c>
    </row>
    <row r="386" spans="1:5" ht="15" thickBot="1">
      <c r="A386" s="500" t="s">
        <v>280</v>
      </c>
      <c r="B386" s="760">
        <v>120</v>
      </c>
      <c r="C386" s="501"/>
      <c r="D386" s="502">
        <v>15</v>
      </c>
      <c r="E386">
        <f>B386-NE!C209</f>
        <v>30</v>
      </c>
    </row>
    <row r="387" spans="1:5" ht="27" thickBot="1">
      <c r="A387" s="757" t="s">
        <v>1318</v>
      </c>
      <c r="B387" s="642" t="s">
        <v>115</v>
      </c>
      <c r="C387" s="758"/>
      <c r="D387" s="759">
        <v>125</v>
      </c>
      <c r="E387">
        <v>0</v>
      </c>
    </row>
    <row r="388" spans="1:5" ht="15" thickBot="1">
      <c r="A388" s="500" t="s">
        <v>1319</v>
      </c>
      <c r="B388" s="760">
        <v>90</v>
      </c>
      <c r="C388" s="761"/>
      <c r="D388" s="502">
        <v>11</v>
      </c>
      <c r="E388" t="e">
        <f>B388-NE!#REF!</f>
        <v>#REF!</v>
      </c>
    </row>
    <row r="389" spans="1:5" ht="15" thickBot="1">
      <c r="A389" s="757" t="s">
        <v>1320</v>
      </c>
      <c r="B389" s="642">
        <v>84</v>
      </c>
      <c r="C389" s="762"/>
      <c r="D389" s="759">
        <v>84</v>
      </c>
      <c r="E389" t="e">
        <f>B389-NE!#REF!</f>
        <v>#REF!</v>
      </c>
    </row>
    <row r="390" spans="1:5" ht="15" thickBot="1">
      <c r="A390" s="500" t="s">
        <v>1321</v>
      </c>
      <c r="B390" s="760">
        <v>32</v>
      </c>
      <c r="C390" s="761"/>
      <c r="D390" s="502" t="s">
        <v>115</v>
      </c>
      <c r="E390" t="e">
        <f>B390-NE!#REF!</f>
        <v>#REF!</v>
      </c>
    </row>
    <row r="391" spans="1:5" ht="15" thickBot="1">
      <c r="A391" s="757" t="s">
        <v>1322</v>
      </c>
      <c r="B391" s="642">
        <v>30</v>
      </c>
      <c r="C391" s="758"/>
      <c r="D391" s="759" t="s">
        <v>115</v>
      </c>
      <c r="E391" t="e">
        <f>B391-NE!#REF!</f>
        <v>#REF!</v>
      </c>
    </row>
    <row r="392" spans="1:5" ht="15" thickBot="1">
      <c r="A392" s="500" t="s">
        <v>1323</v>
      </c>
      <c r="B392" s="760">
        <v>30</v>
      </c>
      <c r="C392" s="501"/>
      <c r="D392" s="502" t="s">
        <v>115</v>
      </c>
      <c r="E392" t="e">
        <f>B392-NE!#REF!</f>
        <v>#REF!</v>
      </c>
    </row>
    <row r="393" spans="1:5" ht="27" thickBot="1">
      <c r="A393" s="763" t="s">
        <v>1324</v>
      </c>
      <c r="B393" s="642">
        <v>19</v>
      </c>
      <c r="C393" s="758"/>
      <c r="D393" s="759" t="s">
        <v>115</v>
      </c>
      <c r="E393" t="e">
        <f>B393-NE!#REF!</f>
        <v>#REF!</v>
      </c>
    </row>
    <row r="394" spans="1:5" ht="15" thickBot="1">
      <c r="A394" s="496" t="s">
        <v>1325</v>
      </c>
      <c r="B394" s="760" t="s">
        <v>115</v>
      </c>
      <c r="C394" s="501"/>
      <c r="D394" s="502">
        <v>90</v>
      </c>
      <c r="E394">
        <v>0</v>
      </c>
    </row>
    <row r="395" spans="1:5" ht="15" thickBot="1">
      <c r="A395" s="763" t="s">
        <v>1326</v>
      </c>
      <c r="B395" s="642" t="s">
        <v>115</v>
      </c>
      <c r="C395" s="758"/>
      <c r="D395" s="759">
        <v>32</v>
      </c>
      <c r="E395">
        <v>0</v>
      </c>
    </row>
    <row r="396" spans="1:5" ht="27" thickBot="1">
      <c r="A396" s="496" t="s">
        <v>284</v>
      </c>
      <c r="B396" s="760" t="s">
        <v>115</v>
      </c>
      <c r="C396" s="501"/>
      <c r="D396" s="502">
        <v>29</v>
      </c>
      <c r="E396">
        <v>0</v>
      </c>
    </row>
    <row r="397" spans="1:5" ht="15" thickBot="1">
      <c r="A397" s="763" t="s">
        <v>236</v>
      </c>
      <c r="B397" s="642">
        <v>57</v>
      </c>
      <c r="C397" s="758"/>
      <c r="D397" s="759">
        <v>48</v>
      </c>
      <c r="E397">
        <f>B397-NE!C216</f>
        <v>36</v>
      </c>
    </row>
    <row r="398" spans="1:5" ht="15" thickBot="1">
      <c r="A398" s="761"/>
      <c r="B398" s="764">
        <v>1061</v>
      </c>
      <c r="C398" s="497"/>
      <c r="D398" s="765">
        <v>883</v>
      </c>
      <c r="E398" s="595">
        <f>B398-NE!C217</f>
        <v>-104</v>
      </c>
    </row>
    <row r="401" spans="1:6">
      <c r="A401" s="751" t="s">
        <v>1327</v>
      </c>
    </row>
    <row r="403" spans="1:6" ht="15" thickBot="1">
      <c r="A403" s="747" t="s">
        <v>213</v>
      </c>
      <c r="B403" s="766"/>
      <c r="C403" s="625">
        <v>45473</v>
      </c>
      <c r="D403" s="767">
        <v>45291</v>
      </c>
    </row>
    <row r="404" spans="1:6">
      <c r="A404" s="768" t="s">
        <v>446</v>
      </c>
      <c r="B404" s="769"/>
      <c r="C404" s="770">
        <v>304</v>
      </c>
      <c r="D404" s="770">
        <v>0</v>
      </c>
      <c r="E404">
        <f>C404-NE!C224</f>
        <v>304</v>
      </c>
      <c r="F404" s="595">
        <f>D404-NE!E224</f>
        <v>0</v>
      </c>
    </row>
    <row r="405" spans="1:6">
      <c r="A405" s="768" t="s">
        <v>448</v>
      </c>
      <c r="B405" s="769"/>
      <c r="C405" s="770">
        <v>154</v>
      </c>
      <c r="D405" s="770">
        <v>0</v>
      </c>
      <c r="E405">
        <f>C405-NE!C226</f>
        <v>154</v>
      </c>
      <c r="F405" s="595">
        <f>D405-NE!E226</f>
        <v>0</v>
      </c>
    </row>
    <row r="406" spans="1:6">
      <c r="A406" s="768" t="s">
        <v>292</v>
      </c>
      <c r="B406" s="769"/>
      <c r="C406" s="770">
        <v>117</v>
      </c>
      <c r="D406" s="770">
        <v>3</v>
      </c>
      <c r="E406">
        <f>C406-NE!C225</f>
        <v>112</v>
      </c>
      <c r="F406" s="595">
        <f>D406-NE!E225</f>
        <v>0.67552000000000012</v>
      </c>
    </row>
    <row r="407" spans="1:6">
      <c r="A407" s="768" t="s">
        <v>293</v>
      </c>
      <c r="B407" s="769"/>
      <c r="C407" s="771">
        <v>2154</v>
      </c>
      <c r="D407" s="771">
        <v>2845</v>
      </c>
      <c r="E407" s="595">
        <f>C407-NE!C227</f>
        <v>-831</v>
      </c>
      <c r="F407" s="595">
        <f>D407-NE!E227</f>
        <v>-1809.5791799999997</v>
      </c>
    </row>
    <row r="408" spans="1:6">
      <c r="A408" s="768" t="s">
        <v>294</v>
      </c>
      <c r="B408" s="769"/>
      <c r="C408" s="770">
        <v>16</v>
      </c>
      <c r="D408" s="770">
        <v>33</v>
      </c>
      <c r="E408">
        <f>C408-NE!C228</f>
        <v>0</v>
      </c>
      <c r="F408" s="595">
        <f>D408-NE!E228</f>
        <v>2.8574700000000028</v>
      </c>
    </row>
    <row r="409" spans="1:6">
      <c r="A409" s="768" t="s">
        <v>296</v>
      </c>
      <c r="B409" s="769"/>
      <c r="C409" s="770">
        <v>300</v>
      </c>
      <c r="D409" s="770">
        <v>0</v>
      </c>
      <c r="E409">
        <f>C409-NE!C230</f>
        <v>132</v>
      </c>
      <c r="F409" s="595">
        <f>D409-NE!E230</f>
        <v>-602.11835999999994</v>
      </c>
    </row>
    <row r="410" spans="1:6" ht="15" thickBot="1">
      <c r="A410" s="720" t="s">
        <v>118</v>
      </c>
      <c r="B410" s="772"/>
      <c r="C410" s="721">
        <v>3045</v>
      </c>
      <c r="D410" s="721">
        <v>2881</v>
      </c>
      <c r="E410" s="595">
        <f>C410-NE!C231</f>
        <v>-129</v>
      </c>
      <c r="F410" s="595">
        <f>D410-NE!E231</f>
        <v>-2408.1645499999995</v>
      </c>
    </row>
    <row r="412" spans="1:6">
      <c r="A412" s="751" t="s">
        <v>1328</v>
      </c>
      <c r="B412" s="378"/>
    </row>
    <row r="414" spans="1:6" ht="15" thickBot="1">
      <c r="A414" s="686" t="s">
        <v>213</v>
      </c>
      <c r="B414" s="626"/>
      <c r="C414" s="625">
        <v>45473</v>
      </c>
      <c r="D414" s="625">
        <v>45291</v>
      </c>
    </row>
    <row r="415" spans="1:6">
      <c r="A415" s="689" t="s">
        <v>297</v>
      </c>
      <c r="B415" s="703"/>
      <c r="C415" s="771">
        <v>5853</v>
      </c>
      <c r="D415" s="771">
        <v>3842</v>
      </c>
      <c r="E415" s="595">
        <f>C415-NE!C237</f>
        <v>-1458</v>
      </c>
      <c r="F415" s="595">
        <f>D415-NE!E237</f>
        <v>-3078.3148300000003</v>
      </c>
    </row>
    <row r="416" spans="1:6">
      <c r="A416" s="689" t="s">
        <v>1329</v>
      </c>
      <c r="B416" s="703"/>
      <c r="C416" s="771">
        <v>3447</v>
      </c>
      <c r="D416" s="770">
        <v>0</v>
      </c>
      <c r="E416" s="595">
        <f>C416-NE!C238</f>
        <v>-1407</v>
      </c>
      <c r="F416" s="595">
        <f>D416-NE!E238</f>
        <v>0</v>
      </c>
    </row>
    <row r="417" spans="1:11">
      <c r="A417" s="689" t="s">
        <v>454</v>
      </c>
      <c r="B417" s="703"/>
      <c r="C417" s="771">
        <v>10233</v>
      </c>
      <c r="D417" s="771">
        <v>9439</v>
      </c>
      <c r="E417" s="595">
        <f>C417-NE!C239</f>
        <v>-6231</v>
      </c>
      <c r="F417" s="595">
        <f>D417-NE!E239</f>
        <v>-5154.0458099999978</v>
      </c>
    </row>
    <row r="418" spans="1:11">
      <c r="A418" s="689" t="s">
        <v>455</v>
      </c>
      <c r="B418" s="703"/>
      <c r="C418" s="770">
        <v>0</v>
      </c>
      <c r="D418" s="770">
        <v>0</v>
      </c>
      <c r="E418" s="595">
        <f>C418-NE!C240</f>
        <v>0</v>
      </c>
      <c r="F418" s="595">
        <f>D418-NE!E240</f>
        <v>0</v>
      </c>
    </row>
    <row r="419" spans="1:11">
      <c r="A419" s="689" t="s">
        <v>300</v>
      </c>
      <c r="B419" s="703"/>
      <c r="C419" s="771">
        <v>1516</v>
      </c>
      <c r="D419" s="771">
        <v>1392</v>
      </c>
      <c r="E419" s="595">
        <f>C419-NE!C241</f>
        <v>-695</v>
      </c>
      <c r="F419" s="595">
        <f>D419-NE!E241</f>
        <v>-1289.2117799999996</v>
      </c>
    </row>
    <row r="420" spans="1:11" ht="15" thickBot="1">
      <c r="A420" s="693" t="s">
        <v>301</v>
      </c>
      <c r="B420" s="712"/>
      <c r="C420" s="726">
        <v>0</v>
      </c>
      <c r="D420" s="726">
        <v>629</v>
      </c>
      <c r="E420" s="595">
        <f>C420-NE!C242</f>
        <v>-841</v>
      </c>
      <c r="F420" s="595">
        <f>D420-NE!E242</f>
        <v>-191.75774999999999</v>
      </c>
    </row>
    <row r="421" spans="1:11" ht="15" thickBot="1">
      <c r="A421" s="720" t="s">
        <v>118</v>
      </c>
      <c r="B421" s="671"/>
      <c r="C421" s="721">
        <v>21049</v>
      </c>
      <c r="D421" s="721">
        <v>15302</v>
      </c>
      <c r="E421" s="595">
        <f>C421-NE!C247</f>
        <v>-10854</v>
      </c>
      <c r="F421" s="595">
        <f>D421-NE!E247</f>
        <v>-9713.3301699999975</v>
      </c>
    </row>
    <row r="423" spans="1:11">
      <c r="A423" s="751" t="s">
        <v>1330</v>
      </c>
      <c r="B423" s="378"/>
    </row>
    <row r="425" spans="1:11" ht="15" thickBot="1">
      <c r="A425" s="773" t="s">
        <v>213</v>
      </c>
      <c r="B425" s="742">
        <v>45291</v>
      </c>
      <c r="C425" s="773" t="s">
        <v>302</v>
      </c>
      <c r="D425" s="774" t="s">
        <v>264</v>
      </c>
      <c r="E425" s="774" t="s">
        <v>303</v>
      </c>
      <c r="F425" s="742">
        <v>45473</v>
      </c>
    </row>
    <row r="426" spans="1:11" ht="15" thickBot="1">
      <c r="A426" s="728" t="s">
        <v>304</v>
      </c>
      <c r="B426" s="631">
        <v>4036</v>
      </c>
      <c r="C426" s="636">
        <v>159</v>
      </c>
      <c r="D426" s="712">
        <v>694</v>
      </c>
      <c r="E426" s="712">
        <v>-939</v>
      </c>
      <c r="F426" s="631">
        <v>3950</v>
      </c>
      <c r="G426" s="595">
        <f>B426-NE!B254</f>
        <v>-349</v>
      </c>
      <c r="H426" s="595">
        <f>C426-NE!C254</f>
        <v>-111</v>
      </c>
      <c r="I426">
        <f>D426-NE!E254</f>
        <v>694</v>
      </c>
      <c r="J426">
        <f>E426-NE!F254</f>
        <v>-862</v>
      </c>
      <c r="K426" s="595">
        <f>F426-NE!G254</f>
        <v>-628</v>
      </c>
    </row>
    <row r="427" spans="1:11" ht="15" thickBot="1">
      <c r="A427" s="775" t="s">
        <v>305</v>
      </c>
      <c r="B427" s="776">
        <v>6978</v>
      </c>
      <c r="C427" s="777">
        <v>312</v>
      </c>
      <c r="D427" s="778" t="s">
        <v>115</v>
      </c>
      <c r="E427" s="778">
        <v>-61</v>
      </c>
      <c r="F427" s="776">
        <v>7229</v>
      </c>
      <c r="G427" s="595">
        <f>B427-NE!B255</f>
        <v>-1085</v>
      </c>
      <c r="H427" s="595">
        <f>C427-NE!C255</f>
        <v>168</v>
      </c>
      <c r="J427">
        <f>E427-NE!F255</f>
        <v>2974</v>
      </c>
      <c r="K427" s="595">
        <f>F427-NE!G255</f>
        <v>2057</v>
      </c>
    </row>
    <row r="428" spans="1:11" ht="15" thickBot="1">
      <c r="A428" s="779" t="s">
        <v>1331</v>
      </c>
      <c r="B428" s="780">
        <v>2</v>
      </c>
      <c r="C428" s="780" t="s">
        <v>115</v>
      </c>
      <c r="D428" s="700" t="s">
        <v>115</v>
      </c>
      <c r="E428" s="700" t="s">
        <v>115</v>
      </c>
      <c r="F428" s="780">
        <v>2</v>
      </c>
      <c r="G428" s="595">
        <f>B428-NE!B256</f>
        <v>2</v>
      </c>
      <c r="H428" s="595">
        <v>0</v>
      </c>
      <c r="K428" s="595">
        <f>F428-NE!G256</f>
        <v>2</v>
      </c>
    </row>
    <row r="429" spans="1:11" ht="15" thickBot="1">
      <c r="A429" s="781" t="s">
        <v>306</v>
      </c>
      <c r="B429" s="727">
        <v>11016</v>
      </c>
      <c r="C429" s="782">
        <v>471</v>
      </c>
      <c r="D429" s="782">
        <v>694</v>
      </c>
      <c r="E429" s="727">
        <v>-1000</v>
      </c>
      <c r="F429" s="727">
        <v>11181</v>
      </c>
      <c r="G429" s="595">
        <f>B429-NE!B257</f>
        <v>-1432</v>
      </c>
      <c r="H429" s="595">
        <f>C429-NE!C257</f>
        <v>57</v>
      </c>
      <c r="I429">
        <f>D429-NE!E257</f>
        <v>694</v>
      </c>
      <c r="J429">
        <f>E429-NE!F257</f>
        <v>2112</v>
      </c>
      <c r="K429" s="595">
        <f>F429-NE!G257</f>
        <v>1431</v>
      </c>
    </row>
    <row r="433" spans="1:11" ht="26.45">
      <c r="A433" s="724" t="s">
        <v>1332</v>
      </c>
    </row>
    <row r="434" spans="1:11">
      <c r="A434" s="731"/>
    </row>
    <row r="435" spans="1:11" ht="15" thickBot="1">
      <c r="A435" s="773" t="s">
        <v>213</v>
      </c>
      <c r="B435" s="742">
        <v>45291</v>
      </c>
      <c r="C435" s="773" t="s">
        <v>302</v>
      </c>
      <c r="D435" s="774" t="s">
        <v>264</v>
      </c>
      <c r="E435" s="774" t="s">
        <v>303</v>
      </c>
      <c r="F435" s="742">
        <v>45473</v>
      </c>
    </row>
    <row r="436" spans="1:11" ht="15" thickBot="1">
      <c r="A436" s="728" t="s">
        <v>304</v>
      </c>
      <c r="B436" s="636">
        <v>360</v>
      </c>
      <c r="C436" s="636">
        <v>1</v>
      </c>
      <c r="D436" s="712">
        <v>4</v>
      </c>
      <c r="E436" s="712">
        <v>-332</v>
      </c>
      <c r="F436" s="636">
        <v>33</v>
      </c>
      <c r="G436">
        <f>B436-NE!B263</f>
        <v>356</v>
      </c>
      <c r="H436">
        <f>C436-NE!C263</f>
        <v>0</v>
      </c>
      <c r="I436">
        <f>D436-NE!E263</f>
        <v>-20</v>
      </c>
      <c r="J436">
        <f>E436-NE!F263</f>
        <v>-332</v>
      </c>
      <c r="K436">
        <f>F436-NE!G263</f>
        <v>4</v>
      </c>
    </row>
    <row r="437" spans="1:11" ht="15" thickBot="1">
      <c r="A437" s="775" t="s">
        <v>1333</v>
      </c>
      <c r="B437" s="777">
        <v>1</v>
      </c>
      <c r="C437" s="777" t="s">
        <v>115</v>
      </c>
      <c r="D437" s="778" t="s">
        <v>115</v>
      </c>
      <c r="E437" s="778" t="s">
        <v>115</v>
      </c>
      <c r="F437" s="777">
        <v>1</v>
      </c>
      <c r="G437" t="e">
        <f>B437-NE!#REF!</f>
        <v>#REF!</v>
      </c>
      <c r="K437" t="e">
        <f>F437-NE!#REF!</f>
        <v>#REF!</v>
      </c>
    </row>
    <row r="438" spans="1:11" ht="15" thickBot="1">
      <c r="A438" s="779" t="s">
        <v>463</v>
      </c>
      <c r="B438" s="783">
        <v>3798</v>
      </c>
      <c r="C438" s="780">
        <v>87</v>
      </c>
      <c r="D438" s="700" t="s">
        <v>115</v>
      </c>
      <c r="E438" s="700">
        <v>-11</v>
      </c>
      <c r="F438" s="783">
        <v>3874</v>
      </c>
      <c r="G438">
        <f>B438-NE!B264</f>
        <v>-8228919</v>
      </c>
      <c r="H438">
        <f>C438-NE!C264</f>
        <v>-189259</v>
      </c>
      <c r="J438">
        <f>E438-NE!F264</f>
        <v>26009</v>
      </c>
      <c r="K438">
        <f>F438-NE!G264</f>
        <v>-8392212</v>
      </c>
    </row>
    <row r="439" spans="1:11" ht="15" thickBot="1">
      <c r="A439" s="779" t="s">
        <v>1334</v>
      </c>
      <c r="B439" s="783">
        <v>8646</v>
      </c>
      <c r="C439" s="780">
        <v>137</v>
      </c>
      <c r="D439" s="700" t="s">
        <v>115</v>
      </c>
      <c r="E439" s="700">
        <v>-450</v>
      </c>
      <c r="F439" s="783">
        <v>8333</v>
      </c>
      <c r="G439">
        <f>B439-NE!B265</f>
        <v>-306</v>
      </c>
      <c r="H439">
        <f>C439-NE!C265</f>
        <v>-72</v>
      </c>
      <c r="J439">
        <f>E439-NE!F265</f>
        <v>-450</v>
      </c>
      <c r="K439">
        <f>F439-NE!G265</f>
        <v>-828</v>
      </c>
    </row>
    <row r="440" spans="1:11" ht="15" thickBot="1">
      <c r="A440" s="781" t="s">
        <v>306</v>
      </c>
      <c r="B440" s="727">
        <v>12805</v>
      </c>
      <c r="C440" s="782">
        <v>225</v>
      </c>
      <c r="D440" s="782">
        <v>4</v>
      </c>
      <c r="E440" s="782">
        <v>-793</v>
      </c>
      <c r="F440" s="727">
        <v>12241</v>
      </c>
      <c r="G440">
        <f>B440-NE!B266</f>
        <v>-8228868</v>
      </c>
      <c r="H440">
        <f>C440-NE!C266</f>
        <v>-189331</v>
      </c>
      <c r="I440">
        <f>D440-NE!E266</f>
        <v>-63</v>
      </c>
      <c r="J440">
        <f>E440-NE!F266</f>
        <v>25227</v>
      </c>
      <c r="K440" s="595">
        <f>F440-NE!G266</f>
        <v>-8393035</v>
      </c>
    </row>
    <row r="442" spans="1:11">
      <c r="A442" s="751" t="s">
        <v>1335</v>
      </c>
      <c r="B442" s="378"/>
    </row>
    <row r="444" spans="1:11">
      <c r="A444" s="763" t="s">
        <v>213</v>
      </c>
      <c r="B444" s="784" t="s">
        <v>1336</v>
      </c>
      <c r="C444" s="784" t="s">
        <v>1337</v>
      </c>
    </row>
    <row r="445" spans="1:11" ht="15" thickBot="1">
      <c r="A445" s="693" t="s">
        <v>310</v>
      </c>
      <c r="B445" s="785">
        <v>397</v>
      </c>
      <c r="C445" s="785">
        <v>347</v>
      </c>
      <c r="D445">
        <f>B445-NE!B272</f>
        <v>-130</v>
      </c>
      <c r="E445" s="595">
        <f>C445-NE!C272</f>
        <v>347</v>
      </c>
    </row>
    <row r="446" spans="1:11" ht="15" thickBot="1">
      <c r="A446" s="786" t="s">
        <v>311</v>
      </c>
      <c r="B446" s="684">
        <v>401</v>
      </c>
      <c r="C446" s="787">
        <v>351</v>
      </c>
      <c r="D446">
        <f>B446-NE!B273</f>
        <v>-132</v>
      </c>
      <c r="E446" s="595">
        <f>C446-NE!C273</f>
        <v>351</v>
      </c>
    </row>
    <row r="447" spans="1:11" ht="15" thickBot="1">
      <c r="A447" s="720" t="s">
        <v>306</v>
      </c>
      <c r="B447" s="687">
        <v>798</v>
      </c>
      <c r="C447" s="722">
        <v>698</v>
      </c>
      <c r="D447">
        <f>B447-NE!B274</f>
        <v>-262</v>
      </c>
      <c r="E447" s="595">
        <f>C447-NE!C274</f>
        <v>698</v>
      </c>
    </row>
    <row r="449" spans="1:7">
      <c r="A449" s="751" t="s">
        <v>1338</v>
      </c>
      <c r="B449" s="378"/>
    </row>
    <row r="450" spans="1:7" ht="15" thickBot="1"/>
    <row r="451" spans="1:7" ht="15" thickBot="1">
      <c r="A451" s="788" t="s">
        <v>471</v>
      </c>
      <c r="B451" s="789" t="s">
        <v>472</v>
      </c>
      <c r="C451" s="789" t="s">
        <v>473</v>
      </c>
      <c r="D451" s="789" t="s">
        <v>474</v>
      </c>
      <c r="E451" s="789" t="s">
        <v>475</v>
      </c>
      <c r="F451" s="789" t="s">
        <v>476</v>
      </c>
    </row>
    <row r="452" spans="1:7" ht="15" thickBot="1">
      <c r="A452" s="790">
        <v>100000000</v>
      </c>
      <c r="B452" s="791" t="s">
        <v>1339</v>
      </c>
      <c r="C452" s="792">
        <v>45359</v>
      </c>
      <c r="D452" s="793" t="s">
        <v>1340</v>
      </c>
      <c r="E452" s="794">
        <v>45376</v>
      </c>
      <c r="F452" s="795">
        <v>684</v>
      </c>
      <c r="G452" t="e">
        <f>F452-NE!#REF!</f>
        <v>#REF!</v>
      </c>
    </row>
    <row r="453" spans="1:7" ht="15" thickBot="1">
      <c r="A453" s="790">
        <v>100000000</v>
      </c>
      <c r="B453" s="791" t="s">
        <v>1341</v>
      </c>
      <c r="C453" s="792">
        <v>45449</v>
      </c>
      <c r="D453" s="793" t="s">
        <v>1342</v>
      </c>
      <c r="E453" s="794">
        <v>45449</v>
      </c>
      <c r="F453" s="795">
        <v>6</v>
      </c>
      <c r="G453" t="e">
        <f>F453-NE!#REF!</f>
        <v>#REF!</v>
      </c>
    </row>
    <row r="454" spans="1:7" ht="15" thickBot="1">
      <c r="A454" s="1096" t="s">
        <v>489</v>
      </c>
      <c r="B454" s="1097"/>
      <c r="C454" s="1097"/>
      <c r="D454" s="1097"/>
      <c r="E454" s="1098"/>
      <c r="F454" s="796">
        <v>690</v>
      </c>
      <c r="G454">
        <f>F454-NE!G294</f>
        <v>-997</v>
      </c>
    </row>
    <row r="456" spans="1:7">
      <c r="A456" s="751" t="s">
        <v>1343</v>
      </c>
    </row>
    <row r="457" spans="1:7" ht="15" thickBot="1"/>
    <row r="458" spans="1:7" ht="27" thickBot="1">
      <c r="A458" s="797" t="s">
        <v>1344</v>
      </c>
      <c r="B458" s="798">
        <v>-9495</v>
      </c>
      <c r="C458" s="595">
        <f>B458-NE!B301</f>
        <v>1990</v>
      </c>
    </row>
    <row r="459" spans="1:7" ht="15" thickBot="1">
      <c r="A459" s="799" t="s">
        <v>1236</v>
      </c>
      <c r="B459" s="800">
        <v>9850</v>
      </c>
      <c r="C459" s="595">
        <f>B459-NE!B303</f>
        <v>24531</v>
      </c>
    </row>
    <row r="460" spans="1:7" ht="27" thickBot="1">
      <c r="A460" s="799" t="s">
        <v>1345</v>
      </c>
      <c r="B460" s="801">
        <v>355</v>
      </c>
      <c r="C460" s="595">
        <f>B460-NE!B304</f>
        <v>26521</v>
      </c>
    </row>
    <row r="462" spans="1:7">
      <c r="A462" s="751" t="s">
        <v>1346</v>
      </c>
      <c r="B462" s="751"/>
    </row>
    <row r="464" spans="1:7" ht="15" thickBot="1">
      <c r="A464" s="749"/>
      <c r="B464" s="749"/>
      <c r="C464" s="802">
        <v>45473</v>
      </c>
      <c r="D464" s="749"/>
      <c r="E464" s="713" t="s">
        <v>1347</v>
      </c>
    </row>
    <row r="465" spans="1:6">
      <c r="A465" s="732" t="s">
        <v>315</v>
      </c>
      <c r="B465" s="749"/>
      <c r="C465" s="749"/>
      <c r="D465" s="749"/>
      <c r="E465" s="749"/>
    </row>
    <row r="466" spans="1:6">
      <c r="A466" s="707" t="s">
        <v>316</v>
      </c>
      <c r="B466" s="749"/>
      <c r="C466" s="631">
        <v>-50163</v>
      </c>
      <c r="D466" s="803">
        <f>C466-NE!C313</f>
        <v>11633</v>
      </c>
      <c r="E466" s="631">
        <v>-40532</v>
      </c>
      <c r="F466" s="595">
        <f>E466-NE!F313</f>
        <v>15123</v>
      </c>
    </row>
    <row r="467" spans="1:6" ht="15" thickBot="1">
      <c r="A467" s="707" t="s">
        <v>317</v>
      </c>
      <c r="B467" s="749"/>
      <c r="C467" s="631">
        <v>-26762</v>
      </c>
      <c r="D467" s="803">
        <f>C467-NE!C314</f>
        <v>8786</v>
      </c>
      <c r="E467" s="631">
        <v>-20958</v>
      </c>
      <c r="F467" s="595">
        <f>E467-NE!F314</f>
        <v>10044</v>
      </c>
    </row>
    <row r="468" spans="1:6" ht="15" thickBot="1">
      <c r="A468" s="749"/>
      <c r="B468" s="749"/>
      <c r="C468" s="634">
        <v>-76925</v>
      </c>
      <c r="D468" s="803">
        <f>C468-NE!C315</f>
        <v>20419</v>
      </c>
      <c r="E468" s="634">
        <v>-61490</v>
      </c>
      <c r="F468" s="595">
        <f>E468-NE!F315</f>
        <v>25167</v>
      </c>
    </row>
    <row r="469" spans="1:6">
      <c r="A469" s="749"/>
      <c r="B469" s="749"/>
      <c r="C469" s="749"/>
      <c r="D469" s="749"/>
      <c r="E469" s="749"/>
    </row>
    <row r="470" spans="1:6">
      <c r="A470" s="732" t="s">
        <v>318</v>
      </c>
      <c r="B470" s="749"/>
      <c r="C470" s="749"/>
      <c r="D470" s="749"/>
      <c r="E470" s="749"/>
    </row>
    <row r="471" spans="1:6">
      <c r="A471" s="707" t="s">
        <v>319</v>
      </c>
      <c r="B471" s="749"/>
      <c r="C471" s="631">
        <v>-58020</v>
      </c>
      <c r="D471" s="631">
        <f>C471-NE!C320</f>
        <v>19766</v>
      </c>
      <c r="E471" s="631">
        <v>-44832</v>
      </c>
      <c r="F471" s="595">
        <f>E471+NE!F320</f>
        <v>26956</v>
      </c>
    </row>
    <row r="472" spans="1:6">
      <c r="A472" s="707" t="s">
        <v>320</v>
      </c>
      <c r="B472" s="749"/>
      <c r="C472" s="636">
        <v>-11</v>
      </c>
      <c r="D472" s="631">
        <f>C472-NE!C321</f>
        <v>11</v>
      </c>
      <c r="E472" s="636">
        <v>-16</v>
      </c>
      <c r="F472" s="595">
        <f>E472+NE!F321</f>
        <v>32</v>
      </c>
    </row>
    <row r="473" spans="1:6">
      <c r="A473" s="707" t="s">
        <v>321</v>
      </c>
      <c r="B473" s="749"/>
      <c r="C473" s="631">
        <v>-9001</v>
      </c>
      <c r="D473" s="631">
        <f>C473-NE!C322</f>
        <v>341</v>
      </c>
      <c r="E473" s="631">
        <v>-7928</v>
      </c>
      <c r="F473" s="595">
        <f>E473+NE!F322</f>
        <v>-905</v>
      </c>
    </row>
    <row r="474" spans="1:6">
      <c r="A474" s="707" t="s">
        <v>322</v>
      </c>
      <c r="B474" s="749"/>
      <c r="C474" s="631">
        <v>-4741</v>
      </c>
      <c r="D474" s="631">
        <f>C474-NE!C323</f>
        <v>-168</v>
      </c>
      <c r="E474" s="631">
        <v>-4723</v>
      </c>
      <c r="F474" s="595">
        <f>E474+NE!F323</f>
        <v>76</v>
      </c>
    </row>
    <row r="475" spans="1:6">
      <c r="A475" s="707" t="s">
        <v>323</v>
      </c>
      <c r="B475" s="749"/>
      <c r="C475" s="631">
        <v>-3009</v>
      </c>
      <c r="D475" s="631">
        <f>C475-NE!C324</f>
        <v>1972</v>
      </c>
      <c r="E475" s="631">
        <v>-3572</v>
      </c>
      <c r="F475" s="595">
        <f>E475+NE!F324</f>
        <v>-865</v>
      </c>
    </row>
    <row r="476" spans="1:6">
      <c r="A476" s="707" t="s">
        <v>17</v>
      </c>
      <c r="B476" s="1099"/>
      <c r="C476" s="631">
        <v>-1449</v>
      </c>
      <c r="D476" s="631">
        <f>C476-NE!C325</f>
        <v>-809</v>
      </c>
      <c r="E476" s="636">
        <v>-403</v>
      </c>
      <c r="F476" s="595">
        <f>E476+NE!F325</f>
        <v>-111</v>
      </c>
    </row>
    <row r="477" spans="1:6" ht="15" thickBot="1">
      <c r="A477" s="707" t="s">
        <v>1348</v>
      </c>
      <c r="B477" s="1099"/>
      <c r="C477" s="636">
        <v>-694</v>
      </c>
      <c r="D477" s="631">
        <f>C477-NE!C326</f>
        <v>-694</v>
      </c>
      <c r="E477" s="636">
        <v>-16</v>
      </c>
      <c r="F477" s="595">
        <f>E477+NE!F326</f>
        <v>-16</v>
      </c>
    </row>
    <row r="478" spans="1:6" ht="15" thickBot="1">
      <c r="A478" s="732" t="s">
        <v>118</v>
      </c>
      <c r="B478" s="749"/>
      <c r="C478" s="634">
        <v>-76925</v>
      </c>
      <c r="D478" s="631">
        <f>C478-NE!C327</f>
        <v>20419</v>
      </c>
      <c r="E478" s="634">
        <v>-61490</v>
      </c>
      <c r="F478" s="595">
        <f>E478+NE!F327</f>
        <v>25167</v>
      </c>
    </row>
    <row r="480" spans="1:6">
      <c r="A480" s="751" t="s">
        <v>1349</v>
      </c>
      <c r="B480" s="378"/>
    </row>
    <row r="482" spans="1:7" ht="15" thickBot="1">
      <c r="A482" s="781" t="s">
        <v>213</v>
      </c>
      <c r="B482" s="804"/>
      <c r="C482" s="767">
        <v>45473</v>
      </c>
      <c r="D482" s="802">
        <v>45107</v>
      </c>
    </row>
    <row r="483" spans="1:7" ht="27" thickBot="1">
      <c r="A483" s="805" t="s">
        <v>1350</v>
      </c>
      <c r="B483" s="806"/>
      <c r="C483" s="725">
        <v>79053</v>
      </c>
      <c r="D483" s="807">
        <v>63602</v>
      </c>
      <c r="E483" s="595">
        <f>C483-DRE!G37</f>
        <v>3087</v>
      </c>
      <c r="F483" s="595">
        <f>D483-DRE!K37</f>
        <v>-22317</v>
      </c>
    </row>
    <row r="484" spans="1:7">
      <c r="A484" s="808" t="s">
        <v>118</v>
      </c>
      <c r="B484" s="808"/>
      <c r="C484" s="809">
        <v>79053</v>
      </c>
      <c r="D484" s="809">
        <v>63602</v>
      </c>
      <c r="E484" s="595">
        <f>C484-DRE!G37</f>
        <v>3087</v>
      </c>
      <c r="F484" s="595">
        <f>D484-DRE!K37</f>
        <v>-22317</v>
      </c>
    </row>
    <row r="486" spans="1:7">
      <c r="A486" s="724" t="s">
        <v>213</v>
      </c>
      <c r="B486" s="637" t="s">
        <v>1336</v>
      </c>
      <c r="C486" s="637" t="s">
        <v>1351</v>
      </c>
    </row>
    <row r="487" spans="1:7" ht="27" thickBot="1">
      <c r="A487" s="810" t="s">
        <v>1352</v>
      </c>
      <c r="B487" s="633">
        <v>9824</v>
      </c>
      <c r="C487" s="633">
        <v>1924</v>
      </c>
      <c r="D487" s="595">
        <f>B487-DRE!G38</f>
        <v>6006</v>
      </c>
      <c r="E487" s="595">
        <f>C487-DRE!K38</f>
        <v>1924</v>
      </c>
    </row>
    <row r="488" spans="1:7" ht="15" thickBot="1">
      <c r="A488" s="811" t="s">
        <v>306</v>
      </c>
      <c r="B488" s="705">
        <v>9824</v>
      </c>
      <c r="C488" s="727">
        <v>1924</v>
      </c>
      <c r="D488" s="595">
        <f>B488-DRE!G38</f>
        <v>6006</v>
      </c>
      <c r="E488" s="595">
        <f>C488-DRE!K38</f>
        <v>1924</v>
      </c>
    </row>
    <row r="489" spans="1:7">
      <c r="A489" s="728"/>
    </row>
    <row r="490" spans="1:7">
      <c r="A490" s="728"/>
    </row>
    <row r="491" spans="1:7">
      <c r="A491" s="751" t="s">
        <v>1353</v>
      </c>
      <c r="B491" s="378"/>
    </row>
    <row r="492" spans="1:7" ht="15" thickBot="1">
      <c r="A492" s="728"/>
    </row>
    <row r="493" spans="1:7" ht="15" thickBot="1">
      <c r="A493" s="1101" t="s">
        <v>1354</v>
      </c>
      <c r="B493" s="1102"/>
      <c r="C493" s="1102"/>
      <c r="D493" s="1102"/>
      <c r="E493" s="1102"/>
      <c r="F493" s="1102"/>
      <c r="G493" s="1102"/>
    </row>
    <row r="494" spans="1:7" ht="53.45" thickBot="1">
      <c r="A494" s="812" t="s">
        <v>1355</v>
      </c>
      <c r="B494" s="813" t="s">
        <v>1356</v>
      </c>
      <c r="C494" s="813" t="s">
        <v>1357</v>
      </c>
      <c r="D494" s="813" t="s">
        <v>1358</v>
      </c>
      <c r="E494" s="813" t="s">
        <v>1359</v>
      </c>
      <c r="F494" s="813" t="s">
        <v>1360</v>
      </c>
      <c r="G494" s="814" t="s">
        <v>1361</v>
      </c>
    </row>
    <row r="495" spans="1:7" ht="15" thickBot="1">
      <c r="A495" s="815">
        <v>1</v>
      </c>
      <c r="B495" s="816">
        <v>45017</v>
      </c>
      <c r="C495" s="817">
        <v>6488</v>
      </c>
      <c r="D495" s="816">
        <v>45292</v>
      </c>
      <c r="E495" s="817">
        <v>6677</v>
      </c>
      <c r="F495" s="818">
        <v>45350</v>
      </c>
      <c r="G495" s="819">
        <v>189</v>
      </c>
    </row>
    <row r="496" spans="1:7" ht="15" thickBot="1">
      <c r="A496" s="815">
        <v>2</v>
      </c>
      <c r="B496" s="816">
        <v>45017</v>
      </c>
      <c r="C496" s="820">
        <v>266</v>
      </c>
      <c r="D496" s="816">
        <v>45292</v>
      </c>
      <c r="E496" s="820">
        <v>273</v>
      </c>
      <c r="F496" s="818">
        <v>45351</v>
      </c>
      <c r="G496" s="819">
        <v>7</v>
      </c>
    </row>
    <row r="497" spans="1:8" ht="15" thickBot="1">
      <c r="A497" s="815">
        <v>3</v>
      </c>
      <c r="B497" s="816">
        <v>45017</v>
      </c>
      <c r="C497" s="820">
        <v>97</v>
      </c>
      <c r="D497" s="816">
        <v>45261</v>
      </c>
      <c r="E497" s="820">
        <v>99</v>
      </c>
      <c r="F497" s="818">
        <v>45322</v>
      </c>
      <c r="G497" s="819">
        <v>2</v>
      </c>
    </row>
    <row r="498" spans="1:8" ht="15" thickBot="1">
      <c r="A498" s="821"/>
      <c r="B498" s="822"/>
      <c r="C498" s="823">
        <v>6851</v>
      </c>
      <c r="D498" s="824"/>
      <c r="E498" s="823">
        <v>7049</v>
      </c>
      <c r="F498" s="824"/>
      <c r="G498" s="825">
        <v>198</v>
      </c>
      <c r="H498" s="595">
        <f>C498-DRE!G38</f>
        <v>3033</v>
      </c>
    </row>
    <row r="501" spans="1:8">
      <c r="A501" s="751" t="s">
        <v>1362</v>
      </c>
      <c r="B501" s="829"/>
    </row>
    <row r="503" spans="1:8" ht="15" thickBot="1">
      <c r="A503" s="729"/>
      <c r="B503" s="632"/>
      <c r="C503" s="826">
        <v>45473</v>
      </c>
      <c r="D503" s="827"/>
      <c r="E503" s="687" t="s">
        <v>1347</v>
      </c>
    </row>
    <row r="504" spans="1:8" ht="15" thickBot="1">
      <c r="A504" s="630" t="s">
        <v>1363</v>
      </c>
      <c r="B504" s="632"/>
      <c r="C504" s="759">
        <v>615</v>
      </c>
      <c r="D504" s="632">
        <f>C504-NE!C337</f>
        <v>76</v>
      </c>
      <c r="E504" s="759">
        <v>298</v>
      </c>
      <c r="F504">
        <f>E504-NE!F337</f>
        <v>-94</v>
      </c>
    </row>
    <row r="505" spans="1:8" ht="15" thickBot="1">
      <c r="A505" s="624" t="s">
        <v>273</v>
      </c>
      <c r="B505" s="632"/>
      <c r="C505" s="828">
        <v>615</v>
      </c>
      <c r="D505" s="632">
        <f>C505-NE!C338</f>
        <v>76</v>
      </c>
      <c r="E505" s="828">
        <v>298</v>
      </c>
      <c r="F505">
        <f>E505-NE!F338</f>
        <v>-94</v>
      </c>
    </row>
    <row r="506" spans="1:8">
      <c r="A506" s="632"/>
      <c r="B506" s="632"/>
      <c r="C506" s="632"/>
      <c r="D506" s="632"/>
      <c r="E506" s="632"/>
    </row>
    <row r="507" spans="1:8">
      <c r="A507" s="624" t="s">
        <v>38</v>
      </c>
      <c r="B507" s="632"/>
      <c r="C507" s="632"/>
      <c r="D507" s="632"/>
      <c r="E507" s="632"/>
    </row>
    <row r="508" spans="1:8">
      <c r="A508" s="630" t="s">
        <v>1364</v>
      </c>
      <c r="B508" s="632"/>
      <c r="C508" s="759">
        <v>-990</v>
      </c>
      <c r="D508" s="641">
        <f>C508-NE!C342</f>
        <v>-224</v>
      </c>
      <c r="E508" s="639">
        <v>-1474</v>
      </c>
      <c r="F508" s="595">
        <f>E508-NE!F342</f>
        <v>-671</v>
      </c>
    </row>
    <row r="509" spans="1:8">
      <c r="A509" s="630" t="s">
        <v>326</v>
      </c>
      <c r="B509" s="630"/>
      <c r="C509" s="759" t="s">
        <v>115</v>
      </c>
      <c r="D509" s="759"/>
      <c r="E509" s="759" t="s">
        <v>115</v>
      </c>
    </row>
    <row r="510" spans="1:8" ht="15" thickBot="1">
      <c r="A510" s="630" t="s">
        <v>1365</v>
      </c>
      <c r="B510" s="630"/>
      <c r="C510" s="759" t="s">
        <v>115</v>
      </c>
      <c r="D510" s="759"/>
      <c r="E510" s="759" t="s">
        <v>115</v>
      </c>
    </row>
    <row r="511" spans="1:8" ht="15" thickBot="1">
      <c r="A511" s="624" t="s">
        <v>273</v>
      </c>
      <c r="B511" s="632"/>
      <c r="C511" s="828">
        <v>-990</v>
      </c>
      <c r="D511" s="641">
        <f>C511-NE!C343</f>
        <v>-224</v>
      </c>
      <c r="E511" s="830">
        <v>-1474</v>
      </c>
      <c r="F511" s="595">
        <f>E511-NE!F343</f>
        <v>-671</v>
      </c>
    </row>
    <row r="512" spans="1:8" ht="15" thickBot="1">
      <c r="A512" s="632"/>
      <c r="B512" s="632"/>
      <c r="C512" s="632"/>
      <c r="D512" s="632"/>
      <c r="E512" s="632"/>
    </row>
    <row r="513" spans="1:9" ht="15" thickBot="1">
      <c r="A513" s="624" t="s">
        <v>327</v>
      </c>
      <c r="B513" s="632"/>
      <c r="C513" s="828">
        <v>-375</v>
      </c>
      <c r="D513" s="641">
        <f>C513-NE!C347</f>
        <v>-148</v>
      </c>
      <c r="E513" s="830">
        <v>-1176</v>
      </c>
      <c r="F513" s="595">
        <f>E513-NE!F347</f>
        <v>-765</v>
      </c>
    </row>
    <row r="516" spans="1:9">
      <c r="A516" s="751" t="s">
        <v>1366</v>
      </c>
    </row>
    <row r="517" spans="1:9" ht="15">
      <c r="A517" s="831"/>
    </row>
    <row r="518" spans="1:9" ht="15" thickBot="1">
      <c r="A518" s="832"/>
      <c r="B518" s="1063">
        <v>45473</v>
      </c>
      <c r="C518" s="1064"/>
      <c r="D518" s="1103" t="s">
        <v>1216</v>
      </c>
      <c r="E518" s="1104"/>
    </row>
    <row r="519" spans="1:9" ht="15" thickBot="1">
      <c r="A519" s="833"/>
      <c r="B519" s="722" t="s">
        <v>328</v>
      </c>
      <c r="C519" s="722" t="s">
        <v>329</v>
      </c>
      <c r="D519" s="834" t="s">
        <v>328</v>
      </c>
      <c r="E519" s="722" t="s">
        <v>329</v>
      </c>
    </row>
    <row r="520" spans="1:9">
      <c r="A520" s="833" t="s">
        <v>330</v>
      </c>
      <c r="B520" s="673">
        <v>12813</v>
      </c>
      <c r="C520" s="673">
        <v>12813</v>
      </c>
      <c r="D520" s="835">
        <v>2860</v>
      </c>
      <c r="E520" s="673">
        <v>2860</v>
      </c>
      <c r="F520" s="595">
        <f>B520-NE!B355</f>
        <v>27488</v>
      </c>
      <c r="G520" s="595">
        <f>C520-NE!C355</f>
        <v>27488</v>
      </c>
      <c r="H520" s="595">
        <f>D520-NE!E355</f>
        <v>3536</v>
      </c>
      <c r="I520" s="595">
        <f>E520-NE!F355</f>
        <v>3536</v>
      </c>
    </row>
    <row r="521" spans="1:9">
      <c r="A521" s="833" t="s">
        <v>331</v>
      </c>
      <c r="B521" s="673">
        <v>3385</v>
      </c>
      <c r="C521" s="673">
        <v>3385</v>
      </c>
      <c r="D521" s="835">
        <v>2939</v>
      </c>
      <c r="E521" s="673">
        <v>2939</v>
      </c>
      <c r="F521" s="595">
        <f>B521-NE!B356</f>
        <v>2147</v>
      </c>
      <c r="G521" s="595">
        <f>C521-NE!C356</f>
        <v>2147</v>
      </c>
      <c r="H521" s="595">
        <f>D521-NE!E356</f>
        <v>1719</v>
      </c>
      <c r="I521" s="595">
        <f>E521-NE!F356</f>
        <v>1719</v>
      </c>
    </row>
    <row r="522" spans="1:9" ht="15" thickBot="1">
      <c r="A522" s="833" t="s">
        <v>332</v>
      </c>
      <c r="B522" s="836">
        <v>-2708</v>
      </c>
      <c r="C522" s="836">
        <v>-2708</v>
      </c>
      <c r="D522" s="837">
        <v>-1658</v>
      </c>
      <c r="E522" s="836">
        <v>-1658</v>
      </c>
      <c r="F522" s="595">
        <f>B522-NE!B357</f>
        <v>1335</v>
      </c>
      <c r="G522" s="595">
        <f>C522-NE!C357</f>
        <v>1335</v>
      </c>
      <c r="H522" s="595">
        <f>D522-NE!E357</f>
        <v>-301</v>
      </c>
      <c r="I522" s="595">
        <f>E522-NE!F357</f>
        <v>-301</v>
      </c>
    </row>
    <row r="523" spans="1:9">
      <c r="A523" s="838" t="s">
        <v>333</v>
      </c>
      <c r="B523" s="672">
        <v>13490</v>
      </c>
      <c r="C523" s="672">
        <v>13490</v>
      </c>
      <c r="D523" s="839">
        <v>4141</v>
      </c>
      <c r="E523" s="672">
        <v>4141</v>
      </c>
      <c r="F523" s="595">
        <f>B523-NE!B358</f>
        <v>30970</v>
      </c>
      <c r="G523" s="595">
        <f>C523-NE!C358</f>
        <v>30970</v>
      </c>
      <c r="H523" s="595">
        <f>D523-NE!E358</f>
        <v>4954</v>
      </c>
      <c r="I523" s="595">
        <f>E523-NE!F358</f>
        <v>4954</v>
      </c>
    </row>
    <row r="524" spans="1:9">
      <c r="A524" s="838"/>
      <c r="B524" s="840"/>
      <c r="C524" s="840"/>
      <c r="D524" s="841"/>
      <c r="E524" s="671"/>
    </row>
    <row r="525" spans="1:9" ht="26.45">
      <c r="A525" s="838" t="s">
        <v>334</v>
      </c>
      <c r="B525" s="671" t="s">
        <v>335</v>
      </c>
      <c r="C525" s="842">
        <v>0.09</v>
      </c>
      <c r="D525" s="841" t="s">
        <v>335</v>
      </c>
      <c r="E525" s="842">
        <v>0.09</v>
      </c>
    </row>
    <row r="526" spans="1:9">
      <c r="A526" s="833" t="s">
        <v>336</v>
      </c>
      <c r="B526" s="667">
        <v>-235</v>
      </c>
      <c r="C526" s="667" t="s">
        <v>115</v>
      </c>
      <c r="D526" s="843">
        <v>-99</v>
      </c>
      <c r="E526" s="667" t="s">
        <v>337</v>
      </c>
      <c r="F526">
        <f>B526-NE!B362</f>
        <v>-281</v>
      </c>
      <c r="H526">
        <f>D526-NE!E362</f>
        <v>-99</v>
      </c>
    </row>
    <row r="527" spans="1:9">
      <c r="A527" s="833"/>
      <c r="B527" s="840"/>
      <c r="C527" s="840"/>
      <c r="D527" s="843"/>
      <c r="E527" s="667"/>
    </row>
    <row r="528" spans="1:9">
      <c r="A528" s="838" t="s">
        <v>338</v>
      </c>
      <c r="B528" s="672">
        <v>2113</v>
      </c>
      <c r="C528" s="671">
        <v>850</v>
      </c>
      <c r="D528" s="841">
        <v>613</v>
      </c>
      <c r="E528" s="671">
        <v>261</v>
      </c>
      <c r="F528" s="595">
        <f>B528-NE!B364</f>
        <v>2113</v>
      </c>
      <c r="G528">
        <f>C528-NE!C364</f>
        <v>844</v>
      </c>
      <c r="H528">
        <f>D528-NE!E364</f>
        <v>613</v>
      </c>
      <c r="I528">
        <f>E528-NE!F364</f>
        <v>261</v>
      </c>
    </row>
    <row r="529" spans="1:9">
      <c r="A529" s="838"/>
      <c r="B529" s="667"/>
      <c r="C529" s="667"/>
      <c r="D529" s="843"/>
      <c r="E529" s="667"/>
    </row>
    <row r="530" spans="1:9">
      <c r="A530" s="833" t="s">
        <v>339</v>
      </c>
      <c r="B530" s="673">
        <v>-1809</v>
      </c>
      <c r="C530" s="667">
        <v>-696</v>
      </c>
      <c r="D530" s="843">
        <v>-842</v>
      </c>
      <c r="E530" s="667">
        <v>-335</v>
      </c>
      <c r="F530" s="595">
        <f>B530-NE!B366</f>
        <v>-1809</v>
      </c>
      <c r="G530">
        <f>C530-NE!C366</f>
        <v>-702</v>
      </c>
      <c r="H530">
        <f>D530-NE!E366</f>
        <v>-1020</v>
      </c>
      <c r="I530">
        <f>E530-NE!F366</f>
        <v>-402</v>
      </c>
    </row>
    <row r="531" spans="1:9" ht="15" thickBot="1">
      <c r="A531" s="838"/>
      <c r="B531" s="844"/>
      <c r="C531" s="844"/>
      <c r="D531" s="834"/>
      <c r="E531" s="722"/>
    </row>
    <row r="532" spans="1:9" ht="15" thickBot="1">
      <c r="A532" s="838" t="s">
        <v>340</v>
      </c>
      <c r="B532" s="722">
        <v>304</v>
      </c>
      <c r="C532" s="722">
        <v>154</v>
      </c>
      <c r="D532" s="834">
        <v>0</v>
      </c>
      <c r="E532" s="722">
        <v>0</v>
      </c>
      <c r="F532">
        <f>B532-NE!B368</f>
        <v>304</v>
      </c>
      <c r="G532">
        <f>C532-NE!C368</f>
        <v>154</v>
      </c>
      <c r="H532">
        <f>D532-NE!E368</f>
        <v>178</v>
      </c>
      <c r="I532">
        <f>E532-NE!F368</f>
        <v>67</v>
      </c>
    </row>
    <row r="533" spans="1:9" ht="15">
      <c r="A533" s="831"/>
    </row>
    <row r="534" spans="1:9">
      <c r="A534" s="728"/>
    </row>
    <row r="535" spans="1:9" ht="15" thickBot="1">
      <c r="A535" s="827"/>
      <c r="B535" s="625">
        <v>45473</v>
      </c>
      <c r="C535" s="632"/>
      <c r="D535" s="688" t="s">
        <v>1216</v>
      </c>
    </row>
    <row r="536" spans="1:9">
      <c r="A536" s="827"/>
      <c r="B536" s="632"/>
      <c r="C536" s="632"/>
      <c r="D536" s="632"/>
    </row>
    <row r="537" spans="1:9" ht="26.45">
      <c r="A537" s="645" t="s">
        <v>341</v>
      </c>
      <c r="B537" s="845">
        <v>12813</v>
      </c>
      <c r="C537" s="641">
        <f>B537-NE!B355</f>
        <v>27488</v>
      </c>
      <c r="D537" s="845">
        <v>2860</v>
      </c>
      <c r="E537" s="595">
        <f>D537-NE!F375</f>
        <v>3536</v>
      </c>
    </row>
    <row r="538" spans="1:9">
      <c r="A538" s="646" t="s">
        <v>342</v>
      </c>
      <c r="B538" s="846">
        <v>0.34</v>
      </c>
      <c r="C538" s="850">
        <f>B538-NE!C376</f>
        <v>0</v>
      </c>
      <c r="D538" s="846">
        <v>0.34</v>
      </c>
      <c r="E538" s="324">
        <f>D538-NE!F376</f>
        <v>0</v>
      </c>
    </row>
    <row r="539" spans="1:9" ht="39.6">
      <c r="A539" s="645" t="s">
        <v>343</v>
      </c>
      <c r="B539" s="845">
        <v>-4356</v>
      </c>
      <c r="C539" s="851">
        <f>B539-NE!C377</f>
        <v>-9300</v>
      </c>
      <c r="D539" s="784">
        <v>-972</v>
      </c>
      <c r="E539" s="853">
        <f>D539-NE!F377</f>
        <v>-1201.8399999999999</v>
      </c>
    </row>
    <row r="540" spans="1:9">
      <c r="A540" s="827"/>
      <c r="B540" s="632"/>
      <c r="C540" s="632"/>
      <c r="D540" s="632"/>
    </row>
    <row r="541" spans="1:9">
      <c r="A541" s="645" t="s">
        <v>344</v>
      </c>
      <c r="B541" s="632"/>
      <c r="C541" s="632"/>
      <c r="D541" s="632"/>
    </row>
    <row r="542" spans="1:9">
      <c r="A542" s="645" t="s">
        <v>345</v>
      </c>
      <c r="B542" s="632"/>
      <c r="C542" s="632"/>
      <c r="D542" s="632"/>
    </row>
    <row r="543" spans="1:9" ht="26.45">
      <c r="A543" s="646" t="s">
        <v>346</v>
      </c>
      <c r="B543" s="759">
        <v>-62</v>
      </c>
      <c r="C543" s="632">
        <f>B543-NE!C382</f>
        <v>-46</v>
      </c>
      <c r="D543" s="759">
        <v>-27</v>
      </c>
      <c r="E543">
        <f>D543-NE!F382</f>
        <v>-22</v>
      </c>
    </row>
    <row r="544" spans="1:9" ht="26.45">
      <c r="A544" s="646" t="s">
        <v>1367</v>
      </c>
      <c r="B544" s="759">
        <v>-236</v>
      </c>
      <c r="C544" s="759">
        <f>B544-NE!C383</f>
        <v>-236</v>
      </c>
      <c r="D544" s="759">
        <v>-6</v>
      </c>
      <c r="E544">
        <f>D544-NE!F383</f>
        <v>-6</v>
      </c>
    </row>
    <row r="545" spans="1:5" ht="26.45">
      <c r="A545" s="646" t="s">
        <v>347</v>
      </c>
      <c r="B545" s="759">
        <v>-160</v>
      </c>
      <c r="C545" s="759">
        <f>B545-NE!C384</f>
        <v>-69</v>
      </c>
      <c r="D545" s="759">
        <v>-327</v>
      </c>
      <c r="E545">
        <f>D545-NE!F384</f>
        <v>-228</v>
      </c>
    </row>
    <row r="546" spans="1:5">
      <c r="A546" s="646" t="s">
        <v>348</v>
      </c>
      <c r="B546" s="759">
        <v>-77</v>
      </c>
      <c r="C546" s="632">
        <f>B546-NE!C385</f>
        <v>-73</v>
      </c>
      <c r="D546" s="759">
        <v>-2</v>
      </c>
      <c r="E546">
        <f>D546-NE!F385</f>
        <v>2</v>
      </c>
    </row>
    <row r="547" spans="1:5">
      <c r="A547" s="646" t="s">
        <v>349</v>
      </c>
      <c r="B547" s="759">
        <v>-153</v>
      </c>
      <c r="C547" s="759">
        <f>B547-NE!C387</f>
        <v>-95</v>
      </c>
      <c r="D547" s="759">
        <v>-174</v>
      </c>
      <c r="E547">
        <f>D547-NE!F387</f>
        <v>-104</v>
      </c>
    </row>
    <row r="548" spans="1:5">
      <c r="A548" s="646" t="s">
        <v>350</v>
      </c>
      <c r="B548" s="759">
        <v>-463</v>
      </c>
      <c r="C548" s="759">
        <f>B548-NE!C388</f>
        <v>-212</v>
      </c>
      <c r="D548" s="759">
        <v>-463</v>
      </c>
      <c r="E548">
        <f>D548-NE!F388</f>
        <v>-226</v>
      </c>
    </row>
    <row r="549" spans="1:5">
      <c r="A549" s="645" t="s">
        <v>351</v>
      </c>
      <c r="B549" s="632"/>
      <c r="C549" s="632"/>
      <c r="D549" s="632"/>
    </row>
    <row r="550" spans="1:5" ht="26.45">
      <c r="A550" s="646" t="s">
        <v>1368</v>
      </c>
      <c r="B550" s="759">
        <v>234</v>
      </c>
      <c r="C550" s="632">
        <f>B550-NE!C390</f>
        <v>-824</v>
      </c>
      <c r="D550" s="759" t="s">
        <v>115</v>
      </c>
    </row>
    <row r="551" spans="1:5" ht="26.45">
      <c r="A551" s="646" t="s">
        <v>514</v>
      </c>
      <c r="B551" s="759">
        <v>581</v>
      </c>
      <c r="C551" s="639">
        <f>B551-NE!C391</f>
        <v>264</v>
      </c>
      <c r="D551" s="759">
        <v>564</v>
      </c>
      <c r="E551">
        <f>D551-NE!F391</f>
        <v>263</v>
      </c>
    </row>
    <row r="552" spans="1:5">
      <c r="A552" s="646" t="s">
        <v>1369</v>
      </c>
      <c r="B552" s="759">
        <v>105</v>
      </c>
      <c r="C552" s="639">
        <f>B552-NE!C392</f>
        <v>105</v>
      </c>
      <c r="D552" s="759" t="s">
        <v>115</v>
      </c>
    </row>
    <row r="553" spans="1:5">
      <c r="A553" s="645"/>
      <c r="B553" s="1066"/>
      <c r="C553" s="1066"/>
      <c r="D553" s="1066"/>
    </row>
    <row r="554" spans="1:5" ht="26.45">
      <c r="A554" s="645" t="s">
        <v>354</v>
      </c>
      <c r="B554" s="1066"/>
      <c r="C554" s="1066"/>
      <c r="D554" s="1066"/>
    </row>
    <row r="555" spans="1:5" ht="26.45">
      <c r="A555" s="646" t="s">
        <v>355</v>
      </c>
      <c r="B555" s="639">
        <v>1376</v>
      </c>
      <c r="C555" s="641">
        <f>B555-NE!C393</f>
        <v>3145</v>
      </c>
      <c r="D555" s="759">
        <v>422</v>
      </c>
      <c r="E555">
        <f>D555-NE!F393</f>
        <v>500</v>
      </c>
    </row>
    <row r="556" spans="1:5" ht="26.45">
      <c r="A556" s="645" t="s">
        <v>356</v>
      </c>
      <c r="B556" s="759"/>
      <c r="C556" s="759"/>
      <c r="D556" s="759"/>
    </row>
    <row r="557" spans="1:5">
      <c r="A557" s="646" t="s">
        <v>357</v>
      </c>
      <c r="B557" s="759">
        <v>12</v>
      </c>
      <c r="C557" s="641">
        <f>B557-NE!C394</f>
        <v>6</v>
      </c>
      <c r="D557" s="759">
        <v>12</v>
      </c>
      <c r="E557">
        <f>D557-NE!F394</f>
        <v>6</v>
      </c>
    </row>
    <row r="558" spans="1:5" ht="15" thickBot="1">
      <c r="A558" s="646" t="s">
        <v>358</v>
      </c>
      <c r="B558" s="759">
        <v>236</v>
      </c>
      <c r="C558" s="632" t="e">
        <f>B558-NE!C395</f>
        <v>#VALUE!</v>
      </c>
      <c r="D558" s="759">
        <v>99</v>
      </c>
      <c r="E558">
        <f>D558-NE!F395</f>
        <v>99</v>
      </c>
    </row>
    <row r="559" spans="1:5" ht="27" thickBot="1">
      <c r="A559" s="645" t="s">
        <v>359</v>
      </c>
      <c r="B559" s="847">
        <v>-2963</v>
      </c>
      <c r="C559" s="641" t="e">
        <f>B559-NE!C396</f>
        <v>#VALUE!</v>
      </c>
      <c r="D559" s="848">
        <v>-874</v>
      </c>
      <c r="E559" s="853">
        <f>D559-NE!F396</f>
        <v>-1077.8400000000001</v>
      </c>
    </row>
    <row r="560" spans="1:5" ht="15" thickTop="1">
      <c r="A560" s="827"/>
      <c r="B560" s="632"/>
      <c r="C560" s="632"/>
      <c r="D560" s="632"/>
    </row>
    <row r="561" spans="1:7" ht="15" thickBot="1">
      <c r="A561" s="827"/>
      <c r="B561" s="632"/>
      <c r="C561" s="632"/>
      <c r="D561" s="632"/>
    </row>
    <row r="562" spans="1:7" ht="15" thickBot="1">
      <c r="A562" s="645" t="s">
        <v>360</v>
      </c>
      <c r="B562" s="849">
        <v>0.23119999999999999</v>
      </c>
      <c r="C562" s="852">
        <f>B562+NE!C403</f>
        <v>0.23030597620521284</v>
      </c>
      <c r="D562" s="849">
        <v>0.30570000000000003</v>
      </c>
      <c r="E562" s="323">
        <f>D562+NE!F403</f>
        <v>0.30570000000000003</v>
      </c>
    </row>
    <row r="563" spans="1:7" ht="16.149999999999999" thickTop="1">
      <c r="A563" s="663"/>
    </row>
    <row r="564" spans="1:7">
      <c r="A564" s="751" t="s">
        <v>1370</v>
      </c>
      <c r="B564" s="378"/>
      <c r="C564" s="378"/>
    </row>
    <row r="565" spans="1:7" ht="15" thickBot="1"/>
    <row r="566" spans="1:7" ht="15" thickBot="1">
      <c r="A566" s="854" t="s">
        <v>213</v>
      </c>
      <c r="B566" s="855" t="s">
        <v>362</v>
      </c>
      <c r="C566" s="855" t="s">
        <v>363</v>
      </c>
      <c r="D566" s="855" t="s">
        <v>364</v>
      </c>
    </row>
    <row r="567" spans="1:7" ht="15" thickBot="1">
      <c r="A567" s="856" t="s">
        <v>365</v>
      </c>
      <c r="B567" s="857">
        <v>57731</v>
      </c>
      <c r="C567" s="857">
        <v>57729</v>
      </c>
      <c r="D567" s="858">
        <v>2</v>
      </c>
      <c r="E567" s="595">
        <f>B567-NE!B409</f>
        <v>14887</v>
      </c>
      <c r="F567" s="595">
        <f>C567-NE!C409</f>
        <v>14977</v>
      </c>
      <c r="G567" s="595">
        <f>D567-NE!E409</f>
        <v>-90</v>
      </c>
    </row>
    <row r="568" spans="1:7" ht="15" thickBot="1">
      <c r="A568" s="856" t="s">
        <v>366</v>
      </c>
      <c r="B568" s="857">
        <v>28531</v>
      </c>
      <c r="C568" s="857">
        <v>29666</v>
      </c>
      <c r="D568" s="857">
        <v>-1135</v>
      </c>
      <c r="E568" s="595">
        <f>B568-NE!B410</f>
        <v>-1023</v>
      </c>
      <c r="F568" s="595">
        <f>C568-NE!C410</f>
        <v>112</v>
      </c>
      <c r="G568" s="595">
        <f>D568-NE!E410</f>
        <v>-1135</v>
      </c>
    </row>
    <row r="569" spans="1:7" ht="15" thickBot="1">
      <c r="A569" s="859" t="s">
        <v>367</v>
      </c>
      <c r="B569" s="860">
        <v>86262</v>
      </c>
      <c r="C569" s="860">
        <v>87395</v>
      </c>
      <c r="D569" s="860">
        <v>-1133</v>
      </c>
      <c r="E569" s="595">
        <f>B569-NE!B411</f>
        <v>13864</v>
      </c>
      <c r="F569" s="595">
        <f>C569-NE!C411</f>
        <v>15089</v>
      </c>
      <c r="G569" s="595">
        <f>D569-NE!E411</f>
        <v>-1225</v>
      </c>
    </row>
    <row r="570" spans="1:7" ht="15" thickBot="1">
      <c r="A570" s="856" t="s">
        <v>368</v>
      </c>
      <c r="B570" s="857">
        <v>27068</v>
      </c>
      <c r="C570" s="857">
        <v>28587</v>
      </c>
      <c r="D570" s="857">
        <v>-1519</v>
      </c>
      <c r="E570" s="595">
        <f>B570-NE!B416</f>
        <v>-11161</v>
      </c>
      <c r="F570" s="595">
        <f>C570-NE!C416</f>
        <v>-11918</v>
      </c>
      <c r="G570" s="595">
        <f>D570-NE!E416</f>
        <v>757</v>
      </c>
    </row>
    <row r="571" spans="1:7" ht="15" thickBot="1">
      <c r="A571" s="856" t="s">
        <v>369</v>
      </c>
      <c r="B571" s="857">
        <v>26305</v>
      </c>
      <c r="C571" s="857">
        <v>26305</v>
      </c>
      <c r="D571" s="858" t="s">
        <v>370</v>
      </c>
      <c r="E571" s="595">
        <f>B571-NE!B417</f>
        <v>3335</v>
      </c>
      <c r="F571" s="595">
        <f>C571-NE!C417</f>
        <v>6179</v>
      </c>
      <c r="G571" s="595"/>
    </row>
    <row r="572" spans="1:7" ht="15" thickBot="1">
      <c r="A572" s="856" t="s">
        <v>371</v>
      </c>
      <c r="B572" s="857">
        <v>32889</v>
      </c>
      <c r="C572" s="857">
        <v>32503</v>
      </c>
      <c r="D572" s="858">
        <v>386</v>
      </c>
      <c r="E572" s="595">
        <f>B572-NE!B418</f>
        <v>21691</v>
      </c>
      <c r="F572" s="595">
        <f>C572-NE!C418</f>
        <v>20828</v>
      </c>
      <c r="G572" s="595">
        <f>D572-NE!E418</f>
        <v>863</v>
      </c>
    </row>
    <row r="573" spans="1:7" ht="15" thickBot="1">
      <c r="A573" s="859" t="s">
        <v>372</v>
      </c>
      <c r="B573" s="860">
        <v>86262</v>
      </c>
      <c r="C573" s="860">
        <v>87395</v>
      </c>
      <c r="D573" s="860">
        <v>-1133</v>
      </c>
      <c r="E573" s="595">
        <f>B573-NE!B419</f>
        <v>13865</v>
      </c>
      <c r="F573" s="595">
        <f>C573-NE!C419</f>
        <v>15089</v>
      </c>
      <c r="G573" s="595">
        <f>D573-NE!E419</f>
        <v>-1224</v>
      </c>
    </row>
    <row r="574" spans="1:7" ht="15.6">
      <c r="A574" s="663"/>
    </row>
    <row r="575" spans="1:7" ht="15" thickBot="1">
      <c r="A575" s="728"/>
    </row>
    <row r="576" spans="1:7" ht="15" thickBot="1">
      <c r="A576" s="861" t="s">
        <v>213</v>
      </c>
      <c r="B576" s="862" t="s">
        <v>362</v>
      </c>
      <c r="C576" s="862" t="s">
        <v>363</v>
      </c>
      <c r="D576" s="862" t="s">
        <v>364</v>
      </c>
    </row>
    <row r="577" spans="1:7" ht="15" thickBot="1">
      <c r="A577" s="856" t="s">
        <v>1371</v>
      </c>
      <c r="B577" s="858">
        <v>2</v>
      </c>
      <c r="C577" s="858"/>
      <c r="D577" s="858">
        <v>2</v>
      </c>
      <c r="E577" s="595">
        <f>B577-NE!B424</f>
        <v>2</v>
      </c>
      <c r="F577" s="595">
        <f>D577-NE!E424</f>
        <v>4654</v>
      </c>
    </row>
    <row r="578" spans="1:7" ht="15" thickBot="1">
      <c r="A578" s="859" t="s">
        <v>118</v>
      </c>
      <c r="B578" s="863">
        <v>2</v>
      </c>
      <c r="C578" s="863" t="s">
        <v>115</v>
      </c>
      <c r="D578" s="863">
        <v>2</v>
      </c>
      <c r="E578" s="595">
        <f>B578-NE!B427</f>
        <v>2</v>
      </c>
      <c r="F578" s="595">
        <f>D578-NE!E427</f>
        <v>4916</v>
      </c>
    </row>
    <row r="579" spans="1:7">
      <c r="A579" s="728"/>
    </row>
    <row r="580" spans="1:7" ht="15" thickBot="1">
      <c r="A580" s="710"/>
    </row>
    <row r="581" spans="1:7" ht="15" thickBot="1">
      <c r="A581" s="861" t="s">
        <v>213</v>
      </c>
      <c r="B581" s="862" t="s">
        <v>362</v>
      </c>
      <c r="C581" s="862" t="s">
        <v>363</v>
      </c>
      <c r="D581" s="862" t="s">
        <v>364</v>
      </c>
    </row>
    <row r="582" spans="1:7" ht="15" thickBot="1">
      <c r="A582" s="856" t="s">
        <v>539</v>
      </c>
      <c r="B582" s="857">
        <v>15212</v>
      </c>
      <c r="C582" s="857">
        <v>16347</v>
      </c>
      <c r="D582" s="857">
        <v>-1135</v>
      </c>
      <c r="E582" s="595">
        <f>B582-NE!B433</f>
        <v>15212</v>
      </c>
      <c r="F582" s="595">
        <f>C582-NE!C433</f>
        <v>16347</v>
      </c>
      <c r="G582" s="595">
        <f>D582-NE!E433</f>
        <v>-1135</v>
      </c>
    </row>
    <row r="583" spans="1:7" ht="15" thickBot="1">
      <c r="A583" s="859" t="s">
        <v>118</v>
      </c>
      <c r="B583" s="860">
        <v>15212</v>
      </c>
      <c r="C583" s="860">
        <v>16347</v>
      </c>
      <c r="D583" s="860">
        <v>-1135</v>
      </c>
      <c r="E583" s="595">
        <f>B583-NE!B437</f>
        <v>10469</v>
      </c>
      <c r="F583" s="595">
        <f>C583-NE!C433</f>
        <v>16347</v>
      </c>
      <c r="G583" s="595">
        <f>D583-NE!E433</f>
        <v>-1135</v>
      </c>
    </row>
    <row r="584" spans="1:7">
      <c r="A584" s="707"/>
    </row>
    <row r="585" spans="1:7" ht="15" thickBot="1">
      <c r="A585" s="864"/>
    </row>
    <row r="586" spans="1:7" ht="15" thickBot="1">
      <c r="A586" s="861" t="s">
        <v>213</v>
      </c>
      <c r="B586" s="862" t="s">
        <v>362</v>
      </c>
      <c r="C586" s="862" t="s">
        <v>363</v>
      </c>
      <c r="D586" s="862" t="s">
        <v>364</v>
      </c>
    </row>
    <row r="587" spans="1:7" ht="15" thickBot="1">
      <c r="A587" s="856" t="s">
        <v>73</v>
      </c>
      <c r="B587" s="858">
        <v>618</v>
      </c>
      <c r="C587" s="857">
        <v>1061</v>
      </c>
      <c r="D587" s="858">
        <v>-443</v>
      </c>
      <c r="E587" s="595">
        <f>B587-NE!B443</f>
        <v>598</v>
      </c>
      <c r="F587" s="595">
        <f>C587-NE!C443</f>
        <v>-104</v>
      </c>
      <c r="G587" s="595">
        <f>D587-NE!E443</f>
        <v>702</v>
      </c>
    </row>
    <row r="588" spans="1:7" ht="15" thickBot="1">
      <c r="A588" s="856" t="s">
        <v>373</v>
      </c>
      <c r="B588" s="857">
        <v>2108</v>
      </c>
      <c r="C588" s="857">
        <v>5652</v>
      </c>
      <c r="D588" s="857">
        <v>-3544</v>
      </c>
      <c r="E588" s="595">
        <f>B588-NE!B444</f>
        <v>-905</v>
      </c>
      <c r="F588" s="595">
        <f>C588-NE!C444</f>
        <v>2478</v>
      </c>
      <c r="G588" s="595">
        <f>D588-NE!E444</f>
        <v>-3383</v>
      </c>
    </row>
    <row r="589" spans="1:7" ht="15" thickBot="1">
      <c r="A589" s="856" t="s">
        <v>374</v>
      </c>
      <c r="B589" s="857">
        <v>21655</v>
      </c>
      <c r="C589" s="857">
        <v>21874</v>
      </c>
      <c r="D589" s="858">
        <v>-219</v>
      </c>
      <c r="E589" s="595">
        <f>B589-NE!B445</f>
        <v>-3255</v>
      </c>
      <c r="F589" s="595">
        <f>C589-NE!C445</f>
        <v>-11157</v>
      </c>
      <c r="G589" s="595">
        <f>D589-NE!E445</f>
        <v>7902</v>
      </c>
    </row>
    <row r="590" spans="1:7" ht="15" thickBot="1">
      <c r="A590" s="856" t="s">
        <v>375</v>
      </c>
      <c r="B590" s="857">
        <v>2687</v>
      </c>
      <c r="C590" s="858" t="s">
        <v>115</v>
      </c>
      <c r="D590" s="857">
        <v>2687</v>
      </c>
      <c r="E590" s="595">
        <f>B590-NE!B447</f>
        <v>2687</v>
      </c>
      <c r="G590" s="595">
        <f>D590-NE!E447</f>
        <v>2687</v>
      </c>
    </row>
    <row r="591" spans="1:7" ht="15" thickBot="1">
      <c r="A591" s="859" t="s">
        <v>118</v>
      </c>
      <c r="B591" s="860">
        <v>27068</v>
      </c>
      <c r="C591" s="860">
        <v>28587</v>
      </c>
      <c r="D591" s="860">
        <v>-1519</v>
      </c>
      <c r="E591" s="595">
        <f>B591-NE!B448</f>
        <v>-4022</v>
      </c>
      <c r="F591" s="595">
        <f>C591-NE!C448</f>
        <v>-11918</v>
      </c>
      <c r="G591" s="595">
        <f>D591-NE!E448</f>
        <v>7896</v>
      </c>
    </row>
  </sheetData>
  <mergeCells count="91">
    <mergeCell ref="A493:G493"/>
    <mergeCell ref="B518:C518"/>
    <mergeCell ref="D518:E518"/>
    <mergeCell ref="B553:B554"/>
    <mergeCell ref="C553:C554"/>
    <mergeCell ref="D553:D554"/>
    <mergeCell ref="A454:E454"/>
    <mergeCell ref="B476:B477"/>
    <mergeCell ref="C374:C375"/>
    <mergeCell ref="D374:D375"/>
    <mergeCell ref="E374:E375"/>
    <mergeCell ref="F374:F375"/>
    <mergeCell ref="G374:G375"/>
    <mergeCell ref="A364:B364"/>
    <mergeCell ref="D364:E364"/>
    <mergeCell ref="A365:B365"/>
    <mergeCell ref="D365:E365"/>
    <mergeCell ref="B369:B370"/>
    <mergeCell ref="A360:B360"/>
    <mergeCell ref="D360:E360"/>
    <mergeCell ref="B361:D361"/>
    <mergeCell ref="A362:B362"/>
    <mergeCell ref="A363:B363"/>
    <mergeCell ref="C362:C363"/>
    <mergeCell ref="D362:E363"/>
    <mergeCell ref="A357:B357"/>
    <mergeCell ref="D357:E357"/>
    <mergeCell ref="A358:B358"/>
    <mergeCell ref="D358:E358"/>
    <mergeCell ref="A359:B359"/>
    <mergeCell ref="D359:E359"/>
    <mergeCell ref="F327:F328"/>
    <mergeCell ref="H327:H328"/>
    <mergeCell ref="A355:C355"/>
    <mergeCell ref="D355:E355"/>
    <mergeCell ref="A356:B356"/>
    <mergeCell ref="D356:E356"/>
    <mergeCell ref="A221:C221"/>
    <mergeCell ref="C229:D229"/>
    <mergeCell ref="B317:B318"/>
    <mergeCell ref="D327:D328"/>
    <mergeCell ref="E327:E328"/>
    <mergeCell ref="A210:A211"/>
    <mergeCell ref="B210:B211"/>
    <mergeCell ref="B213:C213"/>
    <mergeCell ref="B217:C217"/>
    <mergeCell ref="B197:C197"/>
    <mergeCell ref="A200:C200"/>
    <mergeCell ref="A201:C201"/>
    <mergeCell ref="B202:C202"/>
    <mergeCell ref="B207:C207"/>
    <mergeCell ref="A189:C189"/>
    <mergeCell ref="B191:C191"/>
    <mergeCell ref="A193:C193"/>
    <mergeCell ref="A195:C195"/>
    <mergeCell ref="A196:C196"/>
    <mergeCell ref="A180:C180"/>
    <mergeCell ref="B181:C181"/>
    <mergeCell ref="B182:C182"/>
    <mergeCell ref="A185:C185"/>
    <mergeCell ref="B186:C186"/>
    <mergeCell ref="A124:B124"/>
    <mergeCell ref="D136:E136"/>
    <mergeCell ref="G114:H115"/>
    <mergeCell ref="I114:I115"/>
    <mergeCell ref="A118:B118"/>
    <mergeCell ref="A110:B110"/>
    <mergeCell ref="A114:A115"/>
    <mergeCell ref="B114:B115"/>
    <mergeCell ref="C114:D115"/>
    <mergeCell ref="E114:F115"/>
    <mergeCell ref="A85:C85"/>
    <mergeCell ref="A92:B92"/>
    <mergeCell ref="A96:C96"/>
    <mergeCell ref="I104:J104"/>
    <mergeCell ref="A106:B106"/>
    <mergeCell ref="A29:B29"/>
    <mergeCell ref="A46:B46"/>
    <mergeCell ref="A81:C81"/>
    <mergeCell ref="A82:C82"/>
    <mergeCell ref="F81:F82"/>
    <mergeCell ref="F74:F75"/>
    <mergeCell ref="A78:B78"/>
    <mergeCell ref="A79:B79"/>
    <mergeCell ref="A80:B80"/>
    <mergeCell ref="G51:H51"/>
    <mergeCell ref="A54:B54"/>
    <mergeCell ref="A59:C59"/>
    <mergeCell ref="A73:C73"/>
    <mergeCell ref="B74:B75"/>
    <mergeCell ref="C74:C7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1"/>
  </sheetPr>
  <dimension ref="A1:H49"/>
  <sheetViews>
    <sheetView topLeftCell="A34" workbookViewId="0">
      <selection activeCell="E46" sqref="E46"/>
    </sheetView>
  </sheetViews>
  <sheetFormatPr defaultRowHeight="14.45"/>
  <cols>
    <col min="1" max="1" width="11.28515625" customWidth="1"/>
    <col min="2" max="2" width="55.42578125" customWidth="1"/>
    <col min="4" max="4" width="30.7109375" bestFit="1" customWidth="1"/>
    <col min="5" max="7" width="11.5703125" bestFit="1" customWidth="1"/>
  </cols>
  <sheetData>
    <row r="1" spans="1:8">
      <c r="A1" t="s">
        <v>541</v>
      </c>
      <c r="B1" t="s">
        <v>1372</v>
      </c>
      <c r="C1" t="s">
        <v>543</v>
      </c>
      <c r="D1" t="s">
        <v>544</v>
      </c>
      <c r="E1" t="s">
        <v>545</v>
      </c>
      <c r="F1" t="s">
        <v>546</v>
      </c>
      <c r="G1" t="s">
        <v>547</v>
      </c>
    </row>
    <row r="2" spans="1:8">
      <c r="A2" t="s">
        <v>549</v>
      </c>
    </row>
    <row r="4" spans="1:8">
      <c r="A4" t="s">
        <v>1373</v>
      </c>
    </row>
    <row r="5" spans="1:8">
      <c r="A5" t="s">
        <v>1374</v>
      </c>
    </row>
    <row r="7" spans="1:8">
      <c r="A7" t="s">
        <v>1375</v>
      </c>
      <c r="B7" t="s">
        <v>636</v>
      </c>
      <c r="C7">
        <v>12181</v>
      </c>
      <c r="D7" t="s">
        <v>637</v>
      </c>
      <c r="E7" t="s">
        <v>1376</v>
      </c>
      <c r="F7" s="94">
        <v>4497185.2300000004</v>
      </c>
    </row>
    <row r="9" spans="1:8">
      <c r="A9" t="s">
        <v>473</v>
      </c>
      <c r="B9" t="s">
        <v>1377</v>
      </c>
      <c r="C9" t="s">
        <v>1378</v>
      </c>
      <c r="D9" t="s">
        <v>1379</v>
      </c>
      <c r="E9" t="s">
        <v>555</v>
      </c>
      <c r="F9" t="s">
        <v>556</v>
      </c>
      <c r="G9" t="s">
        <v>558</v>
      </c>
    </row>
    <row r="10" spans="1:8">
      <c r="A10" s="97">
        <v>46053</v>
      </c>
      <c r="B10" t="s">
        <v>1380</v>
      </c>
      <c r="C10" t="s">
        <v>1381</v>
      </c>
      <c r="E10" s="94">
        <v>9404.34</v>
      </c>
      <c r="G10" s="94">
        <v>4506589.57</v>
      </c>
    </row>
    <row r="11" spans="1:8">
      <c r="A11" s="97">
        <v>46081</v>
      </c>
      <c r="B11" t="s">
        <v>1380</v>
      </c>
      <c r="C11" t="s">
        <v>1382</v>
      </c>
      <c r="E11" s="94">
        <v>9404.34</v>
      </c>
      <c r="G11" s="94">
        <v>4515993.91</v>
      </c>
    </row>
    <row r="12" spans="1:8">
      <c r="A12" s="97">
        <v>46112</v>
      </c>
      <c r="B12" t="s">
        <v>1383</v>
      </c>
      <c r="C12" t="s">
        <v>1384</v>
      </c>
      <c r="E12" s="94">
        <v>48031.41</v>
      </c>
      <c r="G12" s="94">
        <v>4564025.32</v>
      </c>
    </row>
    <row r="13" spans="1:8">
      <c r="A13" s="97">
        <v>46142</v>
      </c>
      <c r="B13" t="s">
        <v>1380</v>
      </c>
      <c r="C13" t="s">
        <v>1385</v>
      </c>
      <c r="E13" s="94">
        <v>22280.03</v>
      </c>
      <c r="G13" s="94">
        <v>4586305.3499999996</v>
      </c>
    </row>
    <row r="14" spans="1:8">
      <c r="A14" s="97">
        <v>46173</v>
      </c>
      <c r="B14" t="s">
        <v>1386</v>
      </c>
      <c r="C14" t="s">
        <v>1387</v>
      </c>
      <c r="E14" s="94">
        <v>22280.03</v>
      </c>
      <c r="G14" s="94">
        <v>4608585.38</v>
      </c>
    </row>
    <row r="15" spans="1:8">
      <c r="A15" s="97">
        <v>46203</v>
      </c>
      <c r="B15" t="s">
        <v>1380</v>
      </c>
      <c r="C15" t="s">
        <v>1388</v>
      </c>
      <c r="E15" s="94">
        <v>43604.63</v>
      </c>
      <c r="G15" s="94">
        <v>4652190.01</v>
      </c>
    </row>
    <row r="16" spans="1:8">
      <c r="A16" s="97"/>
      <c r="F16" s="94"/>
      <c r="H16" s="94"/>
    </row>
    <row r="17" spans="1:7">
      <c r="A17" t="s">
        <v>1375</v>
      </c>
      <c r="B17" t="s">
        <v>638</v>
      </c>
      <c r="C17">
        <v>12182</v>
      </c>
      <c r="D17" t="s">
        <v>639</v>
      </c>
      <c r="E17" t="s">
        <v>1376</v>
      </c>
      <c r="F17" s="94">
        <v>590437.81999999995</v>
      </c>
    </row>
    <row r="19" spans="1:7">
      <c r="A19" t="s">
        <v>473</v>
      </c>
      <c r="B19" t="s">
        <v>1377</v>
      </c>
      <c r="C19" t="s">
        <v>1378</v>
      </c>
      <c r="D19" t="s">
        <v>1379</v>
      </c>
      <c r="E19" t="s">
        <v>555</v>
      </c>
      <c r="F19" t="s">
        <v>556</v>
      </c>
      <c r="G19" t="s">
        <v>558</v>
      </c>
    </row>
    <row r="20" spans="1:7">
      <c r="A20" s="97">
        <v>46053</v>
      </c>
      <c r="B20" t="s">
        <v>1389</v>
      </c>
      <c r="C20" t="s">
        <v>1381</v>
      </c>
      <c r="E20" s="94">
        <v>3964.6</v>
      </c>
      <c r="G20" s="94">
        <v>594402.42000000004</v>
      </c>
    </row>
    <row r="21" spans="1:7" s="378" customFormat="1">
      <c r="A21" s="978">
        <v>46065</v>
      </c>
      <c r="B21" s="378" t="s">
        <v>1390</v>
      </c>
      <c r="C21" s="378" t="s">
        <v>1391</v>
      </c>
      <c r="E21" s="979">
        <v>1310355.72</v>
      </c>
      <c r="G21" s="979">
        <v>1904758.14</v>
      </c>
    </row>
    <row r="22" spans="1:7">
      <c r="A22" s="97">
        <v>46081</v>
      </c>
      <c r="B22" t="s">
        <v>1389</v>
      </c>
      <c r="C22" t="s">
        <v>1382</v>
      </c>
      <c r="E22" s="94">
        <v>3995.01</v>
      </c>
      <c r="G22" s="94">
        <v>1908753.15</v>
      </c>
    </row>
    <row r="23" spans="1:7" s="378" customFormat="1">
      <c r="A23" s="978">
        <v>46093</v>
      </c>
      <c r="B23" s="378" t="s">
        <v>1392</v>
      </c>
      <c r="C23" s="378" t="s">
        <v>1393</v>
      </c>
      <c r="E23" s="979">
        <v>13813.83</v>
      </c>
      <c r="F23" s="979"/>
      <c r="G23" s="979">
        <v>1922566.98</v>
      </c>
    </row>
    <row r="24" spans="1:7">
      <c r="A24" s="97">
        <v>46112</v>
      </c>
      <c r="B24" t="s">
        <v>1389</v>
      </c>
      <c r="C24" t="s">
        <v>1384</v>
      </c>
      <c r="E24" s="94">
        <v>11936.76</v>
      </c>
      <c r="F24" s="94"/>
      <c r="G24" s="94">
        <v>1934503.74</v>
      </c>
    </row>
    <row r="25" spans="1:7">
      <c r="A25" s="97">
        <v>46142</v>
      </c>
      <c r="B25" t="s">
        <v>1389</v>
      </c>
      <c r="C25" t="s">
        <v>1385</v>
      </c>
      <c r="E25" s="94">
        <v>12999.18</v>
      </c>
      <c r="F25" s="94"/>
      <c r="G25" s="94">
        <v>1947502.92</v>
      </c>
    </row>
    <row r="26" spans="1:7">
      <c r="A26" s="97">
        <v>46173</v>
      </c>
      <c r="B26" t="s">
        <v>1389</v>
      </c>
      <c r="C26" t="s">
        <v>1387</v>
      </c>
      <c r="E26" s="94">
        <v>12432.98</v>
      </c>
      <c r="F26" s="94"/>
      <c r="G26" s="94">
        <v>1959935.9</v>
      </c>
    </row>
    <row r="27" spans="1:7">
      <c r="A27" s="97">
        <v>46203</v>
      </c>
      <c r="B27" t="s">
        <v>1389</v>
      </c>
      <c r="C27" t="s">
        <v>1388</v>
      </c>
      <c r="E27" s="94">
        <v>13188.81</v>
      </c>
      <c r="F27" s="94"/>
      <c r="G27" s="94">
        <v>1973124.71</v>
      </c>
    </row>
    <row r="28" spans="1:7">
      <c r="A28" s="97"/>
      <c r="E28" s="94"/>
      <c r="G28" s="94"/>
    </row>
    <row r="29" spans="1:7">
      <c r="A29" t="s">
        <v>1375</v>
      </c>
      <c r="B29" t="s">
        <v>640</v>
      </c>
      <c r="C29">
        <v>12183</v>
      </c>
      <c r="D29" t="s">
        <v>641</v>
      </c>
      <c r="E29" t="s">
        <v>1376</v>
      </c>
      <c r="F29" s="94">
        <v>183873.98</v>
      </c>
    </row>
    <row r="31" spans="1:7">
      <c r="A31" t="s">
        <v>473</v>
      </c>
      <c r="B31" t="s">
        <v>1377</v>
      </c>
      <c r="C31" t="s">
        <v>1378</v>
      </c>
      <c r="D31" t="s">
        <v>1379</v>
      </c>
      <c r="E31" t="s">
        <v>555</v>
      </c>
      <c r="F31" t="s">
        <v>556</v>
      </c>
      <c r="G31" t="s">
        <v>558</v>
      </c>
    </row>
    <row r="32" spans="1:7">
      <c r="A32" s="97">
        <v>46053</v>
      </c>
      <c r="B32" t="s">
        <v>1394</v>
      </c>
      <c r="C32" t="s">
        <v>1381</v>
      </c>
      <c r="E32">
        <v>441.05</v>
      </c>
      <c r="G32" s="94">
        <v>184315.03</v>
      </c>
    </row>
    <row r="33" spans="1:7">
      <c r="A33" s="97">
        <v>46053</v>
      </c>
      <c r="B33" t="s">
        <v>1395</v>
      </c>
      <c r="C33" t="s">
        <v>1396</v>
      </c>
      <c r="E33">
        <v>441.05</v>
      </c>
      <c r="G33" s="94">
        <v>184756.08</v>
      </c>
    </row>
    <row r="34" spans="1:7">
      <c r="A34" s="97">
        <v>46081</v>
      </c>
      <c r="B34" t="s">
        <v>1397</v>
      </c>
      <c r="C34" t="s">
        <v>1381</v>
      </c>
      <c r="E34">
        <v>167.19</v>
      </c>
      <c r="G34" s="94">
        <v>184923.27</v>
      </c>
    </row>
    <row r="35" spans="1:7">
      <c r="A35" s="97">
        <v>46081</v>
      </c>
      <c r="B35" t="s">
        <v>1394</v>
      </c>
      <c r="C35" t="s">
        <v>1382</v>
      </c>
      <c r="E35">
        <v>167.19</v>
      </c>
      <c r="G35" s="94">
        <v>185090.46</v>
      </c>
    </row>
    <row r="36" spans="1:7">
      <c r="A36" s="97">
        <v>46112</v>
      </c>
      <c r="B36" t="s">
        <v>1398</v>
      </c>
      <c r="C36" t="s">
        <v>1382</v>
      </c>
      <c r="E36" s="94">
        <v>1127.28</v>
      </c>
      <c r="F36" s="94"/>
      <c r="G36" s="94">
        <v>186217.74</v>
      </c>
    </row>
    <row r="37" spans="1:7">
      <c r="A37" s="97">
        <v>46112</v>
      </c>
      <c r="B37" t="s">
        <v>1399</v>
      </c>
      <c r="C37" t="s">
        <v>1384</v>
      </c>
      <c r="E37" s="94">
        <v>1294.46</v>
      </c>
      <c r="G37" s="94">
        <v>187512.2</v>
      </c>
    </row>
    <row r="38" spans="1:7">
      <c r="A38" s="97">
        <v>46142</v>
      </c>
      <c r="B38" t="s">
        <v>1400</v>
      </c>
      <c r="C38" t="s">
        <v>1384</v>
      </c>
      <c r="E38" s="94">
        <v>344.26</v>
      </c>
      <c r="G38" s="94">
        <v>187856.46</v>
      </c>
    </row>
    <row r="39" spans="1:7">
      <c r="A39" s="97">
        <v>46142</v>
      </c>
      <c r="B39" t="s">
        <v>1401</v>
      </c>
      <c r="C39" t="s">
        <v>1385</v>
      </c>
      <c r="E39" s="94">
        <v>1638.72</v>
      </c>
      <c r="G39" s="94">
        <v>189495.18</v>
      </c>
    </row>
    <row r="40" spans="1:7">
      <c r="A40" s="97">
        <v>46173</v>
      </c>
      <c r="B40" t="s">
        <v>1402</v>
      </c>
      <c r="C40" t="s">
        <v>1385</v>
      </c>
      <c r="E40" s="94"/>
      <c r="F40">
        <v>-380.08</v>
      </c>
      <c r="G40" s="94">
        <v>189115.1</v>
      </c>
    </row>
    <row r="41" spans="1:7">
      <c r="A41" s="97">
        <v>46173</v>
      </c>
      <c r="B41" t="s">
        <v>1403</v>
      </c>
      <c r="C41" t="s">
        <v>1387</v>
      </c>
      <c r="E41" s="94">
        <v>1258.6400000000001</v>
      </c>
      <c r="G41" s="94">
        <v>190373.74</v>
      </c>
    </row>
    <row r="42" spans="1:7">
      <c r="A42" s="97">
        <v>46203</v>
      </c>
      <c r="B42" t="s">
        <v>1394</v>
      </c>
      <c r="C42" t="s">
        <v>1388</v>
      </c>
      <c r="E42" s="94">
        <v>1096.8599999999999</v>
      </c>
      <c r="G42" s="94">
        <v>191470.6</v>
      </c>
    </row>
    <row r="43" spans="1:7">
      <c r="A43" s="97">
        <v>46203</v>
      </c>
      <c r="B43" t="s">
        <v>1404</v>
      </c>
      <c r="C43" t="s">
        <v>1388</v>
      </c>
      <c r="E43" s="94"/>
      <c r="F43">
        <v>-161.77000000000001</v>
      </c>
      <c r="G43" s="94">
        <v>191308.83</v>
      </c>
    </row>
    <row r="45" spans="1:7">
      <c r="D45" t="s">
        <v>1405</v>
      </c>
      <c r="E45" s="94">
        <f>ROUND(SUM(E10,E20,E32,E33,E11,E22,E34,E35,E12,E24,E36,E37,E13,E25,E38,E39,E14,E26,F40,E41,E15,E27,E42)/1000,0)</f>
        <v>221</v>
      </c>
    </row>
    <row r="46" spans="1:7">
      <c r="D46" t="s">
        <v>1406</v>
      </c>
      <c r="E46" s="94">
        <f>ROUND(SUM(E21,E23)/1000,0)</f>
        <v>1324</v>
      </c>
    </row>
    <row r="49" spans="5:5">
      <c r="E49" s="94">
        <f>SUM(E45:E48)</f>
        <v>1545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1"/>
  </sheetPr>
  <dimension ref="A1:G206"/>
  <sheetViews>
    <sheetView topLeftCell="A187" workbookViewId="0">
      <selection activeCell="E208" sqref="E208"/>
    </sheetView>
  </sheetViews>
  <sheetFormatPr defaultColWidth="8.85546875" defaultRowHeight="14.45"/>
  <cols>
    <col min="1" max="1" width="23" customWidth="1"/>
    <col min="2" max="2" width="66.28515625" customWidth="1"/>
    <col min="3" max="3" width="23.5703125" bestFit="1" customWidth="1"/>
    <col min="4" max="4" width="18.28515625" bestFit="1" customWidth="1"/>
    <col min="5" max="5" width="11.28515625" style="77" bestFit="1" customWidth="1"/>
    <col min="6" max="7" width="11.5703125" bestFit="1" customWidth="1"/>
  </cols>
  <sheetData>
    <row r="1" spans="1:7">
      <c r="A1" t="s">
        <v>541</v>
      </c>
      <c r="B1" t="s">
        <v>1372</v>
      </c>
      <c r="C1" t="s">
        <v>543</v>
      </c>
      <c r="D1" t="s">
        <v>544</v>
      </c>
      <c r="E1" s="77" t="s">
        <v>545</v>
      </c>
      <c r="F1" t="s">
        <v>546</v>
      </c>
      <c r="G1" t="s">
        <v>547</v>
      </c>
    </row>
    <row r="2" spans="1:7">
      <c r="A2" t="s">
        <v>549</v>
      </c>
    </row>
    <row r="4" spans="1:7">
      <c r="A4" t="s">
        <v>1407</v>
      </c>
    </row>
    <row r="7" spans="1:7">
      <c r="A7" t="s">
        <v>1375</v>
      </c>
      <c r="B7" t="s">
        <v>576</v>
      </c>
      <c r="C7">
        <v>11239</v>
      </c>
      <c r="D7" t="s">
        <v>217</v>
      </c>
      <c r="E7" s="77">
        <v>0</v>
      </c>
    </row>
    <row r="9" spans="1:7">
      <c r="A9" t="s">
        <v>473</v>
      </c>
      <c r="B9" t="s">
        <v>1377</v>
      </c>
      <c r="C9" t="s">
        <v>1378</v>
      </c>
      <c r="D9" t="s">
        <v>1379</v>
      </c>
      <c r="E9" s="77" t="s">
        <v>555</v>
      </c>
      <c r="F9" t="s">
        <v>556</v>
      </c>
      <c r="G9" t="s">
        <v>558</v>
      </c>
    </row>
    <row r="10" spans="1:7">
      <c r="A10" s="97">
        <v>46082</v>
      </c>
      <c r="B10" t="s">
        <v>1408</v>
      </c>
      <c r="C10" t="s">
        <v>1384</v>
      </c>
      <c r="E10" s="77">
        <v>82445.55</v>
      </c>
      <c r="G10" s="94">
        <v>82445.55</v>
      </c>
    </row>
    <row r="11" spans="1:7">
      <c r="A11" s="97">
        <v>46112</v>
      </c>
      <c r="B11" t="s">
        <v>1409</v>
      </c>
      <c r="C11" t="s">
        <v>1384</v>
      </c>
      <c r="E11" s="77">
        <v>997.59</v>
      </c>
      <c r="G11" s="94">
        <v>83443.14</v>
      </c>
    </row>
    <row r="12" spans="1:7">
      <c r="A12" s="97">
        <v>46113</v>
      </c>
      <c r="B12" t="s">
        <v>1410</v>
      </c>
      <c r="C12" t="s">
        <v>1385</v>
      </c>
      <c r="F12" s="94">
        <v>-83443.14</v>
      </c>
      <c r="G12" s="94">
        <v>0</v>
      </c>
    </row>
    <row r="13" spans="1:7">
      <c r="A13" s="97"/>
      <c r="F13" s="94"/>
      <c r="G13" s="94"/>
    </row>
    <row r="14" spans="1:7">
      <c r="A14" s="97"/>
      <c r="G14" s="94"/>
    </row>
    <row r="16" spans="1:7">
      <c r="A16" t="s">
        <v>1375</v>
      </c>
      <c r="B16" t="s">
        <v>1411</v>
      </c>
      <c r="C16">
        <v>112310</v>
      </c>
      <c r="D16" t="s">
        <v>1412</v>
      </c>
      <c r="E16" s="77" t="s">
        <v>1376</v>
      </c>
      <c r="F16">
        <v>598.16</v>
      </c>
    </row>
    <row r="18" spans="1:7">
      <c r="A18" t="s">
        <v>473</v>
      </c>
      <c r="B18" t="s">
        <v>1377</v>
      </c>
      <c r="C18" t="s">
        <v>1378</v>
      </c>
      <c r="D18" t="s">
        <v>1379</v>
      </c>
      <c r="E18" s="77" t="s">
        <v>555</v>
      </c>
      <c r="F18" t="s">
        <v>556</v>
      </c>
      <c r="G18" t="s">
        <v>558</v>
      </c>
    </row>
    <row r="19" spans="1:7">
      <c r="A19" s="97">
        <v>46053</v>
      </c>
      <c r="B19" t="s">
        <v>1413</v>
      </c>
      <c r="C19" t="s">
        <v>1381</v>
      </c>
      <c r="E19" s="77">
        <v>5.93</v>
      </c>
      <c r="G19">
        <v>604.09</v>
      </c>
    </row>
    <row r="20" spans="1:7">
      <c r="A20" s="97">
        <v>46081</v>
      </c>
      <c r="B20" t="s">
        <v>1414</v>
      </c>
      <c r="C20" t="s">
        <v>1382</v>
      </c>
      <c r="E20" s="77">
        <v>5.0999999999999996</v>
      </c>
      <c r="G20">
        <v>609.19000000000005</v>
      </c>
    </row>
    <row r="21" spans="1:7">
      <c r="A21" s="97">
        <v>46112</v>
      </c>
      <c r="B21" t="s">
        <v>1409</v>
      </c>
      <c r="C21" t="s">
        <v>1384</v>
      </c>
      <c r="E21" s="77">
        <v>6.19</v>
      </c>
      <c r="G21">
        <v>615.38</v>
      </c>
    </row>
    <row r="22" spans="1:7">
      <c r="A22" s="97">
        <v>46142</v>
      </c>
      <c r="B22" t="s">
        <v>1415</v>
      </c>
      <c r="C22" t="s">
        <v>1385</v>
      </c>
      <c r="E22" s="77">
        <v>5.58</v>
      </c>
      <c r="G22">
        <v>620.96</v>
      </c>
    </row>
    <row r="23" spans="1:7">
      <c r="A23" s="97">
        <v>46173</v>
      </c>
      <c r="B23" t="s">
        <v>1416</v>
      </c>
      <c r="C23" t="s">
        <v>1387</v>
      </c>
      <c r="E23" s="77">
        <v>5.48</v>
      </c>
      <c r="G23">
        <v>626.44000000000005</v>
      </c>
    </row>
    <row r="24" spans="1:7">
      <c r="A24" s="97">
        <v>46203</v>
      </c>
      <c r="B24" t="s">
        <v>1417</v>
      </c>
      <c r="C24" t="s">
        <v>1388</v>
      </c>
      <c r="E24" s="77">
        <v>5.72</v>
      </c>
      <c r="G24">
        <v>632.16</v>
      </c>
    </row>
    <row r="25" spans="1:7">
      <c r="A25" s="97"/>
    </row>
    <row r="26" spans="1:7">
      <c r="A26" s="97" t="s">
        <v>1375</v>
      </c>
      <c r="B26" t="s">
        <v>581</v>
      </c>
      <c r="C26">
        <v>112327</v>
      </c>
      <c r="D26" t="s">
        <v>582</v>
      </c>
      <c r="E26" s="77">
        <v>0</v>
      </c>
    </row>
    <row r="27" spans="1:7">
      <c r="A27" s="97"/>
    </row>
    <row r="28" spans="1:7">
      <c r="A28" s="97" t="s">
        <v>473</v>
      </c>
      <c r="B28" t="s">
        <v>1377</v>
      </c>
      <c r="C28" t="s">
        <v>1378</v>
      </c>
      <c r="D28" t="s">
        <v>1379</v>
      </c>
      <c r="E28" s="77" t="s">
        <v>555</v>
      </c>
      <c r="F28" t="s">
        <v>556</v>
      </c>
      <c r="G28" t="s">
        <v>558</v>
      </c>
    </row>
    <row r="29" spans="1:7">
      <c r="A29" s="97">
        <v>46082</v>
      </c>
      <c r="B29" t="s">
        <v>1418</v>
      </c>
      <c r="C29" t="s">
        <v>1384</v>
      </c>
      <c r="E29" s="77">
        <v>17899.36</v>
      </c>
      <c r="G29" s="94">
        <v>17899.36</v>
      </c>
    </row>
    <row r="30" spans="1:7">
      <c r="A30" s="97">
        <v>46112</v>
      </c>
      <c r="B30" t="s">
        <v>1409</v>
      </c>
      <c r="C30" t="s">
        <v>1384</v>
      </c>
      <c r="E30" s="77">
        <v>216.58</v>
      </c>
      <c r="G30" s="94">
        <v>18115.939999999999</v>
      </c>
    </row>
    <row r="31" spans="1:7">
      <c r="A31" s="97">
        <v>46113</v>
      </c>
      <c r="B31" t="s">
        <v>1410</v>
      </c>
      <c r="C31" t="s">
        <v>1385</v>
      </c>
      <c r="F31" s="94">
        <v>-18115.939999999999</v>
      </c>
      <c r="G31" s="94">
        <v>0</v>
      </c>
    </row>
    <row r="32" spans="1:7">
      <c r="F32" s="94"/>
    </row>
    <row r="33" spans="1:7">
      <c r="A33" t="s">
        <v>1375</v>
      </c>
      <c r="B33" t="s">
        <v>1419</v>
      </c>
      <c r="C33">
        <v>112342</v>
      </c>
      <c r="D33" t="s">
        <v>1420</v>
      </c>
      <c r="E33" s="77" t="s">
        <v>1376</v>
      </c>
      <c r="F33" s="94">
        <v>0</v>
      </c>
    </row>
    <row r="35" spans="1:7">
      <c r="A35" s="97" t="s">
        <v>473</v>
      </c>
      <c r="B35" t="s">
        <v>1377</v>
      </c>
      <c r="C35" t="s">
        <v>1378</v>
      </c>
      <c r="D35" t="s">
        <v>1379</v>
      </c>
      <c r="E35" s="77" t="s">
        <v>555</v>
      </c>
      <c r="F35" s="94" t="s">
        <v>556</v>
      </c>
      <c r="G35" t="s">
        <v>558</v>
      </c>
    </row>
    <row r="36" spans="1:7">
      <c r="A36" s="97">
        <v>46054</v>
      </c>
      <c r="B36" t="s">
        <v>1421</v>
      </c>
      <c r="C36" t="s">
        <v>1382</v>
      </c>
      <c r="E36" s="77">
        <v>178629.72</v>
      </c>
      <c r="G36" s="94">
        <v>178629.72</v>
      </c>
    </row>
    <row r="37" spans="1:7">
      <c r="A37" s="97">
        <v>46081</v>
      </c>
      <c r="B37" t="s">
        <v>1413</v>
      </c>
      <c r="C37" t="s">
        <v>1381</v>
      </c>
      <c r="E37" s="77">
        <v>2072.1</v>
      </c>
      <c r="F37" s="94"/>
      <c r="G37" s="94">
        <v>180701.82</v>
      </c>
    </row>
    <row r="38" spans="1:7">
      <c r="A38" s="97">
        <v>46081</v>
      </c>
      <c r="B38" t="s">
        <v>1414</v>
      </c>
      <c r="C38" t="s">
        <v>1382</v>
      </c>
      <c r="E38" s="77">
        <v>1786.3</v>
      </c>
      <c r="F38" s="94"/>
      <c r="G38" s="94">
        <v>182488.12</v>
      </c>
    </row>
    <row r="39" spans="1:7">
      <c r="A39" s="97">
        <v>46112</v>
      </c>
      <c r="B39" t="s">
        <v>1409</v>
      </c>
      <c r="C39" t="s">
        <v>1384</v>
      </c>
      <c r="E39" s="77">
        <v>2161.42</v>
      </c>
      <c r="F39" s="94"/>
      <c r="G39" s="94">
        <v>184649.54</v>
      </c>
    </row>
    <row r="40" spans="1:7">
      <c r="A40" s="97">
        <v>46142</v>
      </c>
      <c r="B40" t="s">
        <v>1415</v>
      </c>
      <c r="C40" t="s">
        <v>1385</v>
      </c>
      <c r="E40" s="77">
        <v>1947.06</v>
      </c>
      <c r="F40" s="94"/>
      <c r="G40" s="94">
        <v>186596.6</v>
      </c>
    </row>
    <row r="41" spans="1:7">
      <c r="A41" s="97">
        <v>46173</v>
      </c>
      <c r="B41" t="s">
        <v>1416</v>
      </c>
      <c r="C41" t="s">
        <v>1387</v>
      </c>
      <c r="E41" s="77">
        <v>1911.34</v>
      </c>
      <c r="F41" s="94"/>
      <c r="G41" s="94">
        <v>188507.94</v>
      </c>
    </row>
    <row r="42" spans="1:7">
      <c r="A42" s="97">
        <v>46203</v>
      </c>
      <c r="B42" t="s">
        <v>1417</v>
      </c>
      <c r="C42" t="s">
        <v>1388</v>
      </c>
      <c r="E42" s="77">
        <v>2000.66</v>
      </c>
      <c r="F42" s="94"/>
      <c r="G42" s="94">
        <v>190508.6</v>
      </c>
    </row>
    <row r="43" spans="1:7" ht="13.9" customHeight="1"/>
    <row r="44" spans="1:7">
      <c r="A44" s="97" t="s">
        <v>1375</v>
      </c>
      <c r="B44" t="s">
        <v>1422</v>
      </c>
      <c r="C44">
        <v>112343</v>
      </c>
      <c r="D44" t="s">
        <v>1423</v>
      </c>
      <c r="E44" s="77" t="s">
        <v>1376</v>
      </c>
      <c r="F44" s="94">
        <v>0</v>
      </c>
    </row>
    <row r="45" spans="1:7">
      <c r="A45" s="97"/>
      <c r="G45" s="94"/>
    </row>
    <row r="46" spans="1:7">
      <c r="A46" t="s">
        <v>473</v>
      </c>
      <c r="B46" t="s">
        <v>1377</v>
      </c>
      <c r="C46" t="s">
        <v>1378</v>
      </c>
      <c r="D46" t="s">
        <v>1379</v>
      </c>
      <c r="E46" s="77" t="s">
        <v>555</v>
      </c>
      <c r="F46" t="s">
        <v>556</v>
      </c>
      <c r="G46" t="s">
        <v>558</v>
      </c>
    </row>
    <row r="47" spans="1:7">
      <c r="A47" s="97">
        <v>46054</v>
      </c>
      <c r="B47" t="s">
        <v>1421</v>
      </c>
      <c r="C47" t="s">
        <v>1424</v>
      </c>
      <c r="E47" s="77">
        <v>66625.72</v>
      </c>
      <c r="F47" s="94"/>
      <c r="G47" s="94">
        <v>66625.72</v>
      </c>
    </row>
    <row r="48" spans="1:7">
      <c r="A48" s="97">
        <v>46081</v>
      </c>
      <c r="B48" t="s">
        <v>1413</v>
      </c>
      <c r="C48" t="s">
        <v>1381</v>
      </c>
      <c r="E48" s="77">
        <v>772.86</v>
      </c>
      <c r="G48" s="94">
        <v>67398.58</v>
      </c>
    </row>
    <row r="49" spans="1:7">
      <c r="A49" s="97">
        <v>46081</v>
      </c>
      <c r="B49" t="s">
        <v>1414</v>
      </c>
      <c r="C49" t="s">
        <v>1382</v>
      </c>
      <c r="E49" s="77">
        <v>666.26</v>
      </c>
      <c r="G49" s="94">
        <v>68064.84</v>
      </c>
    </row>
    <row r="50" spans="1:7">
      <c r="A50" s="97">
        <v>46112</v>
      </c>
      <c r="B50" t="s">
        <v>1409</v>
      </c>
      <c r="C50" t="s">
        <v>1384</v>
      </c>
      <c r="E50" s="77">
        <v>806.17</v>
      </c>
      <c r="G50" s="94">
        <v>68871.009999999995</v>
      </c>
    </row>
    <row r="51" spans="1:7">
      <c r="A51" s="97">
        <v>46142</v>
      </c>
      <c r="B51" t="s">
        <v>1415</v>
      </c>
      <c r="C51" t="s">
        <v>1385</v>
      </c>
      <c r="E51" s="77">
        <v>726.23</v>
      </c>
      <c r="G51" s="94">
        <v>69597.240000000005</v>
      </c>
    </row>
    <row r="52" spans="1:7">
      <c r="A52" s="97">
        <v>46173</v>
      </c>
      <c r="B52" t="s">
        <v>1416</v>
      </c>
      <c r="C52" t="s">
        <v>1387</v>
      </c>
      <c r="E52" s="77">
        <v>712.88</v>
      </c>
      <c r="G52" s="94">
        <v>70310.12</v>
      </c>
    </row>
    <row r="53" spans="1:7">
      <c r="A53" s="97">
        <v>46203</v>
      </c>
      <c r="B53" t="s">
        <v>1417</v>
      </c>
      <c r="C53" t="s">
        <v>1388</v>
      </c>
      <c r="E53" s="77">
        <v>746.21</v>
      </c>
      <c r="G53" s="94">
        <v>71056.33</v>
      </c>
    </row>
    <row r="54" spans="1:7">
      <c r="A54" s="97"/>
      <c r="G54" s="94"/>
    </row>
    <row r="55" spans="1:7">
      <c r="A55" s="97" t="s">
        <v>1375</v>
      </c>
      <c r="B55" t="s">
        <v>626</v>
      </c>
      <c r="C55">
        <v>12131</v>
      </c>
      <c r="D55" t="s">
        <v>627</v>
      </c>
      <c r="E55" s="77" t="s">
        <v>1376</v>
      </c>
      <c r="F55" s="94">
        <v>27577.84</v>
      </c>
      <c r="G55" s="94"/>
    </row>
    <row r="56" spans="1:7">
      <c r="F56" s="94"/>
    </row>
    <row r="57" spans="1:7">
      <c r="A57" t="s">
        <v>473</v>
      </c>
      <c r="B57" t="s">
        <v>1377</v>
      </c>
      <c r="C57" t="s">
        <v>1378</v>
      </c>
      <c r="D57" t="s">
        <v>1379</v>
      </c>
      <c r="E57" s="77" t="s">
        <v>555</v>
      </c>
      <c r="F57" t="s">
        <v>556</v>
      </c>
      <c r="G57" t="s">
        <v>558</v>
      </c>
    </row>
    <row r="58" spans="1:7">
      <c r="A58" s="97">
        <v>46053</v>
      </c>
      <c r="B58" t="s">
        <v>1413</v>
      </c>
      <c r="C58" t="s">
        <v>1381</v>
      </c>
      <c r="E58" s="77">
        <v>200.74</v>
      </c>
      <c r="G58" s="94">
        <v>27778.58</v>
      </c>
    </row>
    <row r="59" spans="1:7">
      <c r="A59" s="97">
        <v>46081</v>
      </c>
      <c r="B59" t="s">
        <v>1414</v>
      </c>
      <c r="C59" t="s">
        <v>1382</v>
      </c>
      <c r="E59" s="77">
        <v>173.06</v>
      </c>
      <c r="G59" s="94">
        <v>27951.64</v>
      </c>
    </row>
    <row r="60" spans="1:7">
      <c r="A60" s="97">
        <v>46112</v>
      </c>
      <c r="B60" t="s">
        <v>1409</v>
      </c>
      <c r="C60" t="s">
        <v>1384</v>
      </c>
      <c r="E60" s="77">
        <v>209.4</v>
      </c>
      <c r="G60" s="94">
        <v>28161.040000000001</v>
      </c>
    </row>
    <row r="61" spans="1:7">
      <c r="A61" s="97">
        <v>46142</v>
      </c>
      <c r="B61" t="s">
        <v>1415</v>
      </c>
      <c r="C61" t="s">
        <v>1385</v>
      </c>
      <c r="E61" s="77">
        <v>188.63</v>
      </c>
      <c r="G61" s="94">
        <v>28349.67</v>
      </c>
    </row>
    <row r="62" spans="1:7">
      <c r="A62" s="97">
        <v>46173</v>
      </c>
      <c r="B62" t="s">
        <v>1416</v>
      </c>
      <c r="C62" t="s">
        <v>1387</v>
      </c>
      <c r="E62" s="77">
        <v>185.16</v>
      </c>
      <c r="G62" s="94">
        <v>28534.83</v>
      </c>
    </row>
    <row r="63" spans="1:7">
      <c r="A63" s="97">
        <v>46203</v>
      </c>
      <c r="B63" t="s">
        <v>1417</v>
      </c>
      <c r="C63" t="s">
        <v>1388</v>
      </c>
      <c r="E63" s="77">
        <v>193.83</v>
      </c>
      <c r="G63" s="94">
        <v>28728.66</v>
      </c>
    </row>
    <row r="64" spans="1:7">
      <c r="A64" s="97"/>
      <c r="F64" s="94"/>
      <c r="G64" s="94"/>
    </row>
    <row r="65" spans="1:7">
      <c r="A65" s="97" t="s">
        <v>1375</v>
      </c>
      <c r="B65" t="s">
        <v>628</v>
      </c>
      <c r="C65">
        <v>12134</v>
      </c>
      <c r="D65" t="s">
        <v>231</v>
      </c>
      <c r="E65" s="77" t="s">
        <v>1376</v>
      </c>
      <c r="F65" s="94">
        <v>4640.58</v>
      </c>
      <c r="G65" s="94"/>
    </row>
    <row r="66" spans="1:7">
      <c r="A66" s="97"/>
      <c r="G66" s="94"/>
    </row>
    <row r="67" spans="1:7">
      <c r="A67" s="97" t="s">
        <v>473</v>
      </c>
      <c r="B67" t="s">
        <v>1377</v>
      </c>
      <c r="C67" t="s">
        <v>1378</v>
      </c>
      <c r="D67" t="s">
        <v>1379</v>
      </c>
      <c r="E67" s="77" t="s">
        <v>555</v>
      </c>
      <c r="F67" t="s">
        <v>556</v>
      </c>
      <c r="G67" s="94" t="s">
        <v>558</v>
      </c>
    </row>
    <row r="68" spans="1:7">
      <c r="C68" t="s">
        <v>1425</v>
      </c>
      <c r="F68" s="94"/>
    </row>
    <row r="69" spans="1:7">
      <c r="A69" t="s">
        <v>1375</v>
      </c>
      <c r="B69" t="s">
        <v>629</v>
      </c>
      <c r="C69">
        <v>12135</v>
      </c>
      <c r="D69" t="s">
        <v>630</v>
      </c>
      <c r="E69" s="77" t="s">
        <v>1376</v>
      </c>
      <c r="F69" s="94">
        <v>180372.61</v>
      </c>
    </row>
    <row r="71" spans="1:7">
      <c r="A71" s="97" t="s">
        <v>473</v>
      </c>
      <c r="B71" t="s">
        <v>1377</v>
      </c>
      <c r="C71" t="s">
        <v>1378</v>
      </c>
      <c r="D71" t="s">
        <v>1379</v>
      </c>
      <c r="E71" s="77" t="s">
        <v>555</v>
      </c>
      <c r="F71" t="s">
        <v>556</v>
      </c>
      <c r="G71" s="94" t="s">
        <v>558</v>
      </c>
    </row>
    <row r="72" spans="1:7">
      <c r="A72" s="97">
        <v>46053</v>
      </c>
      <c r="B72" t="s">
        <v>1413</v>
      </c>
      <c r="C72" t="s">
        <v>1381</v>
      </c>
      <c r="E72" s="77">
        <v>1366.5</v>
      </c>
      <c r="G72" s="94">
        <v>181739.11</v>
      </c>
    </row>
    <row r="73" spans="1:7">
      <c r="A73" s="97">
        <v>46081</v>
      </c>
      <c r="B73" t="s">
        <v>1414</v>
      </c>
      <c r="C73" t="s">
        <v>1382</v>
      </c>
      <c r="E73" s="77">
        <v>1178.03</v>
      </c>
      <c r="F73" s="94"/>
      <c r="G73" s="94">
        <v>182917.14</v>
      </c>
    </row>
    <row r="74" spans="1:7">
      <c r="A74" s="97">
        <v>46112</v>
      </c>
      <c r="B74" t="s">
        <v>1409</v>
      </c>
      <c r="C74" t="s">
        <v>1384</v>
      </c>
      <c r="E74" s="77">
        <v>1425.41</v>
      </c>
      <c r="F74" s="94"/>
      <c r="G74" s="94">
        <v>184342.55</v>
      </c>
    </row>
    <row r="75" spans="1:7">
      <c r="A75" s="97">
        <v>46142</v>
      </c>
      <c r="B75" t="s">
        <v>1415</v>
      </c>
      <c r="C75" t="s">
        <v>1385</v>
      </c>
      <c r="E75" s="77">
        <v>1284.03</v>
      </c>
      <c r="F75" s="94"/>
      <c r="G75" s="94">
        <v>185626.58</v>
      </c>
    </row>
    <row r="76" spans="1:7">
      <c r="A76" s="97">
        <v>46173</v>
      </c>
      <c r="B76" t="s">
        <v>1416</v>
      </c>
      <c r="C76" t="s">
        <v>1387</v>
      </c>
      <c r="E76" s="77">
        <v>1260.49</v>
      </c>
      <c r="F76" s="94"/>
      <c r="G76" s="94">
        <v>186887.07</v>
      </c>
    </row>
    <row r="77" spans="1:7">
      <c r="A77" s="97">
        <v>46203</v>
      </c>
      <c r="B77" t="s">
        <v>1417</v>
      </c>
      <c r="C77" t="s">
        <v>1388</v>
      </c>
      <c r="E77" s="77">
        <v>1319.38</v>
      </c>
      <c r="F77" s="94"/>
      <c r="G77" s="94">
        <v>188206.45</v>
      </c>
    </row>
    <row r="78" spans="1:7">
      <c r="F78" s="94"/>
    </row>
    <row r="79" spans="1:7">
      <c r="A79" t="s">
        <v>1375</v>
      </c>
      <c r="B79" t="s">
        <v>1426</v>
      </c>
      <c r="C79">
        <v>12139</v>
      </c>
      <c r="D79" t="s">
        <v>217</v>
      </c>
      <c r="E79" s="77" t="s">
        <v>1376</v>
      </c>
      <c r="F79" s="94">
        <v>1928.93</v>
      </c>
    </row>
    <row r="80" spans="1:7">
      <c r="A80" s="97"/>
      <c r="G80" s="94"/>
    </row>
    <row r="81" spans="1:7">
      <c r="A81" s="97" t="s">
        <v>473</v>
      </c>
      <c r="B81" t="s">
        <v>1377</v>
      </c>
      <c r="C81" t="s">
        <v>1378</v>
      </c>
      <c r="D81" t="s">
        <v>1379</v>
      </c>
      <c r="E81" s="77" t="s">
        <v>555</v>
      </c>
      <c r="F81" t="s">
        <v>556</v>
      </c>
      <c r="G81" s="94" t="s">
        <v>558</v>
      </c>
    </row>
    <row r="82" spans="1:7">
      <c r="A82" s="97">
        <v>46053</v>
      </c>
      <c r="B82" t="s">
        <v>1413</v>
      </c>
      <c r="C82" t="s">
        <v>1381</v>
      </c>
      <c r="E82" s="77">
        <v>14.69</v>
      </c>
      <c r="F82" s="94"/>
      <c r="G82" s="94">
        <v>1943.62</v>
      </c>
    </row>
    <row r="83" spans="1:7">
      <c r="A83" s="97">
        <v>46081</v>
      </c>
      <c r="B83" t="s">
        <v>1414</v>
      </c>
      <c r="C83" t="s">
        <v>1382</v>
      </c>
      <c r="E83" s="77">
        <v>12.66</v>
      </c>
      <c r="G83" s="94">
        <v>1956.28</v>
      </c>
    </row>
    <row r="84" spans="1:7">
      <c r="A84" s="97">
        <v>46112</v>
      </c>
      <c r="B84" t="s">
        <v>1409</v>
      </c>
      <c r="C84" t="s">
        <v>1384</v>
      </c>
      <c r="E84" s="77">
        <v>15.32</v>
      </c>
      <c r="G84" s="94">
        <v>1971.6</v>
      </c>
    </row>
    <row r="85" spans="1:7">
      <c r="A85" s="97">
        <v>46142</v>
      </c>
      <c r="B85" t="s">
        <v>1415</v>
      </c>
      <c r="C85" t="s">
        <v>1385</v>
      </c>
      <c r="E85" s="77">
        <v>13.79</v>
      </c>
      <c r="G85" s="94">
        <v>1985.39</v>
      </c>
    </row>
    <row r="86" spans="1:7">
      <c r="A86" s="97">
        <v>46173</v>
      </c>
      <c r="B86" t="s">
        <v>1416</v>
      </c>
      <c r="C86" t="s">
        <v>1387</v>
      </c>
      <c r="E86" s="77">
        <v>13.54</v>
      </c>
      <c r="G86" s="94">
        <v>1998.93</v>
      </c>
    </row>
    <row r="87" spans="1:7">
      <c r="A87" s="97">
        <v>46203</v>
      </c>
      <c r="B87" t="s">
        <v>1417</v>
      </c>
      <c r="C87" t="s">
        <v>1388</v>
      </c>
      <c r="E87" s="77">
        <v>14.17</v>
      </c>
      <c r="G87" s="94">
        <v>2013.1</v>
      </c>
    </row>
    <row r="89" spans="1:7">
      <c r="A89" s="97" t="s">
        <v>1375</v>
      </c>
      <c r="B89" t="s">
        <v>1427</v>
      </c>
      <c r="C89">
        <v>121311</v>
      </c>
      <c r="D89" t="s">
        <v>229</v>
      </c>
      <c r="E89" s="77" t="s">
        <v>1376</v>
      </c>
      <c r="F89" s="94">
        <v>4584.03</v>
      </c>
      <c r="G89" s="94"/>
    </row>
    <row r="90" spans="1:7">
      <c r="A90" s="97"/>
    </row>
    <row r="91" spans="1:7">
      <c r="A91" t="s">
        <v>473</v>
      </c>
      <c r="B91" t="s">
        <v>1377</v>
      </c>
      <c r="C91" t="s">
        <v>1378</v>
      </c>
      <c r="D91" t="s">
        <v>1379</v>
      </c>
      <c r="E91" s="77" t="s">
        <v>555</v>
      </c>
      <c r="F91" s="94" t="s">
        <v>556</v>
      </c>
      <c r="G91" t="s">
        <v>558</v>
      </c>
    </row>
    <row r="92" spans="1:7">
      <c r="A92" s="97">
        <v>46053</v>
      </c>
      <c r="B92" t="s">
        <v>1413</v>
      </c>
      <c r="C92" t="s">
        <v>1381</v>
      </c>
      <c r="E92" s="77">
        <v>39.46</v>
      </c>
      <c r="F92" s="94"/>
      <c r="G92" s="94">
        <v>4623.49</v>
      </c>
    </row>
    <row r="93" spans="1:7">
      <c r="A93" s="97">
        <v>46081</v>
      </c>
      <c r="B93" t="s">
        <v>1414</v>
      </c>
      <c r="C93" t="s">
        <v>1382</v>
      </c>
      <c r="E93" s="77">
        <v>34.01</v>
      </c>
      <c r="G93" s="94">
        <v>4657.5</v>
      </c>
    </row>
    <row r="94" spans="1:7">
      <c r="A94" s="97">
        <v>46112</v>
      </c>
      <c r="B94" t="s">
        <v>1409</v>
      </c>
      <c r="C94" t="s">
        <v>1384</v>
      </c>
      <c r="E94" s="77">
        <v>41.16</v>
      </c>
      <c r="G94" s="94">
        <v>4698.66</v>
      </c>
    </row>
    <row r="95" spans="1:7">
      <c r="A95" s="97">
        <v>46142</v>
      </c>
      <c r="B95" t="s">
        <v>1415</v>
      </c>
      <c r="C95" t="s">
        <v>1385</v>
      </c>
      <c r="E95" s="77">
        <v>37.08</v>
      </c>
      <c r="G95" s="94">
        <v>4735.74</v>
      </c>
    </row>
    <row r="96" spans="1:7">
      <c r="A96" s="97">
        <v>46173</v>
      </c>
      <c r="B96" t="s">
        <v>1416</v>
      </c>
      <c r="C96" t="s">
        <v>1387</v>
      </c>
      <c r="E96" s="77">
        <v>36.4</v>
      </c>
      <c r="G96" s="94">
        <v>4772.1400000000003</v>
      </c>
    </row>
    <row r="97" spans="1:7">
      <c r="A97" s="97">
        <v>46203</v>
      </c>
      <c r="B97" t="s">
        <v>1417</v>
      </c>
      <c r="C97" t="s">
        <v>1388</v>
      </c>
      <c r="E97" s="77">
        <v>38.090000000000003</v>
      </c>
      <c r="G97" s="94">
        <v>4810.2299999999996</v>
      </c>
    </row>
    <row r="98" spans="1:7">
      <c r="A98" s="97"/>
      <c r="G98" s="94"/>
    </row>
    <row r="99" spans="1:7">
      <c r="A99" s="97" t="s">
        <v>1375</v>
      </c>
      <c r="B99" t="s">
        <v>1428</v>
      </c>
      <c r="C99">
        <v>121312</v>
      </c>
      <c r="D99" t="s">
        <v>582</v>
      </c>
      <c r="E99" s="77" t="s">
        <v>1376</v>
      </c>
      <c r="F99">
        <v>313.44</v>
      </c>
      <c r="G99" s="94"/>
    </row>
    <row r="100" spans="1:7">
      <c r="F100" s="94"/>
    </row>
    <row r="101" spans="1:7">
      <c r="A101" t="s">
        <v>473</v>
      </c>
      <c r="B101" t="s">
        <v>1377</v>
      </c>
      <c r="C101" t="s">
        <v>1378</v>
      </c>
      <c r="D101" t="s">
        <v>1379</v>
      </c>
      <c r="E101" s="77" t="s">
        <v>555</v>
      </c>
      <c r="F101" s="94" t="s">
        <v>556</v>
      </c>
      <c r="G101" t="s">
        <v>558</v>
      </c>
    </row>
    <row r="102" spans="1:7">
      <c r="A102" s="97">
        <v>46053</v>
      </c>
      <c r="B102" t="s">
        <v>1413</v>
      </c>
      <c r="C102" t="s">
        <v>1381</v>
      </c>
      <c r="E102" s="77">
        <v>2.39</v>
      </c>
      <c r="G102">
        <v>315.83</v>
      </c>
    </row>
    <row r="103" spans="1:7">
      <c r="A103" s="97">
        <v>46081</v>
      </c>
      <c r="B103" t="s">
        <v>1414</v>
      </c>
      <c r="C103" t="s">
        <v>1382</v>
      </c>
      <c r="E103" s="77">
        <v>2.06</v>
      </c>
      <c r="G103" s="94">
        <v>317.89</v>
      </c>
    </row>
    <row r="104" spans="1:7">
      <c r="A104" s="97">
        <v>46112</v>
      </c>
      <c r="B104" t="s">
        <v>1409</v>
      </c>
      <c r="C104" t="s">
        <v>1384</v>
      </c>
      <c r="E104" s="77">
        <v>2.4900000000000002</v>
      </c>
      <c r="G104" s="94">
        <v>320.38</v>
      </c>
    </row>
    <row r="105" spans="1:7">
      <c r="A105" s="97">
        <v>46142</v>
      </c>
      <c r="B105" t="s">
        <v>1415</v>
      </c>
      <c r="C105" t="s">
        <v>1385</v>
      </c>
      <c r="E105" s="77">
        <v>2.2400000000000002</v>
      </c>
      <c r="G105" s="94">
        <v>322.62</v>
      </c>
    </row>
    <row r="106" spans="1:7">
      <c r="A106" s="97">
        <v>46173</v>
      </c>
      <c r="B106" t="s">
        <v>1416</v>
      </c>
      <c r="C106" t="s">
        <v>1387</v>
      </c>
      <c r="E106" s="77">
        <v>2.21</v>
      </c>
      <c r="G106" s="94">
        <v>324.83</v>
      </c>
    </row>
    <row r="107" spans="1:7">
      <c r="A107" s="97">
        <v>46203</v>
      </c>
      <c r="B107" t="s">
        <v>1417</v>
      </c>
      <c r="C107" t="s">
        <v>1388</v>
      </c>
      <c r="E107" s="77">
        <v>2.2999999999999998</v>
      </c>
      <c r="G107" s="94">
        <v>327.13</v>
      </c>
    </row>
    <row r="108" spans="1:7">
      <c r="A108" s="97"/>
      <c r="G108" s="94"/>
    </row>
    <row r="109" spans="1:7">
      <c r="A109" s="97" t="s">
        <v>1375</v>
      </c>
      <c r="B109" t="s">
        <v>1429</v>
      </c>
      <c r="C109">
        <v>121313</v>
      </c>
      <c r="D109" t="s">
        <v>584</v>
      </c>
      <c r="E109" s="77" t="s">
        <v>1376</v>
      </c>
      <c r="F109" s="94">
        <v>231103.73</v>
      </c>
      <c r="G109" s="94"/>
    </row>
    <row r="110" spans="1:7">
      <c r="A110" s="97"/>
      <c r="G110" s="94"/>
    </row>
    <row r="111" spans="1:7">
      <c r="A111" t="s">
        <v>473</v>
      </c>
      <c r="B111" t="s">
        <v>1377</v>
      </c>
      <c r="C111" t="s">
        <v>1378</v>
      </c>
      <c r="D111" t="s">
        <v>1379</v>
      </c>
      <c r="E111" s="77" t="s">
        <v>555</v>
      </c>
      <c r="F111" t="s">
        <v>556</v>
      </c>
      <c r="G111" t="s">
        <v>558</v>
      </c>
    </row>
    <row r="112" spans="1:7">
      <c r="A112" s="97">
        <v>46053</v>
      </c>
      <c r="B112" t="s">
        <v>1413</v>
      </c>
      <c r="C112" t="s">
        <v>1381</v>
      </c>
      <c r="E112" s="77">
        <v>1812.7</v>
      </c>
      <c r="F112" s="94"/>
      <c r="G112" s="94">
        <v>232916.43</v>
      </c>
    </row>
    <row r="113" spans="1:7">
      <c r="A113" s="97">
        <v>46081</v>
      </c>
      <c r="B113" t="s">
        <v>1414</v>
      </c>
      <c r="C113" t="s">
        <v>1382</v>
      </c>
      <c r="E113" s="77">
        <v>1562.67</v>
      </c>
      <c r="G113" s="94">
        <v>234479.1</v>
      </c>
    </row>
    <row r="114" spans="1:7">
      <c r="A114" s="97">
        <v>46112</v>
      </c>
      <c r="B114" t="s">
        <v>1409</v>
      </c>
      <c r="C114" t="s">
        <v>1384</v>
      </c>
      <c r="E114" s="77">
        <v>1890.83</v>
      </c>
      <c r="G114" s="94">
        <v>236369.93</v>
      </c>
    </row>
    <row r="115" spans="1:7">
      <c r="A115" s="97">
        <v>46142</v>
      </c>
      <c r="B115" t="s">
        <v>1415</v>
      </c>
      <c r="C115" t="s">
        <v>1385</v>
      </c>
      <c r="E115" s="77">
        <v>1703.32</v>
      </c>
      <c r="G115" s="94">
        <v>238073.25</v>
      </c>
    </row>
    <row r="116" spans="1:7">
      <c r="A116" s="97">
        <v>46173</v>
      </c>
      <c r="B116" t="s">
        <v>1416</v>
      </c>
      <c r="C116" t="s">
        <v>1387</v>
      </c>
      <c r="E116" s="77">
        <v>1672.06</v>
      </c>
      <c r="G116" s="94">
        <v>239745.31</v>
      </c>
    </row>
    <row r="117" spans="1:7">
      <c r="A117" s="97">
        <v>46203</v>
      </c>
      <c r="B117" t="s">
        <v>1417</v>
      </c>
      <c r="C117" t="s">
        <v>1388</v>
      </c>
      <c r="E117" s="77">
        <v>1750.2</v>
      </c>
      <c r="G117" s="94">
        <v>241495.51</v>
      </c>
    </row>
    <row r="119" spans="1:7">
      <c r="A119" s="97" t="s">
        <v>1375</v>
      </c>
      <c r="B119" t="s">
        <v>1430</v>
      </c>
      <c r="C119">
        <v>121315</v>
      </c>
      <c r="D119" t="s">
        <v>589</v>
      </c>
      <c r="E119" s="77" t="s">
        <v>1376</v>
      </c>
      <c r="F119" s="94">
        <v>142724.78</v>
      </c>
      <c r="G119" s="94"/>
    </row>
    <row r="121" spans="1:7">
      <c r="A121" t="s">
        <v>473</v>
      </c>
      <c r="B121" t="s">
        <v>1377</v>
      </c>
      <c r="C121" t="s">
        <v>1378</v>
      </c>
      <c r="D121" t="s">
        <v>1379</v>
      </c>
      <c r="E121" s="77" t="s">
        <v>555</v>
      </c>
      <c r="F121" s="94" t="s">
        <v>556</v>
      </c>
      <c r="G121" t="s">
        <v>558</v>
      </c>
    </row>
    <row r="122" spans="1:7">
      <c r="A122" s="97">
        <v>46023</v>
      </c>
      <c r="B122" t="s">
        <v>1431</v>
      </c>
      <c r="C122" t="s">
        <v>1396</v>
      </c>
      <c r="F122">
        <v>-324.93</v>
      </c>
      <c r="G122" s="94">
        <v>142399.85</v>
      </c>
    </row>
    <row r="123" spans="1:7">
      <c r="A123" s="97">
        <v>46023</v>
      </c>
      <c r="B123" t="s">
        <v>1431</v>
      </c>
      <c r="C123" t="s">
        <v>1396</v>
      </c>
      <c r="F123" s="94">
        <v>-1999.55</v>
      </c>
      <c r="G123" s="94">
        <v>140400.29999999999</v>
      </c>
    </row>
    <row r="124" spans="1:7">
      <c r="A124" s="97">
        <v>46053</v>
      </c>
      <c r="B124" t="s">
        <v>1413</v>
      </c>
      <c r="C124" t="s">
        <v>1381</v>
      </c>
      <c r="E124" s="77">
        <v>1205.8499999999999</v>
      </c>
      <c r="F124" s="94"/>
      <c r="G124" s="94">
        <v>141606.15</v>
      </c>
    </row>
    <row r="125" spans="1:7">
      <c r="A125" s="97">
        <v>46054</v>
      </c>
      <c r="B125" t="s">
        <v>1432</v>
      </c>
      <c r="C125" t="s">
        <v>1382</v>
      </c>
      <c r="F125" s="94">
        <v>-141442.95000000001</v>
      </c>
      <c r="G125">
        <v>163.19999999999999</v>
      </c>
    </row>
    <row r="126" spans="1:7">
      <c r="A126" s="97">
        <v>46081</v>
      </c>
      <c r="B126" t="s">
        <v>1433</v>
      </c>
      <c r="C126" t="s">
        <v>1382</v>
      </c>
      <c r="F126" s="94">
        <v>-163.19999999999999</v>
      </c>
      <c r="G126">
        <v>0</v>
      </c>
    </row>
    <row r="127" spans="1:7">
      <c r="A127" s="97"/>
      <c r="G127" s="94"/>
    </row>
    <row r="128" spans="1:7">
      <c r="A128" t="s">
        <v>1375</v>
      </c>
      <c r="B128" t="s">
        <v>1434</v>
      </c>
      <c r="C128">
        <v>121316</v>
      </c>
      <c r="D128" t="s">
        <v>239</v>
      </c>
      <c r="E128" s="77" t="s">
        <v>1376</v>
      </c>
      <c r="F128" s="94">
        <v>1110789.21</v>
      </c>
    </row>
    <row r="129" spans="1:7">
      <c r="A129" s="97"/>
      <c r="F129" s="94"/>
      <c r="G129" s="94"/>
    </row>
    <row r="130" spans="1:7">
      <c r="A130" t="s">
        <v>473</v>
      </c>
      <c r="B130" t="s">
        <v>1377</v>
      </c>
      <c r="C130" t="s">
        <v>1378</v>
      </c>
      <c r="D130" t="s">
        <v>1379</v>
      </c>
      <c r="E130" s="77" t="s">
        <v>555</v>
      </c>
      <c r="F130" t="s">
        <v>556</v>
      </c>
      <c r="G130" t="s">
        <v>558</v>
      </c>
    </row>
    <row r="131" spans="1:7">
      <c r="A131" s="97">
        <v>46053</v>
      </c>
      <c r="B131" t="s">
        <v>1413</v>
      </c>
      <c r="C131" t="s">
        <v>1381</v>
      </c>
      <c r="E131" s="77">
        <v>9742.6200000000008</v>
      </c>
      <c r="F131" s="94"/>
      <c r="G131" s="94">
        <v>1120531.83</v>
      </c>
    </row>
    <row r="132" spans="1:7">
      <c r="A132" s="97">
        <v>46081</v>
      </c>
      <c r="B132" t="s">
        <v>1414</v>
      </c>
      <c r="C132" t="s">
        <v>1382</v>
      </c>
      <c r="E132" s="77">
        <v>8398.84</v>
      </c>
      <c r="F132" s="94"/>
      <c r="G132" s="94">
        <v>1128930.67</v>
      </c>
    </row>
    <row r="133" spans="1:7">
      <c r="A133" s="97">
        <v>46112</v>
      </c>
      <c r="B133" t="s">
        <v>1409</v>
      </c>
      <c r="C133" t="s">
        <v>1384</v>
      </c>
      <c r="E133" s="77">
        <v>10162.57</v>
      </c>
      <c r="F133" s="94"/>
      <c r="G133" s="94">
        <v>1139093.24</v>
      </c>
    </row>
    <row r="134" spans="1:7">
      <c r="A134" s="97">
        <v>46142</v>
      </c>
      <c r="B134" t="s">
        <v>1415</v>
      </c>
      <c r="C134" t="s">
        <v>1385</v>
      </c>
      <c r="E134" s="77">
        <v>9154.7000000000007</v>
      </c>
      <c r="F134" s="94"/>
      <c r="G134" s="94">
        <v>1148247.94</v>
      </c>
    </row>
    <row r="135" spans="1:7">
      <c r="A135" s="97">
        <v>46173</v>
      </c>
      <c r="B135" t="s">
        <v>1416</v>
      </c>
      <c r="C135" t="s">
        <v>1387</v>
      </c>
      <c r="E135" s="77">
        <v>8986.73</v>
      </c>
      <c r="F135" s="94"/>
      <c r="G135" s="94">
        <v>1157234.67</v>
      </c>
    </row>
    <row r="136" spans="1:7">
      <c r="A136" s="97">
        <v>46203</v>
      </c>
      <c r="B136" t="s">
        <v>1417</v>
      </c>
      <c r="C136" t="s">
        <v>1388</v>
      </c>
      <c r="E136" s="77">
        <v>9406.67</v>
      </c>
      <c r="F136" s="94"/>
      <c r="G136" s="94">
        <v>1166641.3400000001</v>
      </c>
    </row>
    <row r="137" spans="1:7">
      <c r="A137" s="97"/>
      <c r="F137" s="94"/>
      <c r="G137" s="94"/>
    </row>
    <row r="138" spans="1:7">
      <c r="A138" s="97" t="s">
        <v>1375</v>
      </c>
      <c r="B138" t="s">
        <v>1435</v>
      </c>
      <c r="C138">
        <v>121317</v>
      </c>
      <c r="D138" t="s">
        <v>392</v>
      </c>
      <c r="E138" s="77" t="s">
        <v>1376</v>
      </c>
      <c r="F138" s="94">
        <v>2300.8000000000002</v>
      </c>
      <c r="G138" s="94"/>
    </row>
    <row r="140" spans="1:7">
      <c r="A140" t="s">
        <v>473</v>
      </c>
      <c r="B140" t="s">
        <v>1377</v>
      </c>
      <c r="C140" t="s">
        <v>1378</v>
      </c>
      <c r="D140" t="s">
        <v>1379</v>
      </c>
      <c r="E140" s="77" t="s">
        <v>555</v>
      </c>
      <c r="F140" s="94" t="s">
        <v>556</v>
      </c>
      <c r="G140" t="s">
        <v>558</v>
      </c>
    </row>
    <row r="141" spans="1:7">
      <c r="A141" s="97">
        <v>46053</v>
      </c>
      <c r="B141" t="s">
        <v>1413</v>
      </c>
      <c r="C141" t="s">
        <v>1381</v>
      </c>
      <c r="E141" s="77">
        <v>19.3</v>
      </c>
      <c r="G141" s="94">
        <v>2320.1</v>
      </c>
    </row>
    <row r="142" spans="1:7" ht="12" customHeight="1">
      <c r="A142" s="97">
        <v>46081</v>
      </c>
      <c r="B142" t="s">
        <v>1414</v>
      </c>
      <c r="C142" t="s">
        <v>1382</v>
      </c>
      <c r="E142" s="77">
        <v>16.63</v>
      </c>
      <c r="G142" s="94">
        <v>2336.73</v>
      </c>
    </row>
    <row r="143" spans="1:7" ht="12" customHeight="1">
      <c r="A143" s="97">
        <v>46112</v>
      </c>
      <c r="B143" t="s">
        <v>1409</v>
      </c>
      <c r="C143" t="s">
        <v>1384</v>
      </c>
      <c r="E143" s="77">
        <v>20.13</v>
      </c>
      <c r="G143" s="94">
        <v>2356.86</v>
      </c>
    </row>
    <row r="144" spans="1:7" ht="12" customHeight="1">
      <c r="A144" s="97">
        <v>46142</v>
      </c>
      <c r="B144" t="s">
        <v>1415</v>
      </c>
      <c r="C144" t="s">
        <v>1385</v>
      </c>
      <c r="E144" s="77">
        <v>18.14</v>
      </c>
      <c r="G144" s="94">
        <v>2375</v>
      </c>
    </row>
    <row r="145" spans="1:7" ht="12" customHeight="1">
      <c r="A145" s="97">
        <v>46173</v>
      </c>
      <c r="B145" t="s">
        <v>1416</v>
      </c>
      <c r="C145" t="s">
        <v>1387</v>
      </c>
      <c r="E145" s="77">
        <v>17.8</v>
      </c>
      <c r="G145" s="94">
        <v>2392.8000000000002</v>
      </c>
    </row>
    <row r="146" spans="1:7" ht="12" customHeight="1">
      <c r="A146" s="97">
        <v>46203</v>
      </c>
      <c r="B146" t="s">
        <v>1417</v>
      </c>
      <c r="C146" t="s">
        <v>1388</v>
      </c>
      <c r="E146" s="77">
        <v>18.63</v>
      </c>
      <c r="G146" s="94">
        <v>2411.4299999999998</v>
      </c>
    </row>
    <row r="147" spans="1:7">
      <c r="A147" s="97"/>
      <c r="G147" s="94"/>
    </row>
    <row r="148" spans="1:7">
      <c r="A148" t="s">
        <v>1375</v>
      </c>
      <c r="B148" t="s">
        <v>1436</v>
      </c>
      <c r="C148">
        <v>121318</v>
      </c>
      <c r="D148" t="s">
        <v>1437</v>
      </c>
      <c r="E148" s="77" t="s">
        <v>1376</v>
      </c>
      <c r="F148" s="94">
        <v>889604.17</v>
      </c>
    </row>
    <row r="150" spans="1:7">
      <c r="A150" t="s">
        <v>473</v>
      </c>
      <c r="B150" t="s">
        <v>1377</v>
      </c>
      <c r="C150" t="s">
        <v>1378</v>
      </c>
      <c r="D150" t="s">
        <v>1379</v>
      </c>
      <c r="E150" s="77" t="s">
        <v>555</v>
      </c>
      <c r="F150" t="s">
        <v>556</v>
      </c>
      <c r="G150" t="s">
        <v>558</v>
      </c>
    </row>
    <row r="151" spans="1:7">
      <c r="A151" s="97">
        <v>46053</v>
      </c>
      <c r="B151" t="s">
        <v>1413</v>
      </c>
      <c r="C151" t="s">
        <v>1381</v>
      </c>
      <c r="E151" s="77">
        <v>8254.17</v>
      </c>
      <c r="G151" s="94">
        <v>897858.34</v>
      </c>
    </row>
    <row r="152" spans="1:7">
      <c r="A152" s="97">
        <v>46054</v>
      </c>
      <c r="B152" t="s">
        <v>1438</v>
      </c>
      <c r="C152" t="s">
        <v>1382</v>
      </c>
      <c r="F152" s="94">
        <v>-43010.93</v>
      </c>
      <c r="G152" s="94">
        <v>854847.41</v>
      </c>
    </row>
    <row r="153" spans="1:7">
      <c r="A153" s="97">
        <v>46054</v>
      </c>
      <c r="B153" t="s">
        <v>1439</v>
      </c>
      <c r="C153" t="s">
        <v>1382</v>
      </c>
      <c r="F153" s="94">
        <v>-57875.96</v>
      </c>
      <c r="G153" s="94">
        <v>796971.45</v>
      </c>
    </row>
    <row r="154" spans="1:7">
      <c r="A154" s="97">
        <v>46081</v>
      </c>
      <c r="B154" t="s">
        <v>1414</v>
      </c>
      <c r="C154" t="s">
        <v>1382</v>
      </c>
      <c r="E154" s="77">
        <v>7115.64</v>
      </c>
      <c r="G154" s="94">
        <v>804087.09</v>
      </c>
    </row>
    <row r="155" spans="1:7">
      <c r="A155" s="97">
        <v>46082</v>
      </c>
      <c r="B155" t="s">
        <v>1440</v>
      </c>
      <c r="C155" t="s">
        <v>1382</v>
      </c>
      <c r="F155" s="94">
        <v>-28004.31</v>
      </c>
      <c r="G155" s="94">
        <v>776082.78</v>
      </c>
    </row>
    <row r="156" spans="1:7">
      <c r="A156" s="97">
        <v>46082</v>
      </c>
      <c r="B156" t="s">
        <v>1441</v>
      </c>
      <c r="C156" t="s">
        <v>1382</v>
      </c>
      <c r="F156" s="94">
        <v>-129638.34</v>
      </c>
      <c r="G156" s="94">
        <v>646444.43999999994</v>
      </c>
    </row>
    <row r="157" spans="1:7">
      <c r="A157" s="97">
        <v>46112</v>
      </c>
      <c r="B157" t="s">
        <v>1409</v>
      </c>
      <c r="C157" t="s">
        <v>1384</v>
      </c>
      <c r="E157" s="77">
        <v>7641.2</v>
      </c>
      <c r="G157" s="94">
        <v>654085.64</v>
      </c>
    </row>
    <row r="158" spans="1:7">
      <c r="A158" s="97">
        <v>46113</v>
      </c>
      <c r="B158" t="s">
        <v>1410</v>
      </c>
      <c r="C158" t="s">
        <v>1385</v>
      </c>
      <c r="E158" s="77">
        <v>18115.939999999999</v>
      </c>
      <c r="G158" s="94">
        <v>672201.58</v>
      </c>
    </row>
    <row r="159" spans="1:7">
      <c r="A159" s="97">
        <v>46113</v>
      </c>
      <c r="B159" t="s">
        <v>1410</v>
      </c>
      <c r="C159" t="s">
        <v>1385</v>
      </c>
      <c r="E159" s="77">
        <v>83443.14</v>
      </c>
      <c r="G159" s="94">
        <v>755644.72</v>
      </c>
    </row>
    <row r="160" spans="1:7">
      <c r="A160" s="97">
        <v>46142</v>
      </c>
      <c r="B160" t="s">
        <v>1442</v>
      </c>
      <c r="C160" t="s">
        <v>1385</v>
      </c>
      <c r="F160">
        <v>-658.18</v>
      </c>
      <c r="G160" s="94">
        <v>754986.54</v>
      </c>
    </row>
    <row r="161" spans="1:7">
      <c r="A161" s="97">
        <v>46142</v>
      </c>
      <c r="B161" t="s">
        <v>1443</v>
      </c>
      <c r="C161" t="s">
        <v>1385</v>
      </c>
      <c r="F161" s="94">
        <v>-4050.31</v>
      </c>
      <c r="G161" s="94">
        <v>750936.23</v>
      </c>
    </row>
    <row r="162" spans="1:7">
      <c r="A162" s="97">
        <v>46142</v>
      </c>
      <c r="B162" t="s">
        <v>1443</v>
      </c>
      <c r="C162" t="s">
        <v>1385</v>
      </c>
      <c r="F162" s="94">
        <v>-5889.27</v>
      </c>
      <c r="G162" s="94">
        <v>745046.96</v>
      </c>
    </row>
    <row r="163" spans="1:7">
      <c r="A163" s="97">
        <v>46142</v>
      </c>
      <c r="B163" t="s">
        <v>1415</v>
      </c>
      <c r="C163" t="s">
        <v>1385</v>
      </c>
      <c r="E163" s="77">
        <v>5087.41</v>
      </c>
      <c r="G163" s="94">
        <v>750134.37</v>
      </c>
    </row>
    <row r="164" spans="1:7">
      <c r="A164" s="97">
        <v>46143</v>
      </c>
      <c r="B164" t="s">
        <v>1444</v>
      </c>
      <c r="C164" t="s">
        <v>1387</v>
      </c>
      <c r="F164">
        <v>-451.01</v>
      </c>
      <c r="G164" s="94">
        <v>749683.36</v>
      </c>
    </row>
    <row r="165" spans="1:7">
      <c r="A165" s="97">
        <v>46143</v>
      </c>
      <c r="B165" t="s">
        <v>1444</v>
      </c>
      <c r="C165" t="s">
        <v>1387</v>
      </c>
      <c r="F165" s="94">
        <v>-2775.43</v>
      </c>
      <c r="G165" s="94">
        <v>746907.93</v>
      </c>
    </row>
    <row r="166" spans="1:7">
      <c r="A166" s="97">
        <v>46173</v>
      </c>
      <c r="B166" t="s">
        <v>1416</v>
      </c>
      <c r="C166" t="s">
        <v>1387</v>
      </c>
      <c r="E166" s="77">
        <v>6159.25</v>
      </c>
      <c r="G166" s="94">
        <v>753067.18</v>
      </c>
    </row>
    <row r="167" spans="1:7">
      <c r="A167" s="97">
        <v>46203</v>
      </c>
      <c r="B167" t="s">
        <v>1417</v>
      </c>
      <c r="C167" t="s">
        <v>1388</v>
      </c>
      <c r="E167" s="77">
        <v>5876.61</v>
      </c>
      <c r="G167" s="94">
        <v>758943.79</v>
      </c>
    </row>
    <row r="168" spans="1:7">
      <c r="A168" s="97">
        <v>46203</v>
      </c>
      <c r="B168" t="s">
        <v>1445</v>
      </c>
      <c r="C168" t="s">
        <v>1388</v>
      </c>
      <c r="F168" s="94">
        <v>-11679.77</v>
      </c>
      <c r="G168" s="94">
        <v>747264.02</v>
      </c>
    </row>
    <row r="169" spans="1:7">
      <c r="A169" s="97">
        <v>46203</v>
      </c>
      <c r="B169" t="s">
        <v>1445</v>
      </c>
      <c r="C169" t="s">
        <v>1388</v>
      </c>
      <c r="F169" s="94">
        <v>-54728.09</v>
      </c>
      <c r="G169" s="94">
        <v>692535.93</v>
      </c>
    </row>
    <row r="171" spans="1:7">
      <c r="A171" t="s">
        <v>1375</v>
      </c>
      <c r="B171" t="s">
        <v>1446</v>
      </c>
      <c r="C171">
        <v>121319</v>
      </c>
      <c r="D171" t="s">
        <v>1447</v>
      </c>
      <c r="E171" s="77" t="s">
        <v>1376</v>
      </c>
      <c r="F171" s="94">
        <v>415237.41</v>
      </c>
    </row>
    <row r="173" spans="1:7">
      <c r="A173" s="97" t="s">
        <v>473</v>
      </c>
      <c r="B173" t="s">
        <v>1377</v>
      </c>
      <c r="C173" t="s">
        <v>1378</v>
      </c>
      <c r="D173" t="s">
        <v>1379</v>
      </c>
      <c r="E173" s="77" t="s">
        <v>555</v>
      </c>
      <c r="F173" t="s">
        <v>556</v>
      </c>
      <c r="G173" s="94" t="s">
        <v>558</v>
      </c>
    </row>
    <row r="174" spans="1:7">
      <c r="A174" s="97">
        <v>46053</v>
      </c>
      <c r="B174" t="s">
        <v>1413</v>
      </c>
      <c r="C174" t="s">
        <v>1381</v>
      </c>
      <c r="E174" s="77">
        <v>3889.18</v>
      </c>
      <c r="G174" s="94">
        <v>419126.59</v>
      </c>
    </row>
    <row r="175" spans="1:7">
      <c r="A175" s="97">
        <v>46081</v>
      </c>
      <c r="B175" t="s">
        <v>1414</v>
      </c>
      <c r="C175" t="s">
        <v>1382</v>
      </c>
      <c r="E175" s="77">
        <v>3352.74</v>
      </c>
      <c r="G175" s="94">
        <v>422479.33</v>
      </c>
    </row>
    <row r="176" spans="1:7">
      <c r="A176" s="97">
        <v>46112</v>
      </c>
      <c r="B176" t="s">
        <v>1409</v>
      </c>
      <c r="C176" t="s">
        <v>1384</v>
      </c>
      <c r="E176" s="77">
        <v>4056.82</v>
      </c>
      <c r="G176" s="94">
        <v>426536.15</v>
      </c>
    </row>
    <row r="177" spans="1:7">
      <c r="A177" s="97">
        <v>46142</v>
      </c>
      <c r="B177" t="s">
        <v>1415</v>
      </c>
      <c r="C177" t="s">
        <v>1385</v>
      </c>
      <c r="E177" s="77">
        <v>3654.51</v>
      </c>
      <c r="G177" s="94">
        <v>430190.66</v>
      </c>
    </row>
    <row r="178" spans="1:7">
      <c r="A178" s="97">
        <v>46173</v>
      </c>
      <c r="B178" t="s">
        <v>1416</v>
      </c>
      <c r="C178" t="s">
        <v>1387</v>
      </c>
      <c r="E178" s="77">
        <v>3587.44</v>
      </c>
      <c r="G178" s="94">
        <v>433778.1</v>
      </c>
    </row>
    <row r="179" spans="1:7">
      <c r="A179" s="97">
        <v>46203</v>
      </c>
      <c r="B179" t="s">
        <v>1417</v>
      </c>
      <c r="C179" t="s">
        <v>1388</v>
      </c>
      <c r="E179" s="77">
        <v>3755.07</v>
      </c>
      <c r="G179" s="94">
        <v>437533.17</v>
      </c>
    </row>
    <row r="181" spans="1:7">
      <c r="A181" t="s">
        <v>1375</v>
      </c>
      <c r="B181" t="s">
        <v>1448</v>
      </c>
      <c r="C181">
        <v>121320</v>
      </c>
      <c r="D181" t="s">
        <v>1449</v>
      </c>
      <c r="E181" s="77" t="s">
        <v>1376</v>
      </c>
      <c r="F181">
        <v>0</v>
      </c>
    </row>
    <row r="183" spans="1:7">
      <c r="A183" t="s">
        <v>473</v>
      </c>
      <c r="B183" t="s">
        <v>1377</v>
      </c>
      <c r="C183" t="s">
        <v>1378</v>
      </c>
      <c r="D183" t="s">
        <v>1379</v>
      </c>
      <c r="E183" s="77" t="s">
        <v>555</v>
      </c>
      <c r="F183" t="s">
        <v>556</v>
      </c>
      <c r="G183" t="s">
        <v>558</v>
      </c>
    </row>
    <row r="184" spans="1:7">
      <c r="A184" s="97">
        <v>46054</v>
      </c>
      <c r="B184" t="s">
        <v>1450</v>
      </c>
      <c r="C184" t="s">
        <v>1382</v>
      </c>
      <c r="E184" s="103">
        <v>652055.43999999994</v>
      </c>
      <c r="G184" s="94">
        <v>652055.43999999994</v>
      </c>
    </row>
    <row r="185" spans="1:7">
      <c r="A185" s="97">
        <v>46081</v>
      </c>
      <c r="B185" t="s">
        <v>1414</v>
      </c>
      <c r="C185" t="s">
        <v>1382</v>
      </c>
      <c r="E185" s="77">
        <v>5688.36</v>
      </c>
      <c r="G185" s="94">
        <v>657743.80000000005</v>
      </c>
    </row>
    <row r="186" spans="1:7">
      <c r="A186" s="97">
        <v>46053</v>
      </c>
      <c r="B186" t="s">
        <v>1413</v>
      </c>
      <c r="C186" t="s">
        <v>1381</v>
      </c>
      <c r="E186" s="94">
        <v>6598.48</v>
      </c>
      <c r="G186" s="94"/>
    </row>
    <row r="187" spans="1:7">
      <c r="A187" s="97">
        <v>46112</v>
      </c>
      <c r="B187" t="s">
        <v>1409</v>
      </c>
      <c r="C187" t="s">
        <v>1384</v>
      </c>
      <c r="E187" s="94">
        <v>6882.9</v>
      </c>
      <c r="G187" s="94">
        <v>664626.69999999995</v>
      </c>
    </row>
    <row r="188" spans="1:7">
      <c r="A188" s="97">
        <v>46142</v>
      </c>
      <c r="B188" t="s">
        <v>1415</v>
      </c>
      <c r="C188" t="s">
        <v>1385</v>
      </c>
      <c r="E188" s="94">
        <v>6200.3</v>
      </c>
      <c r="G188" s="94">
        <v>670827</v>
      </c>
    </row>
    <row r="189" spans="1:7">
      <c r="A189" s="97">
        <v>46173</v>
      </c>
      <c r="B189" t="s">
        <v>1416</v>
      </c>
      <c r="C189" t="s">
        <v>1387</v>
      </c>
      <c r="E189" s="94">
        <v>6086.52</v>
      </c>
      <c r="G189" s="94">
        <v>676913.52</v>
      </c>
    </row>
    <row r="190" spans="1:7">
      <c r="A190" s="97">
        <v>46203</v>
      </c>
      <c r="B190" t="s">
        <v>1417</v>
      </c>
      <c r="C190" t="s">
        <v>1388</v>
      </c>
      <c r="E190" s="94">
        <v>6370.95</v>
      </c>
      <c r="G190" s="94">
        <v>683284.47</v>
      </c>
    </row>
    <row r="192" spans="1:7">
      <c r="A192" t="s">
        <v>1375</v>
      </c>
      <c r="B192" t="s">
        <v>1451</v>
      </c>
      <c r="C192">
        <v>121321</v>
      </c>
      <c r="D192" t="s">
        <v>1452</v>
      </c>
      <c r="E192" s="77" t="s">
        <v>1376</v>
      </c>
      <c r="F192">
        <v>0</v>
      </c>
    </row>
    <row r="194" spans="1:7">
      <c r="A194" t="s">
        <v>473</v>
      </c>
      <c r="B194" t="s">
        <v>1377</v>
      </c>
      <c r="C194" t="s">
        <v>1378</v>
      </c>
      <c r="D194" t="s">
        <v>1379</v>
      </c>
      <c r="E194" s="77" t="s">
        <v>555</v>
      </c>
      <c r="F194" t="s">
        <v>556</v>
      </c>
      <c r="G194" t="s">
        <v>558</v>
      </c>
    </row>
    <row r="195" spans="1:7">
      <c r="A195" s="97">
        <v>46054</v>
      </c>
      <c r="B195" t="s">
        <v>1450</v>
      </c>
      <c r="C195" t="s">
        <v>1382</v>
      </c>
      <c r="E195" s="77">
        <v>220890.96</v>
      </c>
      <c r="G195" s="94">
        <v>220890.96</v>
      </c>
    </row>
    <row r="196" spans="1:7">
      <c r="A196" s="97">
        <v>46081</v>
      </c>
      <c r="B196" t="s">
        <v>1414</v>
      </c>
      <c r="C196" t="s">
        <v>1382</v>
      </c>
      <c r="E196" s="77">
        <v>1926.99</v>
      </c>
      <c r="G196" s="94">
        <v>222817.95</v>
      </c>
    </row>
    <row r="197" spans="1:7">
      <c r="A197" s="97">
        <v>46053</v>
      </c>
      <c r="B197" t="s">
        <v>1413</v>
      </c>
      <c r="C197" t="s">
        <v>1381</v>
      </c>
      <c r="E197" s="94">
        <v>2235.31</v>
      </c>
    </row>
    <row r="198" spans="1:7">
      <c r="A198" s="97">
        <v>46112</v>
      </c>
      <c r="B198" t="s">
        <v>1409</v>
      </c>
      <c r="C198" t="s">
        <v>1384</v>
      </c>
      <c r="E198" s="77">
        <v>2331.66</v>
      </c>
      <c r="G198" s="94">
        <v>225149.61</v>
      </c>
    </row>
    <row r="199" spans="1:7">
      <c r="A199" s="97">
        <v>46142</v>
      </c>
      <c r="B199" t="s">
        <v>1415</v>
      </c>
      <c r="C199" t="s">
        <v>1385</v>
      </c>
      <c r="E199" s="77">
        <v>2100.42</v>
      </c>
      <c r="G199" s="94">
        <v>227250.03</v>
      </c>
    </row>
    <row r="200" spans="1:7">
      <c r="A200" s="97">
        <v>46173</v>
      </c>
      <c r="B200" t="s">
        <v>1416</v>
      </c>
      <c r="C200" t="s">
        <v>1387</v>
      </c>
      <c r="E200" s="77">
        <v>2061.88</v>
      </c>
      <c r="G200" s="94">
        <v>229311.91</v>
      </c>
    </row>
    <row r="201" spans="1:7">
      <c r="A201" s="97">
        <v>46203</v>
      </c>
      <c r="B201" t="s">
        <v>1417</v>
      </c>
      <c r="C201" t="s">
        <v>1388</v>
      </c>
      <c r="E201" s="77">
        <v>2158.2199999999998</v>
      </c>
      <c r="G201" s="94">
        <v>231470.13</v>
      </c>
    </row>
    <row r="203" spans="1:7">
      <c r="C203" t="s">
        <v>1453</v>
      </c>
      <c r="D203">
        <f>ROUND(SUM(F122,F123,F125,F152,F153,F155,F156,E10,E29,F12,F31,F160,F161,F162,E158,E159,F164,F165,F168,F169)/1000,0)</f>
        <v>-382</v>
      </c>
    </row>
    <row r="204" spans="1:7">
      <c r="C204" t="s">
        <v>1454</v>
      </c>
      <c r="D204">
        <f>ROUND(SUM(E19,E20,E37,E38,E48,E49,E58,E59,E72,E73,E82,E83,E92,E93,E102,E103,E112,E113,E124,F126,E131,E132,E141,E142,E151,E154,E174,E175,E185,E196,E186,E197,E21,E30,E11,E39,E50,E60,E74,E84,E94,E104,E114,E133,E143,E157,E176,E187,E198,E22,E40,E51,E61,E75,E85,E95,E105,E115,E134,E144,E163,E177,E188,E199,E23,E41,E52,E62,E76,E86,E96,E106,E116,E135,E145,E166,E178,E189,E200,E24,E42,E53,E63,E77,E87,E97,E107,E117,E136,E146,E167,E179,E190,E201)/1000,0)</f>
        <v>207</v>
      </c>
    </row>
    <row r="206" spans="1:7">
      <c r="D206">
        <f>SUM(D203:D205)</f>
        <v>-175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168"/>
  <sheetViews>
    <sheetView topLeftCell="E1440" workbookViewId="0">
      <selection activeCell="N1460" sqref="N1460"/>
    </sheetView>
  </sheetViews>
  <sheetFormatPr defaultRowHeight="14.45"/>
  <cols>
    <col min="1" max="1" width="10.42578125" customWidth="1"/>
    <col min="2" max="2" width="18.28515625" customWidth="1"/>
    <col min="3" max="3" width="17.7109375" style="96" bestFit="1" customWidth="1"/>
    <col min="4" max="4" width="79.7109375" bestFit="1" customWidth="1"/>
    <col min="5" max="5" width="11.7109375" customWidth="1"/>
    <col min="6" max="6" width="13.28515625" customWidth="1"/>
    <col min="7" max="7" width="11.7109375" customWidth="1"/>
    <col min="8" max="8" width="46.42578125" customWidth="1"/>
    <col min="9" max="9" width="8.85546875" customWidth="1"/>
    <col min="10" max="10" width="38.140625" customWidth="1"/>
    <col min="11" max="11" width="11.28515625" customWidth="1"/>
  </cols>
  <sheetData>
    <row r="1" spans="1:12">
      <c r="A1" s="84" t="s">
        <v>1455</v>
      </c>
      <c r="B1" s="84" t="s">
        <v>1456</v>
      </c>
      <c r="C1" s="113" t="s">
        <v>1457</v>
      </c>
      <c r="D1" s="84" t="s">
        <v>213</v>
      </c>
      <c r="E1" s="113" t="s">
        <v>1458</v>
      </c>
      <c r="F1" s="113" t="s">
        <v>1212</v>
      </c>
      <c r="G1" s="113" t="s">
        <v>1215</v>
      </c>
      <c r="H1" s="113" t="s">
        <v>1250</v>
      </c>
      <c r="I1" s="113" t="s">
        <v>1459</v>
      </c>
      <c r="J1" s="113" t="s">
        <v>47</v>
      </c>
      <c r="K1" s="113" t="s">
        <v>1460</v>
      </c>
      <c r="L1" s="113" t="s">
        <v>1461</v>
      </c>
    </row>
    <row r="2" spans="1:12" s="336" customFormat="1">
      <c r="A2" s="336">
        <v>116</v>
      </c>
      <c r="B2" s="336">
        <v>1</v>
      </c>
      <c r="C2" s="336">
        <v>1</v>
      </c>
      <c r="D2" s="336" t="s">
        <v>559</v>
      </c>
      <c r="E2" s="337" t="s">
        <v>1462</v>
      </c>
    </row>
    <row r="3" spans="1:12" s="336" customFormat="1">
      <c r="A3" s="336">
        <v>116</v>
      </c>
      <c r="B3" s="336" t="s">
        <v>560</v>
      </c>
      <c r="C3" s="336">
        <v>11</v>
      </c>
      <c r="D3" s="336" t="s">
        <v>50</v>
      </c>
      <c r="E3" s="337" t="s">
        <v>1462</v>
      </c>
    </row>
    <row r="4" spans="1:12" s="336" customFormat="1">
      <c r="A4" s="336">
        <v>116</v>
      </c>
      <c r="B4" s="336" t="s">
        <v>561</v>
      </c>
      <c r="C4" s="336">
        <v>111</v>
      </c>
      <c r="D4" s="336" t="s">
        <v>562</v>
      </c>
      <c r="E4" s="337" t="s">
        <v>1462</v>
      </c>
    </row>
    <row r="5" spans="1:12" s="336" customFormat="1">
      <c r="A5" s="336">
        <v>116</v>
      </c>
      <c r="B5" s="336" t="s">
        <v>1463</v>
      </c>
      <c r="C5" s="336">
        <v>1111</v>
      </c>
      <c r="D5" s="336" t="s">
        <v>1464</v>
      </c>
      <c r="E5" s="337" t="s">
        <v>1462</v>
      </c>
    </row>
    <row r="6" spans="1:12">
      <c r="A6">
        <v>116</v>
      </c>
      <c r="B6" t="s">
        <v>1465</v>
      </c>
      <c r="C6" s="96">
        <v>11111</v>
      </c>
      <c r="D6" t="s">
        <v>1466</v>
      </c>
      <c r="E6" s="96" t="s">
        <v>1467</v>
      </c>
      <c r="H6" t="s">
        <v>361</v>
      </c>
      <c r="I6">
        <f>VLOOKUP(H6,Listas!$B$2:$C$20,2,FALSE)</f>
        <v>500001</v>
      </c>
      <c r="J6" t="s">
        <v>170</v>
      </c>
      <c r="K6">
        <f>VLOOKUP(J6,Listas!$B$21:$C$50,2,FALSE)</f>
        <v>600030</v>
      </c>
      <c r="L6">
        <v>-1</v>
      </c>
    </row>
    <row r="7" spans="1:12">
      <c r="A7">
        <v>116</v>
      </c>
      <c r="B7" t="s">
        <v>1468</v>
      </c>
      <c r="C7" s="96">
        <v>11112</v>
      </c>
      <c r="D7" t="s">
        <v>1469</v>
      </c>
      <c r="E7" s="96" t="s">
        <v>1467</v>
      </c>
      <c r="H7" t="s">
        <v>361</v>
      </c>
      <c r="I7">
        <f>VLOOKUP(H7,Listas!$B$2:$C$20,2,FALSE)</f>
        <v>500001</v>
      </c>
      <c r="J7" t="s">
        <v>170</v>
      </c>
      <c r="K7">
        <f>VLOOKUP(J7,Listas!$B$21:$C$50,2,FALSE)</f>
        <v>600030</v>
      </c>
      <c r="L7">
        <v>-1</v>
      </c>
    </row>
    <row r="8" spans="1:12" s="336" customFormat="1">
      <c r="A8" s="336">
        <v>116</v>
      </c>
      <c r="B8" s="336" t="s">
        <v>52</v>
      </c>
      <c r="C8" s="336">
        <v>1112</v>
      </c>
      <c r="D8" s="336" t="s">
        <v>563</v>
      </c>
      <c r="E8" s="337" t="s">
        <v>1462</v>
      </c>
    </row>
    <row r="9" spans="1:12">
      <c r="A9">
        <v>116</v>
      </c>
      <c r="B9" t="s">
        <v>1470</v>
      </c>
      <c r="C9" s="96" t="s">
        <v>1471</v>
      </c>
      <c r="D9" t="s">
        <v>1472</v>
      </c>
      <c r="E9" s="96" t="s">
        <v>1467</v>
      </c>
      <c r="H9" t="s">
        <v>361</v>
      </c>
      <c r="I9">
        <f>VLOOKUP(H9,Listas!$B$2:$C$20,2,FALSE)</f>
        <v>500001</v>
      </c>
      <c r="J9" t="s">
        <v>170</v>
      </c>
      <c r="K9">
        <f>VLOOKUP(J9,Listas!$B$21:$C$50,2,FALSE)</f>
        <v>600030</v>
      </c>
      <c r="L9">
        <v>-1</v>
      </c>
    </row>
    <row r="10" spans="1:12">
      <c r="A10">
        <v>116</v>
      </c>
      <c r="B10" t="s">
        <v>564</v>
      </c>
      <c r="C10" s="96" t="s">
        <v>565</v>
      </c>
      <c r="D10" t="s">
        <v>566</v>
      </c>
      <c r="E10" s="96" t="s">
        <v>1467</v>
      </c>
      <c r="H10" t="s">
        <v>361</v>
      </c>
      <c r="I10">
        <f>VLOOKUP(H10,Listas!$B$2:$C$20,2,FALSE)</f>
        <v>500001</v>
      </c>
      <c r="J10" t="s">
        <v>170</v>
      </c>
      <c r="K10">
        <f>VLOOKUP(J10,Listas!$B$21:$C$50,2,FALSE)</f>
        <v>600030</v>
      </c>
      <c r="L10">
        <v>-1</v>
      </c>
    </row>
    <row r="11" spans="1:12">
      <c r="A11">
        <v>116</v>
      </c>
      <c r="B11" t="s">
        <v>567</v>
      </c>
      <c r="C11" s="96" t="s">
        <v>568</v>
      </c>
      <c r="D11" t="s">
        <v>569</v>
      </c>
      <c r="E11" s="96" t="s">
        <v>1467</v>
      </c>
      <c r="H11" t="s">
        <v>361</v>
      </c>
      <c r="I11">
        <f>VLOOKUP(H11,Listas!$B$2:$C$20,2,FALSE)</f>
        <v>500001</v>
      </c>
      <c r="J11" t="s">
        <v>170</v>
      </c>
      <c r="K11">
        <f>VLOOKUP(J11,Listas!$B$21:$C$50,2,FALSE)</f>
        <v>600030</v>
      </c>
      <c r="L11">
        <v>-1</v>
      </c>
    </row>
    <row r="12" spans="1:12">
      <c r="A12">
        <v>116</v>
      </c>
      <c r="B12" t="s">
        <v>570</v>
      </c>
      <c r="C12" s="96" t="s">
        <v>571</v>
      </c>
      <c r="D12" t="s">
        <v>572</v>
      </c>
      <c r="E12" s="96" t="s">
        <v>1467</v>
      </c>
      <c r="H12" t="s">
        <v>361</v>
      </c>
      <c r="I12">
        <f>VLOOKUP(H12,Listas!$B$2:$C$20,2,FALSE)</f>
        <v>500001</v>
      </c>
      <c r="J12" t="s">
        <v>170</v>
      </c>
      <c r="K12">
        <f>VLOOKUP(J12,Listas!$B$21:$C$50,2,FALSE)</f>
        <v>600030</v>
      </c>
      <c r="L12">
        <v>-1</v>
      </c>
    </row>
    <row r="13" spans="1:12" s="336" customFormat="1">
      <c r="A13" s="336">
        <v>116</v>
      </c>
      <c r="B13" s="336" t="s">
        <v>1473</v>
      </c>
      <c r="C13" s="336">
        <v>1113</v>
      </c>
      <c r="D13" s="336" t="s">
        <v>1474</v>
      </c>
      <c r="E13" s="337" t="s">
        <v>1462</v>
      </c>
    </row>
    <row r="14" spans="1:12" s="336" customFormat="1">
      <c r="A14" s="336">
        <v>116</v>
      </c>
      <c r="B14" s="336" t="s">
        <v>573</v>
      </c>
      <c r="C14" s="336">
        <v>112</v>
      </c>
      <c r="D14" s="336" t="s">
        <v>574</v>
      </c>
      <c r="E14" s="337" t="s">
        <v>1462</v>
      </c>
    </row>
    <row r="15" spans="1:12" s="336" customFormat="1">
      <c r="A15" s="336">
        <v>116</v>
      </c>
      <c r="B15" s="336" t="s">
        <v>1475</v>
      </c>
      <c r="C15" s="336">
        <v>1121</v>
      </c>
      <c r="D15" s="336" t="s">
        <v>1476</v>
      </c>
      <c r="E15" s="337" t="s">
        <v>1462</v>
      </c>
    </row>
    <row r="16" spans="1:12">
      <c r="A16">
        <v>116</v>
      </c>
      <c r="B16" t="s">
        <v>1477</v>
      </c>
      <c r="C16" s="96">
        <v>11211</v>
      </c>
      <c r="D16" t="s">
        <v>1478</v>
      </c>
      <c r="E16" s="96" t="s">
        <v>1467</v>
      </c>
      <c r="H16" t="s">
        <v>361</v>
      </c>
      <c r="I16">
        <f>VLOOKUP(H16,Listas!$B$2:$C$20,2,FALSE)</f>
        <v>500001</v>
      </c>
      <c r="J16" t="s">
        <v>144</v>
      </c>
      <c r="K16">
        <f>VLOOKUP(J16,Listas!$B$21:$C$50,2,FALSE)</f>
        <v>600010</v>
      </c>
      <c r="L16">
        <v>-1</v>
      </c>
    </row>
    <row r="17" spans="1:12">
      <c r="A17">
        <v>116</v>
      </c>
      <c r="B17" t="s">
        <v>1479</v>
      </c>
      <c r="C17" s="96">
        <v>11212</v>
      </c>
      <c r="D17" t="s">
        <v>1480</v>
      </c>
      <c r="E17" s="96" t="s">
        <v>1467</v>
      </c>
      <c r="H17" t="s">
        <v>361</v>
      </c>
      <c r="I17">
        <f>VLOOKUP(H17,Listas!$B$2:$C$20,2,FALSE)</f>
        <v>500001</v>
      </c>
      <c r="J17" t="s">
        <v>59</v>
      </c>
      <c r="K17">
        <f>VLOOKUP(J17,Listas!$B$21:$C$50,2,FALSE)</f>
        <v>600016</v>
      </c>
      <c r="L17">
        <v>-1</v>
      </c>
    </row>
    <row r="18" spans="1:12">
      <c r="A18">
        <v>116</v>
      </c>
      <c r="B18" t="s">
        <v>1481</v>
      </c>
      <c r="C18" s="96">
        <v>1121998</v>
      </c>
      <c r="D18" t="s">
        <v>1482</v>
      </c>
      <c r="E18" s="96" t="s">
        <v>1467</v>
      </c>
      <c r="H18" t="s">
        <v>361</v>
      </c>
      <c r="I18">
        <f>VLOOKUP(H18,Listas!$B$2:$C$20,2,FALSE)</f>
        <v>500001</v>
      </c>
      <c r="J18" t="s">
        <v>59</v>
      </c>
      <c r="K18">
        <f>VLOOKUP(J18,Listas!$B$21:$C$50,2,FALSE)</f>
        <v>600016</v>
      </c>
      <c r="L18">
        <v>-1</v>
      </c>
    </row>
    <row r="19" spans="1:12">
      <c r="A19">
        <v>116</v>
      </c>
      <c r="B19" t="s">
        <v>1483</v>
      </c>
      <c r="C19" s="96">
        <v>1121999</v>
      </c>
      <c r="D19" t="s">
        <v>1484</v>
      </c>
      <c r="E19" s="96" t="s">
        <v>1467</v>
      </c>
      <c r="H19" t="s">
        <v>361</v>
      </c>
      <c r="I19">
        <f>VLOOKUP(H19,Listas!$B$2:$C$20,2,FALSE)</f>
        <v>500001</v>
      </c>
      <c r="J19" t="s">
        <v>59</v>
      </c>
      <c r="K19">
        <f>VLOOKUP(J19,Listas!$B$21:$C$50,2,FALSE)</f>
        <v>600016</v>
      </c>
      <c r="L19">
        <v>-1</v>
      </c>
    </row>
    <row r="20" spans="1:12" s="336" customFormat="1">
      <c r="A20" s="336">
        <v>116</v>
      </c>
      <c r="B20" s="336" t="s">
        <v>1485</v>
      </c>
      <c r="C20" s="336">
        <v>1122</v>
      </c>
      <c r="D20" s="336" t="s">
        <v>1486</v>
      </c>
      <c r="E20" s="337" t="s">
        <v>1462</v>
      </c>
    </row>
    <row r="21" spans="1:12">
      <c r="A21">
        <v>116</v>
      </c>
      <c r="B21" t="s">
        <v>1487</v>
      </c>
      <c r="C21" s="96">
        <v>11221</v>
      </c>
      <c r="D21" t="s">
        <v>1488</v>
      </c>
      <c r="E21" s="96" t="s">
        <v>1467</v>
      </c>
      <c r="H21" t="s">
        <v>361</v>
      </c>
      <c r="I21">
        <f>VLOOKUP(H21,Listas!$B$2:$C$20,2,FALSE)</f>
        <v>500001</v>
      </c>
      <c r="J21" t="s">
        <v>59</v>
      </c>
      <c r="K21">
        <f>VLOOKUP(J21,Listas!$B$21:$C$50,2,FALSE)</f>
        <v>600016</v>
      </c>
      <c r="L21">
        <v>-1</v>
      </c>
    </row>
    <row r="22" spans="1:12">
      <c r="A22">
        <v>116</v>
      </c>
      <c r="B22" t="s">
        <v>1489</v>
      </c>
      <c r="C22" s="96">
        <v>11222</v>
      </c>
      <c r="D22" t="s">
        <v>1490</v>
      </c>
      <c r="E22" s="96" t="s">
        <v>1467</v>
      </c>
      <c r="H22" t="s">
        <v>361</v>
      </c>
      <c r="I22">
        <f>VLOOKUP(H22,Listas!$B$2:$C$20,2,FALSE)</f>
        <v>500001</v>
      </c>
      <c r="J22" t="s">
        <v>59</v>
      </c>
      <c r="K22">
        <f>VLOOKUP(J22,Listas!$B$21:$C$50,2,FALSE)</f>
        <v>600016</v>
      </c>
      <c r="L22">
        <v>-1</v>
      </c>
    </row>
    <row r="23" spans="1:12" s="336" customFormat="1">
      <c r="A23" s="336">
        <v>116</v>
      </c>
      <c r="B23" s="336" t="s">
        <v>54</v>
      </c>
      <c r="C23" s="336">
        <v>1123</v>
      </c>
      <c r="D23" s="336" t="s">
        <v>575</v>
      </c>
      <c r="E23" s="337" t="s">
        <v>1462</v>
      </c>
    </row>
    <row r="24" spans="1:12">
      <c r="A24">
        <v>116</v>
      </c>
      <c r="B24" t="s">
        <v>1491</v>
      </c>
      <c r="C24" s="96">
        <v>11231</v>
      </c>
      <c r="D24" t="s">
        <v>1492</v>
      </c>
      <c r="E24" s="96" t="s">
        <v>1467</v>
      </c>
      <c r="H24" t="s">
        <v>361</v>
      </c>
      <c r="I24">
        <f>VLOOKUP(H24,Listas!$B$2:$C$20,2,FALSE)</f>
        <v>500001</v>
      </c>
      <c r="J24" t="s">
        <v>147</v>
      </c>
      <c r="K24">
        <f>VLOOKUP(J24,Listas!$B$21:$C$50,2,FALSE)</f>
        <v>600014</v>
      </c>
      <c r="L24">
        <v>-1</v>
      </c>
    </row>
    <row r="25" spans="1:12">
      <c r="A25">
        <v>116</v>
      </c>
      <c r="B25" t="s">
        <v>1493</v>
      </c>
      <c r="C25" s="96">
        <v>11232</v>
      </c>
      <c r="D25" t="s">
        <v>1494</v>
      </c>
      <c r="E25" s="96" t="s">
        <v>1467</v>
      </c>
      <c r="H25" t="s">
        <v>361</v>
      </c>
      <c r="I25">
        <f>VLOOKUP(H25,Listas!$B$2:$C$20,2,FALSE)</f>
        <v>500001</v>
      </c>
      <c r="J25" t="s">
        <v>147</v>
      </c>
      <c r="K25">
        <f>VLOOKUP(J25,Listas!$B$21:$C$50,2,FALSE)</f>
        <v>600014</v>
      </c>
      <c r="L25">
        <v>-1</v>
      </c>
    </row>
    <row r="26" spans="1:12">
      <c r="A26">
        <v>116</v>
      </c>
      <c r="B26" t="s">
        <v>1495</v>
      </c>
      <c r="C26" s="96">
        <v>11233</v>
      </c>
      <c r="D26" t="s">
        <v>1496</v>
      </c>
      <c r="E26" s="96" t="s">
        <v>1467</v>
      </c>
      <c r="H26" t="s">
        <v>361</v>
      </c>
      <c r="I26">
        <f>VLOOKUP(H26,Listas!$B$2:$C$20,2,FALSE)</f>
        <v>500001</v>
      </c>
      <c r="J26" t="s">
        <v>147</v>
      </c>
      <c r="K26">
        <f>VLOOKUP(J26,Listas!$B$21:$C$50,2,FALSE)</f>
        <v>600014</v>
      </c>
      <c r="L26">
        <v>-1</v>
      </c>
    </row>
    <row r="27" spans="1:12">
      <c r="A27">
        <v>116</v>
      </c>
      <c r="B27" t="s">
        <v>1497</v>
      </c>
      <c r="C27" s="96">
        <v>11234</v>
      </c>
      <c r="D27" t="s">
        <v>1498</v>
      </c>
      <c r="E27" s="96" t="s">
        <v>1467</v>
      </c>
      <c r="H27" t="s">
        <v>361</v>
      </c>
      <c r="I27">
        <f>VLOOKUP(H27,Listas!$B$2:$C$20,2,FALSE)</f>
        <v>500001</v>
      </c>
      <c r="J27" t="s">
        <v>147</v>
      </c>
      <c r="K27">
        <f>VLOOKUP(J27,Listas!$B$21:$C$50,2,FALSE)</f>
        <v>600014</v>
      </c>
      <c r="L27">
        <v>-1</v>
      </c>
    </row>
    <row r="28" spans="1:12">
      <c r="A28">
        <v>116</v>
      </c>
      <c r="B28" t="s">
        <v>1499</v>
      </c>
      <c r="C28" s="96">
        <v>11235</v>
      </c>
      <c r="D28" t="s">
        <v>1500</v>
      </c>
      <c r="E28" s="96" t="s">
        <v>1467</v>
      </c>
      <c r="H28" t="s">
        <v>361</v>
      </c>
      <c r="I28">
        <f>VLOOKUP(H28,Listas!$B$2:$C$20,2,FALSE)</f>
        <v>500001</v>
      </c>
      <c r="J28" t="s">
        <v>147</v>
      </c>
      <c r="K28">
        <f>VLOOKUP(J28,Listas!$B$21:$C$50,2,FALSE)</f>
        <v>600014</v>
      </c>
      <c r="L28">
        <v>-1</v>
      </c>
    </row>
    <row r="29" spans="1:12">
      <c r="A29">
        <v>116</v>
      </c>
      <c r="B29" t="s">
        <v>1501</v>
      </c>
      <c r="C29" s="96">
        <v>11236</v>
      </c>
      <c r="D29" t="s">
        <v>1502</v>
      </c>
      <c r="E29" s="96" t="s">
        <v>1467</v>
      </c>
      <c r="H29" t="s">
        <v>361</v>
      </c>
      <c r="I29">
        <f>VLOOKUP(H29,Listas!$B$2:$C$20,2,FALSE)</f>
        <v>500001</v>
      </c>
      <c r="J29" t="s">
        <v>147</v>
      </c>
      <c r="K29">
        <f>VLOOKUP(J29,Listas!$B$21:$C$50,2,FALSE)</f>
        <v>600014</v>
      </c>
      <c r="L29">
        <v>-1</v>
      </c>
    </row>
    <row r="30" spans="1:12">
      <c r="A30">
        <v>116</v>
      </c>
      <c r="B30" t="s">
        <v>1503</v>
      </c>
      <c r="C30" s="96">
        <v>11237</v>
      </c>
      <c r="D30" t="s">
        <v>1504</v>
      </c>
      <c r="E30" s="96" t="s">
        <v>1467</v>
      </c>
      <c r="H30" t="s">
        <v>361</v>
      </c>
      <c r="I30">
        <f>VLOOKUP(H30,Listas!$B$2:$C$20,2,FALSE)</f>
        <v>500001</v>
      </c>
      <c r="J30" t="s">
        <v>147</v>
      </c>
      <c r="K30">
        <f>VLOOKUP(J30,Listas!$B$21:$C$50,2,FALSE)</f>
        <v>600014</v>
      </c>
      <c r="L30">
        <v>-1</v>
      </c>
    </row>
    <row r="31" spans="1:12">
      <c r="A31">
        <v>116</v>
      </c>
      <c r="B31" t="s">
        <v>1505</v>
      </c>
      <c r="C31" s="96">
        <v>11238</v>
      </c>
      <c r="D31" t="s">
        <v>1506</v>
      </c>
      <c r="E31" s="96" t="s">
        <v>1467</v>
      </c>
      <c r="H31" t="s">
        <v>361</v>
      </c>
      <c r="I31">
        <f>VLOOKUP(H31,Listas!$B$2:$C$20,2,FALSE)</f>
        <v>500001</v>
      </c>
      <c r="J31" t="s">
        <v>147</v>
      </c>
      <c r="K31">
        <f>VLOOKUP(J31,Listas!$B$21:$C$50,2,FALSE)</f>
        <v>600014</v>
      </c>
      <c r="L31">
        <v>-1</v>
      </c>
    </row>
    <row r="32" spans="1:12">
      <c r="A32">
        <v>116</v>
      </c>
      <c r="B32" t="s">
        <v>576</v>
      </c>
      <c r="C32" s="96">
        <v>11239</v>
      </c>
      <c r="D32" t="s">
        <v>217</v>
      </c>
      <c r="E32" s="96" t="s">
        <v>1467</v>
      </c>
      <c r="H32" t="s">
        <v>361</v>
      </c>
      <c r="I32">
        <f>VLOOKUP(H32,Listas!$B$2:$C$20,2,FALSE)</f>
        <v>500001</v>
      </c>
      <c r="J32" t="s">
        <v>147</v>
      </c>
      <c r="K32">
        <f>VLOOKUP(J32,Listas!$B$21:$C$50,2,FALSE)</f>
        <v>600014</v>
      </c>
      <c r="L32">
        <v>-1</v>
      </c>
    </row>
    <row r="33" spans="1:12">
      <c r="A33">
        <v>116</v>
      </c>
      <c r="B33" t="s">
        <v>1411</v>
      </c>
      <c r="C33" s="96">
        <v>112310</v>
      </c>
      <c r="D33" t="s">
        <v>1412</v>
      </c>
      <c r="E33" s="96" t="s">
        <v>1467</v>
      </c>
      <c r="H33" t="s">
        <v>361</v>
      </c>
      <c r="I33">
        <f>VLOOKUP(H33,Listas!$B$2:$C$20,2,FALSE)</f>
        <v>500001</v>
      </c>
      <c r="J33" t="s">
        <v>147</v>
      </c>
      <c r="K33">
        <f>VLOOKUP(J33,Listas!$B$21:$C$50,2,FALSE)</f>
        <v>600014</v>
      </c>
      <c r="L33">
        <v>-1</v>
      </c>
    </row>
    <row r="34" spans="1:12">
      <c r="A34">
        <v>116</v>
      </c>
      <c r="B34" t="s">
        <v>1507</v>
      </c>
      <c r="C34" s="96">
        <v>112311</v>
      </c>
      <c r="D34" t="s">
        <v>627</v>
      </c>
      <c r="E34" s="96" t="s">
        <v>1467</v>
      </c>
      <c r="H34" t="s">
        <v>361</v>
      </c>
      <c r="I34">
        <f>VLOOKUP(H34,Listas!$B$2:$C$20,2,FALSE)</f>
        <v>500001</v>
      </c>
      <c r="J34" t="s">
        <v>147</v>
      </c>
      <c r="K34">
        <f>VLOOKUP(J34,Listas!$B$21:$C$50,2,FALSE)</f>
        <v>600014</v>
      </c>
      <c r="L34">
        <v>-1</v>
      </c>
    </row>
    <row r="35" spans="1:12">
      <c r="A35">
        <v>116</v>
      </c>
      <c r="B35" t="s">
        <v>1508</v>
      </c>
      <c r="C35" s="96">
        <v>112312</v>
      </c>
      <c r="D35" t="s">
        <v>630</v>
      </c>
      <c r="E35" s="96" t="s">
        <v>1467</v>
      </c>
      <c r="H35" t="s">
        <v>361</v>
      </c>
      <c r="I35">
        <f>VLOOKUP(H35,Listas!$B$2:$C$20,2,FALSE)</f>
        <v>500001</v>
      </c>
      <c r="J35" t="s">
        <v>147</v>
      </c>
      <c r="K35">
        <f>VLOOKUP(J35,Listas!$B$21:$C$50,2,FALSE)</f>
        <v>600014</v>
      </c>
      <c r="L35">
        <v>-1</v>
      </c>
    </row>
    <row r="36" spans="1:12">
      <c r="A36">
        <v>116</v>
      </c>
      <c r="B36" t="s">
        <v>1509</v>
      </c>
      <c r="C36" s="96">
        <v>112313</v>
      </c>
      <c r="D36" t="s">
        <v>1510</v>
      </c>
      <c r="E36" s="96" t="s">
        <v>1467</v>
      </c>
      <c r="H36" t="s">
        <v>361</v>
      </c>
      <c r="I36">
        <f>VLOOKUP(H36,Listas!$B$2:$C$20,2,FALSE)</f>
        <v>500001</v>
      </c>
      <c r="J36" t="s">
        <v>147</v>
      </c>
      <c r="K36">
        <f>VLOOKUP(J36,Listas!$B$21:$C$50,2,FALSE)</f>
        <v>600014</v>
      </c>
      <c r="L36">
        <v>-1</v>
      </c>
    </row>
    <row r="37" spans="1:12">
      <c r="A37">
        <v>116</v>
      </c>
      <c r="B37" t="s">
        <v>1511</v>
      </c>
      <c r="C37" s="96">
        <v>112314</v>
      </c>
      <c r="D37" t="s">
        <v>1512</v>
      </c>
      <c r="E37" s="96" t="s">
        <v>1467</v>
      </c>
      <c r="H37" t="s">
        <v>361</v>
      </c>
      <c r="I37">
        <f>VLOOKUP(H37,Listas!$B$2:$C$20,2,FALSE)</f>
        <v>500001</v>
      </c>
      <c r="J37" t="s">
        <v>147</v>
      </c>
      <c r="K37">
        <f>VLOOKUP(J37,Listas!$B$21:$C$50,2,FALSE)</f>
        <v>600014</v>
      </c>
      <c r="L37">
        <v>-1</v>
      </c>
    </row>
    <row r="38" spans="1:12">
      <c r="A38">
        <v>116</v>
      </c>
      <c r="B38" t="s">
        <v>1513</v>
      </c>
      <c r="C38" s="96">
        <v>112315</v>
      </c>
      <c r="D38" t="s">
        <v>1514</v>
      </c>
      <c r="E38" s="96" t="s">
        <v>1467</v>
      </c>
      <c r="H38" t="s">
        <v>361</v>
      </c>
      <c r="I38">
        <f>VLOOKUP(H38,Listas!$B$2:$C$20,2,FALSE)</f>
        <v>500001</v>
      </c>
      <c r="J38" t="s">
        <v>147</v>
      </c>
      <c r="K38">
        <f>VLOOKUP(J38,Listas!$B$21:$C$50,2,FALSE)</f>
        <v>600014</v>
      </c>
      <c r="L38">
        <v>-1</v>
      </c>
    </row>
    <row r="39" spans="1:12">
      <c r="A39">
        <v>116</v>
      </c>
      <c r="B39" t="s">
        <v>577</v>
      </c>
      <c r="C39" s="96">
        <v>112316</v>
      </c>
      <c r="D39" t="s">
        <v>234</v>
      </c>
      <c r="E39" s="96" t="s">
        <v>1467</v>
      </c>
      <c r="H39" t="s">
        <v>361</v>
      </c>
      <c r="I39">
        <f>VLOOKUP(H39,Listas!$B$2:$C$20,2,FALSE)</f>
        <v>500001</v>
      </c>
      <c r="J39" t="s">
        <v>147</v>
      </c>
      <c r="K39">
        <f>VLOOKUP(J39,Listas!$B$21:$C$50,2,FALSE)</f>
        <v>600014</v>
      </c>
      <c r="L39">
        <v>-1</v>
      </c>
    </row>
    <row r="40" spans="1:12">
      <c r="A40">
        <v>116</v>
      </c>
      <c r="B40" t="s">
        <v>578</v>
      </c>
      <c r="C40" s="96">
        <v>112317</v>
      </c>
      <c r="D40" t="s">
        <v>235</v>
      </c>
      <c r="E40" s="96" t="s">
        <v>1467</v>
      </c>
      <c r="H40" t="s">
        <v>361</v>
      </c>
      <c r="I40">
        <f>VLOOKUP(H40,Listas!$B$2:$C$20,2,FALSE)</f>
        <v>500001</v>
      </c>
      <c r="J40" t="s">
        <v>147</v>
      </c>
      <c r="K40">
        <f>VLOOKUP(J40,Listas!$B$21:$C$50,2,FALSE)</f>
        <v>600014</v>
      </c>
      <c r="L40">
        <v>-1</v>
      </c>
    </row>
    <row r="41" spans="1:12">
      <c r="A41">
        <v>116</v>
      </c>
      <c r="B41" t="s">
        <v>1515</v>
      </c>
      <c r="C41" s="96">
        <v>112318</v>
      </c>
      <c r="D41" t="s">
        <v>1516</v>
      </c>
      <c r="E41" s="96" t="s">
        <v>1467</v>
      </c>
      <c r="H41" t="s">
        <v>361</v>
      </c>
      <c r="I41">
        <f>VLOOKUP(H41,Listas!$B$2:$C$20,2,FALSE)</f>
        <v>500001</v>
      </c>
      <c r="J41" t="s">
        <v>147</v>
      </c>
      <c r="K41">
        <f>VLOOKUP(J41,Listas!$B$21:$C$50,2,FALSE)</f>
        <v>600014</v>
      </c>
      <c r="L41">
        <v>-1</v>
      </c>
    </row>
    <row r="42" spans="1:12">
      <c r="A42">
        <v>116</v>
      </c>
      <c r="B42" t="s">
        <v>1517</v>
      </c>
      <c r="C42" s="96">
        <v>112319</v>
      </c>
      <c r="D42" t="s">
        <v>1518</v>
      </c>
      <c r="E42" s="96" t="s">
        <v>1467</v>
      </c>
      <c r="H42" t="s">
        <v>361</v>
      </c>
      <c r="I42">
        <f>VLOOKUP(H42,Listas!$B$2:$C$20,2,FALSE)</f>
        <v>500001</v>
      </c>
      <c r="J42" t="s">
        <v>147</v>
      </c>
      <c r="K42">
        <f>VLOOKUP(J42,Listas!$B$21:$C$50,2,FALSE)</f>
        <v>600014</v>
      </c>
      <c r="L42">
        <v>-1</v>
      </c>
    </row>
    <row r="43" spans="1:12">
      <c r="A43">
        <v>116</v>
      </c>
      <c r="B43" t="s">
        <v>1519</v>
      </c>
      <c r="C43" s="96">
        <v>112320</v>
      </c>
      <c r="D43" t="s">
        <v>1520</v>
      </c>
      <c r="E43" s="96" t="s">
        <v>1467</v>
      </c>
      <c r="H43" t="s">
        <v>361</v>
      </c>
      <c r="I43">
        <f>VLOOKUP(H43,Listas!$B$2:$C$20,2,FALSE)</f>
        <v>500001</v>
      </c>
      <c r="J43" t="s">
        <v>147</v>
      </c>
      <c r="K43">
        <f>VLOOKUP(J43,Listas!$B$21:$C$50,2,FALSE)</f>
        <v>600014</v>
      </c>
      <c r="L43">
        <v>-1</v>
      </c>
    </row>
    <row r="44" spans="1:12">
      <c r="A44">
        <v>116</v>
      </c>
      <c r="B44" t="s">
        <v>1521</v>
      </c>
      <c r="C44" s="96">
        <v>112321</v>
      </c>
      <c r="D44" t="s">
        <v>1522</v>
      </c>
      <c r="E44" s="96" t="s">
        <v>1467</v>
      </c>
      <c r="H44" t="s">
        <v>361</v>
      </c>
      <c r="I44">
        <f>VLOOKUP(H44,Listas!$B$2:$C$20,2,FALSE)</f>
        <v>500001</v>
      </c>
      <c r="J44" t="s">
        <v>147</v>
      </c>
      <c r="K44">
        <f>VLOOKUP(J44,Listas!$B$21:$C$50,2,FALSE)</f>
        <v>600014</v>
      </c>
      <c r="L44">
        <v>-1</v>
      </c>
    </row>
    <row r="45" spans="1:12">
      <c r="A45">
        <v>116</v>
      </c>
      <c r="B45" t="s">
        <v>1523</v>
      </c>
      <c r="C45" s="96">
        <v>112322</v>
      </c>
      <c r="D45" t="s">
        <v>1524</v>
      </c>
      <c r="E45" s="96" t="s">
        <v>1467</v>
      </c>
      <c r="H45" t="s">
        <v>361</v>
      </c>
      <c r="I45">
        <f>VLOOKUP(H45,Listas!$B$2:$C$20,2,FALSE)</f>
        <v>500001</v>
      </c>
      <c r="J45" t="s">
        <v>147</v>
      </c>
      <c r="K45">
        <f>VLOOKUP(J45,Listas!$B$21:$C$50,2,FALSE)</f>
        <v>600014</v>
      </c>
      <c r="L45">
        <v>-1</v>
      </c>
    </row>
    <row r="46" spans="1:12">
      <c r="A46">
        <v>116</v>
      </c>
      <c r="B46" t="s">
        <v>579</v>
      </c>
      <c r="C46" s="96">
        <v>112323</v>
      </c>
      <c r="D46" t="s">
        <v>230</v>
      </c>
      <c r="E46" s="96" t="s">
        <v>1467</v>
      </c>
      <c r="H46" t="s">
        <v>361</v>
      </c>
      <c r="I46">
        <f>VLOOKUP(H46,Listas!$B$2:$C$20,2,FALSE)</f>
        <v>500001</v>
      </c>
      <c r="J46" t="s">
        <v>147</v>
      </c>
      <c r="K46">
        <f>VLOOKUP(J46,Listas!$B$21:$C$50,2,FALSE)</f>
        <v>600014</v>
      </c>
      <c r="L46">
        <v>-1</v>
      </c>
    </row>
    <row r="47" spans="1:12">
      <c r="A47">
        <v>116</v>
      </c>
      <c r="B47" t="s">
        <v>1525</v>
      </c>
      <c r="C47" s="96">
        <v>112324</v>
      </c>
      <c r="D47" t="s">
        <v>1526</v>
      </c>
      <c r="E47" s="96" t="s">
        <v>1467</v>
      </c>
      <c r="H47" t="s">
        <v>361</v>
      </c>
      <c r="I47">
        <f>VLOOKUP(H47,Listas!$B$2:$C$20,2,FALSE)</f>
        <v>500001</v>
      </c>
      <c r="J47" t="s">
        <v>147</v>
      </c>
      <c r="K47">
        <f>VLOOKUP(J47,Listas!$B$21:$C$50,2,FALSE)</f>
        <v>600014</v>
      </c>
      <c r="L47">
        <v>-1</v>
      </c>
    </row>
    <row r="48" spans="1:12">
      <c r="A48">
        <v>116</v>
      </c>
      <c r="B48" t="s">
        <v>580</v>
      </c>
      <c r="C48" s="96">
        <v>112325</v>
      </c>
      <c r="D48" t="s">
        <v>229</v>
      </c>
      <c r="E48" s="96" t="s">
        <v>1467</v>
      </c>
      <c r="H48" t="s">
        <v>361</v>
      </c>
      <c r="I48">
        <f>VLOOKUP(H48,Listas!$B$2:$C$20,2,FALSE)</f>
        <v>500001</v>
      </c>
      <c r="J48" t="s">
        <v>147</v>
      </c>
      <c r="K48">
        <f>VLOOKUP(J48,Listas!$B$21:$C$50,2,FALSE)</f>
        <v>600014</v>
      </c>
      <c r="L48">
        <v>-1</v>
      </c>
    </row>
    <row r="49" spans="1:12">
      <c r="A49">
        <v>116</v>
      </c>
      <c r="B49" t="s">
        <v>1527</v>
      </c>
      <c r="C49" s="96">
        <v>112326</v>
      </c>
      <c r="D49" t="s">
        <v>1528</v>
      </c>
      <c r="E49" s="96" t="s">
        <v>1467</v>
      </c>
      <c r="H49" t="s">
        <v>361</v>
      </c>
      <c r="I49">
        <f>VLOOKUP(H49,Listas!$B$2:$C$20,2,FALSE)</f>
        <v>500001</v>
      </c>
      <c r="J49" t="s">
        <v>147</v>
      </c>
      <c r="K49">
        <f>VLOOKUP(J49,Listas!$B$21:$C$50,2,FALSE)</f>
        <v>600014</v>
      </c>
      <c r="L49">
        <v>-1</v>
      </c>
    </row>
    <row r="50" spans="1:12">
      <c r="A50">
        <v>116</v>
      </c>
      <c r="B50" t="s">
        <v>581</v>
      </c>
      <c r="C50" s="96">
        <v>112327</v>
      </c>
      <c r="D50" t="s">
        <v>582</v>
      </c>
      <c r="E50" s="96" t="s">
        <v>1467</v>
      </c>
      <c r="H50" t="s">
        <v>361</v>
      </c>
      <c r="I50">
        <f>VLOOKUP(H50,Listas!$B$2:$C$20,2,FALSE)</f>
        <v>500001</v>
      </c>
      <c r="J50" t="s">
        <v>147</v>
      </c>
      <c r="K50">
        <f>VLOOKUP(J50,Listas!$B$21:$C$50,2,FALSE)</f>
        <v>600014</v>
      </c>
      <c r="L50">
        <v>-1</v>
      </c>
    </row>
    <row r="51" spans="1:12">
      <c r="A51">
        <v>116</v>
      </c>
      <c r="B51" t="s">
        <v>1529</v>
      </c>
      <c r="C51" s="96">
        <v>112328</v>
      </c>
      <c r="D51" t="s">
        <v>1530</v>
      </c>
      <c r="E51" s="96" t="s">
        <v>1467</v>
      </c>
      <c r="H51" t="s">
        <v>361</v>
      </c>
      <c r="I51">
        <f>VLOOKUP(H51,Listas!$B$2:$C$20,2,FALSE)</f>
        <v>500001</v>
      </c>
      <c r="J51" t="s">
        <v>147</v>
      </c>
      <c r="K51">
        <f>VLOOKUP(J51,Listas!$B$21:$C$50,2,FALSE)</f>
        <v>600014</v>
      </c>
      <c r="L51">
        <v>-1</v>
      </c>
    </row>
    <row r="52" spans="1:12">
      <c r="A52">
        <v>116</v>
      </c>
      <c r="B52" t="s">
        <v>1531</v>
      </c>
      <c r="C52" s="96">
        <v>112329</v>
      </c>
      <c r="D52" t="s">
        <v>231</v>
      </c>
      <c r="E52" s="96" t="s">
        <v>1467</v>
      </c>
      <c r="H52" t="s">
        <v>361</v>
      </c>
      <c r="I52">
        <f>VLOOKUP(H52,Listas!$B$2:$C$20,2,FALSE)</f>
        <v>500001</v>
      </c>
      <c r="J52" t="s">
        <v>147</v>
      </c>
      <c r="K52">
        <f>VLOOKUP(J52,Listas!$B$21:$C$50,2,FALSE)</f>
        <v>600014</v>
      </c>
      <c r="L52">
        <v>-1</v>
      </c>
    </row>
    <row r="53" spans="1:12">
      <c r="A53">
        <v>116</v>
      </c>
      <c r="B53" t="s">
        <v>1532</v>
      </c>
      <c r="C53" s="96">
        <v>112330</v>
      </c>
      <c r="D53" t="s">
        <v>1533</v>
      </c>
      <c r="E53" s="96" t="s">
        <v>1467</v>
      </c>
      <c r="H53" t="s">
        <v>361</v>
      </c>
      <c r="I53">
        <f>VLOOKUP(H53,Listas!$B$2:$C$20,2,FALSE)</f>
        <v>500001</v>
      </c>
      <c r="J53" t="s">
        <v>147</v>
      </c>
      <c r="K53">
        <f>VLOOKUP(J53,Listas!$B$21:$C$50,2,FALSE)</f>
        <v>600014</v>
      </c>
      <c r="L53">
        <v>-1</v>
      </c>
    </row>
    <row r="54" spans="1:12">
      <c r="A54">
        <v>116</v>
      </c>
      <c r="B54" t="s">
        <v>1534</v>
      </c>
      <c r="C54" s="96">
        <v>112331</v>
      </c>
      <c r="D54" t="s">
        <v>1535</v>
      </c>
      <c r="E54" s="96" t="s">
        <v>1467</v>
      </c>
      <c r="H54" t="s">
        <v>361</v>
      </c>
      <c r="I54">
        <f>VLOOKUP(H54,Listas!$B$2:$C$20,2,FALSE)</f>
        <v>500001</v>
      </c>
      <c r="J54" t="s">
        <v>147</v>
      </c>
      <c r="K54">
        <f>VLOOKUP(J54,Listas!$B$21:$C$50,2,FALSE)</f>
        <v>600014</v>
      </c>
      <c r="L54">
        <v>-1</v>
      </c>
    </row>
    <row r="55" spans="1:12">
      <c r="A55">
        <v>116</v>
      </c>
      <c r="B55" t="s">
        <v>583</v>
      </c>
      <c r="C55" s="96">
        <v>112332</v>
      </c>
      <c r="D55" t="s">
        <v>584</v>
      </c>
      <c r="E55" s="96" t="s">
        <v>1467</v>
      </c>
      <c r="H55" t="s">
        <v>361</v>
      </c>
      <c r="I55">
        <f>VLOOKUP(H55,Listas!$B$2:$C$20,2,FALSE)</f>
        <v>500001</v>
      </c>
      <c r="J55" t="s">
        <v>147</v>
      </c>
      <c r="K55">
        <f>VLOOKUP(J55,Listas!$B$21:$C$50,2,FALSE)</f>
        <v>600014</v>
      </c>
      <c r="L55">
        <v>-1</v>
      </c>
    </row>
    <row r="56" spans="1:12">
      <c r="A56">
        <v>116</v>
      </c>
      <c r="B56" t="s">
        <v>585</v>
      </c>
      <c r="C56" s="96">
        <v>112333</v>
      </c>
      <c r="D56" t="s">
        <v>586</v>
      </c>
      <c r="E56" s="96" t="s">
        <v>1467</v>
      </c>
      <c r="H56" t="s">
        <v>361</v>
      </c>
      <c r="I56">
        <f>VLOOKUP(H56,Listas!$B$2:$C$20,2,FALSE)</f>
        <v>500001</v>
      </c>
      <c r="J56" t="s">
        <v>147</v>
      </c>
      <c r="K56">
        <f>VLOOKUP(J56,Listas!$B$21:$C$50,2,FALSE)</f>
        <v>600014</v>
      </c>
      <c r="L56">
        <v>-1</v>
      </c>
    </row>
    <row r="57" spans="1:12">
      <c r="A57">
        <v>116</v>
      </c>
      <c r="B57" t="s">
        <v>587</v>
      </c>
      <c r="C57" s="96">
        <v>112334</v>
      </c>
      <c r="D57" t="s">
        <v>392</v>
      </c>
      <c r="E57" s="96" t="s">
        <v>1467</v>
      </c>
      <c r="H57" t="s">
        <v>361</v>
      </c>
      <c r="I57">
        <f>VLOOKUP(H57,Listas!$B$2:$C$20,2,FALSE)</f>
        <v>500001</v>
      </c>
      <c r="J57" t="s">
        <v>147</v>
      </c>
      <c r="K57">
        <f>VLOOKUP(J57,Listas!$B$21:$C$50,2,FALSE)</f>
        <v>600014</v>
      </c>
      <c r="L57">
        <v>-1</v>
      </c>
    </row>
    <row r="58" spans="1:12">
      <c r="A58">
        <v>116</v>
      </c>
      <c r="B58" t="s">
        <v>1536</v>
      </c>
      <c r="C58" s="96">
        <v>112335</v>
      </c>
      <c r="D58" t="s">
        <v>532</v>
      </c>
      <c r="E58" s="96" t="s">
        <v>1467</v>
      </c>
      <c r="H58" t="s">
        <v>361</v>
      </c>
      <c r="I58">
        <f>VLOOKUP(H58,Listas!$B$2:$C$20,2,FALSE)</f>
        <v>500001</v>
      </c>
      <c r="J58" t="s">
        <v>147</v>
      </c>
      <c r="K58">
        <f>VLOOKUP(J58,Listas!$B$21:$C$50,2,FALSE)</f>
        <v>600014</v>
      </c>
      <c r="L58">
        <v>-1</v>
      </c>
    </row>
    <row r="59" spans="1:12">
      <c r="A59">
        <v>116</v>
      </c>
      <c r="B59" t="s">
        <v>588</v>
      </c>
      <c r="C59" s="96">
        <v>112336</v>
      </c>
      <c r="D59" t="s">
        <v>589</v>
      </c>
      <c r="E59" s="96" t="s">
        <v>1467</v>
      </c>
      <c r="H59" t="s">
        <v>361</v>
      </c>
      <c r="I59">
        <f>VLOOKUP(H59,Listas!$B$2:$C$20,2,FALSE)</f>
        <v>500001</v>
      </c>
      <c r="J59" t="s">
        <v>147</v>
      </c>
      <c r="K59">
        <f>VLOOKUP(J59,Listas!$B$21:$C$50,2,FALSE)</f>
        <v>600014</v>
      </c>
      <c r="L59">
        <v>-1</v>
      </c>
    </row>
    <row r="60" spans="1:12">
      <c r="A60">
        <v>116</v>
      </c>
      <c r="B60" t="s">
        <v>590</v>
      </c>
      <c r="C60" s="96">
        <v>112337</v>
      </c>
      <c r="D60" t="s">
        <v>591</v>
      </c>
      <c r="E60" s="96" t="s">
        <v>1467</v>
      </c>
      <c r="H60" t="s">
        <v>361</v>
      </c>
      <c r="I60">
        <f>VLOOKUP(H60,Listas!$B$2:$C$20,2,FALSE)</f>
        <v>500001</v>
      </c>
      <c r="J60" t="s">
        <v>147</v>
      </c>
      <c r="K60">
        <f>VLOOKUP(J60,Listas!$B$21:$C$50,2,FALSE)</f>
        <v>600014</v>
      </c>
      <c r="L60">
        <v>-1</v>
      </c>
    </row>
    <row r="61" spans="1:12">
      <c r="A61">
        <v>116</v>
      </c>
      <c r="B61" t="s">
        <v>1537</v>
      </c>
      <c r="C61" s="96">
        <v>112338</v>
      </c>
      <c r="D61" t="s">
        <v>1437</v>
      </c>
      <c r="E61" s="96" t="s">
        <v>1467</v>
      </c>
      <c r="H61" t="s">
        <v>361</v>
      </c>
      <c r="I61">
        <f>VLOOKUP(H61,Listas!$B$2:$C$20,2,FALSE)</f>
        <v>500001</v>
      </c>
      <c r="J61" t="s">
        <v>147</v>
      </c>
      <c r="K61">
        <f>VLOOKUP(J61,Listas!$B$21:$C$50,2,FALSE)</f>
        <v>600014</v>
      </c>
      <c r="L61">
        <v>-1</v>
      </c>
    </row>
    <row r="62" spans="1:12">
      <c r="A62">
        <v>116</v>
      </c>
      <c r="B62" t="s">
        <v>1538</v>
      </c>
      <c r="C62" s="96">
        <v>112339</v>
      </c>
      <c r="D62" t="s">
        <v>1447</v>
      </c>
      <c r="E62" s="96" t="s">
        <v>1467</v>
      </c>
      <c r="H62" t="s">
        <v>361</v>
      </c>
      <c r="I62">
        <f>VLOOKUP(H62,Listas!$B$2:$C$20,2,FALSE)</f>
        <v>500001</v>
      </c>
      <c r="J62" t="s">
        <v>147</v>
      </c>
      <c r="K62">
        <f>VLOOKUP(J62,Listas!$B$21:$C$50,2,FALSE)</f>
        <v>600014</v>
      </c>
      <c r="L62">
        <v>-1</v>
      </c>
    </row>
    <row r="63" spans="1:12">
      <c r="A63">
        <v>116</v>
      </c>
      <c r="B63" t="s">
        <v>1539</v>
      </c>
      <c r="C63" s="96">
        <v>1123999</v>
      </c>
      <c r="D63" t="s">
        <v>1540</v>
      </c>
      <c r="E63" s="96" t="s">
        <v>1467</v>
      </c>
      <c r="H63" t="s">
        <v>361</v>
      </c>
      <c r="I63">
        <f>VLOOKUP(H63,Listas!$B$2:$C$20,2,FALSE)</f>
        <v>500001</v>
      </c>
      <c r="J63" t="s">
        <v>147</v>
      </c>
      <c r="K63">
        <f>VLOOKUP(J63,Listas!$B$21:$C$50,2,FALSE)</f>
        <v>600014</v>
      </c>
      <c r="L63">
        <v>-1</v>
      </c>
    </row>
    <row r="64" spans="1:12" s="336" customFormat="1">
      <c r="A64" s="336">
        <v>116</v>
      </c>
      <c r="B64" s="336" t="s">
        <v>56</v>
      </c>
      <c r="C64" s="336">
        <v>1124</v>
      </c>
      <c r="D64" s="336" t="s">
        <v>592</v>
      </c>
      <c r="E64" s="337" t="s">
        <v>1462</v>
      </c>
    </row>
    <row r="65" spans="1:12">
      <c r="A65">
        <v>116</v>
      </c>
      <c r="B65" t="s">
        <v>593</v>
      </c>
      <c r="C65" s="96">
        <v>11241</v>
      </c>
      <c r="D65" t="s">
        <v>594</v>
      </c>
      <c r="E65" s="96" t="s">
        <v>1467</v>
      </c>
      <c r="H65" t="s">
        <v>361</v>
      </c>
      <c r="I65">
        <f>VLOOKUP(H65,Listas!$B$2:$C$20,2,FALSE)</f>
        <v>500001</v>
      </c>
      <c r="J65" t="s">
        <v>145</v>
      </c>
      <c r="K65">
        <f>VLOOKUP(J65,Listas!$B$21:$C$50,2,FALSE)</f>
        <v>600011</v>
      </c>
      <c r="L65">
        <v>-1</v>
      </c>
    </row>
    <row r="66" spans="1:12">
      <c r="A66">
        <v>116</v>
      </c>
      <c r="B66" t="s">
        <v>595</v>
      </c>
      <c r="C66" s="96">
        <v>11242</v>
      </c>
      <c r="D66" t="s">
        <v>596</v>
      </c>
      <c r="E66" s="96" t="s">
        <v>1467</v>
      </c>
      <c r="H66" t="s">
        <v>361</v>
      </c>
      <c r="I66">
        <f>VLOOKUP(H66,Listas!$B$2:$C$20,2,FALSE)</f>
        <v>500001</v>
      </c>
      <c r="J66" t="s">
        <v>145</v>
      </c>
      <c r="K66">
        <f>VLOOKUP(J66,Listas!$B$21:$C$50,2,FALSE)</f>
        <v>600011</v>
      </c>
      <c r="L66">
        <v>-1</v>
      </c>
    </row>
    <row r="67" spans="1:12">
      <c r="A67">
        <v>116</v>
      </c>
      <c r="B67" t="s">
        <v>1541</v>
      </c>
      <c r="C67" s="96">
        <v>11243</v>
      </c>
      <c r="D67" t="s">
        <v>1542</v>
      </c>
      <c r="E67" s="96" t="s">
        <v>1467</v>
      </c>
      <c r="H67" t="s">
        <v>361</v>
      </c>
      <c r="I67">
        <f>VLOOKUP(H67,Listas!$B$2:$C$20,2,FALSE)</f>
        <v>500001</v>
      </c>
      <c r="J67" t="s">
        <v>145</v>
      </c>
      <c r="K67">
        <f>VLOOKUP(J67,Listas!$B$21:$C$50,2,FALSE)</f>
        <v>600011</v>
      </c>
      <c r="L67">
        <v>-1</v>
      </c>
    </row>
    <row r="68" spans="1:12">
      <c r="A68">
        <v>116</v>
      </c>
      <c r="B68" t="s">
        <v>1543</v>
      </c>
      <c r="C68" s="96">
        <v>11244</v>
      </c>
      <c r="D68" t="s">
        <v>1544</v>
      </c>
      <c r="E68" s="96" t="s">
        <v>1467</v>
      </c>
      <c r="H68" t="s">
        <v>361</v>
      </c>
      <c r="I68">
        <f>VLOOKUP(H68,Listas!$B$2:$C$20,2,FALSE)</f>
        <v>500001</v>
      </c>
      <c r="J68" t="s">
        <v>145</v>
      </c>
      <c r="K68">
        <f>VLOOKUP(J68,Listas!$B$21:$C$50,2,FALSE)</f>
        <v>600011</v>
      </c>
      <c r="L68">
        <v>-1</v>
      </c>
    </row>
    <row r="69" spans="1:12">
      <c r="A69">
        <v>116</v>
      </c>
      <c r="B69" t="s">
        <v>1545</v>
      </c>
      <c r="C69" s="96">
        <v>11245</v>
      </c>
      <c r="D69" t="s">
        <v>1546</v>
      </c>
      <c r="E69" s="96" t="s">
        <v>1467</v>
      </c>
      <c r="H69" t="s">
        <v>361</v>
      </c>
      <c r="I69">
        <f>VLOOKUP(H69,Listas!$B$2:$C$20,2,FALSE)</f>
        <v>500001</v>
      </c>
      <c r="J69" t="s">
        <v>145</v>
      </c>
      <c r="K69">
        <f>VLOOKUP(J69,Listas!$B$21:$C$50,2,FALSE)</f>
        <v>600011</v>
      </c>
      <c r="L69">
        <v>-1</v>
      </c>
    </row>
    <row r="70" spans="1:12">
      <c r="A70">
        <v>116</v>
      </c>
      <c r="B70" t="s">
        <v>1547</v>
      </c>
      <c r="C70" s="96">
        <v>11246</v>
      </c>
      <c r="D70" t="s">
        <v>1548</v>
      </c>
      <c r="E70" s="96" t="s">
        <v>1467</v>
      </c>
      <c r="H70" t="s">
        <v>361</v>
      </c>
      <c r="I70">
        <f>VLOOKUP(H70,Listas!$B$2:$C$20,2,FALSE)</f>
        <v>500001</v>
      </c>
      <c r="J70" t="s">
        <v>145</v>
      </c>
      <c r="K70">
        <f>VLOOKUP(J70,Listas!$B$21:$C$50,2,FALSE)</f>
        <v>600011</v>
      </c>
      <c r="L70">
        <v>-1</v>
      </c>
    </row>
    <row r="71" spans="1:12">
      <c r="A71">
        <v>116</v>
      </c>
      <c r="B71" t="s">
        <v>597</v>
      </c>
      <c r="C71" s="96">
        <v>112424</v>
      </c>
      <c r="D71" t="s">
        <v>598</v>
      </c>
      <c r="E71" s="96" t="s">
        <v>1467</v>
      </c>
      <c r="H71" t="s">
        <v>361</v>
      </c>
      <c r="I71">
        <f>VLOOKUP(H71,Listas!$B$2:$C$20,2,FALSE)</f>
        <v>500001</v>
      </c>
      <c r="J71" t="s">
        <v>145</v>
      </c>
      <c r="K71">
        <f>VLOOKUP(J71,Listas!$B$21:$C$50,2,FALSE)</f>
        <v>600011</v>
      </c>
      <c r="L71">
        <v>-1</v>
      </c>
    </row>
    <row r="72" spans="1:12">
      <c r="A72">
        <v>116</v>
      </c>
      <c r="B72" t="s">
        <v>599</v>
      </c>
      <c r="C72" s="96">
        <v>112425</v>
      </c>
      <c r="D72" t="s">
        <v>458</v>
      </c>
      <c r="E72" s="96" t="s">
        <v>1467</v>
      </c>
      <c r="H72" t="s">
        <v>361</v>
      </c>
      <c r="I72">
        <f>VLOOKUP(H72,Listas!$B$2:$C$20,2,FALSE)</f>
        <v>500001</v>
      </c>
      <c r="J72" t="s">
        <v>145</v>
      </c>
      <c r="K72">
        <f>VLOOKUP(J72,Listas!$B$21:$C$50,2,FALSE)</f>
        <v>600011</v>
      </c>
      <c r="L72">
        <v>-1</v>
      </c>
    </row>
    <row r="73" spans="1:12">
      <c r="A73">
        <v>116</v>
      </c>
      <c r="B73" t="s">
        <v>1549</v>
      </c>
      <c r="C73" s="96">
        <v>1124999</v>
      </c>
      <c r="D73" t="s">
        <v>1550</v>
      </c>
      <c r="E73" s="96" t="s">
        <v>1467</v>
      </c>
      <c r="H73" t="s">
        <v>361</v>
      </c>
      <c r="I73">
        <f>VLOOKUP(H73,Listas!$B$2:$C$20,2,FALSE)</f>
        <v>500001</v>
      </c>
      <c r="J73" t="s">
        <v>145</v>
      </c>
      <c r="K73">
        <f>VLOOKUP(J73,Listas!$B$21:$C$50,2,FALSE)</f>
        <v>600011</v>
      </c>
      <c r="L73">
        <v>-1</v>
      </c>
    </row>
    <row r="74" spans="1:12" s="336" customFormat="1">
      <c r="A74" s="336">
        <v>116</v>
      </c>
      <c r="B74" s="336" t="s">
        <v>600</v>
      </c>
      <c r="C74" s="336">
        <v>1125</v>
      </c>
      <c r="D74" s="336" t="s">
        <v>601</v>
      </c>
      <c r="E74" s="337" t="s">
        <v>1462</v>
      </c>
    </row>
    <row r="75" spans="1:12">
      <c r="A75">
        <v>116</v>
      </c>
      <c r="B75" t="s">
        <v>1551</v>
      </c>
      <c r="C75" s="96">
        <v>11251</v>
      </c>
      <c r="D75" t="s">
        <v>1552</v>
      </c>
      <c r="E75" s="96" t="s">
        <v>1467</v>
      </c>
      <c r="H75" t="s">
        <v>361</v>
      </c>
      <c r="I75">
        <f>VLOOKUP(H75,Listas!$B$2:$C$20,2,FALSE)</f>
        <v>500001</v>
      </c>
      <c r="J75" t="s">
        <v>145</v>
      </c>
      <c r="K75">
        <f>VLOOKUP(J75,Listas!$B$21:$C$50,2,FALSE)</f>
        <v>600011</v>
      </c>
      <c r="L75">
        <v>-1</v>
      </c>
    </row>
    <row r="76" spans="1:12">
      <c r="A76">
        <v>116</v>
      </c>
      <c r="B76" t="s">
        <v>1553</v>
      </c>
      <c r="C76" s="96">
        <v>11252</v>
      </c>
      <c r="D76" t="s">
        <v>1554</v>
      </c>
      <c r="E76" s="96" t="s">
        <v>1467</v>
      </c>
      <c r="H76" t="s">
        <v>361</v>
      </c>
      <c r="I76">
        <f>VLOOKUP(H76,Listas!$B$2:$C$20,2,FALSE)</f>
        <v>500001</v>
      </c>
      <c r="J76" t="s">
        <v>145</v>
      </c>
      <c r="K76">
        <f>VLOOKUP(J76,Listas!$B$21:$C$50,2,FALSE)</f>
        <v>600011</v>
      </c>
      <c r="L76">
        <v>-1</v>
      </c>
    </row>
    <row r="77" spans="1:12">
      <c r="A77">
        <v>116</v>
      </c>
      <c r="B77" t="s">
        <v>1555</v>
      </c>
      <c r="C77" s="96">
        <v>11253</v>
      </c>
      <c r="D77" t="s">
        <v>1556</v>
      </c>
      <c r="E77" s="96" t="s">
        <v>1467</v>
      </c>
      <c r="H77" t="s">
        <v>361</v>
      </c>
      <c r="I77">
        <f>VLOOKUP(H77,Listas!$B$2:$C$20,2,FALSE)</f>
        <v>500001</v>
      </c>
      <c r="J77" t="s">
        <v>145</v>
      </c>
      <c r="K77">
        <f>VLOOKUP(J77,Listas!$B$21:$C$50,2,FALSE)</f>
        <v>600011</v>
      </c>
      <c r="L77">
        <v>-1</v>
      </c>
    </row>
    <row r="78" spans="1:12">
      <c r="A78">
        <v>116</v>
      </c>
      <c r="B78" t="s">
        <v>602</v>
      </c>
      <c r="C78" s="96">
        <v>11254</v>
      </c>
      <c r="D78" t="s">
        <v>603</v>
      </c>
      <c r="E78" s="96" t="s">
        <v>1467</v>
      </c>
      <c r="H78" t="s">
        <v>361</v>
      </c>
      <c r="I78">
        <f>VLOOKUP(H78,Listas!$B$2:$C$20,2,FALSE)</f>
        <v>500001</v>
      </c>
      <c r="J78" t="s">
        <v>145</v>
      </c>
      <c r="K78">
        <f>VLOOKUP(J78,Listas!$B$21:$C$50,2,FALSE)</f>
        <v>600011</v>
      </c>
      <c r="L78">
        <v>-1</v>
      </c>
    </row>
    <row r="79" spans="1:12" s="336" customFormat="1">
      <c r="A79" s="336">
        <v>116</v>
      </c>
      <c r="B79" s="336" t="s">
        <v>1557</v>
      </c>
      <c r="C79" s="336">
        <v>1126</v>
      </c>
      <c r="D79" s="336" t="s">
        <v>632</v>
      </c>
      <c r="E79" s="337" t="s">
        <v>1462</v>
      </c>
    </row>
    <row r="80" spans="1:12">
      <c r="A80">
        <v>116</v>
      </c>
      <c r="B80" t="s">
        <v>1558</v>
      </c>
      <c r="C80" s="96">
        <v>11261</v>
      </c>
      <c r="D80" t="s">
        <v>634</v>
      </c>
      <c r="E80" s="96" t="s">
        <v>1467</v>
      </c>
      <c r="H80" t="s">
        <v>361</v>
      </c>
      <c r="I80">
        <f>VLOOKUP(H80,Listas!$B$2:$C$20,2,FALSE)</f>
        <v>500001</v>
      </c>
      <c r="J80" t="s">
        <v>59</v>
      </c>
      <c r="K80">
        <f>VLOOKUP(J80,Listas!$B$21:$C$50,2,FALSE)</f>
        <v>600016</v>
      </c>
      <c r="L80">
        <v>-1</v>
      </c>
    </row>
    <row r="81" spans="1:12">
      <c r="A81">
        <v>116</v>
      </c>
      <c r="B81" t="s">
        <v>1559</v>
      </c>
      <c r="C81" s="96">
        <v>11262</v>
      </c>
      <c r="D81" t="s">
        <v>1560</v>
      </c>
      <c r="E81" s="96" t="s">
        <v>1467</v>
      </c>
      <c r="H81" t="s">
        <v>361</v>
      </c>
      <c r="I81">
        <f>VLOOKUP(H81,Listas!$B$2:$C$20,2,FALSE)</f>
        <v>500001</v>
      </c>
      <c r="J81" t="s">
        <v>59</v>
      </c>
      <c r="K81">
        <f>VLOOKUP(J81,Listas!$B$21:$C$50,2,FALSE)</f>
        <v>600016</v>
      </c>
      <c r="L81">
        <v>-1</v>
      </c>
    </row>
    <row r="82" spans="1:12" s="336" customFormat="1">
      <c r="A82" s="336">
        <v>116</v>
      </c>
      <c r="B82" s="336" t="s">
        <v>1561</v>
      </c>
      <c r="C82" s="336">
        <v>1127</v>
      </c>
      <c r="D82" s="336" t="s">
        <v>1562</v>
      </c>
      <c r="E82" s="337" t="s">
        <v>1462</v>
      </c>
    </row>
    <row r="83" spans="1:12">
      <c r="A83">
        <v>116</v>
      </c>
      <c r="B83" t="s">
        <v>1563</v>
      </c>
      <c r="C83" s="96">
        <v>11271</v>
      </c>
      <c r="D83" t="s">
        <v>1564</v>
      </c>
      <c r="E83" s="96" t="s">
        <v>1467</v>
      </c>
      <c r="H83" t="s">
        <v>361</v>
      </c>
      <c r="I83">
        <f>VLOOKUP(H83,Listas!$B$2:$C$20,2,FALSE)</f>
        <v>500001</v>
      </c>
      <c r="J83" t="s">
        <v>59</v>
      </c>
      <c r="K83">
        <f>VLOOKUP(J83,Listas!$B$21:$C$50,2,FALSE)</f>
        <v>600016</v>
      </c>
      <c r="L83">
        <v>-1</v>
      </c>
    </row>
    <row r="84" spans="1:12">
      <c r="A84">
        <v>116</v>
      </c>
      <c r="B84" t="s">
        <v>1565</v>
      </c>
      <c r="C84" s="96">
        <v>11272</v>
      </c>
      <c r="D84" t="s">
        <v>1566</v>
      </c>
      <c r="E84" s="96" t="s">
        <v>1467</v>
      </c>
      <c r="H84" t="s">
        <v>361</v>
      </c>
      <c r="I84">
        <f>VLOOKUP(H84,Listas!$B$2:$C$20,2,FALSE)</f>
        <v>500001</v>
      </c>
      <c r="J84" t="s">
        <v>59</v>
      </c>
      <c r="K84">
        <f>VLOOKUP(J84,Listas!$B$21:$C$50,2,FALSE)</f>
        <v>600016</v>
      </c>
      <c r="L84">
        <v>-1</v>
      </c>
    </row>
    <row r="85" spans="1:12">
      <c r="A85">
        <v>116</v>
      </c>
      <c r="B85" t="s">
        <v>1567</v>
      </c>
      <c r="C85" s="96">
        <v>11273</v>
      </c>
      <c r="D85" t="s">
        <v>1568</v>
      </c>
      <c r="E85" s="96" t="s">
        <v>1467</v>
      </c>
      <c r="H85" t="s">
        <v>361</v>
      </c>
      <c r="I85">
        <f>VLOOKUP(H85,Listas!$B$2:$C$20,2,FALSE)</f>
        <v>500001</v>
      </c>
      <c r="J85" t="s">
        <v>59</v>
      </c>
      <c r="K85">
        <f>VLOOKUP(J85,Listas!$B$21:$C$50,2,FALSE)</f>
        <v>600016</v>
      </c>
      <c r="L85">
        <v>-1</v>
      </c>
    </row>
    <row r="86" spans="1:12" s="336" customFormat="1">
      <c r="A86" s="336">
        <v>116</v>
      </c>
      <c r="B86" s="336" t="s">
        <v>1569</v>
      </c>
      <c r="C86" s="336">
        <v>1128</v>
      </c>
      <c r="D86" s="336" t="s">
        <v>1570</v>
      </c>
      <c r="E86" s="337" t="s">
        <v>1462</v>
      </c>
    </row>
    <row r="87" spans="1:12">
      <c r="A87">
        <v>116</v>
      </c>
      <c r="B87" t="s">
        <v>1571</v>
      </c>
      <c r="C87" s="96">
        <v>11281</v>
      </c>
      <c r="D87" t="s">
        <v>637</v>
      </c>
      <c r="E87" s="96" t="s">
        <v>1467</v>
      </c>
      <c r="H87" t="s">
        <v>361</v>
      </c>
      <c r="I87">
        <f>VLOOKUP(H87,Listas!$B$2:$C$20,2,FALSE)</f>
        <v>500001</v>
      </c>
      <c r="J87" t="s">
        <v>146</v>
      </c>
      <c r="K87">
        <f>VLOOKUP(J87,Listas!$B$21:$C$50,2,FALSE)</f>
        <v>600013</v>
      </c>
      <c r="L87">
        <v>-1</v>
      </c>
    </row>
    <row r="88" spans="1:12">
      <c r="A88">
        <v>116</v>
      </c>
      <c r="B88" t="s">
        <v>1572</v>
      </c>
      <c r="C88" s="96">
        <v>11282</v>
      </c>
      <c r="D88" t="s">
        <v>639</v>
      </c>
      <c r="E88" s="96" t="s">
        <v>1467</v>
      </c>
      <c r="H88" t="s">
        <v>361</v>
      </c>
      <c r="I88">
        <f>VLOOKUP(H88,Listas!$B$2:$C$20,2,FALSE)</f>
        <v>500001</v>
      </c>
      <c r="J88" t="s">
        <v>146</v>
      </c>
      <c r="K88">
        <f>VLOOKUP(J88,Listas!$B$21:$C$50,2,FALSE)</f>
        <v>600013</v>
      </c>
      <c r="L88">
        <v>-1</v>
      </c>
    </row>
    <row r="89" spans="1:12">
      <c r="A89">
        <v>116</v>
      </c>
      <c r="B89" t="s">
        <v>1573</v>
      </c>
      <c r="C89" s="96">
        <v>11283</v>
      </c>
      <c r="D89" t="s">
        <v>641</v>
      </c>
      <c r="E89" s="96" t="s">
        <v>1467</v>
      </c>
      <c r="H89" t="s">
        <v>361</v>
      </c>
      <c r="I89">
        <f>VLOOKUP(H89,Listas!$B$2:$C$20,2,FALSE)</f>
        <v>500001</v>
      </c>
      <c r="J89" t="s">
        <v>146</v>
      </c>
      <c r="K89">
        <f>VLOOKUP(J89,Listas!$B$21:$C$50,2,FALSE)</f>
        <v>600013</v>
      </c>
      <c r="L89">
        <v>-1</v>
      </c>
    </row>
    <row r="90" spans="1:12">
      <c r="A90">
        <v>116</v>
      </c>
      <c r="B90" t="s">
        <v>1574</v>
      </c>
      <c r="C90" s="96">
        <v>11284</v>
      </c>
      <c r="D90" t="s">
        <v>1575</v>
      </c>
      <c r="E90" s="96" t="s">
        <v>1467</v>
      </c>
      <c r="H90" t="s">
        <v>361</v>
      </c>
      <c r="I90">
        <f>VLOOKUP(H90,Listas!$B$2:$C$20,2,FALSE)</f>
        <v>500001</v>
      </c>
      <c r="J90" t="s">
        <v>146</v>
      </c>
      <c r="K90">
        <f>VLOOKUP(J90,Listas!$B$21:$C$50,2,FALSE)</f>
        <v>600013</v>
      </c>
      <c r="L90">
        <v>-1</v>
      </c>
    </row>
    <row r="91" spans="1:12" s="336" customFormat="1">
      <c r="A91" s="336">
        <v>116</v>
      </c>
      <c r="B91" s="336" t="s">
        <v>604</v>
      </c>
      <c r="C91" s="336">
        <v>1129</v>
      </c>
      <c r="D91" s="336" t="s">
        <v>144</v>
      </c>
      <c r="E91" s="337" t="s">
        <v>1462</v>
      </c>
    </row>
    <row r="92" spans="1:12">
      <c r="A92">
        <v>116</v>
      </c>
      <c r="B92" t="s">
        <v>605</v>
      </c>
      <c r="C92" s="96">
        <v>11291</v>
      </c>
      <c r="D92" t="s">
        <v>606</v>
      </c>
      <c r="E92" s="96" t="s">
        <v>1467</v>
      </c>
      <c r="H92" t="s">
        <v>361</v>
      </c>
      <c r="I92">
        <f>VLOOKUP(H92,Listas!$B$2:$C$20,2,FALSE)</f>
        <v>500001</v>
      </c>
      <c r="J92" t="s">
        <v>144</v>
      </c>
      <c r="K92">
        <f>VLOOKUP(J92,Listas!$B$21:$C$50,2,FALSE)</f>
        <v>600010</v>
      </c>
      <c r="L92">
        <v>-1</v>
      </c>
    </row>
    <row r="93" spans="1:12" s="336" customFormat="1">
      <c r="A93" s="336">
        <v>116</v>
      </c>
      <c r="B93" s="336" t="s">
        <v>607</v>
      </c>
      <c r="C93" s="336">
        <v>11299</v>
      </c>
      <c r="D93" s="336" t="s">
        <v>608</v>
      </c>
      <c r="E93" s="337" t="s">
        <v>1462</v>
      </c>
    </row>
    <row r="94" spans="1:12">
      <c r="A94">
        <v>116</v>
      </c>
      <c r="B94" t="s">
        <v>1576</v>
      </c>
      <c r="C94" s="96">
        <v>112991</v>
      </c>
      <c r="D94" t="s">
        <v>1577</v>
      </c>
      <c r="E94" s="96" t="s">
        <v>1467</v>
      </c>
      <c r="H94" t="s">
        <v>361</v>
      </c>
      <c r="I94">
        <f>VLOOKUP(H94,Listas!$B$2:$C$20,2,FALSE)</f>
        <v>500001</v>
      </c>
      <c r="J94" t="s">
        <v>59</v>
      </c>
      <c r="K94">
        <f>VLOOKUP(J94,Listas!$B$21:$C$50,2,FALSE)</f>
        <v>600016</v>
      </c>
      <c r="L94">
        <v>-1</v>
      </c>
    </row>
    <row r="95" spans="1:12">
      <c r="A95">
        <v>116</v>
      </c>
      <c r="B95" t="s">
        <v>1578</v>
      </c>
      <c r="C95" s="96">
        <v>112992</v>
      </c>
      <c r="D95" t="s">
        <v>1579</v>
      </c>
      <c r="E95" s="96" t="s">
        <v>1467</v>
      </c>
      <c r="H95" t="s">
        <v>361</v>
      </c>
      <c r="I95">
        <f>VLOOKUP(H95,Listas!$B$2:$C$20,2,FALSE)</f>
        <v>500001</v>
      </c>
      <c r="J95" t="s">
        <v>59</v>
      </c>
      <c r="K95">
        <f>VLOOKUP(J95,Listas!$B$21:$C$50,2,FALSE)</f>
        <v>600016</v>
      </c>
      <c r="L95">
        <v>-1</v>
      </c>
    </row>
    <row r="96" spans="1:12">
      <c r="A96">
        <v>116</v>
      </c>
      <c r="B96" t="s">
        <v>1580</v>
      </c>
      <c r="C96" s="96">
        <v>112993</v>
      </c>
      <c r="D96" t="s">
        <v>1581</v>
      </c>
      <c r="E96" s="96" t="s">
        <v>1467</v>
      </c>
      <c r="H96" t="s">
        <v>361</v>
      </c>
      <c r="I96">
        <f>VLOOKUP(H96,Listas!$B$2:$C$20,2,FALSE)</f>
        <v>500001</v>
      </c>
      <c r="J96" t="s">
        <v>59</v>
      </c>
      <c r="K96">
        <f>VLOOKUP(J96,Listas!$B$21:$C$50,2,FALSE)</f>
        <v>600016</v>
      </c>
      <c r="L96">
        <v>-1</v>
      </c>
    </row>
    <row r="97" spans="1:12">
      <c r="A97">
        <v>116</v>
      </c>
      <c r="B97" t="s">
        <v>1582</v>
      </c>
      <c r="C97" s="96">
        <v>112994</v>
      </c>
      <c r="D97" t="s">
        <v>1583</v>
      </c>
      <c r="E97" s="96" t="s">
        <v>1467</v>
      </c>
      <c r="H97" t="s">
        <v>361</v>
      </c>
      <c r="I97">
        <f>VLOOKUP(H97,Listas!$B$2:$C$20,2,FALSE)</f>
        <v>500001</v>
      </c>
      <c r="J97" t="s">
        <v>59</v>
      </c>
      <c r="K97">
        <f>VLOOKUP(J97,Listas!$B$21:$C$50,2,FALSE)</f>
        <v>600016</v>
      </c>
      <c r="L97">
        <v>-1</v>
      </c>
    </row>
    <row r="98" spans="1:12">
      <c r="A98">
        <v>116</v>
      </c>
      <c r="B98" t="s">
        <v>609</v>
      </c>
      <c r="C98" s="96">
        <v>112995</v>
      </c>
      <c r="D98" t="s">
        <v>610</v>
      </c>
      <c r="E98" s="96" t="s">
        <v>1467</v>
      </c>
      <c r="H98" t="s">
        <v>361</v>
      </c>
      <c r="I98">
        <f>VLOOKUP(H98,Listas!$B$2:$C$20,2,FALSE)</f>
        <v>500001</v>
      </c>
      <c r="J98" t="s">
        <v>59</v>
      </c>
      <c r="K98">
        <f>VLOOKUP(J98,Listas!$B$21:$C$50,2,FALSE)</f>
        <v>600016</v>
      </c>
      <c r="L98">
        <v>-1</v>
      </c>
    </row>
    <row r="99" spans="1:12">
      <c r="A99">
        <v>116</v>
      </c>
      <c r="B99" t="s">
        <v>611</v>
      </c>
      <c r="C99" s="96">
        <v>11299999</v>
      </c>
      <c r="D99" t="s">
        <v>612</v>
      </c>
      <c r="E99" s="96" t="s">
        <v>1467</v>
      </c>
      <c r="H99" t="s">
        <v>361</v>
      </c>
      <c r="I99">
        <f>VLOOKUP(H99,Listas!$B$2:$C$20,2,FALSE)</f>
        <v>500001</v>
      </c>
      <c r="J99" t="s">
        <v>59</v>
      </c>
      <c r="K99">
        <f>VLOOKUP(J99,Listas!$B$21:$C$50,2,FALSE)</f>
        <v>600016</v>
      </c>
      <c r="L99">
        <v>-1</v>
      </c>
    </row>
    <row r="100" spans="1:12" s="336" customFormat="1">
      <c r="A100" s="336">
        <v>116</v>
      </c>
      <c r="B100" s="336" t="s">
        <v>58</v>
      </c>
      <c r="C100" s="336">
        <v>113</v>
      </c>
      <c r="D100" s="336" t="s">
        <v>176</v>
      </c>
      <c r="E100" s="337" t="s">
        <v>1462</v>
      </c>
    </row>
    <row r="101" spans="1:12" s="336" customFormat="1">
      <c r="A101" s="336">
        <v>116</v>
      </c>
      <c r="B101" s="336" t="s">
        <v>613</v>
      </c>
      <c r="C101" s="336">
        <v>1131</v>
      </c>
      <c r="D101" s="336" t="s">
        <v>176</v>
      </c>
      <c r="E101" s="337" t="s">
        <v>1462</v>
      </c>
    </row>
    <row r="102" spans="1:12">
      <c r="A102">
        <v>116</v>
      </c>
      <c r="B102" t="s">
        <v>614</v>
      </c>
      <c r="C102" s="96">
        <v>11311</v>
      </c>
      <c r="D102" t="s">
        <v>615</v>
      </c>
      <c r="E102" s="96" t="s">
        <v>1467</v>
      </c>
      <c r="H102" t="s">
        <v>361</v>
      </c>
      <c r="I102">
        <f>VLOOKUP(H102,Listas!$B$2:$C$20,2,FALSE)</f>
        <v>500001</v>
      </c>
      <c r="J102" t="s">
        <v>57</v>
      </c>
      <c r="K102">
        <f>VLOOKUP(J102,Listas!$B$21:$C$50,2,FALSE)</f>
        <v>600012</v>
      </c>
      <c r="L102">
        <v>-1</v>
      </c>
    </row>
    <row r="103" spans="1:12">
      <c r="A103">
        <v>116</v>
      </c>
      <c r="B103" t="s">
        <v>616</v>
      </c>
      <c r="C103" s="96">
        <v>11312</v>
      </c>
      <c r="D103" t="s">
        <v>617</v>
      </c>
      <c r="E103" s="96" t="s">
        <v>1467</v>
      </c>
      <c r="H103" t="s">
        <v>361</v>
      </c>
      <c r="I103">
        <f>VLOOKUP(H103,Listas!$B$2:$C$20,2,FALSE)</f>
        <v>500001</v>
      </c>
      <c r="J103" t="s">
        <v>57</v>
      </c>
      <c r="K103">
        <f>VLOOKUP(J103,Listas!$B$21:$C$50,2,FALSE)</f>
        <v>600012</v>
      </c>
      <c r="L103">
        <v>-1</v>
      </c>
    </row>
    <row r="104" spans="1:12">
      <c r="A104">
        <v>116</v>
      </c>
      <c r="B104" t="s">
        <v>618</v>
      </c>
      <c r="C104" s="96">
        <v>11313</v>
      </c>
      <c r="D104" t="s">
        <v>619</v>
      </c>
      <c r="E104" s="96" t="s">
        <v>1467</v>
      </c>
      <c r="H104" t="s">
        <v>361</v>
      </c>
      <c r="I104">
        <f>VLOOKUP(H104,Listas!$B$2:$C$20,2,FALSE)</f>
        <v>500001</v>
      </c>
      <c r="J104" t="s">
        <v>57</v>
      </c>
      <c r="K104">
        <f>VLOOKUP(J104,Listas!$B$21:$C$50,2,FALSE)</f>
        <v>600012</v>
      </c>
      <c r="L104">
        <v>-1</v>
      </c>
    </row>
    <row r="105" spans="1:12">
      <c r="A105">
        <v>116</v>
      </c>
      <c r="B105" t="s">
        <v>1584</v>
      </c>
      <c r="C105" s="96">
        <v>11314</v>
      </c>
      <c r="D105" t="s">
        <v>1585</v>
      </c>
      <c r="E105" s="96" t="s">
        <v>1467</v>
      </c>
      <c r="H105" t="s">
        <v>361</v>
      </c>
      <c r="I105">
        <f>VLOOKUP(H105,Listas!$B$2:$C$20,2,FALSE)</f>
        <v>500001</v>
      </c>
      <c r="J105" t="s">
        <v>57</v>
      </c>
      <c r="K105">
        <f>VLOOKUP(J105,Listas!$B$21:$C$50,2,FALSE)</f>
        <v>600012</v>
      </c>
      <c r="L105">
        <v>-1</v>
      </c>
    </row>
    <row r="106" spans="1:12">
      <c r="A106">
        <v>116</v>
      </c>
      <c r="B106" t="s">
        <v>620</v>
      </c>
      <c r="C106" s="96">
        <v>11315</v>
      </c>
      <c r="D106" t="s">
        <v>621</v>
      </c>
      <c r="E106" s="96" t="s">
        <v>1467</v>
      </c>
      <c r="H106" t="s">
        <v>361</v>
      </c>
      <c r="I106">
        <f>VLOOKUP(H106,Listas!$B$2:$C$20,2,FALSE)</f>
        <v>500001</v>
      </c>
      <c r="J106" t="s">
        <v>57</v>
      </c>
      <c r="K106">
        <f>VLOOKUP(J106,Listas!$B$21:$C$50,2,FALSE)</f>
        <v>600012</v>
      </c>
      <c r="L106">
        <v>-1</v>
      </c>
    </row>
    <row r="107" spans="1:12">
      <c r="A107">
        <v>116</v>
      </c>
      <c r="B107" t="s">
        <v>622</v>
      </c>
      <c r="C107" s="96">
        <v>11316</v>
      </c>
      <c r="D107" t="s">
        <v>406</v>
      </c>
      <c r="E107" s="96" t="s">
        <v>1467</v>
      </c>
      <c r="H107" t="s">
        <v>361</v>
      </c>
      <c r="I107">
        <f>VLOOKUP(H107,Listas!$B$2:$C$20,2,FALSE)</f>
        <v>500001</v>
      </c>
      <c r="J107" t="s">
        <v>57</v>
      </c>
      <c r="K107">
        <f>VLOOKUP(J107,Listas!$B$21:$C$50,2,FALSE)</f>
        <v>600012</v>
      </c>
      <c r="L107">
        <v>-1</v>
      </c>
    </row>
    <row r="108" spans="1:12">
      <c r="A108">
        <v>116</v>
      </c>
      <c r="B108" t="s">
        <v>1586</v>
      </c>
      <c r="C108" s="96">
        <v>1131999</v>
      </c>
      <c r="D108" t="s">
        <v>1587</v>
      </c>
      <c r="E108" s="96" t="s">
        <v>1467</v>
      </c>
      <c r="H108" t="s">
        <v>361</v>
      </c>
      <c r="I108">
        <f>VLOOKUP(H108,Listas!$B$2:$C$20,2,FALSE)</f>
        <v>500001</v>
      </c>
      <c r="J108" t="s">
        <v>57</v>
      </c>
      <c r="K108">
        <f>VLOOKUP(J108,Listas!$B$21:$C$50,2,FALSE)</f>
        <v>600012</v>
      </c>
      <c r="L108">
        <v>-1</v>
      </c>
    </row>
    <row r="109" spans="1:12" s="336" customFormat="1">
      <c r="A109" s="336">
        <v>116</v>
      </c>
      <c r="B109" s="336" t="s">
        <v>1588</v>
      </c>
      <c r="C109" s="336">
        <v>114</v>
      </c>
      <c r="D109" s="336" t="s">
        <v>1589</v>
      </c>
      <c r="E109" s="337" t="s">
        <v>1462</v>
      </c>
    </row>
    <row r="110" spans="1:12" s="336" customFormat="1">
      <c r="A110" s="336">
        <v>116</v>
      </c>
      <c r="B110" s="336" t="s">
        <v>1590</v>
      </c>
      <c r="C110" s="336">
        <v>1141</v>
      </c>
      <c r="D110" s="336" t="s">
        <v>1589</v>
      </c>
      <c r="E110" s="337" t="s">
        <v>1462</v>
      </c>
    </row>
    <row r="111" spans="1:12" s="336" customFormat="1">
      <c r="A111" s="336">
        <v>116</v>
      </c>
      <c r="B111" s="336" t="s">
        <v>623</v>
      </c>
      <c r="C111" s="336">
        <v>12</v>
      </c>
      <c r="D111" s="336" t="s">
        <v>366</v>
      </c>
      <c r="E111" s="337" t="s">
        <v>1462</v>
      </c>
    </row>
    <row r="112" spans="1:12" s="336" customFormat="1">
      <c r="A112" s="336">
        <v>116</v>
      </c>
      <c r="B112" s="336" t="s">
        <v>624</v>
      </c>
      <c r="C112" s="336">
        <v>121</v>
      </c>
      <c r="D112" s="336" t="s">
        <v>625</v>
      </c>
      <c r="E112" s="337" t="s">
        <v>1462</v>
      </c>
    </row>
    <row r="113" spans="1:12" s="336" customFormat="1">
      <c r="A113" s="336">
        <v>116</v>
      </c>
      <c r="B113" s="336" t="s">
        <v>1591</v>
      </c>
      <c r="C113" s="336">
        <v>1211</v>
      </c>
      <c r="D113" s="336" t="s">
        <v>1476</v>
      </c>
      <c r="E113" s="337" t="s">
        <v>1462</v>
      </c>
    </row>
    <row r="114" spans="1:12">
      <c r="A114">
        <v>116</v>
      </c>
      <c r="B114" t="s">
        <v>1592</v>
      </c>
      <c r="C114" s="96">
        <v>12111</v>
      </c>
      <c r="D114" t="s">
        <v>1478</v>
      </c>
      <c r="E114" s="96" t="s">
        <v>1467</v>
      </c>
      <c r="H114" t="s">
        <v>361</v>
      </c>
      <c r="I114">
        <f>VLOOKUP(H114,Listas!$B$2:$C$20,2,FALSE)</f>
        <v>500001</v>
      </c>
      <c r="J114" t="s">
        <v>59</v>
      </c>
      <c r="K114">
        <f>VLOOKUP(J114,Listas!$B$21:$C$50,2,FALSE)</f>
        <v>600016</v>
      </c>
      <c r="L114">
        <v>-1</v>
      </c>
    </row>
    <row r="115" spans="1:12">
      <c r="A115">
        <v>116</v>
      </c>
      <c r="B115" t="s">
        <v>1593</v>
      </c>
      <c r="C115" s="96">
        <v>1211998</v>
      </c>
      <c r="D115" t="s">
        <v>1482</v>
      </c>
      <c r="E115" s="96" t="s">
        <v>1467</v>
      </c>
      <c r="H115" t="s">
        <v>361</v>
      </c>
      <c r="I115">
        <f>VLOOKUP(H115,Listas!$B$2:$C$20,2,FALSE)</f>
        <v>500001</v>
      </c>
      <c r="J115" t="s">
        <v>59</v>
      </c>
      <c r="K115">
        <f>VLOOKUP(J115,Listas!$B$21:$C$50,2,FALSE)</f>
        <v>600016</v>
      </c>
      <c r="L115">
        <v>-1</v>
      </c>
    </row>
    <row r="116" spans="1:12">
      <c r="A116">
        <v>116</v>
      </c>
      <c r="B116" t="s">
        <v>1594</v>
      </c>
      <c r="C116" s="96">
        <v>1211999</v>
      </c>
      <c r="D116" t="s">
        <v>1484</v>
      </c>
      <c r="E116" s="96" t="s">
        <v>1467</v>
      </c>
      <c r="H116" t="s">
        <v>361</v>
      </c>
      <c r="I116">
        <f>VLOOKUP(H116,Listas!$B$2:$C$20,2,FALSE)</f>
        <v>500001</v>
      </c>
      <c r="J116" t="s">
        <v>59</v>
      </c>
      <c r="K116">
        <f>VLOOKUP(J116,Listas!$B$21:$C$50,2,FALSE)</f>
        <v>600016</v>
      </c>
      <c r="L116">
        <v>-1</v>
      </c>
    </row>
    <row r="117" spans="1:12" s="336" customFormat="1">
      <c r="A117" s="336">
        <v>116</v>
      </c>
      <c r="B117" s="336" t="s">
        <v>1595</v>
      </c>
      <c r="C117" s="336">
        <v>1212</v>
      </c>
      <c r="D117" s="336" t="s">
        <v>1486</v>
      </c>
      <c r="E117" s="337" t="s">
        <v>1462</v>
      </c>
    </row>
    <row r="118" spans="1:12">
      <c r="A118">
        <v>116</v>
      </c>
      <c r="B118" t="s">
        <v>1596</v>
      </c>
      <c r="C118" s="96">
        <v>12121</v>
      </c>
      <c r="D118" t="s">
        <v>1488</v>
      </c>
      <c r="E118" s="96" t="s">
        <v>1467</v>
      </c>
      <c r="H118" t="s">
        <v>361</v>
      </c>
      <c r="I118">
        <f>VLOOKUP(H118,Listas!$B$2:$C$20,2,FALSE)</f>
        <v>500001</v>
      </c>
      <c r="J118" t="s">
        <v>59</v>
      </c>
      <c r="K118">
        <f>VLOOKUP(J118,Listas!$B$21:$C$50,2,FALSE)</f>
        <v>600016</v>
      </c>
      <c r="L118">
        <v>-1</v>
      </c>
    </row>
    <row r="119" spans="1:12">
      <c r="A119">
        <v>116</v>
      </c>
      <c r="B119" t="s">
        <v>1597</v>
      </c>
      <c r="C119" s="96">
        <v>12122</v>
      </c>
      <c r="D119" t="s">
        <v>1490</v>
      </c>
      <c r="E119" s="96" t="s">
        <v>1467</v>
      </c>
      <c r="H119" t="s">
        <v>361</v>
      </c>
      <c r="I119">
        <f>VLOOKUP(H119,Listas!$B$2:$C$20,2,FALSE)</f>
        <v>500001</v>
      </c>
      <c r="J119" t="s">
        <v>59</v>
      </c>
      <c r="K119">
        <f>VLOOKUP(J119,Listas!$B$21:$C$50,2,FALSE)</f>
        <v>600016</v>
      </c>
      <c r="L119">
        <v>-1</v>
      </c>
    </row>
    <row r="120" spans="1:12">
      <c r="A120">
        <v>116</v>
      </c>
      <c r="B120" t="s">
        <v>1598</v>
      </c>
      <c r="C120" s="96">
        <v>12123</v>
      </c>
      <c r="D120" t="s">
        <v>1599</v>
      </c>
      <c r="E120" s="96" t="s">
        <v>1467</v>
      </c>
      <c r="H120" t="s">
        <v>361</v>
      </c>
      <c r="I120">
        <f>VLOOKUP(H120,Listas!$B$2:$C$20,2,FALSE)</f>
        <v>500001</v>
      </c>
      <c r="J120" t="s">
        <v>59</v>
      </c>
      <c r="K120">
        <f>VLOOKUP(J120,Listas!$B$21:$C$50,2,FALSE)</f>
        <v>600016</v>
      </c>
      <c r="L120">
        <v>-1</v>
      </c>
    </row>
    <row r="121" spans="1:12" s="336" customFormat="1">
      <c r="A121" s="336">
        <v>116</v>
      </c>
      <c r="B121" s="336" t="s">
        <v>61</v>
      </c>
      <c r="C121" s="336">
        <v>1213</v>
      </c>
      <c r="D121" s="336" t="s">
        <v>575</v>
      </c>
      <c r="E121" s="337" t="s">
        <v>1462</v>
      </c>
    </row>
    <row r="122" spans="1:12">
      <c r="A122">
        <v>116</v>
      </c>
      <c r="B122" t="s">
        <v>626</v>
      </c>
      <c r="C122" s="96">
        <v>12131</v>
      </c>
      <c r="D122" t="s">
        <v>627</v>
      </c>
      <c r="E122" s="96" t="s">
        <v>1467</v>
      </c>
      <c r="H122" t="s">
        <v>361</v>
      </c>
      <c r="I122">
        <f>VLOOKUP(H122,Listas!$B$2:$C$20,2,FALSE)</f>
        <v>500001</v>
      </c>
      <c r="J122" t="s">
        <v>147</v>
      </c>
      <c r="K122">
        <f>VLOOKUP(J122,Listas!$B$21:$C$50,2,FALSE)</f>
        <v>600014</v>
      </c>
      <c r="L122">
        <v>-1</v>
      </c>
    </row>
    <row r="123" spans="1:12">
      <c r="A123">
        <v>116</v>
      </c>
      <c r="B123" t="s">
        <v>1600</v>
      </c>
      <c r="C123" s="96">
        <v>12132</v>
      </c>
      <c r="D123" t="s">
        <v>1494</v>
      </c>
      <c r="E123" s="96" t="s">
        <v>1467</v>
      </c>
      <c r="H123" t="s">
        <v>361</v>
      </c>
      <c r="I123">
        <f>VLOOKUP(H123,Listas!$B$2:$C$20,2,FALSE)</f>
        <v>500001</v>
      </c>
      <c r="J123" t="s">
        <v>147</v>
      </c>
      <c r="K123">
        <f>VLOOKUP(J123,Listas!$B$21:$C$50,2,FALSE)</f>
        <v>600014</v>
      </c>
      <c r="L123">
        <v>-1</v>
      </c>
    </row>
    <row r="124" spans="1:12">
      <c r="A124">
        <v>116</v>
      </c>
      <c r="B124" t="s">
        <v>1601</v>
      </c>
      <c r="C124" s="96">
        <v>12133</v>
      </c>
      <c r="D124" t="s">
        <v>1496</v>
      </c>
      <c r="E124" s="96" t="s">
        <v>1467</v>
      </c>
      <c r="H124" t="s">
        <v>361</v>
      </c>
      <c r="I124">
        <f>VLOOKUP(H124,Listas!$B$2:$C$20,2,FALSE)</f>
        <v>500001</v>
      </c>
      <c r="J124" t="s">
        <v>147</v>
      </c>
      <c r="K124">
        <f>VLOOKUP(J124,Listas!$B$21:$C$50,2,FALSE)</f>
        <v>600014</v>
      </c>
      <c r="L124">
        <v>-1</v>
      </c>
    </row>
    <row r="125" spans="1:12">
      <c r="A125">
        <v>116</v>
      </c>
      <c r="B125" t="s">
        <v>628</v>
      </c>
      <c r="C125" s="96">
        <v>12134</v>
      </c>
      <c r="D125" t="s">
        <v>231</v>
      </c>
      <c r="E125" s="96" t="s">
        <v>1467</v>
      </c>
      <c r="H125" t="s">
        <v>361</v>
      </c>
      <c r="I125">
        <f>VLOOKUP(H125,Listas!$B$2:$C$20,2,FALSE)</f>
        <v>500001</v>
      </c>
      <c r="J125" t="s">
        <v>147</v>
      </c>
      <c r="K125">
        <f>VLOOKUP(J125,Listas!$B$21:$C$50,2,FALSE)</f>
        <v>600014</v>
      </c>
      <c r="L125">
        <v>-1</v>
      </c>
    </row>
    <row r="126" spans="1:12">
      <c r="A126">
        <v>116</v>
      </c>
      <c r="B126" t="s">
        <v>629</v>
      </c>
      <c r="C126" s="96">
        <v>12135</v>
      </c>
      <c r="D126" t="s">
        <v>630</v>
      </c>
      <c r="E126" s="96" t="s">
        <v>1467</v>
      </c>
      <c r="H126" t="s">
        <v>361</v>
      </c>
      <c r="I126">
        <f>VLOOKUP(H126,Listas!$B$2:$C$20,2,FALSE)</f>
        <v>500001</v>
      </c>
      <c r="J126" t="s">
        <v>147</v>
      </c>
      <c r="K126">
        <f>VLOOKUP(J126,Listas!$B$21:$C$50,2,FALSE)</f>
        <v>600014</v>
      </c>
      <c r="L126">
        <v>-1</v>
      </c>
    </row>
    <row r="127" spans="1:12">
      <c r="A127">
        <v>116</v>
      </c>
      <c r="B127" t="s">
        <v>1602</v>
      </c>
      <c r="C127" s="96">
        <v>12136</v>
      </c>
      <c r="D127" t="s">
        <v>1502</v>
      </c>
      <c r="E127" s="96" t="s">
        <v>1467</v>
      </c>
      <c r="H127" t="s">
        <v>361</v>
      </c>
      <c r="I127">
        <f>VLOOKUP(H127,Listas!$B$2:$C$20,2,FALSE)</f>
        <v>500001</v>
      </c>
      <c r="J127" t="s">
        <v>147</v>
      </c>
      <c r="K127">
        <f>VLOOKUP(J127,Listas!$B$21:$C$50,2,FALSE)</f>
        <v>600014</v>
      </c>
      <c r="L127">
        <v>-1</v>
      </c>
    </row>
    <row r="128" spans="1:12">
      <c r="A128">
        <v>116</v>
      </c>
      <c r="B128" t="s">
        <v>1603</v>
      </c>
      <c r="C128" s="96">
        <v>12137</v>
      </c>
      <c r="D128" t="s">
        <v>1504</v>
      </c>
      <c r="E128" s="96" t="s">
        <v>1467</v>
      </c>
      <c r="H128" t="s">
        <v>361</v>
      </c>
      <c r="I128">
        <f>VLOOKUP(H128,Listas!$B$2:$C$20,2,FALSE)</f>
        <v>500001</v>
      </c>
      <c r="J128" t="s">
        <v>147</v>
      </c>
      <c r="K128">
        <f>VLOOKUP(J128,Listas!$B$21:$C$50,2,FALSE)</f>
        <v>600014</v>
      </c>
      <c r="L128">
        <v>-1</v>
      </c>
    </row>
    <row r="129" spans="1:12">
      <c r="A129">
        <v>116</v>
      </c>
      <c r="B129" t="s">
        <v>1604</v>
      </c>
      <c r="C129" s="96">
        <v>12138</v>
      </c>
      <c r="D129" t="s">
        <v>1506</v>
      </c>
      <c r="E129" s="96" t="s">
        <v>1467</v>
      </c>
      <c r="H129" t="s">
        <v>361</v>
      </c>
      <c r="I129">
        <f>VLOOKUP(H129,Listas!$B$2:$C$20,2,FALSE)</f>
        <v>500001</v>
      </c>
      <c r="J129" t="s">
        <v>147</v>
      </c>
      <c r="K129">
        <f>VLOOKUP(J129,Listas!$B$21:$C$50,2,FALSE)</f>
        <v>600014</v>
      </c>
      <c r="L129">
        <v>-1</v>
      </c>
    </row>
    <row r="130" spans="1:12">
      <c r="A130">
        <v>116</v>
      </c>
      <c r="B130" t="s">
        <v>1426</v>
      </c>
      <c r="C130" s="96">
        <v>12139</v>
      </c>
      <c r="D130" t="s">
        <v>217</v>
      </c>
      <c r="E130" s="96" t="s">
        <v>1467</v>
      </c>
      <c r="H130" t="s">
        <v>361</v>
      </c>
      <c r="I130">
        <f>VLOOKUP(H130,Listas!$B$2:$C$20,2,FALSE)</f>
        <v>500001</v>
      </c>
      <c r="J130" t="s">
        <v>147</v>
      </c>
      <c r="K130">
        <f>VLOOKUP(J130,Listas!$B$21:$C$50,2,FALSE)</f>
        <v>600014</v>
      </c>
      <c r="L130">
        <v>-1</v>
      </c>
    </row>
    <row r="131" spans="1:12">
      <c r="A131">
        <v>116</v>
      </c>
      <c r="B131" t="s">
        <v>1605</v>
      </c>
      <c r="C131" s="96">
        <v>121310</v>
      </c>
      <c r="D131" t="s">
        <v>1606</v>
      </c>
      <c r="E131" s="96" t="s">
        <v>1467</v>
      </c>
      <c r="H131" t="s">
        <v>361</v>
      </c>
      <c r="I131">
        <f>VLOOKUP(H131,Listas!$B$2:$C$20,2,FALSE)</f>
        <v>500001</v>
      </c>
      <c r="J131" t="s">
        <v>147</v>
      </c>
      <c r="K131">
        <f>VLOOKUP(J131,Listas!$B$21:$C$50,2,FALSE)</f>
        <v>600014</v>
      </c>
      <c r="L131">
        <v>-1</v>
      </c>
    </row>
    <row r="132" spans="1:12">
      <c r="A132">
        <v>116</v>
      </c>
      <c r="B132" t="s">
        <v>1607</v>
      </c>
      <c r="C132" s="96">
        <v>1213999</v>
      </c>
      <c r="D132" t="s">
        <v>1540</v>
      </c>
      <c r="E132" s="96" t="s">
        <v>1467</v>
      </c>
      <c r="H132" t="s">
        <v>361</v>
      </c>
      <c r="I132">
        <f>VLOOKUP(H132,Listas!$B$2:$C$20,2,FALSE)</f>
        <v>500001</v>
      </c>
      <c r="J132" t="s">
        <v>147</v>
      </c>
      <c r="K132">
        <f>VLOOKUP(J132,Listas!$B$21:$C$50,2,FALSE)</f>
        <v>600014</v>
      </c>
      <c r="L132">
        <v>-1</v>
      </c>
    </row>
    <row r="133" spans="1:12" s="336" customFormat="1">
      <c r="A133" s="336">
        <v>116</v>
      </c>
      <c r="B133" s="336" t="s">
        <v>1608</v>
      </c>
      <c r="C133" s="336">
        <v>1214</v>
      </c>
      <c r="D133" s="336" t="s">
        <v>601</v>
      </c>
      <c r="E133" s="337" t="s">
        <v>1462</v>
      </c>
    </row>
    <row r="134" spans="1:12">
      <c r="A134">
        <v>116</v>
      </c>
      <c r="B134" t="s">
        <v>1609</v>
      </c>
      <c r="C134" s="96">
        <v>12141</v>
      </c>
      <c r="D134" t="s">
        <v>1552</v>
      </c>
      <c r="E134" s="96" t="s">
        <v>1467</v>
      </c>
      <c r="H134" t="s">
        <v>361</v>
      </c>
      <c r="I134">
        <f>VLOOKUP(H134,Listas!$B$2:$C$20,2,FALSE)</f>
        <v>500001</v>
      </c>
      <c r="J134" t="s">
        <v>145</v>
      </c>
      <c r="K134">
        <f>VLOOKUP(J134,Listas!$B$21:$C$50,2,FALSE)</f>
        <v>600011</v>
      </c>
      <c r="L134">
        <v>-1</v>
      </c>
    </row>
    <row r="135" spans="1:12" s="336" customFormat="1">
      <c r="A135" s="336">
        <v>116</v>
      </c>
      <c r="B135" s="336" t="s">
        <v>1610</v>
      </c>
      <c r="C135" s="336">
        <v>1215</v>
      </c>
      <c r="D135" s="336" t="s">
        <v>1611</v>
      </c>
      <c r="E135" s="337" t="s">
        <v>1462</v>
      </c>
    </row>
    <row r="136" spans="1:12">
      <c r="A136">
        <v>116</v>
      </c>
      <c r="B136" t="s">
        <v>1612</v>
      </c>
      <c r="C136" s="96">
        <v>12151</v>
      </c>
      <c r="D136" t="s">
        <v>1613</v>
      </c>
      <c r="E136" s="96" t="s">
        <v>1467</v>
      </c>
      <c r="H136" t="s">
        <v>361</v>
      </c>
      <c r="I136">
        <f>VLOOKUP(H136,Listas!$B$2:$C$20,2,FALSE)</f>
        <v>500001</v>
      </c>
      <c r="J136" t="s">
        <v>145</v>
      </c>
      <c r="K136">
        <f>VLOOKUP(J136,Listas!$B$21:$C$50,2,FALSE)</f>
        <v>600011</v>
      </c>
      <c r="L136">
        <v>-1</v>
      </c>
    </row>
    <row r="137" spans="1:12" s="336" customFormat="1">
      <c r="A137" s="336">
        <v>116</v>
      </c>
      <c r="B137" s="336" t="s">
        <v>1614</v>
      </c>
      <c r="C137" s="336">
        <v>1216</v>
      </c>
      <c r="D137" s="336" t="s">
        <v>64</v>
      </c>
      <c r="E137" s="337" t="s">
        <v>1462</v>
      </c>
    </row>
    <row r="138" spans="1:12">
      <c r="A138">
        <v>116</v>
      </c>
      <c r="B138" t="s">
        <v>1615</v>
      </c>
      <c r="C138" s="96">
        <v>12161</v>
      </c>
      <c r="D138" t="s">
        <v>1616</v>
      </c>
      <c r="E138" s="96" t="s">
        <v>1467</v>
      </c>
      <c r="H138" t="s">
        <v>361</v>
      </c>
      <c r="I138">
        <f>VLOOKUP(H138,Listas!$B$2:$C$20,2,FALSE)</f>
        <v>500001</v>
      </c>
      <c r="J138" t="s">
        <v>57</v>
      </c>
      <c r="K138">
        <f>VLOOKUP(J138,Listas!$B$21:$C$50,2,FALSE)</f>
        <v>600012</v>
      </c>
      <c r="L138">
        <v>-1</v>
      </c>
    </row>
    <row r="139" spans="1:12">
      <c r="A139">
        <v>116</v>
      </c>
      <c r="B139" t="s">
        <v>1617</v>
      </c>
      <c r="C139" s="96">
        <v>12162</v>
      </c>
      <c r="D139" t="s">
        <v>1618</v>
      </c>
      <c r="E139" s="96" t="s">
        <v>1467</v>
      </c>
      <c r="H139" t="s">
        <v>361</v>
      </c>
      <c r="I139">
        <f>VLOOKUP(H139,Listas!$B$2:$C$20,2,FALSE)</f>
        <v>500001</v>
      </c>
      <c r="J139" t="s">
        <v>57</v>
      </c>
      <c r="K139">
        <f>VLOOKUP(J139,Listas!$B$21:$C$50,2,FALSE)</f>
        <v>600012</v>
      </c>
      <c r="L139">
        <v>-1</v>
      </c>
    </row>
    <row r="140" spans="1:12">
      <c r="A140">
        <v>116</v>
      </c>
      <c r="B140" t="s">
        <v>1619</v>
      </c>
      <c r="C140" s="96">
        <v>12163</v>
      </c>
      <c r="D140" t="s">
        <v>619</v>
      </c>
      <c r="E140" s="96" t="s">
        <v>1467</v>
      </c>
      <c r="H140" t="s">
        <v>361</v>
      </c>
      <c r="I140">
        <f>VLOOKUP(H140,Listas!$B$2:$C$20,2,FALSE)</f>
        <v>500001</v>
      </c>
      <c r="J140" t="s">
        <v>57</v>
      </c>
      <c r="K140">
        <f>VLOOKUP(J140,Listas!$B$21:$C$50,2,FALSE)</f>
        <v>600012</v>
      </c>
      <c r="L140">
        <v>-1</v>
      </c>
    </row>
    <row r="141" spans="1:12">
      <c r="A141">
        <v>116</v>
      </c>
      <c r="B141" t="s">
        <v>1620</v>
      </c>
      <c r="C141" s="96">
        <v>12164</v>
      </c>
      <c r="D141" t="s">
        <v>244</v>
      </c>
      <c r="E141" s="96" t="s">
        <v>1467</v>
      </c>
      <c r="H141" t="s">
        <v>361</v>
      </c>
      <c r="I141">
        <f>VLOOKUP(H141,Listas!$B$2:$C$20,2,FALSE)</f>
        <v>500001</v>
      </c>
      <c r="J141" t="s">
        <v>57</v>
      </c>
      <c r="K141">
        <f>VLOOKUP(J141,Listas!$B$21:$C$50,2,FALSE)</f>
        <v>600012</v>
      </c>
      <c r="L141">
        <v>-1</v>
      </c>
    </row>
    <row r="142" spans="1:12">
      <c r="A142">
        <v>116</v>
      </c>
      <c r="B142" t="s">
        <v>1621</v>
      </c>
      <c r="C142" s="96">
        <v>12165</v>
      </c>
      <c r="D142" t="s">
        <v>406</v>
      </c>
      <c r="E142" s="96" t="s">
        <v>1467</v>
      </c>
      <c r="H142" t="s">
        <v>361</v>
      </c>
      <c r="I142">
        <f>VLOOKUP(H142,Listas!$B$2:$C$20,2,FALSE)</f>
        <v>500001</v>
      </c>
      <c r="J142" t="s">
        <v>57</v>
      </c>
      <c r="K142">
        <f>VLOOKUP(J142,Listas!$B$21:$C$50,2,FALSE)</f>
        <v>600012</v>
      </c>
      <c r="L142">
        <v>-1</v>
      </c>
    </row>
    <row r="143" spans="1:12">
      <c r="A143">
        <v>116</v>
      </c>
      <c r="B143" t="s">
        <v>1622</v>
      </c>
      <c r="C143" s="96">
        <v>121699</v>
      </c>
      <c r="D143" t="s">
        <v>1587</v>
      </c>
      <c r="E143" s="96" t="s">
        <v>1467</v>
      </c>
      <c r="H143" t="s">
        <v>361</v>
      </c>
      <c r="I143">
        <f>VLOOKUP(H143,Listas!$B$2:$C$20,2,FALSE)</f>
        <v>500001</v>
      </c>
      <c r="J143" t="s">
        <v>57</v>
      </c>
      <c r="K143">
        <f>VLOOKUP(J143,Listas!$B$21:$C$50,2,FALSE)</f>
        <v>600012</v>
      </c>
      <c r="L143">
        <v>-1</v>
      </c>
    </row>
    <row r="144" spans="1:12" s="336" customFormat="1">
      <c r="A144" s="336">
        <v>116</v>
      </c>
      <c r="B144" s="336" t="s">
        <v>631</v>
      </c>
      <c r="C144" s="336">
        <v>1217</v>
      </c>
      <c r="D144" s="336" t="s">
        <v>632</v>
      </c>
      <c r="E144" s="337" t="s">
        <v>1462</v>
      </c>
    </row>
    <row r="145" spans="1:12">
      <c r="A145">
        <v>116</v>
      </c>
      <c r="B145" t="s">
        <v>633</v>
      </c>
      <c r="C145" s="96">
        <v>12171</v>
      </c>
      <c r="D145" t="s">
        <v>634</v>
      </c>
      <c r="E145" s="96" t="s">
        <v>1467</v>
      </c>
      <c r="H145" t="s">
        <v>361</v>
      </c>
      <c r="I145">
        <f>VLOOKUP(H145,Listas!$B$2:$C$20,2,FALSE)</f>
        <v>500001</v>
      </c>
      <c r="J145" t="s">
        <v>59</v>
      </c>
      <c r="K145">
        <f>VLOOKUP(J145,Listas!$B$21:$C$50,2,FALSE)</f>
        <v>600016</v>
      </c>
      <c r="L145">
        <v>-1</v>
      </c>
    </row>
    <row r="146" spans="1:12">
      <c r="A146">
        <v>116</v>
      </c>
      <c r="B146" t="s">
        <v>1623</v>
      </c>
      <c r="C146" s="96">
        <v>12172</v>
      </c>
      <c r="D146" t="s">
        <v>1560</v>
      </c>
      <c r="E146" s="96" t="s">
        <v>1467</v>
      </c>
      <c r="H146" t="s">
        <v>361</v>
      </c>
      <c r="I146">
        <f>VLOOKUP(H146,Listas!$B$2:$C$20,2,FALSE)</f>
        <v>500001</v>
      </c>
      <c r="J146" t="s">
        <v>59</v>
      </c>
      <c r="K146">
        <f>VLOOKUP(J146,Listas!$B$21:$C$50,2,FALSE)</f>
        <v>600016</v>
      </c>
      <c r="L146">
        <v>-1</v>
      </c>
    </row>
    <row r="147" spans="1:12" s="336" customFormat="1">
      <c r="A147" s="336">
        <v>116</v>
      </c>
      <c r="B147" s="336" t="s">
        <v>63</v>
      </c>
      <c r="C147" s="336">
        <v>1218</v>
      </c>
      <c r="D147" s="336" t="s">
        <v>635</v>
      </c>
      <c r="E147" s="337" t="s">
        <v>1462</v>
      </c>
    </row>
    <row r="148" spans="1:12">
      <c r="A148">
        <v>116</v>
      </c>
      <c r="B148" t="s">
        <v>636</v>
      </c>
      <c r="C148" s="96">
        <v>12181</v>
      </c>
      <c r="D148" t="s">
        <v>637</v>
      </c>
      <c r="E148" s="96" t="s">
        <v>1467</v>
      </c>
      <c r="H148" t="s">
        <v>361</v>
      </c>
      <c r="I148">
        <f>VLOOKUP(H148,Listas!$B$2:$C$20,2,FALSE)</f>
        <v>500001</v>
      </c>
      <c r="J148" t="s">
        <v>146</v>
      </c>
      <c r="K148">
        <f>VLOOKUP(J148,Listas!$B$21:$C$50,2,FALSE)</f>
        <v>600013</v>
      </c>
      <c r="L148">
        <v>-1</v>
      </c>
    </row>
    <row r="149" spans="1:12">
      <c r="A149">
        <v>116</v>
      </c>
      <c r="B149" t="s">
        <v>638</v>
      </c>
      <c r="C149" s="96">
        <v>12182</v>
      </c>
      <c r="D149" t="s">
        <v>639</v>
      </c>
      <c r="E149" s="96" t="s">
        <v>1467</v>
      </c>
      <c r="H149" t="s">
        <v>361</v>
      </c>
      <c r="I149">
        <f>VLOOKUP(H149,Listas!$B$2:$C$20,2,FALSE)</f>
        <v>500001</v>
      </c>
      <c r="J149" t="s">
        <v>146</v>
      </c>
      <c r="K149">
        <f>VLOOKUP(J149,Listas!$B$21:$C$50,2,FALSE)</f>
        <v>600013</v>
      </c>
      <c r="L149">
        <v>-1</v>
      </c>
    </row>
    <row r="150" spans="1:12">
      <c r="A150">
        <v>116</v>
      </c>
      <c r="B150" t="s">
        <v>640</v>
      </c>
      <c r="C150" s="96">
        <v>12183</v>
      </c>
      <c r="D150" t="s">
        <v>641</v>
      </c>
      <c r="E150" s="96" t="s">
        <v>1467</v>
      </c>
      <c r="H150" t="s">
        <v>361</v>
      </c>
      <c r="I150">
        <f>VLOOKUP(H150,Listas!$B$2:$C$20,2,FALSE)</f>
        <v>500001</v>
      </c>
      <c r="J150" t="s">
        <v>146</v>
      </c>
      <c r="K150">
        <f>VLOOKUP(J150,Listas!$B$21:$C$50,2,FALSE)</f>
        <v>600013</v>
      </c>
      <c r="L150">
        <v>-1</v>
      </c>
    </row>
    <row r="151" spans="1:12" s="336" customFormat="1">
      <c r="A151" s="336">
        <v>116</v>
      </c>
      <c r="B151" s="336" t="s">
        <v>1624</v>
      </c>
      <c r="C151" s="336">
        <v>12199</v>
      </c>
      <c r="D151" s="336" t="s">
        <v>608</v>
      </c>
      <c r="E151" s="337" t="s">
        <v>1462</v>
      </c>
    </row>
    <row r="152" spans="1:12">
      <c r="A152">
        <v>116</v>
      </c>
      <c r="B152" t="s">
        <v>1625</v>
      </c>
      <c r="C152" s="96">
        <v>121991</v>
      </c>
      <c r="D152" t="s">
        <v>1577</v>
      </c>
      <c r="E152" s="96" t="s">
        <v>1467</v>
      </c>
      <c r="H152" t="s">
        <v>361</v>
      </c>
      <c r="I152">
        <f>VLOOKUP(H152,Listas!$B$2:$C$20,2,FALSE)</f>
        <v>500001</v>
      </c>
      <c r="J152" t="s">
        <v>146</v>
      </c>
      <c r="K152">
        <f>VLOOKUP(J152,Listas!$B$21:$C$50,2,FALSE)</f>
        <v>600013</v>
      </c>
      <c r="L152">
        <v>-1</v>
      </c>
    </row>
    <row r="153" spans="1:12">
      <c r="A153">
        <v>116</v>
      </c>
      <c r="B153" t="s">
        <v>1626</v>
      </c>
      <c r="C153" s="96">
        <v>12199999</v>
      </c>
      <c r="D153" t="s">
        <v>612</v>
      </c>
      <c r="E153" s="96" t="s">
        <v>1467</v>
      </c>
      <c r="H153" t="s">
        <v>361</v>
      </c>
      <c r="I153">
        <f>VLOOKUP(H153,Listas!$B$2:$C$20,2,FALSE)</f>
        <v>500001</v>
      </c>
      <c r="J153" t="s">
        <v>59</v>
      </c>
      <c r="K153">
        <f>VLOOKUP(J153,Listas!$B$21:$C$50,2,FALSE)</f>
        <v>600016</v>
      </c>
      <c r="L153">
        <v>-1</v>
      </c>
    </row>
    <row r="154" spans="1:12" s="336" customFormat="1">
      <c r="A154" s="336">
        <v>116</v>
      </c>
      <c r="B154" s="336" t="s">
        <v>1627</v>
      </c>
      <c r="C154" s="336">
        <v>122</v>
      </c>
      <c r="D154" s="336" t="s">
        <v>1628</v>
      </c>
      <c r="E154" s="337" t="s">
        <v>1462</v>
      </c>
    </row>
    <row r="155" spans="1:12" s="336" customFormat="1">
      <c r="A155" s="336">
        <v>116</v>
      </c>
      <c r="B155" s="336" t="s">
        <v>1629</v>
      </c>
      <c r="C155" s="336">
        <v>1221</v>
      </c>
      <c r="D155" s="336" t="s">
        <v>1630</v>
      </c>
      <c r="E155" s="337" t="s">
        <v>1462</v>
      </c>
    </row>
    <row r="156" spans="1:12">
      <c r="A156">
        <v>116</v>
      </c>
      <c r="B156" t="s">
        <v>1631</v>
      </c>
      <c r="C156" s="96">
        <v>12211</v>
      </c>
      <c r="D156" t="s">
        <v>1632</v>
      </c>
      <c r="E156" s="96" t="s">
        <v>1467</v>
      </c>
      <c r="H156" t="s">
        <v>361</v>
      </c>
      <c r="I156">
        <f>VLOOKUP(H156,Listas!$B$2:$C$20,2,FALSE)</f>
        <v>500001</v>
      </c>
      <c r="J156" t="s">
        <v>59</v>
      </c>
      <c r="K156">
        <f>VLOOKUP(J156,Listas!$B$21:$C$50,2,FALSE)</f>
        <v>600016</v>
      </c>
      <c r="L156">
        <v>-1</v>
      </c>
    </row>
    <row r="157" spans="1:12">
      <c r="A157">
        <v>116</v>
      </c>
      <c r="B157" t="s">
        <v>1633</v>
      </c>
      <c r="C157" s="96">
        <v>12212</v>
      </c>
      <c r="D157" t="s">
        <v>1634</v>
      </c>
      <c r="E157" s="96" t="s">
        <v>1467</v>
      </c>
      <c r="H157" t="s">
        <v>361</v>
      </c>
      <c r="I157">
        <f>VLOOKUP(H157,Listas!$B$2:$C$20,2,FALSE)</f>
        <v>500001</v>
      </c>
      <c r="J157" t="s">
        <v>59</v>
      </c>
      <c r="K157">
        <f>VLOOKUP(J157,Listas!$B$21:$C$50,2,FALSE)</f>
        <v>600016</v>
      </c>
      <c r="L157">
        <v>-1</v>
      </c>
    </row>
    <row r="158" spans="1:12" s="336" customFormat="1">
      <c r="A158" s="336">
        <v>116</v>
      </c>
      <c r="B158" s="336" t="s">
        <v>1635</v>
      </c>
      <c r="C158" s="336">
        <v>1222</v>
      </c>
      <c r="D158" s="336" t="s">
        <v>1636</v>
      </c>
      <c r="E158" s="337" t="s">
        <v>1462</v>
      </c>
    </row>
    <row r="159" spans="1:12">
      <c r="A159">
        <v>116</v>
      </c>
      <c r="B159" t="s">
        <v>1637</v>
      </c>
      <c r="C159" s="96">
        <v>12221</v>
      </c>
      <c r="D159" t="s">
        <v>1638</v>
      </c>
      <c r="E159" s="96" t="s">
        <v>1467</v>
      </c>
      <c r="H159" t="s">
        <v>361</v>
      </c>
      <c r="I159">
        <f>VLOOKUP(H159,Listas!$B$2:$C$20,2,FALSE)</f>
        <v>500001</v>
      </c>
      <c r="J159" t="s">
        <v>59</v>
      </c>
      <c r="K159">
        <f>VLOOKUP(J159,Listas!$B$21:$C$50,2,FALSE)</f>
        <v>600016</v>
      </c>
      <c r="L159">
        <v>-1</v>
      </c>
    </row>
    <row r="160" spans="1:12">
      <c r="A160">
        <v>116</v>
      </c>
      <c r="B160" t="s">
        <v>1639</v>
      </c>
      <c r="C160" s="96">
        <v>12222</v>
      </c>
      <c r="D160" t="s">
        <v>1640</v>
      </c>
      <c r="E160" s="96" t="s">
        <v>1467</v>
      </c>
      <c r="H160" t="s">
        <v>361</v>
      </c>
      <c r="I160">
        <f>VLOOKUP(H160,Listas!$B$2:$C$20,2,FALSE)</f>
        <v>500001</v>
      </c>
      <c r="J160" t="s">
        <v>59</v>
      </c>
      <c r="K160">
        <f>VLOOKUP(J160,Listas!$B$21:$C$50,2,FALSE)</f>
        <v>600016</v>
      </c>
      <c r="L160">
        <v>-1</v>
      </c>
    </row>
    <row r="161" spans="1:12" s="336" customFormat="1">
      <c r="A161" s="336">
        <v>116</v>
      </c>
      <c r="B161" s="336" t="s">
        <v>66</v>
      </c>
      <c r="C161" s="336">
        <v>123</v>
      </c>
      <c r="D161" s="336" t="s">
        <v>534</v>
      </c>
      <c r="E161" s="337" t="s">
        <v>1462</v>
      </c>
    </row>
    <row r="162" spans="1:12" s="336" customFormat="1">
      <c r="A162" s="336">
        <v>116</v>
      </c>
      <c r="B162" s="336" t="s">
        <v>642</v>
      </c>
      <c r="C162" s="336">
        <v>1231</v>
      </c>
      <c r="D162" s="336" t="s">
        <v>643</v>
      </c>
      <c r="E162" s="337" t="s">
        <v>1462</v>
      </c>
    </row>
    <row r="163" spans="1:12">
      <c r="A163">
        <v>116</v>
      </c>
      <c r="B163" t="s">
        <v>1641</v>
      </c>
      <c r="C163" s="96">
        <v>12311</v>
      </c>
      <c r="D163" t="s">
        <v>1640</v>
      </c>
      <c r="E163" s="96" t="s">
        <v>1467</v>
      </c>
      <c r="H163" t="s">
        <v>361</v>
      </c>
      <c r="I163">
        <f>VLOOKUP(H163,Listas!$B$2:$C$20,2,FALSE)</f>
        <v>500001</v>
      </c>
      <c r="J163" t="s">
        <v>161</v>
      </c>
      <c r="K163">
        <f>VLOOKUP(J163,Listas!$B$21:$C$50,2,FALSE)</f>
        <v>600024</v>
      </c>
      <c r="L163">
        <v>-1</v>
      </c>
    </row>
    <row r="164" spans="1:12">
      <c r="A164">
        <v>116</v>
      </c>
      <c r="B164" t="s">
        <v>1642</v>
      </c>
      <c r="C164" s="96">
        <v>12312</v>
      </c>
      <c r="D164" t="s">
        <v>1643</v>
      </c>
      <c r="E164" s="96" t="s">
        <v>1467</v>
      </c>
      <c r="H164" t="s">
        <v>361</v>
      </c>
      <c r="I164">
        <f>VLOOKUP(H164,Listas!$B$2:$C$20,2,FALSE)</f>
        <v>500001</v>
      </c>
      <c r="J164" t="s">
        <v>161</v>
      </c>
      <c r="K164">
        <f>VLOOKUP(J164,Listas!$B$21:$C$50,2,FALSE)</f>
        <v>600024</v>
      </c>
      <c r="L164">
        <v>-1</v>
      </c>
    </row>
    <row r="165" spans="1:12">
      <c r="A165">
        <v>116</v>
      </c>
      <c r="B165" t="s">
        <v>644</v>
      </c>
      <c r="C165" s="96">
        <v>12313</v>
      </c>
      <c r="D165" t="s">
        <v>260</v>
      </c>
      <c r="E165" s="96" t="s">
        <v>1467</v>
      </c>
      <c r="H165" t="s">
        <v>361</v>
      </c>
      <c r="I165">
        <f>VLOOKUP(H165,Listas!$B$2:$C$20,2,FALSE)</f>
        <v>500001</v>
      </c>
      <c r="J165" t="s">
        <v>161</v>
      </c>
      <c r="K165">
        <f>VLOOKUP(J165,Listas!$B$21:$C$50,2,FALSE)</f>
        <v>600024</v>
      </c>
      <c r="L165">
        <v>-1</v>
      </c>
    </row>
    <row r="166" spans="1:12">
      <c r="A166">
        <v>116</v>
      </c>
      <c r="B166" t="s">
        <v>645</v>
      </c>
      <c r="C166" s="96">
        <v>12314</v>
      </c>
      <c r="D166" t="s">
        <v>414</v>
      </c>
      <c r="E166" s="96" t="s">
        <v>1467</v>
      </c>
      <c r="H166" t="s">
        <v>361</v>
      </c>
      <c r="I166">
        <f>VLOOKUP(H166,Listas!$B$2:$C$20,2,FALSE)</f>
        <v>500001</v>
      </c>
      <c r="J166" t="s">
        <v>161</v>
      </c>
      <c r="K166">
        <f>VLOOKUP(J166,Listas!$B$21:$C$50,2,FALSE)</f>
        <v>600024</v>
      </c>
      <c r="L166">
        <v>-1</v>
      </c>
    </row>
    <row r="167" spans="1:12">
      <c r="A167">
        <v>116</v>
      </c>
      <c r="B167" t="s">
        <v>646</v>
      </c>
      <c r="C167" s="96">
        <v>12315</v>
      </c>
      <c r="D167" t="s">
        <v>415</v>
      </c>
      <c r="E167" s="96" t="s">
        <v>1467</v>
      </c>
      <c r="H167" t="s">
        <v>361</v>
      </c>
      <c r="I167">
        <f>VLOOKUP(H167,Listas!$B$2:$C$20,2,FALSE)</f>
        <v>500001</v>
      </c>
      <c r="J167" t="s">
        <v>161</v>
      </c>
      <c r="K167">
        <f>VLOOKUP(J167,Listas!$B$21:$C$50,2,FALSE)</f>
        <v>600024</v>
      </c>
      <c r="L167">
        <v>-1</v>
      </c>
    </row>
    <row r="168" spans="1:12">
      <c r="A168">
        <v>116</v>
      </c>
      <c r="B168" t="s">
        <v>647</v>
      </c>
      <c r="C168" s="96">
        <v>12317</v>
      </c>
      <c r="D168" t="s">
        <v>416</v>
      </c>
      <c r="E168" s="96" t="s">
        <v>1467</v>
      </c>
      <c r="H168" t="s">
        <v>361</v>
      </c>
      <c r="I168">
        <f>VLOOKUP(H168,Listas!$B$2:$C$20,2,FALSE)</f>
        <v>500001</v>
      </c>
      <c r="J168" t="s">
        <v>161</v>
      </c>
      <c r="K168">
        <f>VLOOKUP(J168,Listas!$B$21:$C$50,2,FALSE)</f>
        <v>600024</v>
      </c>
      <c r="L168">
        <v>-1</v>
      </c>
    </row>
    <row r="169" spans="1:12">
      <c r="A169">
        <v>116</v>
      </c>
      <c r="B169" t="s">
        <v>1644</v>
      </c>
      <c r="C169" s="96">
        <v>12318</v>
      </c>
      <c r="D169" t="s">
        <v>1645</v>
      </c>
      <c r="E169" s="96" t="s">
        <v>1467</v>
      </c>
      <c r="H169" t="s">
        <v>361</v>
      </c>
      <c r="I169">
        <f>VLOOKUP(H169,Listas!$B$2:$C$20,2,FALSE)</f>
        <v>500001</v>
      </c>
      <c r="J169" t="s">
        <v>161</v>
      </c>
      <c r="K169">
        <f>VLOOKUP(J169,Listas!$B$21:$C$50,2,FALSE)</f>
        <v>600024</v>
      </c>
      <c r="L169">
        <v>-1</v>
      </c>
    </row>
    <row r="170" spans="1:12">
      <c r="A170">
        <v>116</v>
      </c>
      <c r="B170" t="s">
        <v>1646</v>
      </c>
      <c r="C170" s="96">
        <v>12319</v>
      </c>
      <c r="D170" t="s">
        <v>1647</v>
      </c>
      <c r="E170" s="96" t="s">
        <v>1467</v>
      </c>
      <c r="H170" t="s">
        <v>361</v>
      </c>
      <c r="I170">
        <f>VLOOKUP(H170,Listas!$B$2:$C$20,2,FALSE)</f>
        <v>500001</v>
      </c>
      <c r="J170" t="s">
        <v>161</v>
      </c>
      <c r="K170">
        <f>VLOOKUP(J170,Listas!$B$21:$C$50,2,FALSE)</f>
        <v>600024</v>
      </c>
      <c r="L170">
        <v>-1</v>
      </c>
    </row>
    <row r="171" spans="1:12">
      <c r="A171">
        <v>116</v>
      </c>
      <c r="B171" t="s">
        <v>1648</v>
      </c>
      <c r="C171" s="96">
        <v>123111</v>
      </c>
      <c r="D171" t="s">
        <v>1649</v>
      </c>
      <c r="E171" s="96" t="s">
        <v>1467</v>
      </c>
      <c r="H171" t="s">
        <v>361</v>
      </c>
      <c r="I171">
        <f>VLOOKUP(H171,Listas!$B$2:$C$20,2,FALSE)</f>
        <v>500001</v>
      </c>
      <c r="J171" t="s">
        <v>161</v>
      </c>
      <c r="K171">
        <f>VLOOKUP(J171,Listas!$B$21:$C$50,2,FALSE)</f>
        <v>600024</v>
      </c>
      <c r="L171">
        <v>-1</v>
      </c>
    </row>
    <row r="172" spans="1:12">
      <c r="A172">
        <v>116</v>
      </c>
      <c r="B172" t="s">
        <v>1650</v>
      </c>
      <c r="C172" s="96">
        <v>123112</v>
      </c>
      <c r="D172" t="s">
        <v>1651</v>
      </c>
      <c r="E172" s="96" t="s">
        <v>1467</v>
      </c>
      <c r="H172" t="s">
        <v>361</v>
      </c>
      <c r="I172">
        <f>VLOOKUP(H172,Listas!$B$2:$C$20,2,FALSE)</f>
        <v>500001</v>
      </c>
      <c r="J172" t="s">
        <v>161</v>
      </c>
      <c r="K172">
        <f>VLOOKUP(J172,Listas!$B$21:$C$50,2,FALSE)</f>
        <v>600024</v>
      </c>
      <c r="L172">
        <v>-1</v>
      </c>
    </row>
    <row r="173" spans="1:12" s="336" customFormat="1">
      <c r="A173" s="336">
        <v>116</v>
      </c>
      <c r="B173" s="336" t="s">
        <v>1652</v>
      </c>
      <c r="C173" s="336">
        <v>1232</v>
      </c>
      <c r="D173" s="336" t="s">
        <v>643</v>
      </c>
      <c r="E173" s="337" t="s">
        <v>1462</v>
      </c>
    </row>
    <row r="174" spans="1:12" s="336" customFormat="1">
      <c r="A174" s="336">
        <v>116</v>
      </c>
      <c r="B174" s="336" t="s">
        <v>1653</v>
      </c>
      <c r="C174" s="336">
        <v>12397</v>
      </c>
      <c r="D174" s="336" t="s">
        <v>1654</v>
      </c>
      <c r="E174" s="337" t="s">
        <v>1462</v>
      </c>
    </row>
    <row r="175" spans="1:12">
      <c r="A175">
        <v>116</v>
      </c>
      <c r="B175" t="s">
        <v>1655</v>
      </c>
      <c r="C175" s="96">
        <v>123971</v>
      </c>
      <c r="D175" t="s">
        <v>1654</v>
      </c>
      <c r="E175" s="96" t="s">
        <v>1467</v>
      </c>
      <c r="H175" t="s">
        <v>361</v>
      </c>
      <c r="I175">
        <f>VLOOKUP(H175,Listas!$B$2:$C$20,2,FALSE)</f>
        <v>500001</v>
      </c>
      <c r="J175" t="s">
        <v>135</v>
      </c>
      <c r="K175">
        <f>VLOOKUP(J175,Listas!$B$21:$C$50,2,FALSE)</f>
        <v>600005</v>
      </c>
      <c r="L175">
        <v>-1</v>
      </c>
    </row>
    <row r="176" spans="1:12" s="336" customFormat="1">
      <c r="A176" s="336">
        <v>116</v>
      </c>
      <c r="B176" s="336" t="s">
        <v>648</v>
      </c>
      <c r="C176" s="336">
        <v>12398</v>
      </c>
      <c r="D176" s="336" t="s">
        <v>649</v>
      </c>
      <c r="E176" s="337" t="s">
        <v>1462</v>
      </c>
    </row>
    <row r="177" spans="1:12">
      <c r="A177">
        <v>116</v>
      </c>
      <c r="B177" t="s">
        <v>1656</v>
      </c>
      <c r="C177" s="96">
        <v>123981</v>
      </c>
      <c r="D177" t="s">
        <v>1657</v>
      </c>
      <c r="E177" s="96" t="s">
        <v>1467</v>
      </c>
      <c r="H177" t="s">
        <v>361</v>
      </c>
      <c r="I177">
        <f>VLOOKUP(H177,Listas!$B$2:$C$20,2,FALSE)</f>
        <v>500001</v>
      </c>
      <c r="J177" t="s">
        <v>135</v>
      </c>
      <c r="K177">
        <f>VLOOKUP(J177,Listas!$B$21:$C$50,2,FALSE)</f>
        <v>600005</v>
      </c>
      <c r="L177">
        <v>-1</v>
      </c>
    </row>
    <row r="178" spans="1:12">
      <c r="A178">
        <v>116</v>
      </c>
      <c r="B178" t="s">
        <v>650</v>
      </c>
      <c r="C178" s="96">
        <v>123982</v>
      </c>
      <c r="D178" t="s">
        <v>651</v>
      </c>
      <c r="E178" s="96" t="s">
        <v>1467</v>
      </c>
      <c r="H178" t="s">
        <v>361</v>
      </c>
      <c r="I178">
        <f>VLOOKUP(H178,Listas!$B$2:$C$20,2,FALSE)</f>
        <v>500001</v>
      </c>
      <c r="J178" t="s">
        <v>135</v>
      </c>
      <c r="K178">
        <f>VLOOKUP(J178,Listas!$B$21:$C$50,2,FALSE)</f>
        <v>600005</v>
      </c>
      <c r="L178">
        <v>-1</v>
      </c>
    </row>
    <row r="179" spans="1:12">
      <c r="A179">
        <v>116</v>
      </c>
      <c r="B179" t="s">
        <v>652</v>
      </c>
      <c r="C179" s="96">
        <v>123983</v>
      </c>
      <c r="D179" t="s">
        <v>653</v>
      </c>
      <c r="E179" s="96" t="s">
        <v>1467</v>
      </c>
      <c r="H179" t="s">
        <v>361</v>
      </c>
      <c r="I179">
        <f>VLOOKUP(H179,Listas!$B$2:$C$20,2,FALSE)</f>
        <v>500001</v>
      </c>
      <c r="J179" t="s">
        <v>135</v>
      </c>
      <c r="K179">
        <f>VLOOKUP(J179,Listas!$B$21:$C$50,2,FALSE)</f>
        <v>600005</v>
      </c>
      <c r="L179">
        <v>-1</v>
      </c>
    </row>
    <row r="180" spans="1:12">
      <c r="A180">
        <v>116</v>
      </c>
      <c r="B180" t="s">
        <v>654</v>
      </c>
      <c r="C180" s="96">
        <v>123984</v>
      </c>
      <c r="D180" t="s">
        <v>655</v>
      </c>
      <c r="E180" s="96" t="s">
        <v>1467</v>
      </c>
      <c r="H180" t="s">
        <v>361</v>
      </c>
      <c r="I180">
        <f>VLOOKUP(H180,Listas!$B$2:$C$20,2,FALSE)</f>
        <v>500001</v>
      </c>
      <c r="J180" t="s">
        <v>135</v>
      </c>
      <c r="K180">
        <f>VLOOKUP(J180,Listas!$B$21:$C$50,2,FALSE)</f>
        <v>600005</v>
      </c>
      <c r="L180">
        <v>-1</v>
      </c>
    </row>
    <row r="181" spans="1:12">
      <c r="A181">
        <v>116</v>
      </c>
      <c r="B181" t="s">
        <v>1658</v>
      </c>
      <c r="C181" s="96">
        <v>123985</v>
      </c>
      <c r="D181" t="s">
        <v>1659</v>
      </c>
      <c r="E181" s="96" t="s">
        <v>1467</v>
      </c>
      <c r="H181" t="s">
        <v>361</v>
      </c>
      <c r="I181">
        <f>VLOOKUP(H181,Listas!$B$2:$C$20,2,FALSE)</f>
        <v>500001</v>
      </c>
      <c r="J181" t="s">
        <v>135</v>
      </c>
      <c r="K181">
        <f>VLOOKUP(J181,Listas!$B$21:$C$50,2,FALSE)</f>
        <v>600005</v>
      </c>
      <c r="L181">
        <v>-1</v>
      </c>
    </row>
    <row r="182" spans="1:12">
      <c r="A182">
        <v>116</v>
      </c>
      <c r="B182" t="s">
        <v>656</v>
      </c>
      <c r="C182" s="96">
        <v>123986</v>
      </c>
      <c r="D182" t="s">
        <v>657</v>
      </c>
      <c r="E182" s="96" t="s">
        <v>1467</v>
      </c>
      <c r="H182" t="s">
        <v>361</v>
      </c>
      <c r="I182">
        <f>VLOOKUP(H182,Listas!$B$2:$C$20,2,FALSE)</f>
        <v>500001</v>
      </c>
      <c r="J182" t="s">
        <v>135</v>
      </c>
      <c r="K182">
        <f>VLOOKUP(J182,Listas!$B$21:$C$50,2,FALSE)</f>
        <v>600005</v>
      </c>
      <c r="L182">
        <v>-1</v>
      </c>
    </row>
    <row r="183" spans="1:12">
      <c r="A183">
        <v>116</v>
      </c>
      <c r="B183" t="s">
        <v>1660</v>
      </c>
      <c r="C183" s="96">
        <v>123987</v>
      </c>
      <c r="D183" t="s">
        <v>1661</v>
      </c>
      <c r="E183" s="96" t="s">
        <v>1467</v>
      </c>
      <c r="H183" t="s">
        <v>361</v>
      </c>
      <c r="I183">
        <f>VLOOKUP(H183,Listas!$B$2:$C$20,2,FALSE)</f>
        <v>500001</v>
      </c>
      <c r="J183" t="s">
        <v>135</v>
      </c>
      <c r="K183">
        <f>VLOOKUP(J183,Listas!$B$21:$C$50,2,FALSE)</f>
        <v>600005</v>
      </c>
      <c r="L183">
        <v>-1</v>
      </c>
    </row>
    <row r="184" spans="1:12">
      <c r="A184">
        <v>116</v>
      </c>
      <c r="B184" t="s">
        <v>1662</v>
      </c>
      <c r="C184" s="96">
        <v>123988</v>
      </c>
      <c r="D184" t="s">
        <v>1663</v>
      </c>
      <c r="E184" s="96" t="s">
        <v>1467</v>
      </c>
      <c r="H184" t="s">
        <v>361</v>
      </c>
      <c r="I184">
        <f>VLOOKUP(H184,Listas!$B$2:$C$20,2,FALSE)</f>
        <v>500001</v>
      </c>
      <c r="J184" t="s">
        <v>135</v>
      </c>
      <c r="K184">
        <f>VLOOKUP(J184,Listas!$B$21:$C$50,2,FALSE)</f>
        <v>600005</v>
      </c>
      <c r="L184">
        <v>-1</v>
      </c>
    </row>
    <row r="185" spans="1:12">
      <c r="A185">
        <v>116</v>
      </c>
      <c r="B185" t="s">
        <v>1664</v>
      </c>
      <c r="C185" s="96">
        <v>1239810</v>
      </c>
      <c r="D185" t="s">
        <v>1665</v>
      </c>
      <c r="E185" s="96" t="s">
        <v>1467</v>
      </c>
      <c r="H185" t="s">
        <v>361</v>
      </c>
      <c r="I185">
        <f>VLOOKUP(H185,Listas!$B$2:$C$20,2,FALSE)</f>
        <v>500001</v>
      </c>
      <c r="J185" t="s">
        <v>135</v>
      </c>
      <c r="K185">
        <f>VLOOKUP(J185,Listas!$B$21:$C$50,2,FALSE)</f>
        <v>600005</v>
      </c>
      <c r="L185">
        <v>-1</v>
      </c>
    </row>
    <row r="186" spans="1:12" s="336" customFormat="1">
      <c r="A186" s="336">
        <v>116</v>
      </c>
      <c r="B186" s="336" t="s">
        <v>1666</v>
      </c>
      <c r="C186" s="336">
        <v>12399</v>
      </c>
      <c r="D186" s="336" t="s">
        <v>1667</v>
      </c>
      <c r="E186" s="337" t="s">
        <v>1462</v>
      </c>
    </row>
    <row r="187" spans="1:12" s="336" customFormat="1">
      <c r="A187" s="336">
        <v>116</v>
      </c>
      <c r="B187" s="336" t="s">
        <v>70</v>
      </c>
      <c r="C187" s="336">
        <v>124</v>
      </c>
      <c r="D187" s="336" t="s">
        <v>658</v>
      </c>
      <c r="E187" s="337" t="s">
        <v>1462</v>
      </c>
    </row>
    <row r="188" spans="1:12" s="336" customFormat="1">
      <c r="A188" s="336">
        <v>116</v>
      </c>
      <c r="B188" s="336" t="s">
        <v>659</v>
      </c>
      <c r="C188" s="336">
        <v>1241</v>
      </c>
      <c r="D188" s="336" t="s">
        <v>434</v>
      </c>
      <c r="E188" s="337" t="s">
        <v>1462</v>
      </c>
    </row>
    <row r="189" spans="1:12">
      <c r="A189">
        <v>116</v>
      </c>
      <c r="B189" t="s">
        <v>660</v>
      </c>
      <c r="C189" s="96">
        <v>124101</v>
      </c>
      <c r="D189" t="s">
        <v>434</v>
      </c>
      <c r="E189" s="96" t="s">
        <v>1467</v>
      </c>
      <c r="H189" t="s">
        <v>361</v>
      </c>
      <c r="I189">
        <f>VLOOKUP(H189,Listas!$B$2:$C$20,2,FALSE)</f>
        <v>500001</v>
      </c>
      <c r="J189" t="s">
        <v>160</v>
      </c>
      <c r="K189">
        <f>VLOOKUP(J189,Listas!$B$21:$C$50,2,FALSE)</f>
        <v>600023</v>
      </c>
      <c r="L189">
        <v>-1</v>
      </c>
    </row>
    <row r="190" spans="1:12">
      <c r="A190">
        <v>116</v>
      </c>
      <c r="B190" t="s">
        <v>1668</v>
      </c>
      <c r="C190" s="96">
        <v>123110</v>
      </c>
      <c r="D190" t="s">
        <v>1669</v>
      </c>
      <c r="E190" s="96" t="s">
        <v>1467</v>
      </c>
      <c r="H190" t="s">
        <v>361</v>
      </c>
      <c r="I190">
        <f>VLOOKUP(H190,Listas!$B$2:$C$20,2,FALSE)</f>
        <v>500001</v>
      </c>
      <c r="J190" t="s">
        <v>160</v>
      </c>
      <c r="K190">
        <f>VLOOKUP(J190,Listas!$B$21:$C$50,2,FALSE)</f>
        <v>600023</v>
      </c>
      <c r="L190">
        <v>-1</v>
      </c>
    </row>
    <row r="191" spans="1:12" s="336" customFormat="1">
      <c r="A191" s="336">
        <v>116</v>
      </c>
      <c r="B191" s="336" t="s">
        <v>1670</v>
      </c>
      <c r="C191" s="336">
        <v>12497</v>
      </c>
      <c r="D191" s="336" t="s">
        <v>1671</v>
      </c>
      <c r="E191" s="337" t="s">
        <v>1462</v>
      </c>
    </row>
    <row r="192" spans="1:12">
      <c r="A192">
        <v>116</v>
      </c>
      <c r="B192" t="s">
        <v>1672</v>
      </c>
      <c r="C192" s="96">
        <v>124971</v>
      </c>
      <c r="D192" t="s">
        <v>1671</v>
      </c>
      <c r="E192" s="96" t="s">
        <v>1467</v>
      </c>
      <c r="H192" t="s">
        <v>361</v>
      </c>
      <c r="I192">
        <f>VLOOKUP(H192,Listas!$B$2:$C$20,2,FALSE)</f>
        <v>500001</v>
      </c>
      <c r="J192" t="s">
        <v>135</v>
      </c>
      <c r="K192">
        <f>VLOOKUP(J192,Listas!$B$21:$C$50,2,FALSE)</f>
        <v>600005</v>
      </c>
      <c r="L192">
        <v>-1</v>
      </c>
    </row>
    <row r="193" spans="1:12" s="336" customFormat="1">
      <c r="A193" s="336">
        <v>116</v>
      </c>
      <c r="B193" s="336" t="s">
        <v>661</v>
      </c>
      <c r="C193" s="336">
        <v>12498</v>
      </c>
      <c r="D193" s="336" t="s">
        <v>662</v>
      </c>
      <c r="E193" s="337" t="s">
        <v>1462</v>
      </c>
    </row>
    <row r="194" spans="1:12">
      <c r="A194">
        <v>116</v>
      </c>
      <c r="B194" t="s">
        <v>663</v>
      </c>
      <c r="C194" s="96">
        <v>1242</v>
      </c>
      <c r="D194" t="s">
        <v>664</v>
      </c>
      <c r="E194" s="96" t="s">
        <v>1467</v>
      </c>
      <c r="H194" t="s">
        <v>361</v>
      </c>
      <c r="I194">
        <f>VLOOKUP(H194,Listas!$B$2:$C$20,2,FALSE)</f>
        <v>500001</v>
      </c>
      <c r="J194" t="s">
        <v>135</v>
      </c>
      <c r="K194">
        <f>VLOOKUP(J194,Listas!$B$21:$C$50,2,FALSE)</f>
        <v>600005</v>
      </c>
      <c r="L194">
        <v>-1</v>
      </c>
    </row>
    <row r="195" spans="1:12">
      <c r="A195">
        <v>116</v>
      </c>
      <c r="B195" t="s">
        <v>1673</v>
      </c>
      <c r="C195" s="96">
        <v>123989</v>
      </c>
      <c r="D195" t="s">
        <v>1674</v>
      </c>
      <c r="E195" s="96" t="s">
        <v>1467</v>
      </c>
      <c r="H195" t="s">
        <v>361</v>
      </c>
      <c r="I195">
        <f>VLOOKUP(H195,Listas!$B$2:$C$20,2,FALSE)</f>
        <v>500001</v>
      </c>
      <c r="J195" t="s">
        <v>135</v>
      </c>
      <c r="K195">
        <f>VLOOKUP(J195,Listas!$B$21:$C$50,2,FALSE)</f>
        <v>600005</v>
      </c>
      <c r="L195">
        <v>-1</v>
      </c>
    </row>
    <row r="196" spans="1:12" s="336" customFormat="1">
      <c r="A196" s="336">
        <v>116</v>
      </c>
      <c r="B196" s="336" t="s">
        <v>1675</v>
      </c>
      <c r="C196" s="336">
        <v>12499</v>
      </c>
      <c r="D196" s="336" t="s">
        <v>181</v>
      </c>
      <c r="E196" s="337" t="s">
        <v>1462</v>
      </c>
    </row>
    <row r="197" spans="1:12">
      <c r="A197">
        <v>116</v>
      </c>
      <c r="B197" t="s">
        <v>1676</v>
      </c>
      <c r="C197" s="96">
        <v>124991</v>
      </c>
      <c r="D197" t="s">
        <v>1677</v>
      </c>
      <c r="E197" s="96" t="s">
        <v>1467</v>
      </c>
      <c r="H197" t="s">
        <v>361</v>
      </c>
      <c r="I197">
        <f>VLOOKUP(H197,Listas!$B$2:$C$20,2,FALSE)</f>
        <v>500001</v>
      </c>
      <c r="J197" t="s">
        <v>1678</v>
      </c>
      <c r="K197">
        <f>VLOOKUP(J197,Listas!$B$21:$C$50,2,FALSE)</f>
        <v>600022</v>
      </c>
      <c r="L197">
        <v>-1</v>
      </c>
    </row>
    <row r="198" spans="1:12">
      <c r="A198">
        <v>116</v>
      </c>
      <c r="B198" t="s">
        <v>1679</v>
      </c>
      <c r="C198" s="96">
        <v>124992</v>
      </c>
      <c r="D198" t="s">
        <v>1680</v>
      </c>
      <c r="E198" s="96" t="s">
        <v>1467</v>
      </c>
      <c r="H198" t="s">
        <v>361</v>
      </c>
      <c r="I198">
        <f>VLOOKUP(H198,Listas!$B$2:$C$20,2,FALSE)</f>
        <v>500001</v>
      </c>
      <c r="J198" t="s">
        <v>136</v>
      </c>
      <c r="K198">
        <f>VLOOKUP(J198,Listas!$B$21:$C$50,2,FALSE)</f>
        <v>600006</v>
      </c>
      <c r="L198">
        <v>-1</v>
      </c>
    </row>
    <row r="199" spans="1:12" s="336" customFormat="1">
      <c r="A199" s="336">
        <v>116</v>
      </c>
      <c r="B199" s="336" t="s">
        <v>68</v>
      </c>
      <c r="C199" s="336">
        <v>125</v>
      </c>
      <c r="D199" s="336" t="s">
        <v>181</v>
      </c>
      <c r="E199" s="337" t="s">
        <v>1462</v>
      </c>
    </row>
    <row r="200" spans="1:12" s="336" customFormat="1">
      <c r="A200" s="336">
        <v>116</v>
      </c>
      <c r="B200" s="336" t="s">
        <v>1681</v>
      </c>
      <c r="C200" s="336">
        <v>1251</v>
      </c>
      <c r="D200" s="336" t="s">
        <v>181</v>
      </c>
      <c r="E200" s="337" t="s">
        <v>1462</v>
      </c>
    </row>
    <row r="201" spans="1:12">
      <c r="A201">
        <v>116</v>
      </c>
      <c r="B201" t="s">
        <v>1682</v>
      </c>
      <c r="C201" s="96">
        <v>12511</v>
      </c>
      <c r="D201" t="s">
        <v>1677</v>
      </c>
      <c r="E201" s="96" t="s">
        <v>1467</v>
      </c>
      <c r="H201" t="s">
        <v>361</v>
      </c>
      <c r="I201">
        <f>VLOOKUP(H201,Listas!$B$2:$C$20,2,FALSE)</f>
        <v>500001</v>
      </c>
      <c r="J201" t="s">
        <v>1678</v>
      </c>
      <c r="K201">
        <f>VLOOKUP(J201,Listas!$B$21:$C$50,2,FALSE)</f>
        <v>600022</v>
      </c>
      <c r="L201">
        <v>-1</v>
      </c>
    </row>
    <row r="202" spans="1:12">
      <c r="A202">
        <v>116</v>
      </c>
      <c r="B202" t="s">
        <v>1683</v>
      </c>
      <c r="C202" s="96">
        <v>12512</v>
      </c>
      <c r="D202" t="s">
        <v>1680</v>
      </c>
      <c r="E202" s="96" t="s">
        <v>1467</v>
      </c>
      <c r="H202" t="s">
        <v>361</v>
      </c>
      <c r="I202">
        <f>VLOOKUP(H202,Listas!$B$2:$C$20,2,FALSE)</f>
        <v>500001</v>
      </c>
      <c r="J202" t="s">
        <v>136</v>
      </c>
      <c r="K202">
        <f>VLOOKUP(J202,Listas!$B$21:$C$50,2,FALSE)</f>
        <v>600006</v>
      </c>
      <c r="L202">
        <v>-1</v>
      </c>
    </row>
    <row r="203" spans="1:12" s="336" customFormat="1">
      <c r="A203" s="336">
        <v>116</v>
      </c>
      <c r="B203" s="336">
        <v>2</v>
      </c>
      <c r="C203" s="336">
        <v>2</v>
      </c>
      <c r="D203" s="336" t="s">
        <v>665</v>
      </c>
      <c r="E203" s="337" t="s">
        <v>1462</v>
      </c>
    </row>
    <row r="204" spans="1:12" s="336" customFormat="1">
      <c r="A204" s="336">
        <v>116</v>
      </c>
      <c r="B204" s="336" t="s">
        <v>666</v>
      </c>
      <c r="C204" s="336">
        <v>21</v>
      </c>
      <c r="D204" s="336" t="s">
        <v>50</v>
      </c>
      <c r="E204" s="337" t="s">
        <v>1462</v>
      </c>
    </row>
    <row r="205" spans="1:12" s="336" customFormat="1">
      <c r="A205" s="336">
        <v>116</v>
      </c>
      <c r="B205" s="336" t="s">
        <v>667</v>
      </c>
      <c r="C205" s="336">
        <v>211</v>
      </c>
      <c r="D205" s="336" t="s">
        <v>668</v>
      </c>
      <c r="E205" s="337" t="s">
        <v>1462</v>
      </c>
    </row>
    <row r="206" spans="1:12" s="336" customFormat="1">
      <c r="A206" s="336">
        <v>116</v>
      </c>
      <c r="B206" s="336" t="s">
        <v>1684</v>
      </c>
      <c r="C206" s="336">
        <v>2111</v>
      </c>
      <c r="D206" s="336" t="s">
        <v>1685</v>
      </c>
      <c r="E206" s="337" t="s">
        <v>1462</v>
      </c>
    </row>
    <row r="207" spans="1:12">
      <c r="A207">
        <v>116</v>
      </c>
      <c r="B207" t="s">
        <v>1686</v>
      </c>
      <c r="C207" s="96">
        <v>21111</v>
      </c>
      <c r="D207" t="s">
        <v>1687</v>
      </c>
      <c r="E207" s="96" t="s">
        <v>1467</v>
      </c>
      <c r="H207" t="s">
        <v>361</v>
      </c>
      <c r="I207">
        <f>VLOOKUP(H207,Listas!$B$2:$C$20,2,FALSE)</f>
        <v>500001</v>
      </c>
      <c r="J207" t="s">
        <v>1688</v>
      </c>
      <c r="K207">
        <f>VLOOKUP(J207,Listas!$B$21:$C$50,2,FALSE)</f>
        <v>600021</v>
      </c>
      <c r="L207">
        <v>-1</v>
      </c>
    </row>
    <row r="208" spans="1:12">
      <c r="A208">
        <v>116</v>
      </c>
      <c r="B208" t="s">
        <v>1689</v>
      </c>
      <c r="C208" s="96">
        <v>21112</v>
      </c>
      <c r="D208" t="s">
        <v>1690</v>
      </c>
      <c r="E208" s="96" t="s">
        <v>1467</v>
      </c>
      <c r="H208" t="s">
        <v>361</v>
      </c>
      <c r="I208">
        <f>VLOOKUP(H208,Listas!$B$2:$C$20,2,FALSE)</f>
        <v>500001</v>
      </c>
      <c r="J208" t="s">
        <v>1688</v>
      </c>
      <c r="K208">
        <f>VLOOKUP(J208,Listas!$B$21:$C$50,2,FALSE)</f>
        <v>600021</v>
      </c>
      <c r="L208">
        <v>-1</v>
      </c>
    </row>
    <row r="209" spans="1:12" s="336" customFormat="1">
      <c r="A209" s="336">
        <v>116</v>
      </c>
      <c r="B209" s="336" t="s">
        <v>1691</v>
      </c>
      <c r="C209" s="336">
        <v>2112</v>
      </c>
      <c r="D209" s="336" t="s">
        <v>1685</v>
      </c>
      <c r="E209" s="337" t="s">
        <v>1462</v>
      </c>
    </row>
    <row r="210" spans="1:12" s="336" customFormat="1">
      <c r="A210" s="336">
        <v>116</v>
      </c>
      <c r="B210" s="336" t="s">
        <v>1692</v>
      </c>
      <c r="C210" s="336">
        <v>2113</v>
      </c>
      <c r="D210" s="336" t="s">
        <v>1693</v>
      </c>
      <c r="E210" s="337" t="s">
        <v>1462</v>
      </c>
    </row>
    <row r="211" spans="1:12">
      <c r="A211">
        <v>116</v>
      </c>
      <c r="B211" t="s">
        <v>1694</v>
      </c>
      <c r="C211" s="96">
        <v>21131</v>
      </c>
      <c r="D211" t="s">
        <v>1695</v>
      </c>
      <c r="E211" s="96" t="s">
        <v>1467</v>
      </c>
      <c r="H211" t="s">
        <v>361</v>
      </c>
      <c r="I211">
        <f>VLOOKUP(H211,Listas!$B$2:$C$20,2,FALSE)</f>
        <v>500001</v>
      </c>
      <c r="J211" t="s">
        <v>1688</v>
      </c>
      <c r="K211">
        <f>VLOOKUP(J211,Listas!$B$21:$C$50,2,FALSE)</f>
        <v>600021</v>
      </c>
      <c r="L211">
        <v>-1</v>
      </c>
    </row>
    <row r="212" spans="1:12">
      <c r="A212">
        <v>116</v>
      </c>
      <c r="B212" t="s">
        <v>1696</v>
      </c>
      <c r="C212" s="96">
        <v>21132</v>
      </c>
      <c r="D212" t="s">
        <v>1697</v>
      </c>
      <c r="E212" s="96" t="s">
        <v>1467</v>
      </c>
      <c r="H212" t="s">
        <v>361</v>
      </c>
      <c r="I212">
        <f>VLOOKUP(H212,Listas!$B$2:$C$20,2,FALSE)</f>
        <v>500001</v>
      </c>
      <c r="J212" t="s">
        <v>1688</v>
      </c>
      <c r="K212">
        <f>VLOOKUP(J212,Listas!$B$21:$C$50,2,FALSE)</f>
        <v>600021</v>
      </c>
      <c r="L212">
        <v>-1</v>
      </c>
    </row>
    <row r="213" spans="1:12" s="336" customFormat="1">
      <c r="A213" s="336">
        <v>116</v>
      </c>
      <c r="B213" s="336" t="s">
        <v>669</v>
      </c>
      <c r="C213" s="336">
        <v>2114</v>
      </c>
      <c r="D213" s="336" t="s">
        <v>670</v>
      </c>
      <c r="E213" s="337" t="s">
        <v>1462</v>
      </c>
    </row>
    <row r="214" spans="1:12">
      <c r="A214">
        <v>116</v>
      </c>
      <c r="B214" t="s">
        <v>671</v>
      </c>
      <c r="C214" s="96">
        <v>60444437000146</v>
      </c>
      <c r="D214" t="s">
        <v>672</v>
      </c>
      <c r="E214" s="96" t="s">
        <v>1467</v>
      </c>
      <c r="H214" t="s">
        <v>361</v>
      </c>
      <c r="I214">
        <f>VLOOKUP(H214,Listas!$B$2:$C$20,2,FALSE)</f>
        <v>500001</v>
      </c>
      <c r="J214" t="s">
        <v>73</v>
      </c>
      <c r="K214">
        <f>VLOOKUP(J214,Listas!$B$21:$C$50,2,FALSE)</f>
        <v>600017</v>
      </c>
      <c r="L214">
        <v>-1</v>
      </c>
    </row>
    <row r="215" spans="1:12">
      <c r="A215">
        <v>116</v>
      </c>
      <c r="B215" t="s">
        <v>1698</v>
      </c>
      <c r="C215" s="96">
        <v>57142978000105</v>
      </c>
      <c r="D215" t="s">
        <v>1699</v>
      </c>
      <c r="E215" s="96" t="s">
        <v>1467</v>
      </c>
      <c r="H215" t="s">
        <v>361</v>
      </c>
      <c r="I215">
        <f>VLOOKUP(H215,Listas!$B$2:$C$20,2,FALSE)</f>
        <v>500001</v>
      </c>
      <c r="J215" t="s">
        <v>73</v>
      </c>
      <c r="K215">
        <f>VLOOKUP(J215,Listas!$B$21:$C$50,2,FALSE)</f>
        <v>600017</v>
      </c>
      <c r="L215">
        <v>-1</v>
      </c>
    </row>
    <row r="216" spans="1:12">
      <c r="A216">
        <v>116</v>
      </c>
      <c r="B216" t="s">
        <v>673</v>
      </c>
      <c r="C216" s="96">
        <v>34028316000294</v>
      </c>
      <c r="D216" t="s">
        <v>674</v>
      </c>
      <c r="E216" s="96" t="s">
        <v>1467</v>
      </c>
      <c r="H216" t="s">
        <v>361</v>
      </c>
      <c r="I216">
        <f>VLOOKUP(H216,Listas!$B$2:$C$20,2,FALSE)</f>
        <v>500001</v>
      </c>
      <c r="J216" t="s">
        <v>73</v>
      </c>
      <c r="K216">
        <f>VLOOKUP(J216,Listas!$B$21:$C$50,2,FALSE)</f>
        <v>600017</v>
      </c>
      <c r="L216">
        <v>-1</v>
      </c>
    </row>
    <row r="217" spans="1:12">
      <c r="A217">
        <v>116</v>
      </c>
      <c r="B217" t="s">
        <v>1700</v>
      </c>
      <c r="C217" s="96" t="s">
        <v>1701</v>
      </c>
      <c r="D217" t="s">
        <v>1702</v>
      </c>
      <c r="E217" s="96" t="s">
        <v>1467</v>
      </c>
      <c r="H217" t="s">
        <v>361</v>
      </c>
      <c r="I217">
        <f>VLOOKUP(H217,Listas!$B$2:$C$20,2,FALSE)</f>
        <v>500001</v>
      </c>
      <c r="J217" t="s">
        <v>73</v>
      </c>
      <c r="K217">
        <f>VLOOKUP(J217,Listas!$B$21:$C$50,2,FALSE)</f>
        <v>600017</v>
      </c>
      <c r="L217">
        <v>-1</v>
      </c>
    </row>
    <row r="218" spans="1:12">
      <c r="A218">
        <v>116</v>
      </c>
      <c r="B218" t="s">
        <v>1703</v>
      </c>
      <c r="C218" s="96" t="s">
        <v>1704</v>
      </c>
      <c r="D218" t="s">
        <v>1705</v>
      </c>
      <c r="E218" s="96" t="s">
        <v>1467</v>
      </c>
      <c r="H218" t="s">
        <v>361</v>
      </c>
      <c r="I218">
        <f>VLOOKUP(H218,Listas!$B$2:$C$20,2,FALSE)</f>
        <v>500001</v>
      </c>
      <c r="J218" t="s">
        <v>73</v>
      </c>
      <c r="K218">
        <f>VLOOKUP(J218,Listas!$B$21:$C$50,2,FALSE)</f>
        <v>600017</v>
      </c>
      <c r="L218">
        <v>-1</v>
      </c>
    </row>
    <row r="219" spans="1:12">
      <c r="A219">
        <v>116</v>
      </c>
      <c r="B219" t="s">
        <v>1706</v>
      </c>
      <c r="C219" s="96" t="s">
        <v>1707</v>
      </c>
      <c r="D219" t="s">
        <v>1708</v>
      </c>
      <c r="E219" s="96" t="s">
        <v>1467</v>
      </c>
      <c r="H219" t="s">
        <v>361</v>
      </c>
      <c r="I219">
        <f>VLOOKUP(H219,Listas!$B$2:$C$20,2,FALSE)</f>
        <v>500001</v>
      </c>
      <c r="J219" t="s">
        <v>73</v>
      </c>
      <c r="K219">
        <f>VLOOKUP(J219,Listas!$B$21:$C$50,2,FALSE)</f>
        <v>600017</v>
      </c>
      <c r="L219">
        <v>-1</v>
      </c>
    </row>
    <row r="220" spans="1:12">
      <c r="A220">
        <v>116</v>
      </c>
      <c r="B220" t="s">
        <v>1709</v>
      </c>
      <c r="C220" s="96">
        <v>1489065000105</v>
      </c>
      <c r="D220" t="s">
        <v>1710</v>
      </c>
      <c r="E220" s="96" t="s">
        <v>1467</v>
      </c>
      <c r="H220" t="s">
        <v>361</v>
      </c>
      <c r="I220">
        <f>VLOOKUP(H220,Listas!$B$2:$C$20,2,FALSE)</f>
        <v>500001</v>
      </c>
      <c r="J220" t="s">
        <v>73</v>
      </c>
      <c r="K220">
        <f>VLOOKUP(J220,Listas!$B$21:$C$50,2,FALSE)</f>
        <v>600017</v>
      </c>
      <c r="L220">
        <v>-1</v>
      </c>
    </row>
    <row r="221" spans="1:12">
      <c r="A221">
        <v>116</v>
      </c>
      <c r="B221" t="s">
        <v>1711</v>
      </c>
      <c r="C221" s="96" t="s">
        <v>1712</v>
      </c>
      <c r="D221" t="s">
        <v>1713</v>
      </c>
      <c r="E221" s="96" t="s">
        <v>1467</v>
      </c>
      <c r="H221" t="s">
        <v>361</v>
      </c>
      <c r="I221">
        <f>VLOOKUP(H221,Listas!$B$2:$C$20,2,FALSE)</f>
        <v>500001</v>
      </c>
      <c r="J221" t="s">
        <v>73</v>
      </c>
      <c r="K221">
        <f>VLOOKUP(J221,Listas!$B$21:$C$50,2,FALSE)</f>
        <v>600017</v>
      </c>
      <c r="L221">
        <v>-1</v>
      </c>
    </row>
    <row r="222" spans="1:12">
      <c r="A222">
        <v>116</v>
      </c>
      <c r="B222" t="s">
        <v>1714</v>
      </c>
      <c r="C222" s="96" t="s">
        <v>1715</v>
      </c>
      <c r="D222" t="s">
        <v>1716</v>
      </c>
      <c r="E222" s="96" t="s">
        <v>1467</v>
      </c>
      <c r="H222" t="s">
        <v>361</v>
      </c>
      <c r="I222">
        <f>VLOOKUP(H222,Listas!$B$2:$C$20,2,FALSE)</f>
        <v>500001</v>
      </c>
      <c r="J222" t="s">
        <v>73</v>
      </c>
      <c r="K222">
        <f>VLOOKUP(J222,Listas!$B$21:$C$50,2,FALSE)</f>
        <v>600017</v>
      </c>
      <c r="L222">
        <v>-1</v>
      </c>
    </row>
    <row r="223" spans="1:12">
      <c r="A223">
        <v>116</v>
      </c>
      <c r="B223" t="s">
        <v>1717</v>
      </c>
      <c r="C223" s="96" t="s">
        <v>1718</v>
      </c>
      <c r="D223" t="s">
        <v>1719</v>
      </c>
      <c r="E223" s="96" t="s">
        <v>1467</v>
      </c>
      <c r="H223" t="s">
        <v>361</v>
      </c>
      <c r="I223">
        <f>VLOOKUP(H223,Listas!$B$2:$C$20,2,FALSE)</f>
        <v>500001</v>
      </c>
      <c r="J223" t="s">
        <v>73</v>
      </c>
      <c r="K223">
        <f>VLOOKUP(J223,Listas!$B$21:$C$50,2,FALSE)</f>
        <v>600017</v>
      </c>
      <c r="L223">
        <v>-1</v>
      </c>
    </row>
    <row r="224" spans="1:12">
      <c r="A224">
        <v>116</v>
      </c>
      <c r="B224" t="s">
        <v>675</v>
      </c>
      <c r="C224" s="96" t="s">
        <v>676</v>
      </c>
      <c r="D224" t="s">
        <v>677</v>
      </c>
      <c r="E224" s="96" t="s">
        <v>1467</v>
      </c>
      <c r="H224" t="s">
        <v>361</v>
      </c>
      <c r="I224">
        <f>VLOOKUP(H224,Listas!$B$2:$C$20,2,FALSE)</f>
        <v>500001</v>
      </c>
      <c r="J224" t="s">
        <v>73</v>
      </c>
      <c r="K224">
        <f>VLOOKUP(J224,Listas!$B$21:$C$50,2,FALSE)</f>
        <v>600017</v>
      </c>
      <c r="L224">
        <v>-1</v>
      </c>
    </row>
    <row r="225" spans="1:12">
      <c r="A225">
        <v>116</v>
      </c>
      <c r="B225" t="s">
        <v>1720</v>
      </c>
      <c r="C225" s="96" t="s">
        <v>1721</v>
      </c>
      <c r="D225" t="s">
        <v>1722</v>
      </c>
      <c r="E225" s="96" t="s">
        <v>1467</v>
      </c>
      <c r="H225" t="s">
        <v>361</v>
      </c>
      <c r="I225">
        <f>VLOOKUP(H225,Listas!$B$2:$C$20,2,FALSE)</f>
        <v>500001</v>
      </c>
      <c r="J225" t="s">
        <v>73</v>
      </c>
      <c r="K225">
        <f>VLOOKUP(J225,Listas!$B$21:$C$50,2,FALSE)</f>
        <v>600017</v>
      </c>
      <c r="L225">
        <v>-1</v>
      </c>
    </row>
    <row r="226" spans="1:12">
      <c r="A226">
        <v>116</v>
      </c>
      <c r="B226" t="s">
        <v>1723</v>
      </c>
      <c r="C226" s="96" t="s">
        <v>1724</v>
      </c>
      <c r="D226" t="s">
        <v>1725</v>
      </c>
      <c r="E226" s="96" t="s">
        <v>1467</v>
      </c>
      <c r="H226" t="s">
        <v>361</v>
      </c>
      <c r="I226">
        <f>VLOOKUP(H226,Listas!$B$2:$C$20,2,FALSE)</f>
        <v>500001</v>
      </c>
      <c r="J226" t="s">
        <v>73</v>
      </c>
      <c r="K226">
        <f>VLOOKUP(J226,Listas!$B$21:$C$50,2,FALSE)</f>
        <v>600017</v>
      </c>
      <c r="L226">
        <v>-1</v>
      </c>
    </row>
    <row r="227" spans="1:12">
      <c r="A227">
        <v>116</v>
      </c>
      <c r="B227" t="s">
        <v>1726</v>
      </c>
      <c r="C227" s="96" t="s">
        <v>1727</v>
      </c>
      <c r="D227" t="s">
        <v>1728</v>
      </c>
      <c r="E227" s="96" t="s">
        <v>1467</v>
      </c>
      <c r="H227" t="s">
        <v>361</v>
      </c>
      <c r="I227">
        <f>VLOOKUP(H227,Listas!$B$2:$C$20,2,FALSE)</f>
        <v>500001</v>
      </c>
      <c r="J227" t="s">
        <v>73</v>
      </c>
      <c r="K227">
        <f>VLOOKUP(J227,Listas!$B$21:$C$50,2,FALSE)</f>
        <v>600017</v>
      </c>
      <c r="L227">
        <v>-1</v>
      </c>
    </row>
    <row r="228" spans="1:12">
      <c r="A228">
        <v>116</v>
      </c>
      <c r="B228" t="s">
        <v>1729</v>
      </c>
      <c r="C228" s="96" t="s">
        <v>1730</v>
      </c>
      <c r="D228" t="s">
        <v>1731</v>
      </c>
      <c r="E228" s="96" t="s">
        <v>1467</v>
      </c>
      <c r="H228" t="s">
        <v>361</v>
      </c>
      <c r="I228">
        <f>VLOOKUP(H228,Listas!$B$2:$C$20,2,FALSE)</f>
        <v>500001</v>
      </c>
      <c r="J228" t="s">
        <v>73</v>
      </c>
      <c r="K228">
        <f>VLOOKUP(J228,Listas!$B$21:$C$50,2,FALSE)</f>
        <v>600017</v>
      </c>
      <c r="L228">
        <v>-1</v>
      </c>
    </row>
    <row r="229" spans="1:12">
      <c r="A229">
        <v>116</v>
      </c>
      <c r="B229" t="s">
        <v>1732</v>
      </c>
      <c r="C229" s="96" t="s">
        <v>1733</v>
      </c>
      <c r="D229" t="s">
        <v>1734</v>
      </c>
      <c r="E229" s="96" t="s">
        <v>1467</v>
      </c>
      <c r="H229" t="s">
        <v>361</v>
      </c>
      <c r="I229">
        <f>VLOOKUP(H229,Listas!$B$2:$C$20,2,FALSE)</f>
        <v>500001</v>
      </c>
      <c r="J229" t="s">
        <v>73</v>
      </c>
      <c r="K229">
        <f>VLOOKUP(J229,Listas!$B$21:$C$50,2,FALSE)</f>
        <v>600017</v>
      </c>
      <c r="L229">
        <v>-1</v>
      </c>
    </row>
    <row r="230" spans="1:12">
      <c r="A230">
        <v>116</v>
      </c>
      <c r="B230" t="s">
        <v>1735</v>
      </c>
      <c r="C230" s="96" t="s">
        <v>1736</v>
      </c>
      <c r="D230" t="s">
        <v>1737</v>
      </c>
      <c r="E230" s="96" t="s">
        <v>1467</v>
      </c>
      <c r="H230" t="s">
        <v>361</v>
      </c>
      <c r="I230">
        <f>VLOOKUP(H230,Listas!$B$2:$C$20,2,FALSE)</f>
        <v>500001</v>
      </c>
      <c r="J230" t="s">
        <v>73</v>
      </c>
      <c r="K230">
        <f>VLOOKUP(J230,Listas!$B$21:$C$50,2,FALSE)</f>
        <v>600017</v>
      </c>
      <c r="L230">
        <v>-1</v>
      </c>
    </row>
    <row r="231" spans="1:12">
      <c r="A231">
        <v>116</v>
      </c>
      <c r="B231" t="s">
        <v>1738</v>
      </c>
      <c r="C231" s="96" t="s">
        <v>1739</v>
      </c>
      <c r="D231" t="s">
        <v>1740</v>
      </c>
      <c r="E231" s="96" t="s">
        <v>1467</v>
      </c>
      <c r="H231" t="s">
        <v>361</v>
      </c>
      <c r="I231">
        <f>VLOOKUP(H231,Listas!$B$2:$C$20,2,FALSE)</f>
        <v>500001</v>
      </c>
      <c r="J231" t="s">
        <v>73</v>
      </c>
      <c r="K231">
        <f>VLOOKUP(J231,Listas!$B$21:$C$50,2,FALSE)</f>
        <v>600017</v>
      </c>
      <c r="L231">
        <v>-1</v>
      </c>
    </row>
    <row r="232" spans="1:12">
      <c r="A232">
        <v>116</v>
      </c>
      <c r="B232" t="s">
        <v>1741</v>
      </c>
      <c r="C232" s="96" t="s">
        <v>1742</v>
      </c>
      <c r="D232" t="s">
        <v>1743</v>
      </c>
      <c r="E232" s="96" t="s">
        <v>1467</v>
      </c>
      <c r="H232" t="s">
        <v>361</v>
      </c>
      <c r="I232">
        <f>VLOOKUP(H232,Listas!$B$2:$C$20,2,FALSE)</f>
        <v>500001</v>
      </c>
      <c r="J232" t="s">
        <v>73</v>
      </c>
      <c r="K232">
        <f>VLOOKUP(J232,Listas!$B$21:$C$50,2,FALSE)</f>
        <v>600017</v>
      </c>
      <c r="L232">
        <v>-1</v>
      </c>
    </row>
    <row r="233" spans="1:12">
      <c r="A233">
        <v>116</v>
      </c>
      <c r="B233" t="s">
        <v>1744</v>
      </c>
      <c r="C233" s="96" t="s">
        <v>1745</v>
      </c>
      <c r="D233" t="s">
        <v>1746</v>
      </c>
      <c r="E233" s="96" t="s">
        <v>1467</v>
      </c>
      <c r="H233" t="s">
        <v>361</v>
      </c>
      <c r="I233">
        <f>VLOOKUP(H233,Listas!$B$2:$C$20,2,FALSE)</f>
        <v>500001</v>
      </c>
      <c r="J233" t="s">
        <v>73</v>
      </c>
      <c r="K233">
        <f>VLOOKUP(J233,Listas!$B$21:$C$50,2,FALSE)</f>
        <v>600017</v>
      </c>
      <c r="L233">
        <v>-1</v>
      </c>
    </row>
    <row r="234" spans="1:12">
      <c r="A234">
        <v>116</v>
      </c>
      <c r="B234" t="s">
        <v>1747</v>
      </c>
      <c r="C234" s="96" t="s">
        <v>1748</v>
      </c>
      <c r="D234" t="s">
        <v>1749</v>
      </c>
      <c r="E234" s="96" t="s">
        <v>1467</v>
      </c>
      <c r="H234" t="s">
        <v>361</v>
      </c>
      <c r="I234">
        <f>VLOOKUP(H234,Listas!$B$2:$C$20,2,FALSE)</f>
        <v>500001</v>
      </c>
      <c r="J234" t="s">
        <v>73</v>
      </c>
      <c r="K234">
        <f>VLOOKUP(J234,Listas!$B$21:$C$50,2,FALSE)</f>
        <v>600017</v>
      </c>
      <c r="L234">
        <v>-1</v>
      </c>
    </row>
    <row r="235" spans="1:12">
      <c r="A235">
        <v>116</v>
      </c>
      <c r="B235" t="s">
        <v>1750</v>
      </c>
      <c r="C235" s="96" t="s">
        <v>1751</v>
      </c>
      <c r="D235" t="s">
        <v>1752</v>
      </c>
      <c r="E235" s="96" t="s">
        <v>1467</v>
      </c>
      <c r="H235" t="s">
        <v>361</v>
      </c>
      <c r="I235">
        <f>VLOOKUP(H235,Listas!$B$2:$C$20,2,FALSE)</f>
        <v>500001</v>
      </c>
      <c r="J235" t="s">
        <v>73</v>
      </c>
      <c r="K235">
        <f>VLOOKUP(J235,Listas!$B$21:$C$50,2,FALSE)</f>
        <v>600017</v>
      </c>
      <c r="L235">
        <v>-1</v>
      </c>
    </row>
    <row r="236" spans="1:12">
      <c r="A236">
        <v>116</v>
      </c>
      <c r="B236" t="s">
        <v>1753</v>
      </c>
      <c r="C236" s="96" t="s">
        <v>1754</v>
      </c>
      <c r="D236" t="s">
        <v>1755</v>
      </c>
      <c r="E236" s="96" t="s">
        <v>1467</v>
      </c>
      <c r="H236" t="s">
        <v>361</v>
      </c>
      <c r="I236">
        <f>VLOOKUP(H236,Listas!$B$2:$C$20,2,FALSE)</f>
        <v>500001</v>
      </c>
      <c r="J236" t="s">
        <v>73</v>
      </c>
      <c r="K236">
        <f>VLOOKUP(J236,Listas!$B$21:$C$50,2,FALSE)</f>
        <v>600017</v>
      </c>
      <c r="L236">
        <v>-1</v>
      </c>
    </row>
    <row r="237" spans="1:12">
      <c r="A237">
        <v>116</v>
      </c>
      <c r="B237" t="s">
        <v>1756</v>
      </c>
      <c r="C237" s="96" t="s">
        <v>1757</v>
      </c>
      <c r="D237" t="s">
        <v>1758</v>
      </c>
      <c r="E237" s="96" t="s">
        <v>1467</v>
      </c>
      <c r="H237" t="s">
        <v>361</v>
      </c>
      <c r="I237">
        <f>VLOOKUP(H237,Listas!$B$2:$C$20,2,FALSE)</f>
        <v>500001</v>
      </c>
      <c r="J237" t="s">
        <v>73</v>
      </c>
      <c r="K237">
        <f>VLOOKUP(J237,Listas!$B$21:$C$50,2,FALSE)</f>
        <v>600017</v>
      </c>
      <c r="L237">
        <v>-1</v>
      </c>
    </row>
    <row r="238" spans="1:12">
      <c r="A238">
        <v>116</v>
      </c>
      <c r="B238" t="s">
        <v>1759</v>
      </c>
      <c r="C238" s="96" t="s">
        <v>1760</v>
      </c>
      <c r="D238" t="s">
        <v>1761</v>
      </c>
      <c r="E238" s="96" t="s">
        <v>1467</v>
      </c>
      <c r="H238" t="s">
        <v>361</v>
      </c>
      <c r="I238">
        <f>VLOOKUP(H238,Listas!$B$2:$C$20,2,FALSE)</f>
        <v>500001</v>
      </c>
      <c r="J238" t="s">
        <v>73</v>
      </c>
      <c r="K238">
        <f>VLOOKUP(J238,Listas!$B$21:$C$50,2,FALSE)</f>
        <v>600017</v>
      </c>
      <c r="L238">
        <v>-1</v>
      </c>
    </row>
    <row r="239" spans="1:12">
      <c r="A239">
        <v>116</v>
      </c>
      <c r="B239" t="s">
        <v>1762</v>
      </c>
      <c r="C239" s="96" t="s">
        <v>1763</v>
      </c>
      <c r="D239" t="s">
        <v>1764</v>
      </c>
      <c r="E239" s="96" t="s">
        <v>1467</v>
      </c>
      <c r="H239" t="s">
        <v>361</v>
      </c>
      <c r="I239">
        <f>VLOOKUP(H239,Listas!$B$2:$C$20,2,FALSE)</f>
        <v>500001</v>
      </c>
      <c r="J239" t="s">
        <v>73</v>
      </c>
      <c r="K239">
        <f>VLOOKUP(J239,Listas!$B$21:$C$50,2,FALSE)</f>
        <v>600017</v>
      </c>
      <c r="L239">
        <v>-1</v>
      </c>
    </row>
    <row r="240" spans="1:12">
      <c r="A240">
        <v>116</v>
      </c>
      <c r="B240" t="s">
        <v>1765</v>
      </c>
      <c r="C240" s="96" t="s">
        <v>1766</v>
      </c>
      <c r="D240" t="s">
        <v>1767</v>
      </c>
      <c r="E240" s="96" t="s">
        <v>1467</v>
      </c>
      <c r="H240" t="s">
        <v>361</v>
      </c>
      <c r="I240">
        <f>VLOOKUP(H240,Listas!$B$2:$C$20,2,FALSE)</f>
        <v>500001</v>
      </c>
      <c r="J240" t="s">
        <v>73</v>
      </c>
      <c r="K240">
        <f>VLOOKUP(J240,Listas!$B$21:$C$50,2,FALSE)</f>
        <v>600017</v>
      </c>
      <c r="L240">
        <v>-1</v>
      </c>
    </row>
    <row r="241" spans="1:12">
      <c r="A241">
        <v>116</v>
      </c>
      <c r="B241" t="s">
        <v>1768</v>
      </c>
      <c r="C241" s="96" t="s">
        <v>1769</v>
      </c>
      <c r="D241" t="s">
        <v>1770</v>
      </c>
      <c r="E241" s="96" t="s">
        <v>1467</v>
      </c>
      <c r="H241" t="s">
        <v>361</v>
      </c>
      <c r="I241">
        <f>VLOOKUP(H241,Listas!$B$2:$C$20,2,FALSE)</f>
        <v>500001</v>
      </c>
      <c r="J241" t="s">
        <v>73</v>
      </c>
      <c r="K241">
        <f>VLOOKUP(J241,Listas!$B$21:$C$50,2,FALSE)</f>
        <v>600017</v>
      </c>
      <c r="L241">
        <v>-1</v>
      </c>
    </row>
    <row r="242" spans="1:12">
      <c r="A242">
        <v>116</v>
      </c>
      <c r="B242" t="s">
        <v>1771</v>
      </c>
      <c r="C242" s="96" t="s">
        <v>1772</v>
      </c>
      <c r="D242" t="s">
        <v>1773</v>
      </c>
      <c r="E242" s="96" t="s">
        <v>1467</v>
      </c>
      <c r="H242" t="s">
        <v>361</v>
      </c>
      <c r="I242">
        <f>VLOOKUP(H242,Listas!$B$2:$C$20,2,FALSE)</f>
        <v>500001</v>
      </c>
      <c r="J242" t="s">
        <v>73</v>
      </c>
      <c r="K242">
        <f>VLOOKUP(J242,Listas!$B$21:$C$50,2,FALSE)</f>
        <v>600017</v>
      </c>
      <c r="L242">
        <v>-1</v>
      </c>
    </row>
    <row r="243" spans="1:12">
      <c r="A243">
        <v>116</v>
      </c>
      <c r="B243" t="s">
        <v>1774</v>
      </c>
      <c r="C243" s="96" t="s">
        <v>1775</v>
      </c>
      <c r="D243" t="s">
        <v>1776</v>
      </c>
      <c r="E243" s="96" t="s">
        <v>1467</v>
      </c>
      <c r="H243" t="s">
        <v>361</v>
      </c>
      <c r="I243">
        <f>VLOOKUP(H243,Listas!$B$2:$C$20,2,FALSE)</f>
        <v>500001</v>
      </c>
      <c r="J243" t="s">
        <v>73</v>
      </c>
      <c r="K243">
        <f>VLOOKUP(J243,Listas!$B$21:$C$50,2,FALSE)</f>
        <v>600017</v>
      </c>
      <c r="L243">
        <v>-1</v>
      </c>
    </row>
    <row r="244" spans="1:12">
      <c r="A244">
        <v>116</v>
      </c>
      <c r="B244" t="s">
        <v>678</v>
      </c>
      <c r="C244" s="96" t="s">
        <v>679</v>
      </c>
      <c r="D244" t="s">
        <v>680</v>
      </c>
      <c r="E244" s="96" t="s">
        <v>1467</v>
      </c>
      <c r="H244" t="s">
        <v>361</v>
      </c>
      <c r="I244">
        <f>VLOOKUP(H244,Listas!$B$2:$C$20,2,FALSE)</f>
        <v>500001</v>
      </c>
      <c r="J244" t="s">
        <v>73</v>
      </c>
      <c r="K244">
        <f>VLOOKUP(J244,Listas!$B$21:$C$50,2,FALSE)</f>
        <v>600017</v>
      </c>
      <c r="L244">
        <v>-1</v>
      </c>
    </row>
    <row r="245" spans="1:12">
      <c r="A245">
        <v>116</v>
      </c>
      <c r="B245" t="s">
        <v>1777</v>
      </c>
      <c r="C245" s="96" t="s">
        <v>1778</v>
      </c>
      <c r="D245" t="s">
        <v>1779</v>
      </c>
      <c r="E245" s="96" t="s">
        <v>1467</v>
      </c>
      <c r="H245" t="s">
        <v>361</v>
      </c>
      <c r="I245">
        <f>VLOOKUP(H245,Listas!$B$2:$C$20,2,FALSE)</f>
        <v>500001</v>
      </c>
      <c r="J245" t="s">
        <v>73</v>
      </c>
      <c r="K245">
        <f>VLOOKUP(J245,Listas!$B$21:$C$50,2,FALSE)</f>
        <v>600017</v>
      </c>
      <c r="L245">
        <v>-1</v>
      </c>
    </row>
    <row r="246" spans="1:12">
      <c r="A246">
        <v>116</v>
      </c>
      <c r="B246" t="s">
        <v>1780</v>
      </c>
      <c r="C246" s="96" t="s">
        <v>1781</v>
      </c>
      <c r="D246" t="s">
        <v>1782</v>
      </c>
      <c r="E246" s="96" t="s">
        <v>1467</v>
      </c>
      <c r="H246" t="s">
        <v>361</v>
      </c>
      <c r="I246">
        <f>VLOOKUP(H246,Listas!$B$2:$C$20,2,FALSE)</f>
        <v>500001</v>
      </c>
      <c r="J246" t="s">
        <v>73</v>
      </c>
      <c r="K246">
        <f>VLOOKUP(J246,Listas!$B$21:$C$50,2,FALSE)</f>
        <v>600017</v>
      </c>
      <c r="L246">
        <v>-1</v>
      </c>
    </row>
    <row r="247" spans="1:12">
      <c r="A247">
        <v>116</v>
      </c>
      <c r="B247" t="s">
        <v>1783</v>
      </c>
      <c r="C247" s="96" t="s">
        <v>1784</v>
      </c>
      <c r="D247" t="s">
        <v>1785</v>
      </c>
      <c r="E247" s="96" t="s">
        <v>1467</v>
      </c>
      <c r="H247" t="s">
        <v>361</v>
      </c>
      <c r="I247">
        <f>VLOOKUP(H247,Listas!$B$2:$C$20,2,FALSE)</f>
        <v>500001</v>
      </c>
      <c r="J247" t="s">
        <v>73</v>
      </c>
      <c r="K247">
        <f>VLOOKUP(J247,Listas!$B$21:$C$50,2,FALSE)</f>
        <v>600017</v>
      </c>
      <c r="L247">
        <v>-1</v>
      </c>
    </row>
    <row r="248" spans="1:12">
      <c r="A248">
        <v>116</v>
      </c>
      <c r="B248" t="s">
        <v>1786</v>
      </c>
      <c r="C248" s="96" t="s">
        <v>1787</v>
      </c>
      <c r="D248" t="s">
        <v>1788</v>
      </c>
      <c r="E248" s="96" t="s">
        <v>1467</v>
      </c>
      <c r="H248" t="s">
        <v>361</v>
      </c>
      <c r="I248">
        <f>VLOOKUP(H248,Listas!$B$2:$C$20,2,FALSE)</f>
        <v>500001</v>
      </c>
      <c r="J248" t="s">
        <v>73</v>
      </c>
      <c r="K248">
        <f>VLOOKUP(J248,Listas!$B$21:$C$50,2,FALSE)</f>
        <v>600017</v>
      </c>
      <c r="L248">
        <v>-1</v>
      </c>
    </row>
    <row r="249" spans="1:12">
      <c r="A249">
        <v>116</v>
      </c>
      <c r="B249" t="s">
        <v>1789</v>
      </c>
      <c r="C249" s="96" t="s">
        <v>1790</v>
      </c>
      <c r="D249" t="s">
        <v>1791</v>
      </c>
      <c r="E249" s="96" t="s">
        <v>1467</v>
      </c>
      <c r="H249" t="s">
        <v>361</v>
      </c>
      <c r="I249">
        <f>VLOOKUP(H249,Listas!$B$2:$C$20,2,FALSE)</f>
        <v>500001</v>
      </c>
      <c r="J249" t="s">
        <v>73</v>
      </c>
      <c r="K249">
        <f>VLOOKUP(J249,Listas!$B$21:$C$50,2,FALSE)</f>
        <v>600017</v>
      </c>
      <c r="L249">
        <v>-1</v>
      </c>
    </row>
    <row r="250" spans="1:12">
      <c r="A250">
        <v>116</v>
      </c>
      <c r="B250" t="s">
        <v>1792</v>
      </c>
      <c r="C250" s="96" t="s">
        <v>1793</v>
      </c>
      <c r="D250" t="s">
        <v>1794</v>
      </c>
      <c r="E250" s="96" t="s">
        <v>1467</v>
      </c>
      <c r="H250" t="s">
        <v>361</v>
      </c>
      <c r="I250">
        <f>VLOOKUP(H250,Listas!$B$2:$C$20,2,FALSE)</f>
        <v>500001</v>
      </c>
      <c r="J250" t="s">
        <v>73</v>
      </c>
      <c r="K250">
        <f>VLOOKUP(J250,Listas!$B$21:$C$50,2,FALSE)</f>
        <v>600017</v>
      </c>
      <c r="L250">
        <v>-1</v>
      </c>
    </row>
    <row r="251" spans="1:12">
      <c r="A251">
        <v>116</v>
      </c>
      <c r="B251" t="s">
        <v>1795</v>
      </c>
      <c r="C251" s="96" t="s">
        <v>1796</v>
      </c>
      <c r="D251" t="s">
        <v>1797</v>
      </c>
      <c r="E251" s="96" t="s">
        <v>1467</v>
      </c>
      <c r="H251" t="s">
        <v>361</v>
      </c>
      <c r="I251">
        <f>VLOOKUP(H251,Listas!$B$2:$C$20,2,FALSE)</f>
        <v>500001</v>
      </c>
      <c r="J251" t="s">
        <v>73</v>
      </c>
      <c r="K251">
        <f>VLOOKUP(J251,Listas!$B$21:$C$50,2,FALSE)</f>
        <v>600017</v>
      </c>
      <c r="L251">
        <v>-1</v>
      </c>
    </row>
    <row r="252" spans="1:12">
      <c r="A252">
        <v>116</v>
      </c>
      <c r="B252" t="s">
        <v>1798</v>
      </c>
      <c r="C252" s="96" t="s">
        <v>1799</v>
      </c>
      <c r="D252" t="s">
        <v>1800</v>
      </c>
      <c r="E252" s="96" t="s">
        <v>1467</v>
      </c>
      <c r="H252" t="s">
        <v>361</v>
      </c>
      <c r="I252">
        <f>VLOOKUP(H252,Listas!$B$2:$C$20,2,FALSE)</f>
        <v>500001</v>
      </c>
      <c r="J252" t="s">
        <v>73</v>
      </c>
      <c r="K252">
        <f>VLOOKUP(J252,Listas!$B$21:$C$50,2,FALSE)</f>
        <v>600017</v>
      </c>
      <c r="L252">
        <v>-1</v>
      </c>
    </row>
    <row r="253" spans="1:12">
      <c r="A253">
        <v>116</v>
      </c>
      <c r="B253" t="s">
        <v>1801</v>
      </c>
      <c r="C253" s="96" t="s">
        <v>1802</v>
      </c>
      <c r="D253" t="s">
        <v>1803</v>
      </c>
      <c r="E253" s="96" t="s">
        <v>1467</v>
      </c>
      <c r="H253" t="s">
        <v>361</v>
      </c>
      <c r="I253">
        <f>VLOOKUP(H253,Listas!$B$2:$C$20,2,FALSE)</f>
        <v>500001</v>
      </c>
      <c r="J253" t="s">
        <v>73</v>
      </c>
      <c r="K253">
        <f>VLOOKUP(J253,Listas!$B$21:$C$50,2,FALSE)</f>
        <v>600017</v>
      </c>
      <c r="L253">
        <v>-1</v>
      </c>
    </row>
    <row r="254" spans="1:12">
      <c r="A254">
        <v>116</v>
      </c>
      <c r="B254" t="s">
        <v>681</v>
      </c>
      <c r="C254" s="96" t="s">
        <v>682</v>
      </c>
      <c r="D254" t="s">
        <v>1804</v>
      </c>
      <c r="E254" s="96" t="s">
        <v>1467</v>
      </c>
      <c r="H254" t="s">
        <v>361</v>
      </c>
      <c r="I254">
        <f>VLOOKUP(H254,Listas!$B$2:$C$20,2,FALSE)</f>
        <v>500001</v>
      </c>
      <c r="J254" t="s">
        <v>73</v>
      </c>
      <c r="K254">
        <f>VLOOKUP(J254,Listas!$B$21:$C$50,2,FALSE)</f>
        <v>600017</v>
      </c>
      <c r="L254">
        <v>-1</v>
      </c>
    </row>
    <row r="255" spans="1:12">
      <c r="A255">
        <v>116</v>
      </c>
      <c r="B255" t="s">
        <v>1805</v>
      </c>
      <c r="C255" s="96" t="s">
        <v>1806</v>
      </c>
      <c r="D255" t="s">
        <v>1807</v>
      </c>
      <c r="E255" s="96" t="s">
        <v>1467</v>
      </c>
      <c r="H255" t="s">
        <v>361</v>
      </c>
      <c r="I255">
        <f>VLOOKUP(H255,Listas!$B$2:$C$20,2,FALSE)</f>
        <v>500001</v>
      </c>
      <c r="J255" t="s">
        <v>73</v>
      </c>
      <c r="K255">
        <f>VLOOKUP(J255,Listas!$B$21:$C$50,2,FALSE)</f>
        <v>600017</v>
      </c>
      <c r="L255">
        <v>-1</v>
      </c>
    </row>
    <row r="256" spans="1:12">
      <c r="A256">
        <v>116</v>
      </c>
      <c r="B256" t="s">
        <v>1808</v>
      </c>
      <c r="C256" s="96" t="s">
        <v>1809</v>
      </c>
      <c r="D256" t="s">
        <v>1810</v>
      </c>
      <c r="E256" s="96" t="s">
        <v>1467</v>
      </c>
      <c r="H256" t="s">
        <v>361</v>
      </c>
      <c r="I256">
        <f>VLOOKUP(H256,Listas!$B$2:$C$20,2,FALSE)</f>
        <v>500001</v>
      </c>
      <c r="J256" t="s">
        <v>73</v>
      </c>
      <c r="K256">
        <f>VLOOKUP(J256,Listas!$B$21:$C$50,2,FALSE)</f>
        <v>600017</v>
      </c>
      <c r="L256">
        <v>-1</v>
      </c>
    </row>
    <row r="257" spans="1:12">
      <c r="A257">
        <v>116</v>
      </c>
      <c r="B257" t="s">
        <v>1811</v>
      </c>
      <c r="C257" s="96" t="s">
        <v>1812</v>
      </c>
      <c r="D257" t="s">
        <v>1813</v>
      </c>
      <c r="E257" s="96" t="s">
        <v>1467</v>
      </c>
      <c r="H257" t="s">
        <v>361</v>
      </c>
      <c r="I257">
        <f>VLOOKUP(H257,Listas!$B$2:$C$20,2,FALSE)</f>
        <v>500001</v>
      </c>
      <c r="J257" t="s">
        <v>73</v>
      </c>
      <c r="K257">
        <f>VLOOKUP(J257,Listas!$B$21:$C$50,2,FALSE)</f>
        <v>600017</v>
      </c>
      <c r="L257">
        <v>-1</v>
      </c>
    </row>
    <row r="258" spans="1:12">
      <c r="A258">
        <v>116</v>
      </c>
      <c r="B258" t="s">
        <v>1814</v>
      </c>
      <c r="C258" s="96" t="s">
        <v>1815</v>
      </c>
      <c r="D258" t="s">
        <v>1816</v>
      </c>
      <c r="E258" s="96" t="s">
        <v>1467</v>
      </c>
      <c r="H258" t="s">
        <v>361</v>
      </c>
      <c r="I258">
        <f>VLOOKUP(H258,Listas!$B$2:$C$20,2,FALSE)</f>
        <v>500001</v>
      </c>
      <c r="J258" t="s">
        <v>73</v>
      </c>
      <c r="K258">
        <f>VLOOKUP(J258,Listas!$B$21:$C$50,2,FALSE)</f>
        <v>600017</v>
      </c>
      <c r="L258">
        <v>-1</v>
      </c>
    </row>
    <row r="259" spans="1:12">
      <c r="A259">
        <v>116</v>
      </c>
      <c r="B259" t="s">
        <v>1817</v>
      </c>
      <c r="C259" s="96" t="s">
        <v>1818</v>
      </c>
      <c r="D259" t="s">
        <v>1819</v>
      </c>
      <c r="E259" s="96" t="s">
        <v>1467</v>
      </c>
      <c r="H259" t="s">
        <v>361</v>
      </c>
      <c r="I259">
        <f>VLOOKUP(H259,Listas!$B$2:$C$20,2,FALSE)</f>
        <v>500001</v>
      </c>
      <c r="J259" t="s">
        <v>73</v>
      </c>
      <c r="K259">
        <f>VLOOKUP(J259,Listas!$B$21:$C$50,2,FALSE)</f>
        <v>600017</v>
      </c>
      <c r="L259">
        <v>-1</v>
      </c>
    </row>
    <row r="260" spans="1:12">
      <c r="A260">
        <v>116</v>
      </c>
      <c r="B260" t="s">
        <v>1820</v>
      </c>
      <c r="C260" s="96" t="s">
        <v>1821</v>
      </c>
      <c r="D260" t="s">
        <v>1822</v>
      </c>
      <c r="E260" s="96" t="s">
        <v>1467</v>
      </c>
      <c r="H260" t="s">
        <v>361</v>
      </c>
      <c r="I260">
        <f>VLOOKUP(H260,Listas!$B$2:$C$20,2,FALSE)</f>
        <v>500001</v>
      </c>
      <c r="J260" t="s">
        <v>73</v>
      </c>
      <c r="K260">
        <f>VLOOKUP(J260,Listas!$B$21:$C$50,2,FALSE)</f>
        <v>600017</v>
      </c>
      <c r="L260">
        <v>-1</v>
      </c>
    </row>
    <row r="261" spans="1:12">
      <c r="A261">
        <v>116</v>
      </c>
      <c r="B261" t="s">
        <v>1823</v>
      </c>
      <c r="C261" s="96" t="s">
        <v>1824</v>
      </c>
      <c r="D261" t="s">
        <v>1825</v>
      </c>
      <c r="E261" s="96" t="s">
        <v>1467</v>
      </c>
      <c r="H261" t="s">
        <v>361</v>
      </c>
      <c r="I261">
        <f>VLOOKUP(H261,Listas!$B$2:$C$20,2,FALSE)</f>
        <v>500001</v>
      </c>
      <c r="J261" t="s">
        <v>73</v>
      </c>
      <c r="K261">
        <f>VLOOKUP(J261,Listas!$B$21:$C$50,2,FALSE)</f>
        <v>600017</v>
      </c>
      <c r="L261">
        <v>-1</v>
      </c>
    </row>
    <row r="262" spans="1:12">
      <c r="A262">
        <v>116</v>
      </c>
      <c r="B262" t="s">
        <v>1826</v>
      </c>
      <c r="C262" s="96" t="s">
        <v>1827</v>
      </c>
      <c r="D262" t="s">
        <v>1828</v>
      </c>
      <c r="E262" s="96" t="s">
        <v>1467</v>
      </c>
      <c r="H262" t="s">
        <v>361</v>
      </c>
      <c r="I262">
        <f>VLOOKUP(H262,Listas!$B$2:$C$20,2,FALSE)</f>
        <v>500001</v>
      </c>
      <c r="J262" t="s">
        <v>73</v>
      </c>
      <c r="K262">
        <f>VLOOKUP(J262,Listas!$B$21:$C$50,2,FALSE)</f>
        <v>600017</v>
      </c>
      <c r="L262">
        <v>-1</v>
      </c>
    </row>
    <row r="263" spans="1:12">
      <c r="A263">
        <v>116</v>
      </c>
      <c r="B263" t="s">
        <v>1829</v>
      </c>
      <c r="C263" s="96" t="s">
        <v>1830</v>
      </c>
      <c r="D263" t="s">
        <v>1831</v>
      </c>
      <c r="E263" s="96" t="s">
        <v>1467</v>
      </c>
      <c r="H263" t="s">
        <v>361</v>
      </c>
      <c r="I263">
        <f>VLOOKUP(H263,Listas!$B$2:$C$20,2,FALSE)</f>
        <v>500001</v>
      </c>
      <c r="J263" t="s">
        <v>73</v>
      </c>
      <c r="K263">
        <f>VLOOKUP(J263,Listas!$B$21:$C$50,2,FALSE)</f>
        <v>600017</v>
      </c>
      <c r="L263">
        <v>-1</v>
      </c>
    </row>
    <row r="264" spans="1:12">
      <c r="A264">
        <v>116</v>
      </c>
      <c r="B264" t="s">
        <v>1832</v>
      </c>
      <c r="C264" s="96" t="s">
        <v>1833</v>
      </c>
      <c r="D264" t="s">
        <v>1834</v>
      </c>
      <c r="E264" s="96" t="s">
        <v>1467</v>
      </c>
      <c r="H264" t="s">
        <v>361</v>
      </c>
      <c r="I264">
        <f>VLOOKUP(H264,Listas!$B$2:$C$20,2,FALSE)</f>
        <v>500001</v>
      </c>
      <c r="J264" t="s">
        <v>73</v>
      </c>
      <c r="K264">
        <f>VLOOKUP(J264,Listas!$B$21:$C$50,2,FALSE)</f>
        <v>600017</v>
      </c>
      <c r="L264">
        <v>-1</v>
      </c>
    </row>
    <row r="265" spans="1:12">
      <c r="A265">
        <v>116</v>
      </c>
      <c r="B265" t="s">
        <v>1835</v>
      </c>
      <c r="C265" s="96" t="s">
        <v>1836</v>
      </c>
      <c r="D265" t="s">
        <v>1837</v>
      </c>
      <c r="E265" s="96" t="s">
        <v>1467</v>
      </c>
      <c r="H265" t="s">
        <v>361</v>
      </c>
      <c r="I265">
        <f>VLOOKUP(H265,Listas!$B$2:$C$20,2,FALSE)</f>
        <v>500001</v>
      </c>
      <c r="J265" t="s">
        <v>73</v>
      </c>
      <c r="K265">
        <f>VLOOKUP(J265,Listas!$B$21:$C$50,2,FALSE)</f>
        <v>600017</v>
      </c>
      <c r="L265">
        <v>-1</v>
      </c>
    </row>
    <row r="266" spans="1:12">
      <c r="A266">
        <v>116</v>
      </c>
      <c r="B266" t="s">
        <v>1838</v>
      </c>
      <c r="C266" s="96" t="s">
        <v>1839</v>
      </c>
      <c r="D266" t="s">
        <v>1840</v>
      </c>
      <c r="E266" s="96" t="s">
        <v>1467</v>
      </c>
      <c r="H266" t="s">
        <v>361</v>
      </c>
      <c r="I266">
        <f>VLOOKUP(H266,Listas!$B$2:$C$20,2,FALSE)</f>
        <v>500001</v>
      </c>
      <c r="J266" t="s">
        <v>73</v>
      </c>
      <c r="K266">
        <f>VLOOKUP(J266,Listas!$B$21:$C$50,2,FALSE)</f>
        <v>600017</v>
      </c>
      <c r="L266">
        <v>-1</v>
      </c>
    </row>
    <row r="267" spans="1:12">
      <c r="A267">
        <v>116</v>
      </c>
      <c r="B267" t="s">
        <v>1841</v>
      </c>
      <c r="C267" s="96" t="s">
        <v>1842</v>
      </c>
      <c r="D267" t="s">
        <v>1843</v>
      </c>
      <c r="E267" s="96" t="s">
        <v>1467</v>
      </c>
      <c r="H267" t="s">
        <v>361</v>
      </c>
      <c r="I267">
        <f>VLOOKUP(H267,Listas!$B$2:$C$20,2,FALSE)</f>
        <v>500001</v>
      </c>
      <c r="J267" t="s">
        <v>73</v>
      </c>
      <c r="K267">
        <f>VLOOKUP(J267,Listas!$B$21:$C$50,2,FALSE)</f>
        <v>600017</v>
      </c>
      <c r="L267">
        <v>-1</v>
      </c>
    </row>
    <row r="268" spans="1:12">
      <c r="A268">
        <v>116</v>
      </c>
      <c r="B268" t="s">
        <v>1844</v>
      </c>
      <c r="C268" s="96" t="s">
        <v>1845</v>
      </c>
      <c r="D268" t="s">
        <v>1846</v>
      </c>
      <c r="E268" s="96" t="s">
        <v>1467</v>
      </c>
      <c r="H268" t="s">
        <v>361</v>
      </c>
      <c r="I268">
        <f>VLOOKUP(H268,Listas!$B$2:$C$20,2,FALSE)</f>
        <v>500001</v>
      </c>
      <c r="J268" t="s">
        <v>73</v>
      </c>
      <c r="K268">
        <f>VLOOKUP(J268,Listas!$B$21:$C$50,2,FALSE)</f>
        <v>600017</v>
      </c>
      <c r="L268">
        <v>-1</v>
      </c>
    </row>
    <row r="269" spans="1:12">
      <c r="A269">
        <v>116</v>
      </c>
      <c r="B269" t="s">
        <v>1847</v>
      </c>
      <c r="C269" s="96" t="s">
        <v>1848</v>
      </c>
      <c r="D269" t="s">
        <v>1849</v>
      </c>
      <c r="E269" s="96" t="s">
        <v>1467</v>
      </c>
      <c r="H269" t="s">
        <v>361</v>
      </c>
      <c r="I269">
        <f>VLOOKUP(H269,Listas!$B$2:$C$20,2,FALSE)</f>
        <v>500001</v>
      </c>
      <c r="J269" t="s">
        <v>73</v>
      </c>
      <c r="K269">
        <f>VLOOKUP(J269,Listas!$B$21:$C$50,2,FALSE)</f>
        <v>600017</v>
      </c>
      <c r="L269">
        <v>-1</v>
      </c>
    </row>
    <row r="270" spans="1:12">
      <c r="A270">
        <v>116</v>
      </c>
      <c r="B270" t="s">
        <v>1850</v>
      </c>
      <c r="C270" s="96" t="s">
        <v>1851</v>
      </c>
      <c r="D270" t="s">
        <v>1852</v>
      </c>
      <c r="E270" s="96" t="s">
        <v>1467</v>
      </c>
      <c r="H270" t="s">
        <v>361</v>
      </c>
      <c r="I270">
        <f>VLOOKUP(H270,Listas!$B$2:$C$20,2,FALSE)</f>
        <v>500001</v>
      </c>
      <c r="J270" t="s">
        <v>73</v>
      </c>
      <c r="K270">
        <f>VLOOKUP(J270,Listas!$B$21:$C$50,2,FALSE)</f>
        <v>600017</v>
      </c>
      <c r="L270">
        <v>-1</v>
      </c>
    </row>
    <row r="271" spans="1:12">
      <c r="A271">
        <v>116</v>
      </c>
      <c r="B271" t="s">
        <v>1853</v>
      </c>
      <c r="C271" s="96" t="s">
        <v>1854</v>
      </c>
      <c r="D271" t="s">
        <v>1855</v>
      </c>
      <c r="E271" s="96" t="s">
        <v>1467</v>
      </c>
      <c r="H271" t="s">
        <v>361</v>
      </c>
      <c r="I271">
        <f>VLOOKUP(H271,Listas!$B$2:$C$20,2,FALSE)</f>
        <v>500001</v>
      </c>
      <c r="J271" t="s">
        <v>73</v>
      </c>
      <c r="K271">
        <f>VLOOKUP(J271,Listas!$B$21:$C$50,2,FALSE)</f>
        <v>600017</v>
      </c>
      <c r="L271">
        <v>-1</v>
      </c>
    </row>
    <row r="272" spans="1:12">
      <c r="A272">
        <v>116</v>
      </c>
      <c r="B272" t="s">
        <v>1856</v>
      </c>
      <c r="C272" s="96" t="s">
        <v>1857</v>
      </c>
      <c r="D272" t="s">
        <v>1858</v>
      </c>
      <c r="E272" s="96" t="s">
        <v>1467</v>
      </c>
      <c r="H272" t="s">
        <v>361</v>
      </c>
      <c r="I272">
        <f>VLOOKUP(H272,Listas!$B$2:$C$20,2,FALSE)</f>
        <v>500001</v>
      </c>
      <c r="J272" t="s">
        <v>73</v>
      </c>
      <c r="K272">
        <f>VLOOKUP(J272,Listas!$B$21:$C$50,2,FALSE)</f>
        <v>600017</v>
      </c>
      <c r="L272">
        <v>-1</v>
      </c>
    </row>
    <row r="273" spans="1:12">
      <c r="A273">
        <v>116</v>
      </c>
      <c r="B273" t="s">
        <v>1859</v>
      </c>
      <c r="C273" s="96" t="s">
        <v>1860</v>
      </c>
      <c r="D273" t="s">
        <v>1861</v>
      </c>
      <c r="E273" s="96" t="s">
        <v>1467</v>
      </c>
      <c r="H273" t="s">
        <v>361</v>
      </c>
      <c r="I273">
        <f>VLOOKUP(H273,Listas!$B$2:$C$20,2,FALSE)</f>
        <v>500001</v>
      </c>
      <c r="J273" t="s">
        <v>73</v>
      </c>
      <c r="K273">
        <f>VLOOKUP(J273,Listas!$B$21:$C$50,2,FALSE)</f>
        <v>600017</v>
      </c>
      <c r="L273">
        <v>-1</v>
      </c>
    </row>
    <row r="274" spans="1:12">
      <c r="A274">
        <v>116</v>
      </c>
      <c r="B274" t="s">
        <v>1862</v>
      </c>
      <c r="C274" s="96" t="s">
        <v>1863</v>
      </c>
      <c r="D274" t="s">
        <v>1864</v>
      </c>
      <c r="E274" s="96" t="s">
        <v>1467</v>
      </c>
      <c r="H274" t="s">
        <v>361</v>
      </c>
      <c r="I274">
        <f>VLOOKUP(H274,Listas!$B$2:$C$20,2,FALSE)</f>
        <v>500001</v>
      </c>
      <c r="J274" t="s">
        <v>73</v>
      </c>
      <c r="K274">
        <f>VLOOKUP(J274,Listas!$B$21:$C$50,2,FALSE)</f>
        <v>600017</v>
      </c>
      <c r="L274">
        <v>-1</v>
      </c>
    </row>
    <row r="275" spans="1:12">
      <c r="A275">
        <v>116</v>
      </c>
      <c r="B275" t="s">
        <v>1865</v>
      </c>
      <c r="C275" s="96" t="s">
        <v>1866</v>
      </c>
      <c r="D275" t="s">
        <v>1867</v>
      </c>
      <c r="E275" s="96" t="s">
        <v>1467</v>
      </c>
      <c r="H275" t="s">
        <v>361</v>
      </c>
      <c r="I275">
        <f>VLOOKUP(H275,Listas!$B$2:$C$20,2,FALSE)</f>
        <v>500001</v>
      </c>
      <c r="J275" t="s">
        <v>73</v>
      </c>
      <c r="K275">
        <f>VLOOKUP(J275,Listas!$B$21:$C$50,2,FALSE)</f>
        <v>600017</v>
      </c>
      <c r="L275">
        <v>-1</v>
      </c>
    </row>
    <row r="276" spans="1:12">
      <c r="A276">
        <v>116</v>
      </c>
      <c r="B276" t="s">
        <v>1868</v>
      </c>
      <c r="C276" s="96" t="s">
        <v>1869</v>
      </c>
      <c r="D276" t="s">
        <v>1870</v>
      </c>
      <c r="E276" s="96" t="s">
        <v>1467</v>
      </c>
      <c r="H276" t="s">
        <v>361</v>
      </c>
      <c r="I276">
        <f>VLOOKUP(H276,Listas!$B$2:$C$20,2,FALSE)</f>
        <v>500001</v>
      </c>
      <c r="J276" t="s">
        <v>73</v>
      </c>
      <c r="K276">
        <f>VLOOKUP(J276,Listas!$B$21:$C$50,2,FALSE)</f>
        <v>600017</v>
      </c>
      <c r="L276">
        <v>-1</v>
      </c>
    </row>
    <row r="277" spans="1:12">
      <c r="A277">
        <v>116</v>
      </c>
      <c r="B277" t="s">
        <v>1871</v>
      </c>
      <c r="C277" s="96" t="s">
        <v>1872</v>
      </c>
      <c r="D277" t="s">
        <v>1873</v>
      </c>
      <c r="E277" s="96" t="s">
        <v>1467</v>
      </c>
      <c r="H277" t="s">
        <v>361</v>
      </c>
      <c r="I277">
        <f>VLOOKUP(H277,Listas!$B$2:$C$20,2,FALSE)</f>
        <v>500001</v>
      </c>
      <c r="J277" t="s">
        <v>73</v>
      </c>
      <c r="K277">
        <f>VLOOKUP(J277,Listas!$B$21:$C$50,2,FALSE)</f>
        <v>600017</v>
      </c>
      <c r="L277">
        <v>-1</v>
      </c>
    </row>
    <row r="278" spans="1:12">
      <c r="A278">
        <v>116</v>
      </c>
      <c r="B278" t="s">
        <v>1874</v>
      </c>
      <c r="C278" s="96" t="s">
        <v>1875</v>
      </c>
      <c r="D278" t="s">
        <v>1876</v>
      </c>
      <c r="E278" s="96" t="s">
        <v>1467</v>
      </c>
      <c r="H278" t="s">
        <v>361</v>
      </c>
      <c r="I278">
        <f>VLOOKUP(H278,Listas!$B$2:$C$20,2,FALSE)</f>
        <v>500001</v>
      </c>
      <c r="J278" t="s">
        <v>73</v>
      </c>
      <c r="K278">
        <f>VLOOKUP(J278,Listas!$B$21:$C$50,2,FALSE)</f>
        <v>600017</v>
      </c>
      <c r="L278">
        <v>-1</v>
      </c>
    </row>
    <row r="279" spans="1:12">
      <c r="A279">
        <v>116</v>
      </c>
      <c r="B279" t="s">
        <v>1877</v>
      </c>
      <c r="C279" s="96" t="s">
        <v>1878</v>
      </c>
      <c r="D279" t="s">
        <v>1879</v>
      </c>
      <c r="E279" s="96" t="s">
        <v>1467</v>
      </c>
      <c r="H279" t="s">
        <v>361</v>
      </c>
      <c r="I279">
        <f>VLOOKUP(H279,Listas!$B$2:$C$20,2,FALSE)</f>
        <v>500001</v>
      </c>
      <c r="J279" t="s">
        <v>73</v>
      </c>
      <c r="K279">
        <f>VLOOKUP(J279,Listas!$B$21:$C$50,2,FALSE)</f>
        <v>600017</v>
      </c>
      <c r="L279">
        <v>-1</v>
      </c>
    </row>
    <row r="280" spans="1:12">
      <c r="A280">
        <v>116</v>
      </c>
      <c r="B280" t="s">
        <v>1880</v>
      </c>
      <c r="C280" s="96" t="s">
        <v>1881</v>
      </c>
      <c r="D280" t="s">
        <v>1882</v>
      </c>
      <c r="E280" s="96" t="s">
        <v>1467</v>
      </c>
      <c r="H280" t="s">
        <v>361</v>
      </c>
      <c r="I280">
        <f>VLOOKUP(H280,Listas!$B$2:$C$20,2,FALSE)</f>
        <v>500001</v>
      </c>
      <c r="J280" t="s">
        <v>73</v>
      </c>
      <c r="K280">
        <f>VLOOKUP(J280,Listas!$B$21:$C$50,2,FALSE)</f>
        <v>600017</v>
      </c>
      <c r="L280">
        <v>-1</v>
      </c>
    </row>
    <row r="281" spans="1:12">
      <c r="A281">
        <v>116</v>
      </c>
      <c r="B281" t="s">
        <v>1883</v>
      </c>
      <c r="C281" s="96" t="s">
        <v>1884</v>
      </c>
      <c r="D281" t="s">
        <v>1885</v>
      </c>
      <c r="E281" s="96" t="s">
        <v>1467</v>
      </c>
      <c r="H281" t="s">
        <v>361</v>
      </c>
      <c r="I281">
        <f>VLOOKUP(H281,Listas!$B$2:$C$20,2,FALSE)</f>
        <v>500001</v>
      </c>
      <c r="J281" t="s">
        <v>73</v>
      </c>
      <c r="K281">
        <f>VLOOKUP(J281,Listas!$B$21:$C$50,2,FALSE)</f>
        <v>600017</v>
      </c>
      <c r="L281">
        <v>-1</v>
      </c>
    </row>
    <row r="282" spans="1:12">
      <c r="A282">
        <v>116</v>
      </c>
      <c r="B282" t="s">
        <v>1886</v>
      </c>
      <c r="C282" s="96" t="s">
        <v>1887</v>
      </c>
      <c r="D282" t="s">
        <v>1888</v>
      </c>
      <c r="E282" s="96" t="s">
        <v>1467</v>
      </c>
      <c r="H282" t="s">
        <v>361</v>
      </c>
      <c r="I282">
        <f>VLOOKUP(H282,Listas!$B$2:$C$20,2,FALSE)</f>
        <v>500001</v>
      </c>
      <c r="J282" t="s">
        <v>73</v>
      </c>
      <c r="K282">
        <f>VLOOKUP(J282,Listas!$B$21:$C$50,2,FALSE)</f>
        <v>600017</v>
      </c>
      <c r="L282">
        <v>-1</v>
      </c>
    </row>
    <row r="283" spans="1:12">
      <c r="A283">
        <v>116</v>
      </c>
      <c r="B283" t="s">
        <v>1889</v>
      </c>
      <c r="C283" s="96" t="s">
        <v>1890</v>
      </c>
      <c r="D283" t="s">
        <v>1891</v>
      </c>
      <c r="E283" s="96" t="s">
        <v>1467</v>
      </c>
      <c r="H283" t="s">
        <v>361</v>
      </c>
      <c r="I283">
        <f>VLOOKUP(H283,Listas!$B$2:$C$20,2,FALSE)</f>
        <v>500001</v>
      </c>
      <c r="J283" t="s">
        <v>73</v>
      </c>
      <c r="K283">
        <f>VLOOKUP(J283,Listas!$B$21:$C$50,2,FALSE)</f>
        <v>600017</v>
      </c>
      <c r="L283">
        <v>-1</v>
      </c>
    </row>
    <row r="284" spans="1:12">
      <c r="A284">
        <v>116</v>
      </c>
      <c r="B284" t="s">
        <v>1892</v>
      </c>
      <c r="C284" s="96" t="s">
        <v>1893</v>
      </c>
      <c r="D284" t="s">
        <v>1894</v>
      </c>
      <c r="E284" s="96" t="s">
        <v>1467</v>
      </c>
      <c r="H284" t="s">
        <v>361</v>
      </c>
      <c r="I284">
        <f>VLOOKUP(H284,Listas!$B$2:$C$20,2,FALSE)</f>
        <v>500001</v>
      </c>
      <c r="J284" t="s">
        <v>73</v>
      </c>
      <c r="K284">
        <f>VLOOKUP(J284,Listas!$B$21:$C$50,2,FALSE)</f>
        <v>600017</v>
      </c>
      <c r="L284">
        <v>-1</v>
      </c>
    </row>
    <row r="285" spans="1:12">
      <c r="A285">
        <v>116</v>
      </c>
      <c r="B285" t="s">
        <v>1895</v>
      </c>
      <c r="C285" s="96" t="s">
        <v>1896</v>
      </c>
      <c r="D285" t="s">
        <v>1897</v>
      </c>
      <c r="E285" s="96" t="s">
        <v>1467</v>
      </c>
      <c r="H285" t="s">
        <v>361</v>
      </c>
      <c r="I285">
        <f>VLOOKUP(H285,Listas!$B$2:$C$20,2,FALSE)</f>
        <v>500001</v>
      </c>
      <c r="J285" t="s">
        <v>73</v>
      </c>
      <c r="K285">
        <f>VLOOKUP(J285,Listas!$B$21:$C$50,2,FALSE)</f>
        <v>600017</v>
      </c>
      <c r="L285">
        <v>-1</v>
      </c>
    </row>
    <row r="286" spans="1:12">
      <c r="A286">
        <v>116</v>
      </c>
      <c r="B286" t="s">
        <v>1898</v>
      </c>
      <c r="C286" s="96" t="s">
        <v>1899</v>
      </c>
      <c r="D286" t="s">
        <v>1900</v>
      </c>
      <c r="E286" s="96" t="s">
        <v>1467</v>
      </c>
      <c r="H286" t="s">
        <v>361</v>
      </c>
      <c r="I286">
        <f>VLOOKUP(H286,Listas!$B$2:$C$20,2,FALSE)</f>
        <v>500001</v>
      </c>
      <c r="J286" t="s">
        <v>73</v>
      </c>
      <c r="K286">
        <f>VLOOKUP(J286,Listas!$B$21:$C$50,2,FALSE)</f>
        <v>600017</v>
      </c>
      <c r="L286">
        <v>-1</v>
      </c>
    </row>
    <row r="287" spans="1:12">
      <c r="A287">
        <v>116</v>
      </c>
      <c r="B287" t="s">
        <v>1901</v>
      </c>
      <c r="C287" s="96" t="s">
        <v>1902</v>
      </c>
      <c r="D287" t="s">
        <v>1903</v>
      </c>
      <c r="E287" s="96" t="s">
        <v>1467</v>
      </c>
      <c r="H287" t="s">
        <v>361</v>
      </c>
      <c r="I287">
        <f>VLOOKUP(H287,Listas!$B$2:$C$20,2,FALSE)</f>
        <v>500001</v>
      </c>
      <c r="J287" t="s">
        <v>73</v>
      </c>
      <c r="K287">
        <f>VLOOKUP(J287,Listas!$B$21:$C$50,2,FALSE)</f>
        <v>600017</v>
      </c>
      <c r="L287">
        <v>-1</v>
      </c>
    </row>
    <row r="288" spans="1:12">
      <c r="A288">
        <v>116</v>
      </c>
      <c r="B288" t="s">
        <v>684</v>
      </c>
      <c r="C288" s="96" t="s">
        <v>685</v>
      </c>
      <c r="D288" t="s">
        <v>686</v>
      </c>
      <c r="E288" s="96" t="s">
        <v>1467</v>
      </c>
      <c r="H288" t="s">
        <v>361</v>
      </c>
      <c r="I288">
        <f>VLOOKUP(H288,Listas!$B$2:$C$20,2,FALSE)</f>
        <v>500001</v>
      </c>
      <c r="J288" t="s">
        <v>73</v>
      </c>
      <c r="K288">
        <f>VLOOKUP(J288,Listas!$B$21:$C$50,2,FALSE)</f>
        <v>600017</v>
      </c>
      <c r="L288">
        <v>-1</v>
      </c>
    </row>
    <row r="289" spans="1:12">
      <c r="A289">
        <v>116</v>
      </c>
      <c r="B289" t="s">
        <v>1904</v>
      </c>
      <c r="C289" s="96" t="s">
        <v>1905</v>
      </c>
      <c r="D289" t="s">
        <v>1906</v>
      </c>
      <c r="E289" s="96" t="s">
        <v>1467</v>
      </c>
      <c r="H289" t="s">
        <v>361</v>
      </c>
      <c r="I289">
        <f>VLOOKUP(H289,Listas!$B$2:$C$20,2,FALSE)</f>
        <v>500001</v>
      </c>
      <c r="J289" t="s">
        <v>73</v>
      </c>
      <c r="K289">
        <f>VLOOKUP(J289,Listas!$B$21:$C$50,2,FALSE)</f>
        <v>600017</v>
      </c>
      <c r="L289">
        <v>-1</v>
      </c>
    </row>
    <row r="290" spans="1:12">
      <c r="A290">
        <v>116</v>
      </c>
      <c r="B290" t="s">
        <v>1907</v>
      </c>
      <c r="C290" s="96" t="s">
        <v>1908</v>
      </c>
      <c r="D290" t="s">
        <v>1909</v>
      </c>
      <c r="E290" s="96" t="s">
        <v>1467</v>
      </c>
      <c r="H290" t="s">
        <v>361</v>
      </c>
      <c r="I290">
        <f>VLOOKUP(H290,Listas!$B$2:$C$20,2,FALSE)</f>
        <v>500001</v>
      </c>
      <c r="J290" t="s">
        <v>73</v>
      </c>
      <c r="K290">
        <f>VLOOKUP(J290,Listas!$B$21:$C$50,2,FALSE)</f>
        <v>600017</v>
      </c>
      <c r="L290">
        <v>-1</v>
      </c>
    </row>
    <row r="291" spans="1:12">
      <c r="A291">
        <v>116</v>
      </c>
      <c r="B291" t="s">
        <v>1910</v>
      </c>
      <c r="C291" s="96" t="s">
        <v>1911</v>
      </c>
      <c r="D291" t="s">
        <v>1912</v>
      </c>
      <c r="E291" s="96" t="s">
        <v>1467</v>
      </c>
      <c r="H291" t="s">
        <v>361</v>
      </c>
      <c r="I291">
        <f>VLOOKUP(H291,Listas!$B$2:$C$20,2,FALSE)</f>
        <v>500001</v>
      </c>
      <c r="J291" t="s">
        <v>73</v>
      </c>
      <c r="K291">
        <f>VLOOKUP(J291,Listas!$B$21:$C$50,2,FALSE)</f>
        <v>600017</v>
      </c>
      <c r="L291">
        <v>-1</v>
      </c>
    </row>
    <row r="292" spans="1:12">
      <c r="A292">
        <v>116</v>
      </c>
      <c r="B292" t="s">
        <v>1913</v>
      </c>
      <c r="C292" s="96" t="s">
        <v>1914</v>
      </c>
      <c r="D292" t="s">
        <v>1915</v>
      </c>
      <c r="E292" s="96" t="s">
        <v>1467</v>
      </c>
      <c r="H292" t="s">
        <v>361</v>
      </c>
      <c r="I292">
        <f>VLOOKUP(H292,Listas!$B$2:$C$20,2,FALSE)</f>
        <v>500001</v>
      </c>
      <c r="J292" t="s">
        <v>73</v>
      </c>
      <c r="K292">
        <f>VLOOKUP(J292,Listas!$B$21:$C$50,2,FALSE)</f>
        <v>600017</v>
      </c>
      <c r="L292">
        <v>-1</v>
      </c>
    </row>
    <row r="293" spans="1:12">
      <c r="A293">
        <v>116</v>
      </c>
      <c r="B293" t="s">
        <v>687</v>
      </c>
      <c r="C293" s="96" t="s">
        <v>688</v>
      </c>
      <c r="D293" t="s">
        <v>689</v>
      </c>
      <c r="E293" s="96" t="s">
        <v>1467</v>
      </c>
      <c r="H293" t="s">
        <v>361</v>
      </c>
      <c r="I293">
        <f>VLOOKUP(H293,Listas!$B$2:$C$20,2,FALSE)</f>
        <v>500001</v>
      </c>
      <c r="J293" t="s">
        <v>73</v>
      </c>
      <c r="K293">
        <f>VLOOKUP(J293,Listas!$B$21:$C$50,2,FALSE)</f>
        <v>600017</v>
      </c>
      <c r="L293">
        <v>-1</v>
      </c>
    </row>
    <row r="294" spans="1:12">
      <c r="A294">
        <v>116</v>
      </c>
      <c r="B294" t="s">
        <v>1916</v>
      </c>
      <c r="C294" s="96" t="s">
        <v>1917</v>
      </c>
      <c r="D294" t="s">
        <v>1918</v>
      </c>
      <c r="E294" s="96" t="s">
        <v>1467</v>
      </c>
      <c r="H294" t="s">
        <v>361</v>
      </c>
      <c r="I294">
        <f>VLOOKUP(H294,Listas!$B$2:$C$20,2,FALSE)</f>
        <v>500001</v>
      </c>
      <c r="J294" t="s">
        <v>73</v>
      </c>
      <c r="K294">
        <f>VLOOKUP(J294,Listas!$B$21:$C$50,2,FALSE)</f>
        <v>600017</v>
      </c>
      <c r="L294">
        <v>-1</v>
      </c>
    </row>
    <row r="295" spans="1:12">
      <c r="A295">
        <v>116</v>
      </c>
      <c r="B295" t="s">
        <v>1919</v>
      </c>
      <c r="C295" s="96" t="s">
        <v>1920</v>
      </c>
      <c r="D295" t="s">
        <v>1921</v>
      </c>
      <c r="E295" s="96" t="s">
        <v>1467</v>
      </c>
      <c r="H295" t="s">
        <v>361</v>
      </c>
      <c r="I295">
        <f>VLOOKUP(H295,Listas!$B$2:$C$20,2,FALSE)</f>
        <v>500001</v>
      </c>
      <c r="J295" t="s">
        <v>73</v>
      </c>
      <c r="K295">
        <f>VLOOKUP(J295,Listas!$B$21:$C$50,2,FALSE)</f>
        <v>600017</v>
      </c>
      <c r="L295">
        <v>-1</v>
      </c>
    </row>
    <row r="296" spans="1:12">
      <c r="A296">
        <v>116</v>
      </c>
      <c r="B296" t="s">
        <v>1922</v>
      </c>
      <c r="C296" s="96" t="s">
        <v>1923</v>
      </c>
      <c r="D296" t="s">
        <v>1924</v>
      </c>
      <c r="E296" s="96" t="s">
        <v>1467</v>
      </c>
      <c r="H296" t="s">
        <v>361</v>
      </c>
      <c r="I296">
        <f>VLOOKUP(H296,Listas!$B$2:$C$20,2,FALSE)</f>
        <v>500001</v>
      </c>
      <c r="J296" t="s">
        <v>73</v>
      </c>
      <c r="K296">
        <f>VLOOKUP(J296,Listas!$B$21:$C$50,2,FALSE)</f>
        <v>600017</v>
      </c>
      <c r="L296">
        <v>-1</v>
      </c>
    </row>
    <row r="297" spans="1:12">
      <c r="A297">
        <v>116</v>
      </c>
      <c r="B297" t="s">
        <v>1925</v>
      </c>
      <c r="C297" s="96" t="s">
        <v>1926</v>
      </c>
      <c r="D297" t="s">
        <v>1927</v>
      </c>
      <c r="E297" s="96" t="s">
        <v>1467</v>
      </c>
      <c r="H297" t="s">
        <v>361</v>
      </c>
      <c r="I297">
        <f>VLOOKUP(H297,Listas!$B$2:$C$20,2,FALSE)</f>
        <v>500001</v>
      </c>
      <c r="J297" t="s">
        <v>73</v>
      </c>
      <c r="K297">
        <f>VLOOKUP(J297,Listas!$B$21:$C$50,2,FALSE)</f>
        <v>600017</v>
      </c>
      <c r="L297">
        <v>-1</v>
      </c>
    </row>
    <row r="298" spans="1:12">
      <c r="A298">
        <v>116</v>
      </c>
      <c r="B298" t="s">
        <v>1928</v>
      </c>
      <c r="C298" s="96" t="s">
        <v>1929</v>
      </c>
      <c r="D298" t="s">
        <v>1930</v>
      </c>
      <c r="E298" s="96" t="s">
        <v>1467</v>
      </c>
      <c r="H298" t="s">
        <v>361</v>
      </c>
      <c r="I298">
        <f>VLOOKUP(H298,Listas!$B$2:$C$20,2,FALSE)</f>
        <v>500001</v>
      </c>
      <c r="J298" t="s">
        <v>73</v>
      </c>
      <c r="K298">
        <f>VLOOKUP(J298,Listas!$B$21:$C$50,2,FALSE)</f>
        <v>600017</v>
      </c>
      <c r="L298">
        <v>-1</v>
      </c>
    </row>
    <row r="299" spans="1:12">
      <c r="A299">
        <v>116</v>
      </c>
      <c r="B299" t="s">
        <v>1931</v>
      </c>
      <c r="C299" s="96" t="s">
        <v>1932</v>
      </c>
      <c r="D299" t="s">
        <v>1933</v>
      </c>
      <c r="E299" s="96" t="s">
        <v>1467</v>
      </c>
      <c r="H299" t="s">
        <v>361</v>
      </c>
      <c r="I299">
        <f>VLOOKUP(H299,Listas!$B$2:$C$20,2,FALSE)</f>
        <v>500001</v>
      </c>
      <c r="J299" t="s">
        <v>73</v>
      </c>
      <c r="K299">
        <f>VLOOKUP(J299,Listas!$B$21:$C$50,2,FALSE)</f>
        <v>600017</v>
      </c>
      <c r="L299">
        <v>-1</v>
      </c>
    </row>
    <row r="300" spans="1:12">
      <c r="A300">
        <v>116</v>
      </c>
      <c r="B300" t="s">
        <v>1934</v>
      </c>
      <c r="C300" s="96" t="s">
        <v>1935</v>
      </c>
      <c r="D300" t="s">
        <v>1936</v>
      </c>
      <c r="E300" s="96" t="s">
        <v>1467</v>
      </c>
      <c r="H300" t="s">
        <v>361</v>
      </c>
      <c r="I300">
        <f>VLOOKUP(H300,Listas!$B$2:$C$20,2,FALSE)</f>
        <v>500001</v>
      </c>
      <c r="J300" t="s">
        <v>73</v>
      </c>
      <c r="K300">
        <f>VLOOKUP(J300,Listas!$B$21:$C$50,2,FALSE)</f>
        <v>600017</v>
      </c>
      <c r="L300">
        <v>-1</v>
      </c>
    </row>
    <row r="301" spans="1:12">
      <c r="A301">
        <v>116</v>
      </c>
      <c r="B301" t="s">
        <v>1937</v>
      </c>
      <c r="C301" s="96" t="s">
        <v>1938</v>
      </c>
      <c r="D301" t="s">
        <v>1939</v>
      </c>
      <c r="E301" s="96" t="s">
        <v>1467</v>
      </c>
      <c r="H301" t="s">
        <v>361</v>
      </c>
      <c r="I301">
        <f>VLOOKUP(H301,Listas!$B$2:$C$20,2,FALSE)</f>
        <v>500001</v>
      </c>
      <c r="J301" t="s">
        <v>73</v>
      </c>
      <c r="K301">
        <f>VLOOKUP(J301,Listas!$B$21:$C$50,2,FALSE)</f>
        <v>600017</v>
      </c>
      <c r="L301">
        <v>-1</v>
      </c>
    </row>
    <row r="302" spans="1:12">
      <c r="A302">
        <v>116</v>
      </c>
      <c r="B302" t="s">
        <v>1940</v>
      </c>
      <c r="C302" s="96">
        <v>211049</v>
      </c>
      <c r="D302" t="s">
        <v>1941</v>
      </c>
      <c r="E302" s="96" t="s">
        <v>1467</v>
      </c>
      <c r="H302" t="s">
        <v>361</v>
      </c>
      <c r="I302">
        <f>VLOOKUP(H302,Listas!$B$2:$C$20,2,FALSE)</f>
        <v>500001</v>
      </c>
      <c r="J302" t="s">
        <v>73</v>
      </c>
      <c r="K302">
        <f>VLOOKUP(J302,Listas!$B$21:$C$50,2,FALSE)</f>
        <v>600017</v>
      </c>
      <c r="L302">
        <v>-1</v>
      </c>
    </row>
    <row r="303" spans="1:12">
      <c r="A303">
        <v>116</v>
      </c>
      <c r="B303" t="s">
        <v>1942</v>
      </c>
      <c r="C303" s="96" t="s">
        <v>1943</v>
      </c>
      <c r="D303" t="s">
        <v>1944</v>
      </c>
      <c r="E303" s="96" t="s">
        <v>1467</v>
      </c>
      <c r="H303" t="s">
        <v>361</v>
      </c>
      <c r="I303">
        <f>VLOOKUP(H303,Listas!$B$2:$C$20,2,FALSE)</f>
        <v>500001</v>
      </c>
      <c r="J303" t="s">
        <v>73</v>
      </c>
      <c r="K303">
        <f>VLOOKUP(J303,Listas!$B$21:$C$50,2,FALSE)</f>
        <v>600017</v>
      </c>
      <c r="L303">
        <v>-1</v>
      </c>
    </row>
    <row r="304" spans="1:12">
      <c r="A304">
        <v>116</v>
      </c>
      <c r="B304" t="s">
        <v>1945</v>
      </c>
      <c r="C304" s="96" t="s">
        <v>1946</v>
      </c>
      <c r="D304" t="s">
        <v>1947</v>
      </c>
      <c r="E304" s="96" t="s">
        <v>1467</v>
      </c>
      <c r="H304" t="s">
        <v>361</v>
      </c>
      <c r="I304">
        <f>VLOOKUP(H304,Listas!$B$2:$C$20,2,FALSE)</f>
        <v>500001</v>
      </c>
      <c r="J304" t="s">
        <v>73</v>
      </c>
      <c r="K304">
        <f>VLOOKUP(J304,Listas!$B$21:$C$50,2,FALSE)</f>
        <v>600017</v>
      </c>
      <c r="L304">
        <v>-1</v>
      </c>
    </row>
    <row r="305" spans="1:12">
      <c r="A305">
        <v>116</v>
      </c>
      <c r="B305" t="s">
        <v>1948</v>
      </c>
      <c r="C305" s="96">
        <v>60925161000118</v>
      </c>
      <c r="D305" t="s">
        <v>1949</v>
      </c>
      <c r="E305" s="96" t="s">
        <v>1467</v>
      </c>
      <c r="H305" t="s">
        <v>361</v>
      </c>
      <c r="I305">
        <f>VLOOKUP(H305,Listas!$B$2:$C$20,2,FALSE)</f>
        <v>500001</v>
      </c>
      <c r="J305" t="s">
        <v>73</v>
      </c>
      <c r="K305">
        <f>VLOOKUP(J305,Listas!$B$21:$C$50,2,FALSE)</f>
        <v>600017</v>
      </c>
      <c r="L305">
        <v>-1</v>
      </c>
    </row>
    <row r="306" spans="1:12">
      <c r="A306">
        <v>116</v>
      </c>
      <c r="B306" t="s">
        <v>1950</v>
      </c>
      <c r="C306" s="96">
        <v>5633719000183</v>
      </c>
      <c r="D306" t="s">
        <v>1951</v>
      </c>
      <c r="E306" s="96" t="s">
        <v>1467</v>
      </c>
      <c r="H306" t="s">
        <v>361</v>
      </c>
      <c r="I306">
        <f>VLOOKUP(H306,Listas!$B$2:$C$20,2,FALSE)</f>
        <v>500001</v>
      </c>
      <c r="J306" t="s">
        <v>73</v>
      </c>
      <c r="K306">
        <f>VLOOKUP(J306,Listas!$B$21:$C$50,2,FALSE)</f>
        <v>600017</v>
      </c>
      <c r="L306">
        <v>-1</v>
      </c>
    </row>
    <row r="307" spans="1:12">
      <c r="A307">
        <v>116</v>
      </c>
      <c r="B307" t="s">
        <v>1952</v>
      </c>
      <c r="C307" s="96" t="s">
        <v>1953</v>
      </c>
      <c r="D307" t="s">
        <v>1954</v>
      </c>
      <c r="E307" s="96" t="s">
        <v>1467</v>
      </c>
      <c r="H307" t="s">
        <v>361</v>
      </c>
      <c r="I307">
        <f>VLOOKUP(H307,Listas!$B$2:$C$20,2,FALSE)</f>
        <v>500001</v>
      </c>
      <c r="J307" t="s">
        <v>73</v>
      </c>
      <c r="K307">
        <f>VLOOKUP(J307,Listas!$B$21:$C$50,2,FALSE)</f>
        <v>600017</v>
      </c>
      <c r="L307">
        <v>-1</v>
      </c>
    </row>
    <row r="308" spans="1:12">
      <c r="A308">
        <v>116</v>
      </c>
      <c r="B308" t="s">
        <v>1955</v>
      </c>
      <c r="C308" s="96" t="s">
        <v>1956</v>
      </c>
      <c r="D308" t="s">
        <v>1957</v>
      </c>
      <c r="E308" s="96" t="s">
        <v>1467</v>
      </c>
      <c r="H308" t="s">
        <v>361</v>
      </c>
      <c r="I308">
        <f>VLOOKUP(H308,Listas!$B$2:$C$20,2,FALSE)</f>
        <v>500001</v>
      </c>
      <c r="J308" t="s">
        <v>73</v>
      </c>
      <c r="K308">
        <f>VLOOKUP(J308,Listas!$B$21:$C$50,2,FALSE)</f>
        <v>600017</v>
      </c>
      <c r="L308">
        <v>-1</v>
      </c>
    </row>
    <row r="309" spans="1:12">
      <c r="A309">
        <v>116</v>
      </c>
      <c r="B309" t="s">
        <v>1958</v>
      </c>
      <c r="C309" s="96" t="s">
        <v>1959</v>
      </c>
      <c r="D309" t="s">
        <v>1960</v>
      </c>
      <c r="E309" s="96" t="s">
        <v>1467</v>
      </c>
      <c r="H309" t="s">
        <v>361</v>
      </c>
      <c r="I309">
        <f>VLOOKUP(H309,Listas!$B$2:$C$20,2,FALSE)</f>
        <v>500001</v>
      </c>
      <c r="J309" t="s">
        <v>73</v>
      </c>
      <c r="K309">
        <f>VLOOKUP(J309,Listas!$B$21:$C$50,2,FALSE)</f>
        <v>600017</v>
      </c>
      <c r="L309">
        <v>-1</v>
      </c>
    </row>
    <row r="310" spans="1:12">
      <c r="A310">
        <v>116</v>
      </c>
      <c r="B310" t="s">
        <v>1961</v>
      </c>
      <c r="C310" s="96" t="s">
        <v>1962</v>
      </c>
      <c r="D310" t="s">
        <v>1963</v>
      </c>
      <c r="E310" s="96" t="s">
        <v>1467</v>
      </c>
      <c r="H310" t="s">
        <v>361</v>
      </c>
      <c r="I310">
        <f>VLOOKUP(H310,Listas!$B$2:$C$20,2,FALSE)</f>
        <v>500001</v>
      </c>
      <c r="J310" t="s">
        <v>73</v>
      </c>
      <c r="K310">
        <f>VLOOKUP(J310,Listas!$B$21:$C$50,2,FALSE)</f>
        <v>600017</v>
      </c>
      <c r="L310">
        <v>-1</v>
      </c>
    </row>
    <row r="311" spans="1:12">
      <c r="A311">
        <v>116</v>
      </c>
      <c r="B311" t="s">
        <v>1964</v>
      </c>
      <c r="C311" s="96" t="s">
        <v>1965</v>
      </c>
      <c r="D311" t="s">
        <v>1966</v>
      </c>
      <c r="E311" s="96" t="s">
        <v>1467</v>
      </c>
      <c r="H311" t="s">
        <v>361</v>
      </c>
      <c r="I311">
        <f>VLOOKUP(H311,Listas!$B$2:$C$20,2,FALSE)</f>
        <v>500001</v>
      </c>
      <c r="J311" t="s">
        <v>73</v>
      </c>
      <c r="K311">
        <f>VLOOKUP(J311,Listas!$B$21:$C$50,2,FALSE)</f>
        <v>600017</v>
      </c>
      <c r="L311">
        <v>-1</v>
      </c>
    </row>
    <row r="312" spans="1:12">
      <c r="A312">
        <v>116</v>
      </c>
      <c r="B312" t="s">
        <v>1967</v>
      </c>
      <c r="C312" s="96" t="s">
        <v>1968</v>
      </c>
      <c r="D312" t="s">
        <v>1969</v>
      </c>
      <c r="E312" s="96" t="s">
        <v>1467</v>
      </c>
      <c r="H312" t="s">
        <v>361</v>
      </c>
      <c r="I312">
        <f>VLOOKUP(H312,Listas!$B$2:$C$20,2,FALSE)</f>
        <v>500001</v>
      </c>
      <c r="J312" t="s">
        <v>73</v>
      </c>
      <c r="K312">
        <f>VLOOKUP(J312,Listas!$B$21:$C$50,2,FALSE)</f>
        <v>600017</v>
      </c>
      <c r="L312">
        <v>-1</v>
      </c>
    </row>
    <row r="313" spans="1:12">
      <c r="A313">
        <v>116</v>
      </c>
      <c r="B313" t="s">
        <v>1970</v>
      </c>
      <c r="C313" s="96" t="s">
        <v>1971</v>
      </c>
      <c r="D313" t="s">
        <v>1972</v>
      </c>
      <c r="E313" s="96" t="s">
        <v>1467</v>
      </c>
      <c r="H313" t="s">
        <v>361</v>
      </c>
      <c r="I313">
        <f>VLOOKUP(H313,Listas!$B$2:$C$20,2,FALSE)</f>
        <v>500001</v>
      </c>
      <c r="J313" t="s">
        <v>73</v>
      </c>
      <c r="K313">
        <f>VLOOKUP(J313,Listas!$B$21:$C$50,2,FALSE)</f>
        <v>600017</v>
      </c>
      <c r="L313">
        <v>-1</v>
      </c>
    </row>
    <row r="314" spans="1:12">
      <c r="A314">
        <v>116</v>
      </c>
      <c r="B314" t="s">
        <v>690</v>
      </c>
      <c r="C314" s="96" t="s">
        <v>691</v>
      </c>
      <c r="D314" t="s">
        <v>692</v>
      </c>
      <c r="E314" s="96" t="s">
        <v>1467</v>
      </c>
      <c r="H314" t="s">
        <v>361</v>
      </c>
      <c r="I314">
        <f>VLOOKUP(H314,Listas!$B$2:$C$20,2,FALSE)</f>
        <v>500001</v>
      </c>
      <c r="J314" t="s">
        <v>73</v>
      </c>
      <c r="K314">
        <f>VLOOKUP(J314,Listas!$B$21:$C$50,2,FALSE)</f>
        <v>600017</v>
      </c>
      <c r="L314">
        <v>-1</v>
      </c>
    </row>
    <row r="315" spans="1:12">
      <c r="A315">
        <v>116</v>
      </c>
      <c r="B315" t="s">
        <v>1973</v>
      </c>
      <c r="C315" s="96" t="s">
        <v>1974</v>
      </c>
      <c r="D315" t="s">
        <v>1975</v>
      </c>
      <c r="E315" s="96" t="s">
        <v>1467</v>
      </c>
      <c r="H315" t="s">
        <v>361</v>
      </c>
      <c r="I315">
        <f>VLOOKUP(H315,Listas!$B$2:$C$20,2,FALSE)</f>
        <v>500001</v>
      </c>
      <c r="J315" t="s">
        <v>73</v>
      </c>
      <c r="K315">
        <f>VLOOKUP(J315,Listas!$B$21:$C$50,2,FALSE)</f>
        <v>600017</v>
      </c>
      <c r="L315">
        <v>-1</v>
      </c>
    </row>
    <row r="316" spans="1:12">
      <c r="A316">
        <v>116</v>
      </c>
      <c r="B316" t="s">
        <v>1976</v>
      </c>
      <c r="C316" s="96" t="s">
        <v>1977</v>
      </c>
      <c r="D316" t="s">
        <v>1978</v>
      </c>
      <c r="E316" s="96" t="s">
        <v>1467</v>
      </c>
      <c r="H316" t="s">
        <v>361</v>
      </c>
      <c r="I316">
        <f>VLOOKUP(H316,Listas!$B$2:$C$20,2,FALSE)</f>
        <v>500001</v>
      </c>
      <c r="J316" t="s">
        <v>73</v>
      </c>
      <c r="K316">
        <f>VLOOKUP(J316,Listas!$B$21:$C$50,2,FALSE)</f>
        <v>600017</v>
      </c>
      <c r="L316">
        <v>-1</v>
      </c>
    </row>
    <row r="317" spans="1:12">
      <c r="A317">
        <v>116</v>
      </c>
      <c r="B317" t="s">
        <v>1979</v>
      </c>
      <c r="C317" s="96" t="s">
        <v>1980</v>
      </c>
      <c r="D317" t="s">
        <v>1981</v>
      </c>
      <c r="E317" s="96" t="s">
        <v>1467</v>
      </c>
      <c r="H317" t="s">
        <v>361</v>
      </c>
      <c r="I317">
        <f>VLOOKUP(H317,Listas!$B$2:$C$20,2,FALSE)</f>
        <v>500001</v>
      </c>
      <c r="J317" t="s">
        <v>73</v>
      </c>
      <c r="K317">
        <f>VLOOKUP(J317,Listas!$B$21:$C$50,2,FALSE)</f>
        <v>600017</v>
      </c>
      <c r="L317">
        <v>-1</v>
      </c>
    </row>
    <row r="318" spans="1:12">
      <c r="A318">
        <v>116</v>
      </c>
      <c r="B318" t="s">
        <v>1982</v>
      </c>
      <c r="C318" s="96" t="s">
        <v>1983</v>
      </c>
      <c r="D318" t="s">
        <v>1984</v>
      </c>
      <c r="E318" s="96" t="s">
        <v>1467</v>
      </c>
      <c r="H318" t="s">
        <v>361</v>
      </c>
      <c r="I318">
        <f>VLOOKUP(H318,Listas!$B$2:$C$20,2,FALSE)</f>
        <v>500001</v>
      </c>
      <c r="J318" t="s">
        <v>73</v>
      </c>
      <c r="K318">
        <f>VLOOKUP(J318,Listas!$B$21:$C$50,2,FALSE)</f>
        <v>600017</v>
      </c>
      <c r="L318">
        <v>-1</v>
      </c>
    </row>
    <row r="319" spans="1:12">
      <c r="A319">
        <v>116</v>
      </c>
      <c r="B319" t="s">
        <v>1985</v>
      </c>
      <c r="C319" s="96" t="s">
        <v>1986</v>
      </c>
      <c r="D319" t="s">
        <v>1987</v>
      </c>
      <c r="E319" s="96" t="s">
        <v>1467</v>
      </c>
      <c r="H319" t="s">
        <v>361</v>
      </c>
      <c r="I319">
        <f>VLOOKUP(H319,Listas!$B$2:$C$20,2,FALSE)</f>
        <v>500001</v>
      </c>
      <c r="J319" t="s">
        <v>73</v>
      </c>
      <c r="K319">
        <f>VLOOKUP(J319,Listas!$B$21:$C$50,2,FALSE)</f>
        <v>600017</v>
      </c>
      <c r="L319">
        <v>-1</v>
      </c>
    </row>
    <row r="320" spans="1:12">
      <c r="A320">
        <v>116</v>
      </c>
      <c r="B320" t="s">
        <v>1988</v>
      </c>
      <c r="C320" s="96" t="s">
        <v>1989</v>
      </c>
      <c r="D320" t="s">
        <v>1990</v>
      </c>
      <c r="E320" s="96" t="s">
        <v>1467</v>
      </c>
      <c r="H320" t="s">
        <v>361</v>
      </c>
      <c r="I320">
        <f>VLOOKUP(H320,Listas!$B$2:$C$20,2,FALSE)</f>
        <v>500001</v>
      </c>
      <c r="J320" t="s">
        <v>73</v>
      </c>
      <c r="K320">
        <f>VLOOKUP(J320,Listas!$B$21:$C$50,2,FALSE)</f>
        <v>600017</v>
      </c>
      <c r="L320">
        <v>-1</v>
      </c>
    </row>
    <row r="321" spans="1:12">
      <c r="A321">
        <v>116</v>
      </c>
      <c r="B321" t="s">
        <v>1991</v>
      </c>
      <c r="C321" s="96" t="s">
        <v>1992</v>
      </c>
      <c r="D321" t="s">
        <v>1993</v>
      </c>
      <c r="E321" s="96" t="s">
        <v>1467</v>
      </c>
      <c r="H321" t="s">
        <v>361</v>
      </c>
      <c r="I321">
        <f>VLOOKUP(H321,Listas!$B$2:$C$20,2,FALSE)</f>
        <v>500001</v>
      </c>
      <c r="J321" t="s">
        <v>73</v>
      </c>
      <c r="K321">
        <f>VLOOKUP(J321,Listas!$B$21:$C$50,2,FALSE)</f>
        <v>600017</v>
      </c>
      <c r="L321">
        <v>-1</v>
      </c>
    </row>
    <row r="322" spans="1:12">
      <c r="A322">
        <v>116</v>
      </c>
      <c r="B322" t="s">
        <v>1994</v>
      </c>
      <c r="C322" s="96" t="s">
        <v>1995</v>
      </c>
      <c r="D322" t="s">
        <v>1996</v>
      </c>
      <c r="E322" s="96" t="s">
        <v>1467</v>
      </c>
      <c r="H322" t="s">
        <v>361</v>
      </c>
      <c r="I322">
        <f>VLOOKUP(H322,Listas!$B$2:$C$20,2,FALSE)</f>
        <v>500001</v>
      </c>
      <c r="J322" t="s">
        <v>73</v>
      </c>
      <c r="K322">
        <f>VLOOKUP(J322,Listas!$B$21:$C$50,2,FALSE)</f>
        <v>600017</v>
      </c>
      <c r="L322">
        <v>-1</v>
      </c>
    </row>
    <row r="323" spans="1:12">
      <c r="A323">
        <v>116</v>
      </c>
      <c r="B323" t="s">
        <v>1997</v>
      </c>
      <c r="C323" s="96" t="s">
        <v>1998</v>
      </c>
      <c r="D323" t="s">
        <v>1999</v>
      </c>
      <c r="E323" s="96" t="s">
        <v>1467</v>
      </c>
      <c r="H323" t="s">
        <v>361</v>
      </c>
      <c r="I323">
        <f>VLOOKUP(H323,Listas!$B$2:$C$20,2,FALSE)</f>
        <v>500001</v>
      </c>
      <c r="J323" t="s">
        <v>73</v>
      </c>
      <c r="K323">
        <f>VLOOKUP(J323,Listas!$B$21:$C$50,2,FALSE)</f>
        <v>600017</v>
      </c>
      <c r="L323">
        <v>-1</v>
      </c>
    </row>
    <row r="324" spans="1:12">
      <c r="A324">
        <v>116</v>
      </c>
      <c r="B324" t="s">
        <v>2000</v>
      </c>
      <c r="C324" s="96" t="s">
        <v>2001</v>
      </c>
      <c r="D324" t="s">
        <v>2002</v>
      </c>
      <c r="E324" s="96" t="s">
        <v>1467</v>
      </c>
      <c r="H324" t="s">
        <v>361</v>
      </c>
      <c r="I324">
        <f>VLOOKUP(H324,Listas!$B$2:$C$20,2,FALSE)</f>
        <v>500001</v>
      </c>
      <c r="J324" t="s">
        <v>73</v>
      </c>
      <c r="K324">
        <f>VLOOKUP(J324,Listas!$B$21:$C$50,2,FALSE)</f>
        <v>600017</v>
      </c>
      <c r="L324">
        <v>-1</v>
      </c>
    </row>
    <row r="325" spans="1:12">
      <c r="A325">
        <v>116</v>
      </c>
      <c r="B325" t="s">
        <v>2003</v>
      </c>
      <c r="C325" s="96" t="s">
        <v>2004</v>
      </c>
      <c r="D325" t="s">
        <v>2005</v>
      </c>
      <c r="E325" s="96" t="s">
        <v>1467</v>
      </c>
      <c r="H325" t="s">
        <v>361</v>
      </c>
      <c r="I325">
        <f>VLOOKUP(H325,Listas!$B$2:$C$20,2,FALSE)</f>
        <v>500001</v>
      </c>
      <c r="J325" t="s">
        <v>73</v>
      </c>
      <c r="K325">
        <f>VLOOKUP(J325,Listas!$B$21:$C$50,2,FALSE)</f>
        <v>600017</v>
      </c>
      <c r="L325">
        <v>-1</v>
      </c>
    </row>
    <row r="326" spans="1:12">
      <c r="A326">
        <v>116</v>
      </c>
      <c r="B326" t="s">
        <v>2006</v>
      </c>
      <c r="C326" s="96" t="s">
        <v>2007</v>
      </c>
      <c r="D326" t="s">
        <v>2008</v>
      </c>
      <c r="E326" s="96" t="s">
        <v>1467</v>
      </c>
      <c r="H326" t="s">
        <v>361</v>
      </c>
      <c r="I326">
        <f>VLOOKUP(H326,Listas!$B$2:$C$20,2,FALSE)</f>
        <v>500001</v>
      </c>
      <c r="J326" t="s">
        <v>73</v>
      </c>
      <c r="K326">
        <f>VLOOKUP(J326,Listas!$B$21:$C$50,2,FALSE)</f>
        <v>600017</v>
      </c>
      <c r="L326">
        <v>-1</v>
      </c>
    </row>
    <row r="327" spans="1:12">
      <c r="A327">
        <v>116</v>
      </c>
      <c r="B327" t="s">
        <v>2009</v>
      </c>
      <c r="C327" s="96">
        <v>110245</v>
      </c>
      <c r="D327" t="s">
        <v>2010</v>
      </c>
      <c r="E327" s="96" t="s">
        <v>1467</v>
      </c>
      <c r="H327" t="s">
        <v>361</v>
      </c>
      <c r="I327">
        <f>VLOOKUP(H327,Listas!$B$2:$C$20,2,FALSE)</f>
        <v>500001</v>
      </c>
      <c r="J327" t="s">
        <v>73</v>
      </c>
      <c r="K327">
        <f>VLOOKUP(J327,Listas!$B$21:$C$50,2,FALSE)</f>
        <v>600017</v>
      </c>
      <c r="L327">
        <v>-1</v>
      </c>
    </row>
    <row r="328" spans="1:12">
      <c r="A328">
        <v>116</v>
      </c>
      <c r="B328" t="s">
        <v>2011</v>
      </c>
      <c r="C328" s="96" t="s">
        <v>2012</v>
      </c>
      <c r="D328" t="s">
        <v>2013</v>
      </c>
      <c r="E328" s="96" t="s">
        <v>1467</v>
      </c>
      <c r="H328" t="s">
        <v>361</v>
      </c>
      <c r="I328">
        <f>VLOOKUP(H328,Listas!$B$2:$C$20,2,FALSE)</f>
        <v>500001</v>
      </c>
      <c r="J328" t="s">
        <v>73</v>
      </c>
      <c r="K328">
        <f>VLOOKUP(J328,Listas!$B$21:$C$50,2,FALSE)</f>
        <v>600017</v>
      </c>
      <c r="L328">
        <v>-1</v>
      </c>
    </row>
    <row r="329" spans="1:12">
      <c r="A329">
        <v>116</v>
      </c>
      <c r="B329" t="s">
        <v>2014</v>
      </c>
      <c r="C329" s="96" t="s">
        <v>2015</v>
      </c>
      <c r="D329" t="s">
        <v>2016</v>
      </c>
      <c r="E329" s="96" t="s">
        <v>1467</v>
      </c>
      <c r="H329" t="s">
        <v>361</v>
      </c>
      <c r="I329">
        <f>VLOOKUP(H329,Listas!$B$2:$C$20,2,FALSE)</f>
        <v>500001</v>
      </c>
      <c r="J329" t="s">
        <v>73</v>
      </c>
      <c r="K329">
        <f>VLOOKUP(J329,Listas!$B$21:$C$50,2,FALSE)</f>
        <v>600017</v>
      </c>
      <c r="L329">
        <v>-1</v>
      </c>
    </row>
    <row r="330" spans="1:12">
      <c r="A330">
        <v>116</v>
      </c>
      <c r="B330" t="s">
        <v>2017</v>
      </c>
      <c r="C330" s="96" t="s">
        <v>2018</v>
      </c>
      <c r="D330" t="s">
        <v>2019</v>
      </c>
      <c r="E330" s="96" t="s">
        <v>1467</v>
      </c>
      <c r="H330" t="s">
        <v>361</v>
      </c>
      <c r="I330">
        <f>VLOOKUP(H330,Listas!$B$2:$C$20,2,FALSE)</f>
        <v>500001</v>
      </c>
      <c r="J330" t="s">
        <v>73</v>
      </c>
      <c r="K330">
        <f>VLOOKUP(J330,Listas!$B$21:$C$50,2,FALSE)</f>
        <v>600017</v>
      </c>
      <c r="L330">
        <v>-1</v>
      </c>
    </row>
    <row r="331" spans="1:12">
      <c r="A331">
        <v>116</v>
      </c>
      <c r="B331" t="s">
        <v>2020</v>
      </c>
      <c r="C331" s="96" t="s">
        <v>2021</v>
      </c>
      <c r="D331" t="s">
        <v>2022</v>
      </c>
      <c r="E331" s="96" t="s">
        <v>1467</v>
      </c>
      <c r="H331" t="s">
        <v>361</v>
      </c>
      <c r="I331">
        <f>VLOOKUP(H331,Listas!$B$2:$C$20,2,FALSE)</f>
        <v>500001</v>
      </c>
      <c r="J331" t="s">
        <v>73</v>
      </c>
      <c r="K331">
        <f>VLOOKUP(J331,Listas!$B$21:$C$50,2,FALSE)</f>
        <v>600017</v>
      </c>
      <c r="L331">
        <v>-1</v>
      </c>
    </row>
    <row r="332" spans="1:12">
      <c r="A332">
        <v>116</v>
      </c>
      <c r="B332" t="s">
        <v>693</v>
      </c>
      <c r="C332" s="96" t="s">
        <v>694</v>
      </c>
      <c r="D332" t="s">
        <v>695</v>
      </c>
      <c r="E332" s="96" t="s">
        <v>1467</v>
      </c>
      <c r="H332" t="s">
        <v>361</v>
      </c>
      <c r="I332">
        <f>VLOOKUP(H332,Listas!$B$2:$C$20,2,FALSE)</f>
        <v>500001</v>
      </c>
      <c r="J332" t="s">
        <v>73</v>
      </c>
      <c r="K332">
        <f>VLOOKUP(J332,Listas!$B$21:$C$50,2,FALSE)</f>
        <v>600017</v>
      </c>
      <c r="L332">
        <v>-1</v>
      </c>
    </row>
    <row r="333" spans="1:12">
      <c r="A333">
        <v>116</v>
      </c>
      <c r="B333" t="s">
        <v>2023</v>
      </c>
      <c r="C333" s="96" t="s">
        <v>2024</v>
      </c>
      <c r="D333" t="s">
        <v>2025</v>
      </c>
      <c r="E333" s="96" t="s">
        <v>1467</v>
      </c>
      <c r="H333" t="s">
        <v>361</v>
      </c>
      <c r="I333">
        <f>VLOOKUP(H333,Listas!$B$2:$C$20,2,FALSE)</f>
        <v>500001</v>
      </c>
      <c r="J333" t="s">
        <v>73</v>
      </c>
      <c r="K333">
        <f>VLOOKUP(J333,Listas!$B$21:$C$50,2,FALSE)</f>
        <v>600017</v>
      </c>
      <c r="L333">
        <v>-1</v>
      </c>
    </row>
    <row r="334" spans="1:12">
      <c r="A334">
        <v>116</v>
      </c>
      <c r="B334" t="s">
        <v>2026</v>
      </c>
      <c r="C334" s="96" t="s">
        <v>2027</v>
      </c>
      <c r="D334" t="s">
        <v>2028</v>
      </c>
      <c r="E334" s="96" t="s">
        <v>1467</v>
      </c>
      <c r="H334" t="s">
        <v>361</v>
      </c>
      <c r="I334">
        <f>VLOOKUP(H334,Listas!$B$2:$C$20,2,FALSE)</f>
        <v>500001</v>
      </c>
      <c r="J334" t="s">
        <v>73</v>
      </c>
      <c r="K334">
        <f>VLOOKUP(J334,Listas!$B$21:$C$50,2,FALSE)</f>
        <v>600017</v>
      </c>
      <c r="L334">
        <v>-1</v>
      </c>
    </row>
    <row r="335" spans="1:12">
      <c r="A335">
        <v>116</v>
      </c>
      <c r="B335" t="s">
        <v>2029</v>
      </c>
      <c r="C335" s="96" t="s">
        <v>2030</v>
      </c>
      <c r="D335" t="s">
        <v>2031</v>
      </c>
      <c r="E335" s="96" t="s">
        <v>1467</v>
      </c>
      <c r="H335" t="s">
        <v>361</v>
      </c>
      <c r="I335">
        <f>VLOOKUP(H335,Listas!$B$2:$C$20,2,FALSE)</f>
        <v>500001</v>
      </c>
      <c r="J335" t="s">
        <v>73</v>
      </c>
      <c r="K335">
        <f>VLOOKUP(J335,Listas!$B$21:$C$50,2,FALSE)</f>
        <v>600017</v>
      </c>
      <c r="L335">
        <v>-1</v>
      </c>
    </row>
    <row r="336" spans="1:12">
      <c r="A336">
        <v>116</v>
      </c>
      <c r="B336" t="s">
        <v>2032</v>
      </c>
      <c r="C336" s="96" t="s">
        <v>2033</v>
      </c>
      <c r="D336" t="s">
        <v>2034</v>
      </c>
      <c r="E336" s="96" t="s">
        <v>1467</v>
      </c>
      <c r="H336" t="s">
        <v>361</v>
      </c>
      <c r="I336">
        <f>VLOOKUP(H336,Listas!$B$2:$C$20,2,FALSE)</f>
        <v>500001</v>
      </c>
      <c r="J336" t="s">
        <v>73</v>
      </c>
      <c r="K336">
        <f>VLOOKUP(J336,Listas!$B$21:$C$50,2,FALSE)</f>
        <v>600017</v>
      </c>
      <c r="L336">
        <v>-1</v>
      </c>
    </row>
    <row r="337" spans="1:12">
      <c r="A337">
        <v>116</v>
      </c>
      <c r="B337" t="s">
        <v>2035</v>
      </c>
      <c r="C337" s="96" t="s">
        <v>2036</v>
      </c>
      <c r="D337" t="s">
        <v>2037</v>
      </c>
      <c r="E337" s="96" t="s">
        <v>1467</v>
      </c>
      <c r="H337" t="s">
        <v>361</v>
      </c>
      <c r="I337">
        <f>VLOOKUP(H337,Listas!$B$2:$C$20,2,FALSE)</f>
        <v>500001</v>
      </c>
      <c r="J337" t="s">
        <v>73</v>
      </c>
      <c r="K337">
        <f>VLOOKUP(J337,Listas!$B$21:$C$50,2,FALSE)</f>
        <v>600017</v>
      </c>
      <c r="L337">
        <v>-1</v>
      </c>
    </row>
    <row r="338" spans="1:12">
      <c r="A338">
        <v>116</v>
      </c>
      <c r="B338" t="s">
        <v>2038</v>
      </c>
      <c r="C338" s="96" t="s">
        <v>2039</v>
      </c>
      <c r="D338" t="s">
        <v>2040</v>
      </c>
      <c r="E338" s="96" t="s">
        <v>1467</v>
      </c>
      <c r="H338" t="s">
        <v>361</v>
      </c>
      <c r="I338">
        <f>VLOOKUP(H338,Listas!$B$2:$C$20,2,FALSE)</f>
        <v>500001</v>
      </c>
      <c r="J338" t="s">
        <v>73</v>
      </c>
      <c r="K338">
        <f>VLOOKUP(J338,Listas!$B$21:$C$50,2,FALSE)</f>
        <v>600017</v>
      </c>
      <c r="L338">
        <v>-1</v>
      </c>
    </row>
    <row r="339" spans="1:12">
      <c r="A339">
        <v>116</v>
      </c>
      <c r="B339" t="s">
        <v>2041</v>
      </c>
      <c r="C339" s="96" t="s">
        <v>2042</v>
      </c>
      <c r="D339" t="s">
        <v>2043</v>
      </c>
      <c r="E339" s="96" t="s">
        <v>1467</v>
      </c>
      <c r="H339" t="s">
        <v>361</v>
      </c>
      <c r="I339">
        <f>VLOOKUP(H339,Listas!$B$2:$C$20,2,FALSE)</f>
        <v>500001</v>
      </c>
      <c r="J339" t="s">
        <v>73</v>
      </c>
      <c r="K339">
        <f>VLOOKUP(J339,Listas!$B$21:$C$50,2,FALSE)</f>
        <v>600017</v>
      </c>
      <c r="L339">
        <v>-1</v>
      </c>
    </row>
    <row r="340" spans="1:12">
      <c r="A340">
        <v>116</v>
      </c>
      <c r="B340" t="s">
        <v>2044</v>
      </c>
      <c r="C340" s="96" t="s">
        <v>2045</v>
      </c>
      <c r="D340" t="s">
        <v>2046</v>
      </c>
      <c r="E340" s="96" t="s">
        <v>1467</v>
      </c>
      <c r="H340" t="s">
        <v>361</v>
      </c>
      <c r="I340">
        <f>VLOOKUP(H340,Listas!$B$2:$C$20,2,FALSE)</f>
        <v>500001</v>
      </c>
      <c r="J340" t="s">
        <v>73</v>
      </c>
      <c r="K340">
        <f>VLOOKUP(J340,Listas!$B$21:$C$50,2,FALSE)</f>
        <v>600017</v>
      </c>
      <c r="L340">
        <v>-1</v>
      </c>
    </row>
    <row r="341" spans="1:12">
      <c r="A341">
        <v>116</v>
      </c>
      <c r="B341" t="s">
        <v>2047</v>
      </c>
      <c r="C341" s="96" t="s">
        <v>2048</v>
      </c>
      <c r="D341" t="s">
        <v>2049</v>
      </c>
      <c r="E341" s="96" t="s">
        <v>1467</v>
      </c>
      <c r="H341" t="s">
        <v>361</v>
      </c>
      <c r="I341">
        <f>VLOOKUP(H341,Listas!$B$2:$C$20,2,FALSE)</f>
        <v>500001</v>
      </c>
      <c r="J341" t="s">
        <v>73</v>
      </c>
      <c r="K341">
        <f>VLOOKUP(J341,Listas!$B$21:$C$50,2,FALSE)</f>
        <v>600017</v>
      </c>
      <c r="L341">
        <v>-1</v>
      </c>
    </row>
    <row r="342" spans="1:12">
      <c r="A342">
        <v>116</v>
      </c>
      <c r="B342" t="s">
        <v>2050</v>
      </c>
      <c r="C342" s="96" t="s">
        <v>2051</v>
      </c>
      <c r="D342" t="s">
        <v>2052</v>
      </c>
      <c r="E342" s="96" t="s">
        <v>1467</v>
      </c>
      <c r="H342" t="s">
        <v>361</v>
      </c>
      <c r="I342">
        <f>VLOOKUP(H342,Listas!$B$2:$C$20,2,FALSE)</f>
        <v>500001</v>
      </c>
      <c r="J342" t="s">
        <v>73</v>
      </c>
      <c r="K342">
        <f>VLOOKUP(J342,Listas!$B$21:$C$50,2,FALSE)</f>
        <v>600017</v>
      </c>
      <c r="L342">
        <v>-1</v>
      </c>
    </row>
    <row r="343" spans="1:12">
      <c r="A343">
        <v>116</v>
      </c>
      <c r="B343" t="s">
        <v>2053</v>
      </c>
      <c r="C343" s="96" t="s">
        <v>2054</v>
      </c>
      <c r="D343" t="s">
        <v>2055</v>
      </c>
      <c r="E343" s="96" t="s">
        <v>1467</v>
      </c>
      <c r="H343" t="s">
        <v>361</v>
      </c>
      <c r="I343">
        <f>VLOOKUP(H343,Listas!$B$2:$C$20,2,FALSE)</f>
        <v>500001</v>
      </c>
      <c r="J343" t="s">
        <v>73</v>
      </c>
      <c r="K343">
        <f>VLOOKUP(J343,Listas!$B$21:$C$50,2,FALSE)</f>
        <v>600017</v>
      </c>
      <c r="L343">
        <v>-1</v>
      </c>
    </row>
    <row r="344" spans="1:12">
      <c r="A344">
        <v>116</v>
      </c>
      <c r="B344" t="s">
        <v>2056</v>
      </c>
      <c r="C344" s="96" t="s">
        <v>2057</v>
      </c>
      <c r="D344" t="s">
        <v>2058</v>
      </c>
      <c r="E344" s="96" t="s">
        <v>1467</v>
      </c>
      <c r="H344" t="s">
        <v>361</v>
      </c>
      <c r="I344">
        <f>VLOOKUP(H344,Listas!$B$2:$C$20,2,FALSE)</f>
        <v>500001</v>
      </c>
      <c r="J344" t="s">
        <v>73</v>
      </c>
      <c r="K344">
        <f>VLOOKUP(J344,Listas!$B$21:$C$50,2,FALSE)</f>
        <v>600017</v>
      </c>
      <c r="L344">
        <v>-1</v>
      </c>
    </row>
    <row r="345" spans="1:12">
      <c r="A345">
        <v>116</v>
      </c>
      <c r="B345" t="s">
        <v>2059</v>
      </c>
      <c r="C345" s="96" t="s">
        <v>2060</v>
      </c>
      <c r="D345" t="s">
        <v>2061</v>
      </c>
      <c r="E345" s="96" t="s">
        <v>1467</v>
      </c>
      <c r="H345" t="s">
        <v>361</v>
      </c>
      <c r="I345">
        <f>VLOOKUP(H345,Listas!$B$2:$C$20,2,FALSE)</f>
        <v>500001</v>
      </c>
      <c r="J345" t="s">
        <v>73</v>
      </c>
      <c r="K345">
        <f>VLOOKUP(J345,Listas!$B$21:$C$50,2,FALSE)</f>
        <v>600017</v>
      </c>
      <c r="L345">
        <v>-1</v>
      </c>
    </row>
    <row r="346" spans="1:12">
      <c r="A346">
        <v>116</v>
      </c>
      <c r="B346" t="s">
        <v>2062</v>
      </c>
      <c r="C346" s="96" t="s">
        <v>2063</v>
      </c>
      <c r="D346" t="s">
        <v>2064</v>
      </c>
      <c r="E346" s="96" t="s">
        <v>1467</v>
      </c>
      <c r="H346" t="s">
        <v>361</v>
      </c>
      <c r="I346">
        <f>VLOOKUP(H346,Listas!$B$2:$C$20,2,FALSE)</f>
        <v>500001</v>
      </c>
      <c r="J346" t="s">
        <v>73</v>
      </c>
      <c r="K346">
        <f>VLOOKUP(J346,Listas!$B$21:$C$50,2,FALSE)</f>
        <v>600017</v>
      </c>
      <c r="L346">
        <v>-1</v>
      </c>
    </row>
    <row r="347" spans="1:12">
      <c r="A347">
        <v>116</v>
      </c>
      <c r="B347" t="s">
        <v>2065</v>
      </c>
      <c r="C347" s="96" t="s">
        <v>2066</v>
      </c>
      <c r="D347" t="s">
        <v>2067</v>
      </c>
      <c r="E347" s="96" t="s">
        <v>1467</v>
      </c>
      <c r="H347" t="s">
        <v>361</v>
      </c>
      <c r="I347">
        <f>VLOOKUP(H347,Listas!$B$2:$C$20,2,FALSE)</f>
        <v>500001</v>
      </c>
      <c r="J347" t="s">
        <v>73</v>
      </c>
      <c r="K347">
        <f>VLOOKUP(J347,Listas!$B$21:$C$50,2,FALSE)</f>
        <v>600017</v>
      </c>
      <c r="L347">
        <v>-1</v>
      </c>
    </row>
    <row r="348" spans="1:12">
      <c r="A348">
        <v>116</v>
      </c>
      <c r="B348" t="s">
        <v>2068</v>
      </c>
      <c r="C348" s="96" t="s">
        <v>2069</v>
      </c>
      <c r="D348" t="s">
        <v>2070</v>
      </c>
      <c r="E348" s="96" t="s">
        <v>1467</v>
      </c>
      <c r="H348" t="s">
        <v>361</v>
      </c>
      <c r="I348">
        <f>VLOOKUP(H348,Listas!$B$2:$C$20,2,FALSE)</f>
        <v>500001</v>
      </c>
      <c r="J348" t="s">
        <v>73</v>
      </c>
      <c r="K348">
        <f>VLOOKUP(J348,Listas!$B$21:$C$50,2,FALSE)</f>
        <v>600017</v>
      </c>
      <c r="L348">
        <v>-1</v>
      </c>
    </row>
    <row r="349" spans="1:12">
      <c r="A349">
        <v>116</v>
      </c>
      <c r="B349" t="s">
        <v>696</v>
      </c>
      <c r="C349" s="96">
        <v>33634254000110</v>
      </c>
      <c r="D349" t="s">
        <v>697</v>
      </c>
      <c r="E349" s="96" t="s">
        <v>1467</v>
      </c>
      <c r="H349" t="s">
        <v>361</v>
      </c>
      <c r="I349">
        <f>VLOOKUP(H349,Listas!$B$2:$C$20,2,FALSE)</f>
        <v>500001</v>
      </c>
      <c r="J349" t="s">
        <v>73</v>
      </c>
      <c r="K349">
        <f>VLOOKUP(J349,Listas!$B$21:$C$50,2,FALSE)</f>
        <v>600017</v>
      </c>
      <c r="L349">
        <v>-1</v>
      </c>
    </row>
    <row r="350" spans="1:12">
      <c r="A350">
        <v>116</v>
      </c>
      <c r="B350" t="s">
        <v>2071</v>
      </c>
      <c r="C350" s="96" t="s">
        <v>2072</v>
      </c>
      <c r="D350" t="s">
        <v>2073</v>
      </c>
      <c r="E350" s="96" t="s">
        <v>1467</v>
      </c>
      <c r="H350" t="s">
        <v>361</v>
      </c>
      <c r="I350">
        <f>VLOOKUP(H350,Listas!$B$2:$C$20,2,FALSE)</f>
        <v>500001</v>
      </c>
      <c r="J350" t="s">
        <v>73</v>
      </c>
      <c r="K350">
        <f>VLOOKUP(J350,Listas!$B$21:$C$50,2,FALSE)</f>
        <v>600017</v>
      </c>
      <c r="L350">
        <v>-1</v>
      </c>
    </row>
    <row r="351" spans="1:12">
      <c r="A351">
        <v>116</v>
      </c>
      <c r="B351" t="s">
        <v>2074</v>
      </c>
      <c r="C351" s="96" t="s">
        <v>2075</v>
      </c>
      <c r="D351" t="s">
        <v>2076</v>
      </c>
      <c r="E351" s="96" t="s">
        <v>1467</v>
      </c>
      <c r="H351" t="s">
        <v>361</v>
      </c>
      <c r="I351">
        <f>VLOOKUP(H351,Listas!$B$2:$C$20,2,FALSE)</f>
        <v>500001</v>
      </c>
      <c r="J351" t="s">
        <v>73</v>
      </c>
      <c r="K351">
        <f>VLOOKUP(J351,Listas!$B$21:$C$50,2,FALSE)</f>
        <v>600017</v>
      </c>
      <c r="L351">
        <v>-1</v>
      </c>
    </row>
    <row r="352" spans="1:12">
      <c r="A352">
        <v>116</v>
      </c>
      <c r="B352" t="s">
        <v>2077</v>
      </c>
      <c r="C352" s="96" t="s">
        <v>2078</v>
      </c>
      <c r="D352" t="s">
        <v>2079</v>
      </c>
      <c r="E352" s="96" t="s">
        <v>1467</v>
      </c>
      <c r="H352" t="s">
        <v>361</v>
      </c>
      <c r="I352">
        <f>VLOOKUP(H352,Listas!$B$2:$C$20,2,FALSE)</f>
        <v>500001</v>
      </c>
      <c r="J352" t="s">
        <v>73</v>
      </c>
      <c r="K352">
        <f>VLOOKUP(J352,Listas!$B$21:$C$50,2,FALSE)</f>
        <v>600017</v>
      </c>
      <c r="L352">
        <v>-1</v>
      </c>
    </row>
    <row r="353" spans="1:12">
      <c r="A353">
        <v>116</v>
      </c>
      <c r="B353" t="s">
        <v>2080</v>
      </c>
      <c r="C353" s="96" t="s">
        <v>2081</v>
      </c>
      <c r="D353" t="s">
        <v>2082</v>
      </c>
      <c r="E353" s="96" t="s">
        <v>1467</v>
      </c>
      <c r="H353" t="s">
        <v>361</v>
      </c>
      <c r="I353">
        <f>VLOOKUP(H353,Listas!$B$2:$C$20,2,FALSE)</f>
        <v>500001</v>
      </c>
      <c r="J353" t="s">
        <v>73</v>
      </c>
      <c r="K353">
        <f>VLOOKUP(J353,Listas!$B$21:$C$50,2,FALSE)</f>
        <v>600017</v>
      </c>
      <c r="L353">
        <v>-1</v>
      </c>
    </row>
    <row r="354" spans="1:12">
      <c r="A354">
        <v>116</v>
      </c>
      <c r="B354" t="s">
        <v>2083</v>
      </c>
      <c r="C354" s="96" t="s">
        <v>2084</v>
      </c>
      <c r="D354" t="s">
        <v>2085</v>
      </c>
      <c r="E354" s="96" t="s">
        <v>1467</v>
      </c>
      <c r="H354" t="s">
        <v>361</v>
      </c>
      <c r="I354">
        <f>VLOOKUP(H354,Listas!$B$2:$C$20,2,FALSE)</f>
        <v>500001</v>
      </c>
      <c r="J354" t="s">
        <v>73</v>
      </c>
      <c r="K354">
        <f>VLOOKUP(J354,Listas!$B$21:$C$50,2,FALSE)</f>
        <v>600017</v>
      </c>
      <c r="L354">
        <v>-1</v>
      </c>
    </row>
    <row r="355" spans="1:12">
      <c r="A355">
        <v>116</v>
      </c>
      <c r="B355" t="s">
        <v>2086</v>
      </c>
      <c r="C355" s="96" t="s">
        <v>2087</v>
      </c>
      <c r="D355" t="s">
        <v>2088</v>
      </c>
      <c r="E355" s="96" t="s">
        <v>1467</v>
      </c>
      <c r="H355" t="s">
        <v>361</v>
      </c>
      <c r="I355">
        <f>VLOOKUP(H355,Listas!$B$2:$C$20,2,FALSE)</f>
        <v>500001</v>
      </c>
      <c r="J355" t="s">
        <v>73</v>
      </c>
      <c r="K355">
        <f>VLOOKUP(J355,Listas!$B$21:$C$50,2,FALSE)</f>
        <v>600017</v>
      </c>
      <c r="L355">
        <v>-1</v>
      </c>
    </row>
    <row r="356" spans="1:12">
      <c r="A356">
        <v>116</v>
      </c>
      <c r="B356" t="s">
        <v>2089</v>
      </c>
      <c r="C356" s="96" t="s">
        <v>2090</v>
      </c>
      <c r="D356" t="s">
        <v>2091</v>
      </c>
      <c r="E356" s="96" t="s">
        <v>1467</v>
      </c>
      <c r="H356" t="s">
        <v>361</v>
      </c>
      <c r="I356">
        <f>VLOOKUP(H356,Listas!$B$2:$C$20,2,FALSE)</f>
        <v>500001</v>
      </c>
      <c r="J356" t="s">
        <v>73</v>
      </c>
      <c r="K356">
        <f>VLOOKUP(J356,Listas!$B$21:$C$50,2,FALSE)</f>
        <v>600017</v>
      </c>
      <c r="L356">
        <v>-1</v>
      </c>
    </row>
    <row r="357" spans="1:12">
      <c r="A357">
        <v>116</v>
      </c>
      <c r="B357" t="s">
        <v>2092</v>
      </c>
      <c r="C357" s="96" t="s">
        <v>2093</v>
      </c>
      <c r="D357" t="s">
        <v>2094</v>
      </c>
      <c r="E357" s="96" t="s">
        <v>1467</v>
      </c>
      <c r="H357" t="s">
        <v>361</v>
      </c>
      <c r="I357">
        <f>VLOOKUP(H357,Listas!$B$2:$C$20,2,FALSE)</f>
        <v>500001</v>
      </c>
      <c r="J357" t="s">
        <v>73</v>
      </c>
      <c r="K357">
        <f>VLOOKUP(J357,Listas!$B$21:$C$50,2,FALSE)</f>
        <v>600017</v>
      </c>
      <c r="L357">
        <v>-1</v>
      </c>
    </row>
    <row r="358" spans="1:12">
      <c r="A358">
        <v>116</v>
      </c>
      <c r="B358" t="s">
        <v>2095</v>
      </c>
      <c r="C358" s="96" t="s">
        <v>2096</v>
      </c>
      <c r="D358" t="s">
        <v>2097</v>
      </c>
      <c r="E358" s="96" t="s">
        <v>1467</v>
      </c>
      <c r="H358" t="s">
        <v>361</v>
      </c>
      <c r="I358">
        <f>VLOOKUP(H358,Listas!$B$2:$C$20,2,FALSE)</f>
        <v>500001</v>
      </c>
      <c r="J358" t="s">
        <v>73</v>
      </c>
      <c r="K358">
        <f>VLOOKUP(J358,Listas!$B$21:$C$50,2,FALSE)</f>
        <v>600017</v>
      </c>
      <c r="L358">
        <v>-1</v>
      </c>
    </row>
    <row r="359" spans="1:12">
      <c r="A359">
        <v>116</v>
      </c>
      <c r="B359" t="s">
        <v>698</v>
      </c>
      <c r="C359" s="96" t="s">
        <v>699</v>
      </c>
      <c r="D359" t="s">
        <v>700</v>
      </c>
      <c r="E359" s="96" t="s">
        <v>1467</v>
      </c>
      <c r="H359" t="s">
        <v>361</v>
      </c>
      <c r="I359">
        <f>VLOOKUP(H359,Listas!$B$2:$C$20,2,FALSE)</f>
        <v>500001</v>
      </c>
      <c r="J359" t="s">
        <v>73</v>
      </c>
      <c r="K359">
        <f>VLOOKUP(J359,Listas!$B$21:$C$50,2,FALSE)</f>
        <v>600017</v>
      </c>
      <c r="L359">
        <v>-1</v>
      </c>
    </row>
    <row r="360" spans="1:12">
      <c r="A360">
        <v>116</v>
      </c>
      <c r="B360" t="s">
        <v>2098</v>
      </c>
      <c r="C360" s="96" t="s">
        <v>2099</v>
      </c>
      <c r="D360" t="s">
        <v>2100</v>
      </c>
      <c r="E360" s="96" t="s">
        <v>1467</v>
      </c>
      <c r="H360" t="s">
        <v>361</v>
      </c>
      <c r="I360">
        <f>VLOOKUP(H360,Listas!$B$2:$C$20,2,FALSE)</f>
        <v>500001</v>
      </c>
      <c r="J360" t="s">
        <v>73</v>
      </c>
      <c r="K360">
        <f>VLOOKUP(J360,Listas!$B$21:$C$50,2,FALSE)</f>
        <v>600017</v>
      </c>
      <c r="L360">
        <v>-1</v>
      </c>
    </row>
    <row r="361" spans="1:12">
      <c r="A361">
        <v>116</v>
      </c>
      <c r="B361" t="s">
        <v>2101</v>
      </c>
      <c r="C361" s="96" t="s">
        <v>2102</v>
      </c>
      <c r="D361" t="s">
        <v>2103</v>
      </c>
      <c r="E361" s="96" t="s">
        <v>1467</v>
      </c>
      <c r="H361" t="s">
        <v>361</v>
      </c>
      <c r="I361">
        <f>VLOOKUP(H361,Listas!$B$2:$C$20,2,FALSE)</f>
        <v>500001</v>
      </c>
      <c r="J361" t="s">
        <v>73</v>
      </c>
      <c r="K361">
        <f>VLOOKUP(J361,Listas!$B$21:$C$50,2,FALSE)</f>
        <v>600017</v>
      </c>
      <c r="L361">
        <v>-1</v>
      </c>
    </row>
    <row r="362" spans="1:12">
      <c r="A362">
        <v>116</v>
      </c>
      <c r="B362" t="s">
        <v>2104</v>
      </c>
      <c r="C362" s="96" t="s">
        <v>2105</v>
      </c>
      <c r="D362" t="s">
        <v>2106</v>
      </c>
      <c r="E362" s="96" t="s">
        <v>1467</v>
      </c>
      <c r="H362" t="s">
        <v>361</v>
      </c>
      <c r="I362">
        <f>VLOOKUP(H362,Listas!$B$2:$C$20,2,FALSE)</f>
        <v>500001</v>
      </c>
      <c r="J362" t="s">
        <v>73</v>
      </c>
      <c r="K362">
        <f>VLOOKUP(J362,Listas!$B$21:$C$50,2,FALSE)</f>
        <v>600017</v>
      </c>
      <c r="L362">
        <v>-1</v>
      </c>
    </row>
    <row r="363" spans="1:12">
      <c r="A363">
        <v>116</v>
      </c>
      <c r="B363" t="s">
        <v>2107</v>
      </c>
      <c r="C363" s="96" t="s">
        <v>2108</v>
      </c>
      <c r="D363" t="s">
        <v>2109</v>
      </c>
      <c r="E363" s="96" t="s">
        <v>1467</v>
      </c>
      <c r="H363" t="s">
        <v>361</v>
      </c>
      <c r="I363">
        <f>VLOOKUP(H363,Listas!$B$2:$C$20,2,FALSE)</f>
        <v>500001</v>
      </c>
      <c r="J363" t="s">
        <v>73</v>
      </c>
      <c r="K363">
        <f>VLOOKUP(J363,Listas!$B$21:$C$50,2,FALSE)</f>
        <v>600017</v>
      </c>
      <c r="L363">
        <v>-1</v>
      </c>
    </row>
    <row r="364" spans="1:12">
      <c r="A364">
        <v>116</v>
      </c>
      <c r="B364" t="s">
        <v>2110</v>
      </c>
      <c r="C364" s="96" t="s">
        <v>2111</v>
      </c>
      <c r="D364" t="s">
        <v>2112</v>
      </c>
      <c r="E364" s="96" t="s">
        <v>1467</v>
      </c>
      <c r="H364" t="s">
        <v>361</v>
      </c>
      <c r="I364">
        <f>VLOOKUP(H364,Listas!$B$2:$C$20,2,FALSE)</f>
        <v>500001</v>
      </c>
      <c r="J364" t="s">
        <v>73</v>
      </c>
      <c r="K364">
        <f>VLOOKUP(J364,Listas!$B$21:$C$50,2,FALSE)</f>
        <v>600017</v>
      </c>
      <c r="L364">
        <v>-1</v>
      </c>
    </row>
    <row r="365" spans="1:12">
      <c r="A365">
        <v>116</v>
      </c>
      <c r="B365" t="s">
        <v>2113</v>
      </c>
      <c r="C365" s="96" t="s">
        <v>2114</v>
      </c>
      <c r="D365" t="s">
        <v>2115</v>
      </c>
      <c r="E365" s="96" t="s">
        <v>1467</v>
      </c>
      <c r="H365" t="s">
        <v>361</v>
      </c>
      <c r="I365">
        <f>VLOOKUP(H365,Listas!$B$2:$C$20,2,FALSE)</f>
        <v>500001</v>
      </c>
      <c r="J365" t="s">
        <v>73</v>
      </c>
      <c r="K365">
        <f>VLOOKUP(J365,Listas!$B$21:$C$50,2,FALSE)</f>
        <v>600017</v>
      </c>
      <c r="L365">
        <v>-1</v>
      </c>
    </row>
    <row r="366" spans="1:12">
      <c r="A366">
        <v>116</v>
      </c>
      <c r="B366" t="s">
        <v>2116</v>
      </c>
      <c r="C366" s="96" t="s">
        <v>2117</v>
      </c>
      <c r="D366" t="s">
        <v>2118</v>
      </c>
      <c r="E366" s="96" t="s">
        <v>1467</v>
      </c>
      <c r="H366" t="s">
        <v>361</v>
      </c>
      <c r="I366">
        <f>VLOOKUP(H366,Listas!$B$2:$C$20,2,FALSE)</f>
        <v>500001</v>
      </c>
      <c r="J366" t="s">
        <v>73</v>
      </c>
      <c r="K366">
        <f>VLOOKUP(J366,Listas!$B$21:$C$50,2,FALSE)</f>
        <v>600017</v>
      </c>
      <c r="L366">
        <v>-1</v>
      </c>
    </row>
    <row r="367" spans="1:12">
      <c r="A367">
        <v>116</v>
      </c>
      <c r="B367" t="s">
        <v>2119</v>
      </c>
      <c r="C367" s="96" t="s">
        <v>2120</v>
      </c>
      <c r="D367" t="s">
        <v>2121</v>
      </c>
      <c r="E367" s="96" t="s">
        <v>1467</v>
      </c>
      <c r="H367" t="s">
        <v>361</v>
      </c>
      <c r="I367">
        <f>VLOOKUP(H367,Listas!$B$2:$C$20,2,FALSE)</f>
        <v>500001</v>
      </c>
      <c r="J367" t="s">
        <v>73</v>
      </c>
      <c r="K367">
        <f>VLOOKUP(J367,Listas!$B$21:$C$50,2,FALSE)</f>
        <v>600017</v>
      </c>
      <c r="L367">
        <v>-1</v>
      </c>
    </row>
    <row r="368" spans="1:12">
      <c r="A368">
        <v>116</v>
      </c>
      <c r="B368" t="s">
        <v>2122</v>
      </c>
      <c r="C368" s="96" t="s">
        <v>2123</v>
      </c>
      <c r="D368" t="s">
        <v>2124</v>
      </c>
      <c r="E368" s="96" t="s">
        <v>1467</v>
      </c>
      <c r="H368" t="s">
        <v>361</v>
      </c>
      <c r="I368">
        <f>VLOOKUP(H368,Listas!$B$2:$C$20,2,FALSE)</f>
        <v>500001</v>
      </c>
      <c r="J368" t="s">
        <v>73</v>
      </c>
      <c r="K368">
        <f>VLOOKUP(J368,Listas!$B$21:$C$50,2,FALSE)</f>
        <v>600017</v>
      </c>
      <c r="L368">
        <v>-1</v>
      </c>
    </row>
    <row r="369" spans="1:12">
      <c r="A369">
        <v>116</v>
      </c>
      <c r="B369" t="s">
        <v>2125</v>
      </c>
      <c r="C369" s="96" t="s">
        <v>2126</v>
      </c>
      <c r="D369" t="s">
        <v>2127</v>
      </c>
      <c r="E369" s="96" t="s">
        <v>1467</v>
      </c>
      <c r="H369" t="s">
        <v>361</v>
      </c>
      <c r="I369">
        <f>VLOOKUP(H369,Listas!$B$2:$C$20,2,FALSE)</f>
        <v>500001</v>
      </c>
      <c r="J369" t="s">
        <v>73</v>
      </c>
      <c r="K369">
        <f>VLOOKUP(J369,Listas!$B$21:$C$50,2,FALSE)</f>
        <v>600017</v>
      </c>
      <c r="L369">
        <v>-1</v>
      </c>
    </row>
    <row r="370" spans="1:12">
      <c r="A370">
        <v>116</v>
      </c>
      <c r="B370" t="s">
        <v>2128</v>
      </c>
      <c r="C370" s="96" t="s">
        <v>2129</v>
      </c>
      <c r="D370" t="s">
        <v>2130</v>
      </c>
      <c r="E370" s="96" t="s">
        <v>1467</v>
      </c>
      <c r="H370" t="s">
        <v>361</v>
      </c>
      <c r="I370">
        <f>VLOOKUP(H370,Listas!$B$2:$C$20,2,FALSE)</f>
        <v>500001</v>
      </c>
      <c r="J370" t="s">
        <v>73</v>
      </c>
      <c r="K370">
        <f>VLOOKUP(J370,Listas!$B$21:$C$50,2,FALSE)</f>
        <v>600017</v>
      </c>
      <c r="L370">
        <v>-1</v>
      </c>
    </row>
    <row r="371" spans="1:12">
      <c r="A371">
        <v>116</v>
      </c>
      <c r="B371" t="s">
        <v>2131</v>
      </c>
      <c r="C371" s="96" t="s">
        <v>2132</v>
      </c>
      <c r="D371" t="s">
        <v>2133</v>
      </c>
      <c r="E371" s="96" t="s">
        <v>1467</v>
      </c>
      <c r="H371" t="s">
        <v>361</v>
      </c>
      <c r="I371">
        <f>VLOOKUP(H371,Listas!$B$2:$C$20,2,FALSE)</f>
        <v>500001</v>
      </c>
      <c r="J371" t="s">
        <v>73</v>
      </c>
      <c r="K371">
        <f>VLOOKUP(J371,Listas!$B$21:$C$50,2,FALSE)</f>
        <v>600017</v>
      </c>
      <c r="L371">
        <v>-1</v>
      </c>
    </row>
    <row r="372" spans="1:12">
      <c r="A372">
        <v>116</v>
      </c>
      <c r="B372" t="s">
        <v>2134</v>
      </c>
      <c r="C372" s="96">
        <v>30033823000184</v>
      </c>
      <c r="D372" t="s">
        <v>2135</v>
      </c>
      <c r="E372" s="96" t="s">
        <v>1467</v>
      </c>
      <c r="H372" t="s">
        <v>361</v>
      </c>
      <c r="I372">
        <f>VLOOKUP(H372,Listas!$B$2:$C$20,2,FALSE)</f>
        <v>500001</v>
      </c>
      <c r="J372" t="s">
        <v>73</v>
      </c>
      <c r="K372">
        <f>VLOOKUP(J372,Listas!$B$21:$C$50,2,FALSE)</f>
        <v>600017</v>
      </c>
      <c r="L372">
        <v>-1</v>
      </c>
    </row>
    <row r="373" spans="1:12">
      <c r="A373">
        <v>116</v>
      </c>
      <c r="B373" t="s">
        <v>2136</v>
      </c>
      <c r="C373" s="96" t="s">
        <v>2137</v>
      </c>
      <c r="D373" t="s">
        <v>2138</v>
      </c>
      <c r="E373" s="96" t="s">
        <v>1467</v>
      </c>
      <c r="H373" t="s">
        <v>361</v>
      </c>
      <c r="I373">
        <f>VLOOKUP(H373,Listas!$B$2:$C$20,2,FALSE)</f>
        <v>500001</v>
      </c>
      <c r="J373" t="s">
        <v>73</v>
      </c>
      <c r="K373">
        <f>VLOOKUP(J373,Listas!$B$21:$C$50,2,FALSE)</f>
        <v>600017</v>
      </c>
      <c r="L373">
        <v>-1</v>
      </c>
    </row>
    <row r="374" spans="1:12">
      <c r="A374">
        <v>116</v>
      </c>
      <c r="B374" t="s">
        <v>2139</v>
      </c>
      <c r="C374" s="96" t="s">
        <v>2140</v>
      </c>
      <c r="D374" t="s">
        <v>2141</v>
      </c>
      <c r="E374" s="96" t="s">
        <v>1467</v>
      </c>
      <c r="H374" t="s">
        <v>361</v>
      </c>
      <c r="I374">
        <f>VLOOKUP(H374,Listas!$B$2:$C$20,2,FALSE)</f>
        <v>500001</v>
      </c>
      <c r="J374" t="s">
        <v>73</v>
      </c>
      <c r="K374">
        <f>VLOOKUP(J374,Listas!$B$21:$C$50,2,FALSE)</f>
        <v>600017</v>
      </c>
      <c r="L374">
        <v>-1</v>
      </c>
    </row>
    <row r="375" spans="1:12">
      <c r="A375">
        <v>116</v>
      </c>
      <c r="B375" t="s">
        <v>2142</v>
      </c>
      <c r="C375" s="96" t="s">
        <v>2143</v>
      </c>
      <c r="D375" t="s">
        <v>2144</v>
      </c>
      <c r="E375" s="96" t="s">
        <v>1467</v>
      </c>
      <c r="H375" t="s">
        <v>361</v>
      </c>
      <c r="I375">
        <f>VLOOKUP(H375,Listas!$B$2:$C$20,2,FALSE)</f>
        <v>500001</v>
      </c>
      <c r="J375" t="s">
        <v>73</v>
      </c>
      <c r="K375">
        <f>VLOOKUP(J375,Listas!$B$21:$C$50,2,FALSE)</f>
        <v>600017</v>
      </c>
      <c r="L375">
        <v>-1</v>
      </c>
    </row>
    <row r="376" spans="1:12">
      <c r="A376">
        <v>116</v>
      </c>
      <c r="B376" t="s">
        <v>2145</v>
      </c>
      <c r="C376" s="96" t="s">
        <v>2146</v>
      </c>
      <c r="D376" t="s">
        <v>2147</v>
      </c>
      <c r="E376" s="96" t="s">
        <v>1467</v>
      </c>
      <c r="H376" t="s">
        <v>361</v>
      </c>
      <c r="I376">
        <f>VLOOKUP(H376,Listas!$B$2:$C$20,2,FALSE)</f>
        <v>500001</v>
      </c>
      <c r="J376" t="s">
        <v>73</v>
      </c>
      <c r="K376">
        <f>VLOOKUP(J376,Listas!$B$21:$C$50,2,FALSE)</f>
        <v>600017</v>
      </c>
      <c r="L376">
        <v>-1</v>
      </c>
    </row>
    <row r="377" spans="1:12">
      <c r="A377">
        <v>116</v>
      </c>
      <c r="B377" t="s">
        <v>2148</v>
      </c>
      <c r="C377" s="96" t="s">
        <v>2149</v>
      </c>
      <c r="D377" t="s">
        <v>2150</v>
      </c>
      <c r="E377" s="96" t="s">
        <v>1467</v>
      </c>
      <c r="H377" t="s">
        <v>361</v>
      </c>
      <c r="I377">
        <f>VLOOKUP(H377,Listas!$B$2:$C$20,2,FALSE)</f>
        <v>500001</v>
      </c>
      <c r="J377" t="s">
        <v>73</v>
      </c>
      <c r="K377">
        <f>VLOOKUP(J377,Listas!$B$21:$C$50,2,FALSE)</f>
        <v>600017</v>
      </c>
      <c r="L377">
        <v>-1</v>
      </c>
    </row>
    <row r="378" spans="1:12">
      <c r="A378">
        <v>116</v>
      </c>
      <c r="B378" t="s">
        <v>2151</v>
      </c>
      <c r="C378" s="96" t="s">
        <v>2152</v>
      </c>
      <c r="D378" t="s">
        <v>2153</v>
      </c>
      <c r="E378" s="96" t="s">
        <v>1467</v>
      </c>
      <c r="H378" t="s">
        <v>361</v>
      </c>
      <c r="I378">
        <f>VLOOKUP(H378,Listas!$B$2:$C$20,2,FALSE)</f>
        <v>500001</v>
      </c>
      <c r="J378" t="s">
        <v>73</v>
      </c>
      <c r="K378">
        <f>VLOOKUP(J378,Listas!$B$21:$C$50,2,FALSE)</f>
        <v>600017</v>
      </c>
      <c r="L378">
        <v>-1</v>
      </c>
    </row>
    <row r="379" spans="1:12">
      <c r="A379">
        <v>116</v>
      </c>
      <c r="B379" t="s">
        <v>2154</v>
      </c>
      <c r="C379" s="96" t="s">
        <v>2155</v>
      </c>
      <c r="D379" t="s">
        <v>2156</v>
      </c>
      <c r="E379" s="96" t="s">
        <v>1467</v>
      </c>
      <c r="H379" t="s">
        <v>361</v>
      </c>
      <c r="I379">
        <f>VLOOKUP(H379,Listas!$B$2:$C$20,2,FALSE)</f>
        <v>500001</v>
      </c>
      <c r="J379" t="s">
        <v>73</v>
      </c>
      <c r="K379">
        <f>VLOOKUP(J379,Listas!$B$21:$C$50,2,FALSE)</f>
        <v>600017</v>
      </c>
      <c r="L379">
        <v>-1</v>
      </c>
    </row>
    <row r="380" spans="1:12">
      <c r="A380">
        <v>116</v>
      </c>
      <c r="B380" t="s">
        <v>2157</v>
      </c>
      <c r="C380" s="96" t="s">
        <v>2158</v>
      </c>
      <c r="D380" t="s">
        <v>2159</v>
      </c>
      <c r="E380" s="96" t="s">
        <v>1467</v>
      </c>
      <c r="H380" t="s">
        <v>361</v>
      </c>
      <c r="I380">
        <f>VLOOKUP(H380,Listas!$B$2:$C$20,2,FALSE)</f>
        <v>500001</v>
      </c>
      <c r="J380" t="s">
        <v>73</v>
      </c>
      <c r="K380">
        <f>VLOOKUP(J380,Listas!$B$21:$C$50,2,FALSE)</f>
        <v>600017</v>
      </c>
      <c r="L380">
        <v>-1</v>
      </c>
    </row>
    <row r="381" spans="1:12">
      <c r="A381">
        <v>116</v>
      </c>
      <c r="B381" t="s">
        <v>2160</v>
      </c>
      <c r="C381" s="96" t="s">
        <v>2161</v>
      </c>
      <c r="D381" t="s">
        <v>2162</v>
      </c>
      <c r="E381" s="96" t="s">
        <v>1467</v>
      </c>
      <c r="H381" t="s">
        <v>361</v>
      </c>
      <c r="I381">
        <f>VLOOKUP(H381,Listas!$B$2:$C$20,2,FALSE)</f>
        <v>500001</v>
      </c>
      <c r="J381" t="s">
        <v>73</v>
      </c>
      <c r="K381">
        <f>VLOOKUP(J381,Listas!$B$21:$C$50,2,FALSE)</f>
        <v>600017</v>
      </c>
      <c r="L381">
        <v>-1</v>
      </c>
    </row>
    <row r="382" spans="1:12">
      <c r="A382">
        <v>116</v>
      </c>
      <c r="B382" t="s">
        <v>2163</v>
      </c>
      <c r="C382" s="96" t="s">
        <v>2164</v>
      </c>
      <c r="D382" t="s">
        <v>2165</v>
      </c>
      <c r="E382" s="96" t="s">
        <v>1467</v>
      </c>
      <c r="H382" t="s">
        <v>361</v>
      </c>
      <c r="I382">
        <f>VLOOKUP(H382,Listas!$B$2:$C$20,2,FALSE)</f>
        <v>500001</v>
      </c>
      <c r="J382" t="s">
        <v>73</v>
      </c>
      <c r="K382">
        <f>VLOOKUP(J382,Listas!$B$21:$C$50,2,FALSE)</f>
        <v>600017</v>
      </c>
      <c r="L382">
        <v>-1</v>
      </c>
    </row>
    <row r="383" spans="1:12">
      <c r="A383">
        <v>116</v>
      </c>
      <c r="B383" t="s">
        <v>2166</v>
      </c>
      <c r="C383" s="96" t="s">
        <v>2167</v>
      </c>
      <c r="D383" t="s">
        <v>2168</v>
      </c>
      <c r="E383" s="96" t="s">
        <v>1467</v>
      </c>
      <c r="H383" t="s">
        <v>361</v>
      </c>
      <c r="I383">
        <f>VLOOKUP(H383,Listas!$B$2:$C$20,2,FALSE)</f>
        <v>500001</v>
      </c>
      <c r="J383" t="s">
        <v>73</v>
      </c>
      <c r="K383">
        <f>VLOOKUP(J383,Listas!$B$21:$C$50,2,FALSE)</f>
        <v>600017</v>
      </c>
      <c r="L383">
        <v>-1</v>
      </c>
    </row>
    <row r="384" spans="1:12">
      <c r="A384">
        <v>116</v>
      </c>
      <c r="B384" t="s">
        <v>2169</v>
      </c>
      <c r="C384" s="96" t="s">
        <v>2170</v>
      </c>
      <c r="D384" t="s">
        <v>2171</v>
      </c>
      <c r="E384" s="96" t="s">
        <v>1467</v>
      </c>
      <c r="H384" t="s">
        <v>361</v>
      </c>
      <c r="I384">
        <f>VLOOKUP(H384,Listas!$B$2:$C$20,2,FALSE)</f>
        <v>500001</v>
      </c>
      <c r="J384" t="s">
        <v>73</v>
      </c>
      <c r="K384">
        <f>VLOOKUP(J384,Listas!$B$21:$C$50,2,FALSE)</f>
        <v>600017</v>
      </c>
      <c r="L384">
        <v>-1</v>
      </c>
    </row>
    <row r="385" spans="1:12">
      <c r="A385">
        <v>116</v>
      </c>
      <c r="B385" t="s">
        <v>2172</v>
      </c>
      <c r="C385" s="96" t="s">
        <v>2173</v>
      </c>
      <c r="D385" t="s">
        <v>2174</v>
      </c>
      <c r="E385" s="96" t="s">
        <v>1467</v>
      </c>
      <c r="H385" t="s">
        <v>361</v>
      </c>
      <c r="I385">
        <f>VLOOKUP(H385,Listas!$B$2:$C$20,2,FALSE)</f>
        <v>500001</v>
      </c>
      <c r="J385" t="s">
        <v>73</v>
      </c>
      <c r="K385">
        <f>VLOOKUP(J385,Listas!$B$21:$C$50,2,FALSE)</f>
        <v>600017</v>
      </c>
      <c r="L385">
        <v>-1</v>
      </c>
    </row>
    <row r="386" spans="1:12">
      <c r="A386">
        <v>116</v>
      </c>
      <c r="B386" t="s">
        <v>2175</v>
      </c>
      <c r="C386" s="96" t="s">
        <v>2176</v>
      </c>
      <c r="D386" t="s">
        <v>2177</v>
      </c>
      <c r="E386" s="96" t="s">
        <v>1467</v>
      </c>
      <c r="H386" t="s">
        <v>361</v>
      </c>
      <c r="I386">
        <f>VLOOKUP(H386,Listas!$B$2:$C$20,2,FALSE)</f>
        <v>500001</v>
      </c>
      <c r="J386" t="s">
        <v>73</v>
      </c>
      <c r="K386">
        <f>VLOOKUP(J386,Listas!$B$21:$C$50,2,FALSE)</f>
        <v>600017</v>
      </c>
      <c r="L386">
        <v>-1</v>
      </c>
    </row>
    <row r="387" spans="1:12">
      <c r="A387">
        <v>116</v>
      </c>
      <c r="B387" t="s">
        <v>2178</v>
      </c>
      <c r="C387" s="96" t="s">
        <v>2179</v>
      </c>
      <c r="D387" t="s">
        <v>2180</v>
      </c>
      <c r="E387" s="96" t="s">
        <v>1467</v>
      </c>
      <c r="H387" t="s">
        <v>361</v>
      </c>
      <c r="I387">
        <f>VLOOKUP(H387,Listas!$B$2:$C$20,2,FALSE)</f>
        <v>500001</v>
      </c>
      <c r="J387" t="s">
        <v>73</v>
      </c>
      <c r="K387">
        <f>VLOOKUP(J387,Listas!$B$21:$C$50,2,FALSE)</f>
        <v>600017</v>
      </c>
      <c r="L387">
        <v>-1</v>
      </c>
    </row>
    <row r="388" spans="1:12">
      <c r="A388">
        <v>116</v>
      </c>
      <c r="B388" t="s">
        <v>2181</v>
      </c>
      <c r="C388" s="96" t="s">
        <v>2182</v>
      </c>
      <c r="D388" t="s">
        <v>2183</v>
      </c>
      <c r="E388" s="96" t="s">
        <v>1467</v>
      </c>
      <c r="H388" t="s">
        <v>361</v>
      </c>
      <c r="I388">
        <f>VLOOKUP(H388,Listas!$B$2:$C$20,2,FALSE)</f>
        <v>500001</v>
      </c>
      <c r="J388" t="s">
        <v>73</v>
      </c>
      <c r="K388">
        <f>VLOOKUP(J388,Listas!$B$21:$C$50,2,FALSE)</f>
        <v>600017</v>
      </c>
      <c r="L388">
        <v>-1</v>
      </c>
    </row>
    <row r="389" spans="1:12">
      <c r="A389">
        <v>116</v>
      </c>
      <c r="B389" t="s">
        <v>2184</v>
      </c>
      <c r="C389" s="96" t="s">
        <v>2185</v>
      </c>
      <c r="D389" t="s">
        <v>2186</v>
      </c>
      <c r="E389" s="96" t="s">
        <v>1467</v>
      </c>
      <c r="H389" t="s">
        <v>361</v>
      </c>
      <c r="I389">
        <f>VLOOKUP(H389,Listas!$B$2:$C$20,2,FALSE)</f>
        <v>500001</v>
      </c>
      <c r="J389" t="s">
        <v>73</v>
      </c>
      <c r="K389">
        <f>VLOOKUP(J389,Listas!$B$21:$C$50,2,FALSE)</f>
        <v>600017</v>
      </c>
      <c r="L389">
        <v>-1</v>
      </c>
    </row>
    <row r="390" spans="1:12">
      <c r="A390">
        <v>116</v>
      </c>
      <c r="B390" t="s">
        <v>2187</v>
      </c>
      <c r="C390" s="96" t="s">
        <v>2188</v>
      </c>
      <c r="D390" t="s">
        <v>2189</v>
      </c>
      <c r="E390" s="96" t="s">
        <v>1467</v>
      </c>
      <c r="H390" t="s">
        <v>361</v>
      </c>
      <c r="I390">
        <f>VLOOKUP(H390,Listas!$B$2:$C$20,2,FALSE)</f>
        <v>500001</v>
      </c>
      <c r="J390" t="s">
        <v>73</v>
      </c>
      <c r="K390">
        <f>VLOOKUP(J390,Listas!$B$21:$C$50,2,FALSE)</f>
        <v>600017</v>
      </c>
      <c r="L390">
        <v>-1</v>
      </c>
    </row>
    <row r="391" spans="1:12">
      <c r="A391">
        <v>116</v>
      </c>
      <c r="B391" t="s">
        <v>2190</v>
      </c>
      <c r="C391" s="96" t="s">
        <v>2191</v>
      </c>
      <c r="D391" t="s">
        <v>2192</v>
      </c>
      <c r="E391" s="96" t="s">
        <v>1467</v>
      </c>
      <c r="H391" t="s">
        <v>361</v>
      </c>
      <c r="I391">
        <f>VLOOKUP(H391,Listas!$B$2:$C$20,2,FALSE)</f>
        <v>500001</v>
      </c>
      <c r="J391" t="s">
        <v>73</v>
      </c>
      <c r="K391">
        <f>VLOOKUP(J391,Listas!$B$21:$C$50,2,FALSE)</f>
        <v>600017</v>
      </c>
      <c r="L391">
        <v>-1</v>
      </c>
    </row>
    <row r="392" spans="1:12">
      <c r="A392">
        <v>116</v>
      </c>
      <c r="B392" t="s">
        <v>2193</v>
      </c>
      <c r="C392" s="96" t="s">
        <v>2194</v>
      </c>
      <c r="D392" t="s">
        <v>2195</v>
      </c>
      <c r="E392" s="96" t="s">
        <v>1467</v>
      </c>
      <c r="H392" t="s">
        <v>361</v>
      </c>
      <c r="I392">
        <f>VLOOKUP(H392,Listas!$B$2:$C$20,2,FALSE)</f>
        <v>500001</v>
      </c>
      <c r="J392" t="s">
        <v>73</v>
      </c>
      <c r="K392">
        <f>VLOOKUP(J392,Listas!$B$21:$C$50,2,FALSE)</f>
        <v>600017</v>
      </c>
      <c r="L392">
        <v>-1</v>
      </c>
    </row>
    <row r="393" spans="1:12">
      <c r="A393">
        <v>116</v>
      </c>
      <c r="B393" t="s">
        <v>2196</v>
      </c>
      <c r="C393" s="96" t="s">
        <v>2197</v>
      </c>
      <c r="D393" t="s">
        <v>2198</v>
      </c>
      <c r="E393" s="96" t="s">
        <v>1467</v>
      </c>
      <c r="H393" t="s">
        <v>361</v>
      </c>
      <c r="I393">
        <f>VLOOKUP(H393,Listas!$B$2:$C$20,2,FALSE)</f>
        <v>500001</v>
      </c>
      <c r="J393" t="s">
        <v>73</v>
      </c>
      <c r="K393">
        <f>VLOOKUP(J393,Listas!$B$21:$C$50,2,FALSE)</f>
        <v>600017</v>
      </c>
      <c r="L393">
        <v>-1</v>
      </c>
    </row>
    <row r="394" spans="1:12">
      <c r="A394">
        <v>116</v>
      </c>
      <c r="B394" t="s">
        <v>2199</v>
      </c>
      <c r="C394" s="96" t="s">
        <v>2200</v>
      </c>
      <c r="D394" t="s">
        <v>2201</v>
      </c>
      <c r="E394" s="96" t="s">
        <v>1467</v>
      </c>
      <c r="H394" t="s">
        <v>361</v>
      </c>
      <c r="I394">
        <f>VLOOKUP(H394,Listas!$B$2:$C$20,2,FALSE)</f>
        <v>500001</v>
      </c>
      <c r="J394" t="s">
        <v>73</v>
      </c>
      <c r="K394">
        <f>VLOOKUP(J394,Listas!$B$21:$C$50,2,FALSE)</f>
        <v>600017</v>
      </c>
      <c r="L394">
        <v>-1</v>
      </c>
    </row>
    <row r="395" spans="1:12">
      <c r="A395">
        <v>116</v>
      </c>
      <c r="B395" t="s">
        <v>2202</v>
      </c>
      <c r="C395" s="96" t="s">
        <v>2203</v>
      </c>
      <c r="D395" t="s">
        <v>2204</v>
      </c>
      <c r="E395" s="96" t="s">
        <v>1467</v>
      </c>
      <c r="H395" t="s">
        <v>361</v>
      </c>
      <c r="I395">
        <f>VLOOKUP(H395,Listas!$B$2:$C$20,2,FALSE)</f>
        <v>500001</v>
      </c>
      <c r="J395" t="s">
        <v>73</v>
      </c>
      <c r="K395">
        <f>VLOOKUP(J395,Listas!$B$21:$C$50,2,FALSE)</f>
        <v>600017</v>
      </c>
      <c r="L395">
        <v>-1</v>
      </c>
    </row>
    <row r="396" spans="1:12">
      <c r="A396">
        <v>116</v>
      </c>
      <c r="B396" t="s">
        <v>2205</v>
      </c>
      <c r="C396" s="96" t="s">
        <v>2206</v>
      </c>
      <c r="D396" t="s">
        <v>2207</v>
      </c>
      <c r="E396" s="96" t="s">
        <v>1467</v>
      </c>
      <c r="H396" t="s">
        <v>361</v>
      </c>
      <c r="I396">
        <f>VLOOKUP(H396,Listas!$B$2:$C$20,2,FALSE)</f>
        <v>500001</v>
      </c>
      <c r="J396" t="s">
        <v>73</v>
      </c>
      <c r="K396">
        <f>VLOOKUP(J396,Listas!$B$21:$C$50,2,FALSE)</f>
        <v>600017</v>
      </c>
      <c r="L396">
        <v>-1</v>
      </c>
    </row>
    <row r="397" spans="1:12">
      <c r="A397">
        <v>116</v>
      </c>
      <c r="B397" t="s">
        <v>2208</v>
      </c>
      <c r="C397" s="96" t="s">
        <v>2209</v>
      </c>
      <c r="D397" t="s">
        <v>2210</v>
      </c>
      <c r="E397" s="96" t="s">
        <v>1467</v>
      </c>
      <c r="H397" t="s">
        <v>361</v>
      </c>
      <c r="I397">
        <f>VLOOKUP(H397,Listas!$B$2:$C$20,2,FALSE)</f>
        <v>500001</v>
      </c>
      <c r="J397" t="s">
        <v>73</v>
      </c>
      <c r="K397">
        <f>VLOOKUP(J397,Listas!$B$21:$C$50,2,FALSE)</f>
        <v>600017</v>
      </c>
      <c r="L397">
        <v>-1</v>
      </c>
    </row>
    <row r="398" spans="1:12">
      <c r="A398">
        <v>116</v>
      </c>
      <c r="B398" t="s">
        <v>2211</v>
      </c>
      <c r="C398" s="96" t="s">
        <v>2212</v>
      </c>
      <c r="D398" t="s">
        <v>2213</v>
      </c>
      <c r="E398" s="96" t="s">
        <v>1467</v>
      </c>
      <c r="H398" t="s">
        <v>361</v>
      </c>
      <c r="I398">
        <f>VLOOKUP(H398,Listas!$B$2:$C$20,2,FALSE)</f>
        <v>500001</v>
      </c>
      <c r="J398" t="s">
        <v>73</v>
      </c>
      <c r="K398">
        <f>VLOOKUP(J398,Listas!$B$21:$C$50,2,FALSE)</f>
        <v>600017</v>
      </c>
      <c r="L398">
        <v>-1</v>
      </c>
    </row>
    <row r="399" spans="1:12">
      <c r="A399">
        <v>116</v>
      </c>
      <c r="B399" t="s">
        <v>2214</v>
      </c>
      <c r="C399" s="96" t="s">
        <v>2215</v>
      </c>
      <c r="D399" t="s">
        <v>2216</v>
      </c>
      <c r="E399" s="96" t="s">
        <v>1467</v>
      </c>
      <c r="H399" t="s">
        <v>361</v>
      </c>
      <c r="I399">
        <f>VLOOKUP(H399,Listas!$B$2:$C$20,2,FALSE)</f>
        <v>500001</v>
      </c>
      <c r="J399" t="s">
        <v>73</v>
      </c>
      <c r="K399">
        <f>VLOOKUP(J399,Listas!$B$21:$C$50,2,FALSE)</f>
        <v>600017</v>
      </c>
      <c r="L399">
        <v>-1</v>
      </c>
    </row>
    <row r="400" spans="1:12">
      <c r="A400">
        <v>116</v>
      </c>
      <c r="B400" t="s">
        <v>2217</v>
      </c>
      <c r="C400" s="96" t="s">
        <v>2218</v>
      </c>
      <c r="D400" t="s">
        <v>2219</v>
      </c>
      <c r="E400" s="96" t="s">
        <v>1467</v>
      </c>
      <c r="H400" t="s">
        <v>361</v>
      </c>
      <c r="I400">
        <f>VLOOKUP(H400,Listas!$B$2:$C$20,2,FALSE)</f>
        <v>500001</v>
      </c>
      <c r="J400" t="s">
        <v>73</v>
      </c>
      <c r="K400">
        <f>VLOOKUP(J400,Listas!$B$21:$C$50,2,FALSE)</f>
        <v>600017</v>
      </c>
      <c r="L400">
        <v>-1</v>
      </c>
    </row>
    <row r="401" spans="1:12">
      <c r="A401">
        <v>116</v>
      </c>
      <c r="B401" t="s">
        <v>2220</v>
      </c>
      <c r="C401" s="96" t="s">
        <v>2221</v>
      </c>
      <c r="D401" t="s">
        <v>2222</v>
      </c>
      <c r="E401" s="96" t="s">
        <v>1467</v>
      </c>
      <c r="H401" t="s">
        <v>361</v>
      </c>
      <c r="I401">
        <f>VLOOKUP(H401,Listas!$B$2:$C$20,2,FALSE)</f>
        <v>500001</v>
      </c>
      <c r="J401" t="s">
        <v>73</v>
      </c>
      <c r="K401">
        <f>VLOOKUP(J401,Listas!$B$21:$C$50,2,FALSE)</f>
        <v>600017</v>
      </c>
      <c r="L401">
        <v>-1</v>
      </c>
    </row>
    <row r="402" spans="1:12">
      <c r="A402">
        <v>116</v>
      </c>
      <c r="B402" t="s">
        <v>2223</v>
      </c>
      <c r="C402" s="96" t="s">
        <v>2224</v>
      </c>
      <c r="D402" t="s">
        <v>2225</v>
      </c>
      <c r="E402" s="96" t="s">
        <v>1467</v>
      </c>
      <c r="H402" t="s">
        <v>361</v>
      </c>
      <c r="I402">
        <f>VLOOKUP(H402,Listas!$B$2:$C$20,2,FALSE)</f>
        <v>500001</v>
      </c>
      <c r="J402" t="s">
        <v>73</v>
      </c>
      <c r="K402">
        <f>VLOOKUP(J402,Listas!$B$21:$C$50,2,FALSE)</f>
        <v>600017</v>
      </c>
      <c r="L402">
        <v>-1</v>
      </c>
    </row>
    <row r="403" spans="1:12">
      <c r="A403">
        <v>116</v>
      </c>
      <c r="B403" t="s">
        <v>2226</v>
      </c>
      <c r="C403" s="96" t="s">
        <v>2227</v>
      </c>
      <c r="D403" t="s">
        <v>2228</v>
      </c>
      <c r="E403" s="96" t="s">
        <v>1467</v>
      </c>
      <c r="H403" t="s">
        <v>361</v>
      </c>
      <c r="I403">
        <f>VLOOKUP(H403,Listas!$B$2:$C$20,2,FALSE)</f>
        <v>500001</v>
      </c>
      <c r="J403" t="s">
        <v>73</v>
      </c>
      <c r="K403">
        <f>VLOOKUP(J403,Listas!$B$21:$C$50,2,FALSE)</f>
        <v>600017</v>
      </c>
      <c r="L403">
        <v>-1</v>
      </c>
    </row>
    <row r="404" spans="1:12">
      <c r="A404">
        <v>116</v>
      </c>
      <c r="B404" t="s">
        <v>2229</v>
      </c>
      <c r="C404" s="96" t="s">
        <v>2230</v>
      </c>
      <c r="D404" t="s">
        <v>2231</v>
      </c>
      <c r="E404" s="96" t="s">
        <v>1467</v>
      </c>
      <c r="H404" t="s">
        <v>361</v>
      </c>
      <c r="I404">
        <f>VLOOKUP(H404,Listas!$B$2:$C$20,2,FALSE)</f>
        <v>500001</v>
      </c>
      <c r="J404" t="s">
        <v>73</v>
      </c>
      <c r="K404">
        <f>VLOOKUP(J404,Listas!$B$21:$C$50,2,FALSE)</f>
        <v>600017</v>
      </c>
      <c r="L404">
        <v>-1</v>
      </c>
    </row>
    <row r="405" spans="1:12">
      <c r="A405">
        <v>116</v>
      </c>
      <c r="B405" t="s">
        <v>2232</v>
      </c>
      <c r="C405" s="96" t="s">
        <v>2233</v>
      </c>
      <c r="D405" t="s">
        <v>2234</v>
      </c>
      <c r="E405" s="96" t="s">
        <v>1467</v>
      </c>
      <c r="H405" t="s">
        <v>361</v>
      </c>
      <c r="I405">
        <f>VLOOKUP(H405,Listas!$B$2:$C$20,2,FALSE)</f>
        <v>500001</v>
      </c>
      <c r="J405" t="s">
        <v>73</v>
      </c>
      <c r="K405">
        <f>VLOOKUP(J405,Listas!$B$21:$C$50,2,FALSE)</f>
        <v>600017</v>
      </c>
      <c r="L405">
        <v>-1</v>
      </c>
    </row>
    <row r="406" spans="1:12">
      <c r="A406">
        <v>116</v>
      </c>
      <c r="B406" t="s">
        <v>2235</v>
      </c>
      <c r="C406" s="96" t="s">
        <v>2236</v>
      </c>
      <c r="D406" t="s">
        <v>2237</v>
      </c>
      <c r="E406" s="96" t="s">
        <v>1467</v>
      </c>
      <c r="H406" t="s">
        <v>361</v>
      </c>
      <c r="I406">
        <f>VLOOKUP(H406,Listas!$B$2:$C$20,2,FALSE)</f>
        <v>500001</v>
      </c>
      <c r="J406" t="s">
        <v>73</v>
      </c>
      <c r="K406">
        <f>VLOOKUP(J406,Listas!$B$21:$C$50,2,FALSE)</f>
        <v>600017</v>
      </c>
      <c r="L406">
        <v>-1</v>
      </c>
    </row>
    <row r="407" spans="1:12">
      <c r="A407">
        <v>116</v>
      </c>
      <c r="B407" t="s">
        <v>2238</v>
      </c>
      <c r="C407" s="96" t="s">
        <v>2239</v>
      </c>
      <c r="D407" t="s">
        <v>2240</v>
      </c>
      <c r="E407" s="96" t="s">
        <v>1467</v>
      </c>
      <c r="H407" t="s">
        <v>361</v>
      </c>
      <c r="I407">
        <f>VLOOKUP(H407,Listas!$B$2:$C$20,2,FALSE)</f>
        <v>500001</v>
      </c>
      <c r="J407" t="s">
        <v>73</v>
      </c>
      <c r="K407">
        <f>VLOOKUP(J407,Listas!$B$21:$C$50,2,FALSE)</f>
        <v>600017</v>
      </c>
      <c r="L407">
        <v>-1</v>
      </c>
    </row>
    <row r="408" spans="1:12">
      <c r="A408">
        <v>116</v>
      </c>
      <c r="B408" t="s">
        <v>2241</v>
      </c>
      <c r="C408" s="96" t="s">
        <v>2242</v>
      </c>
      <c r="D408" t="s">
        <v>2243</v>
      </c>
      <c r="E408" s="96" t="s">
        <v>1467</v>
      </c>
      <c r="H408" t="s">
        <v>361</v>
      </c>
      <c r="I408">
        <f>VLOOKUP(H408,Listas!$B$2:$C$20,2,FALSE)</f>
        <v>500001</v>
      </c>
      <c r="J408" t="s">
        <v>73</v>
      </c>
      <c r="K408">
        <f>VLOOKUP(J408,Listas!$B$21:$C$50,2,FALSE)</f>
        <v>600017</v>
      </c>
      <c r="L408">
        <v>-1</v>
      </c>
    </row>
    <row r="409" spans="1:12">
      <c r="A409">
        <v>116</v>
      </c>
      <c r="B409" t="s">
        <v>2244</v>
      </c>
      <c r="C409" s="96" t="s">
        <v>2245</v>
      </c>
      <c r="D409" t="s">
        <v>2246</v>
      </c>
      <c r="E409" s="96" t="s">
        <v>1467</v>
      </c>
      <c r="H409" t="s">
        <v>361</v>
      </c>
      <c r="I409">
        <f>VLOOKUP(H409,Listas!$B$2:$C$20,2,FALSE)</f>
        <v>500001</v>
      </c>
      <c r="J409" t="s">
        <v>73</v>
      </c>
      <c r="K409">
        <f>VLOOKUP(J409,Listas!$B$21:$C$50,2,FALSE)</f>
        <v>600017</v>
      </c>
      <c r="L409">
        <v>-1</v>
      </c>
    </row>
    <row r="410" spans="1:12">
      <c r="A410">
        <v>116</v>
      </c>
      <c r="B410" t="s">
        <v>2247</v>
      </c>
      <c r="C410" s="96" t="s">
        <v>2248</v>
      </c>
      <c r="D410" t="s">
        <v>2249</v>
      </c>
      <c r="E410" s="96" t="s">
        <v>1467</v>
      </c>
      <c r="H410" t="s">
        <v>361</v>
      </c>
      <c r="I410">
        <f>VLOOKUP(H410,Listas!$B$2:$C$20,2,FALSE)</f>
        <v>500001</v>
      </c>
      <c r="J410" t="s">
        <v>73</v>
      </c>
      <c r="K410">
        <f>VLOOKUP(J410,Listas!$B$21:$C$50,2,FALSE)</f>
        <v>600017</v>
      </c>
      <c r="L410">
        <v>-1</v>
      </c>
    </row>
    <row r="411" spans="1:12">
      <c r="A411">
        <v>116</v>
      </c>
      <c r="B411" t="s">
        <v>2250</v>
      </c>
      <c r="C411" s="96" t="s">
        <v>2251</v>
      </c>
      <c r="D411" t="s">
        <v>2252</v>
      </c>
      <c r="E411" s="96" t="s">
        <v>1467</v>
      </c>
      <c r="H411" t="s">
        <v>361</v>
      </c>
      <c r="I411">
        <f>VLOOKUP(H411,Listas!$B$2:$C$20,2,FALSE)</f>
        <v>500001</v>
      </c>
      <c r="J411" t="s">
        <v>73</v>
      </c>
      <c r="K411">
        <f>VLOOKUP(J411,Listas!$B$21:$C$50,2,FALSE)</f>
        <v>600017</v>
      </c>
      <c r="L411">
        <v>-1</v>
      </c>
    </row>
    <row r="412" spans="1:12">
      <c r="A412">
        <v>116</v>
      </c>
      <c r="B412" t="s">
        <v>2253</v>
      </c>
      <c r="C412" s="96">
        <v>1554285000175</v>
      </c>
      <c r="D412" t="s">
        <v>2254</v>
      </c>
      <c r="E412" s="96" t="s">
        <v>1467</v>
      </c>
      <c r="H412" t="s">
        <v>361</v>
      </c>
      <c r="I412">
        <f>VLOOKUP(H412,Listas!$B$2:$C$20,2,FALSE)</f>
        <v>500001</v>
      </c>
      <c r="J412" t="s">
        <v>73</v>
      </c>
      <c r="K412">
        <f>VLOOKUP(J412,Listas!$B$21:$C$50,2,FALSE)</f>
        <v>600017</v>
      </c>
      <c r="L412">
        <v>-1</v>
      </c>
    </row>
    <row r="413" spans="1:12">
      <c r="A413">
        <v>116</v>
      </c>
      <c r="B413" t="s">
        <v>2255</v>
      </c>
      <c r="C413" s="96" t="s">
        <v>2256</v>
      </c>
      <c r="D413" t="s">
        <v>2257</v>
      </c>
      <c r="E413" s="96" t="s">
        <v>1467</v>
      </c>
      <c r="H413" t="s">
        <v>361</v>
      </c>
      <c r="I413">
        <f>VLOOKUP(H413,Listas!$B$2:$C$20,2,FALSE)</f>
        <v>500001</v>
      </c>
      <c r="J413" t="s">
        <v>73</v>
      </c>
      <c r="K413">
        <f>VLOOKUP(J413,Listas!$B$21:$C$50,2,FALSE)</f>
        <v>600017</v>
      </c>
      <c r="L413">
        <v>-1</v>
      </c>
    </row>
    <row r="414" spans="1:12">
      <c r="A414">
        <v>116</v>
      </c>
      <c r="B414" t="s">
        <v>2258</v>
      </c>
      <c r="C414" s="96" t="s">
        <v>2259</v>
      </c>
      <c r="D414" t="s">
        <v>2260</v>
      </c>
      <c r="E414" s="96" t="s">
        <v>1467</v>
      </c>
      <c r="H414" t="s">
        <v>361</v>
      </c>
      <c r="I414">
        <f>VLOOKUP(H414,Listas!$B$2:$C$20,2,FALSE)</f>
        <v>500001</v>
      </c>
      <c r="J414" t="s">
        <v>73</v>
      </c>
      <c r="K414">
        <f>VLOOKUP(J414,Listas!$B$21:$C$50,2,FALSE)</f>
        <v>600017</v>
      </c>
      <c r="L414">
        <v>-1</v>
      </c>
    </row>
    <row r="415" spans="1:12">
      <c r="A415">
        <v>116</v>
      </c>
      <c r="B415" t="s">
        <v>2261</v>
      </c>
      <c r="C415" s="96" t="s">
        <v>2262</v>
      </c>
      <c r="D415" t="s">
        <v>2263</v>
      </c>
      <c r="E415" s="96" t="s">
        <v>1467</v>
      </c>
      <c r="H415" t="s">
        <v>361</v>
      </c>
      <c r="I415">
        <f>VLOOKUP(H415,Listas!$B$2:$C$20,2,FALSE)</f>
        <v>500001</v>
      </c>
      <c r="J415" t="s">
        <v>73</v>
      </c>
      <c r="K415">
        <f>VLOOKUP(J415,Listas!$B$21:$C$50,2,FALSE)</f>
        <v>600017</v>
      </c>
      <c r="L415">
        <v>-1</v>
      </c>
    </row>
    <row r="416" spans="1:12">
      <c r="A416">
        <v>116</v>
      </c>
      <c r="B416" t="s">
        <v>2264</v>
      </c>
      <c r="C416" s="96" t="s">
        <v>2265</v>
      </c>
      <c r="D416" t="s">
        <v>2266</v>
      </c>
      <c r="E416" s="96" t="s">
        <v>1467</v>
      </c>
      <c r="H416" t="s">
        <v>361</v>
      </c>
      <c r="I416">
        <f>VLOOKUP(H416,Listas!$B$2:$C$20,2,FALSE)</f>
        <v>500001</v>
      </c>
      <c r="J416" t="s">
        <v>73</v>
      </c>
      <c r="K416">
        <f>VLOOKUP(J416,Listas!$B$21:$C$50,2,FALSE)</f>
        <v>600017</v>
      </c>
      <c r="L416">
        <v>-1</v>
      </c>
    </row>
    <row r="417" spans="1:12">
      <c r="A417">
        <v>116</v>
      </c>
      <c r="B417" t="s">
        <v>2267</v>
      </c>
      <c r="C417" s="96" t="s">
        <v>2268</v>
      </c>
      <c r="D417" t="s">
        <v>2269</v>
      </c>
      <c r="E417" s="96" t="s">
        <v>1467</v>
      </c>
      <c r="H417" t="s">
        <v>361</v>
      </c>
      <c r="I417">
        <f>VLOOKUP(H417,Listas!$B$2:$C$20,2,FALSE)</f>
        <v>500001</v>
      </c>
      <c r="J417" t="s">
        <v>73</v>
      </c>
      <c r="K417">
        <f>VLOOKUP(J417,Listas!$B$21:$C$50,2,FALSE)</f>
        <v>600017</v>
      </c>
      <c r="L417">
        <v>-1</v>
      </c>
    </row>
    <row r="418" spans="1:12">
      <c r="A418">
        <v>116</v>
      </c>
      <c r="B418" t="s">
        <v>2270</v>
      </c>
      <c r="C418" s="96" t="s">
        <v>2271</v>
      </c>
      <c r="D418" t="s">
        <v>2272</v>
      </c>
      <c r="E418" s="96" t="s">
        <v>1467</v>
      </c>
      <c r="H418" t="s">
        <v>361</v>
      </c>
      <c r="I418">
        <f>VLOOKUP(H418,Listas!$B$2:$C$20,2,FALSE)</f>
        <v>500001</v>
      </c>
      <c r="J418" t="s">
        <v>73</v>
      </c>
      <c r="K418">
        <f>VLOOKUP(J418,Listas!$B$21:$C$50,2,FALSE)</f>
        <v>600017</v>
      </c>
      <c r="L418">
        <v>-1</v>
      </c>
    </row>
    <row r="419" spans="1:12">
      <c r="A419">
        <v>116</v>
      </c>
      <c r="B419" t="s">
        <v>2273</v>
      </c>
      <c r="C419" s="96" t="s">
        <v>2274</v>
      </c>
      <c r="D419" t="s">
        <v>2275</v>
      </c>
      <c r="E419" s="96" t="s">
        <v>1467</v>
      </c>
      <c r="H419" t="s">
        <v>361</v>
      </c>
      <c r="I419">
        <f>VLOOKUP(H419,Listas!$B$2:$C$20,2,FALSE)</f>
        <v>500001</v>
      </c>
      <c r="J419" t="s">
        <v>73</v>
      </c>
      <c r="K419">
        <f>VLOOKUP(J419,Listas!$B$21:$C$50,2,FALSE)</f>
        <v>600017</v>
      </c>
      <c r="L419">
        <v>-1</v>
      </c>
    </row>
    <row r="420" spans="1:12">
      <c r="A420">
        <v>116</v>
      </c>
      <c r="B420" t="s">
        <v>2276</v>
      </c>
      <c r="C420" s="96">
        <v>5902038000173</v>
      </c>
      <c r="D420" t="s">
        <v>2277</v>
      </c>
      <c r="E420" s="96" t="s">
        <v>1467</v>
      </c>
      <c r="H420" t="s">
        <v>361</v>
      </c>
      <c r="I420">
        <f>VLOOKUP(H420,Listas!$B$2:$C$20,2,FALSE)</f>
        <v>500001</v>
      </c>
      <c r="J420" t="s">
        <v>73</v>
      </c>
      <c r="K420">
        <f>VLOOKUP(J420,Listas!$B$21:$C$50,2,FALSE)</f>
        <v>600017</v>
      </c>
      <c r="L420">
        <v>-1</v>
      </c>
    </row>
    <row r="421" spans="1:12">
      <c r="A421">
        <v>116</v>
      </c>
      <c r="B421" t="s">
        <v>2278</v>
      </c>
      <c r="C421" s="96" t="s">
        <v>2279</v>
      </c>
      <c r="D421" t="s">
        <v>2280</v>
      </c>
      <c r="E421" s="96" t="s">
        <v>1467</v>
      </c>
      <c r="H421" t="s">
        <v>361</v>
      </c>
      <c r="I421">
        <f>VLOOKUP(H421,Listas!$B$2:$C$20,2,FALSE)</f>
        <v>500001</v>
      </c>
      <c r="J421" t="s">
        <v>73</v>
      </c>
      <c r="K421">
        <f>VLOOKUP(J421,Listas!$B$21:$C$50,2,FALSE)</f>
        <v>600017</v>
      </c>
      <c r="L421">
        <v>-1</v>
      </c>
    </row>
    <row r="422" spans="1:12">
      <c r="A422">
        <v>116</v>
      </c>
      <c r="B422" t="s">
        <v>2281</v>
      </c>
      <c r="C422" s="96" t="s">
        <v>2282</v>
      </c>
      <c r="D422" t="s">
        <v>2283</v>
      </c>
      <c r="E422" s="96" t="s">
        <v>1467</v>
      </c>
      <c r="H422" t="s">
        <v>361</v>
      </c>
      <c r="I422">
        <f>VLOOKUP(H422,Listas!$B$2:$C$20,2,FALSE)</f>
        <v>500001</v>
      </c>
      <c r="J422" t="s">
        <v>73</v>
      </c>
      <c r="K422">
        <f>VLOOKUP(J422,Listas!$B$21:$C$50,2,FALSE)</f>
        <v>600017</v>
      </c>
      <c r="L422">
        <v>-1</v>
      </c>
    </row>
    <row r="423" spans="1:12">
      <c r="A423">
        <v>116</v>
      </c>
      <c r="B423" t="s">
        <v>2284</v>
      </c>
      <c r="C423" s="96" t="s">
        <v>2285</v>
      </c>
      <c r="D423" t="s">
        <v>2286</v>
      </c>
      <c r="E423" s="96" t="s">
        <v>1467</v>
      </c>
      <c r="H423" t="s">
        <v>361</v>
      </c>
      <c r="I423">
        <f>VLOOKUP(H423,Listas!$B$2:$C$20,2,FALSE)</f>
        <v>500001</v>
      </c>
      <c r="J423" t="s">
        <v>73</v>
      </c>
      <c r="K423">
        <f>VLOOKUP(J423,Listas!$B$21:$C$50,2,FALSE)</f>
        <v>600017</v>
      </c>
      <c r="L423">
        <v>-1</v>
      </c>
    </row>
    <row r="424" spans="1:12">
      <c r="A424">
        <v>116</v>
      </c>
      <c r="B424" t="s">
        <v>2287</v>
      </c>
      <c r="C424" s="96" t="s">
        <v>2288</v>
      </c>
      <c r="D424" t="s">
        <v>2289</v>
      </c>
      <c r="E424" s="96" t="s">
        <v>1467</v>
      </c>
      <c r="H424" t="s">
        <v>361</v>
      </c>
      <c r="I424">
        <f>VLOOKUP(H424,Listas!$B$2:$C$20,2,FALSE)</f>
        <v>500001</v>
      </c>
      <c r="J424" t="s">
        <v>73</v>
      </c>
      <c r="K424">
        <f>VLOOKUP(J424,Listas!$B$21:$C$50,2,FALSE)</f>
        <v>600017</v>
      </c>
      <c r="L424">
        <v>-1</v>
      </c>
    </row>
    <row r="425" spans="1:12">
      <c r="A425">
        <v>116</v>
      </c>
      <c r="B425" t="s">
        <v>2290</v>
      </c>
      <c r="C425" s="96" t="s">
        <v>2291</v>
      </c>
      <c r="D425" t="s">
        <v>2292</v>
      </c>
      <c r="E425" s="96" t="s">
        <v>1467</v>
      </c>
      <c r="H425" t="s">
        <v>361</v>
      </c>
      <c r="I425">
        <f>VLOOKUP(H425,Listas!$B$2:$C$20,2,FALSE)</f>
        <v>500001</v>
      </c>
      <c r="J425" t="s">
        <v>73</v>
      </c>
      <c r="K425">
        <f>VLOOKUP(J425,Listas!$B$21:$C$50,2,FALSE)</f>
        <v>600017</v>
      </c>
      <c r="L425">
        <v>-1</v>
      </c>
    </row>
    <row r="426" spans="1:12">
      <c r="A426">
        <v>116</v>
      </c>
      <c r="B426" t="s">
        <v>2293</v>
      </c>
      <c r="C426" s="96" t="s">
        <v>2294</v>
      </c>
      <c r="D426" t="s">
        <v>2295</v>
      </c>
      <c r="E426" s="96" t="s">
        <v>1467</v>
      </c>
      <c r="H426" t="s">
        <v>361</v>
      </c>
      <c r="I426">
        <f>VLOOKUP(H426,Listas!$B$2:$C$20,2,FALSE)</f>
        <v>500001</v>
      </c>
      <c r="J426" t="s">
        <v>73</v>
      </c>
      <c r="K426">
        <f>VLOOKUP(J426,Listas!$B$21:$C$50,2,FALSE)</f>
        <v>600017</v>
      </c>
      <c r="L426">
        <v>-1</v>
      </c>
    </row>
    <row r="427" spans="1:12">
      <c r="A427">
        <v>116</v>
      </c>
      <c r="B427" t="s">
        <v>2296</v>
      </c>
      <c r="C427" s="96" t="s">
        <v>2297</v>
      </c>
      <c r="D427" t="s">
        <v>2298</v>
      </c>
      <c r="E427" s="96" t="s">
        <v>1467</v>
      </c>
      <c r="H427" t="s">
        <v>361</v>
      </c>
      <c r="I427">
        <f>VLOOKUP(H427,Listas!$B$2:$C$20,2,FALSE)</f>
        <v>500001</v>
      </c>
      <c r="J427" t="s">
        <v>73</v>
      </c>
      <c r="K427">
        <f>VLOOKUP(J427,Listas!$B$21:$C$50,2,FALSE)</f>
        <v>600017</v>
      </c>
      <c r="L427">
        <v>-1</v>
      </c>
    </row>
    <row r="428" spans="1:12">
      <c r="A428">
        <v>116</v>
      </c>
      <c r="B428" t="s">
        <v>2299</v>
      </c>
      <c r="C428" s="96" t="s">
        <v>2300</v>
      </c>
      <c r="D428" t="s">
        <v>2301</v>
      </c>
      <c r="E428" s="96" t="s">
        <v>1467</v>
      </c>
      <c r="H428" t="s">
        <v>361</v>
      </c>
      <c r="I428">
        <f>VLOOKUP(H428,Listas!$B$2:$C$20,2,FALSE)</f>
        <v>500001</v>
      </c>
      <c r="J428" t="s">
        <v>73</v>
      </c>
      <c r="K428">
        <f>VLOOKUP(J428,Listas!$B$21:$C$50,2,FALSE)</f>
        <v>600017</v>
      </c>
      <c r="L428">
        <v>-1</v>
      </c>
    </row>
    <row r="429" spans="1:12">
      <c r="A429">
        <v>116</v>
      </c>
      <c r="B429" t="s">
        <v>2302</v>
      </c>
      <c r="C429" s="96" t="s">
        <v>2303</v>
      </c>
      <c r="D429" t="s">
        <v>2304</v>
      </c>
      <c r="E429" s="96" t="s">
        <v>1467</v>
      </c>
      <c r="H429" t="s">
        <v>361</v>
      </c>
      <c r="I429">
        <f>VLOOKUP(H429,Listas!$B$2:$C$20,2,FALSE)</f>
        <v>500001</v>
      </c>
      <c r="J429" t="s">
        <v>73</v>
      </c>
      <c r="K429">
        <f>VLOOKUP(J429,Listas!$B$21:$C$50,2,FALSE)</f>
        <v>600017</v>
      </c>
      <c r="L429">
        <v>-1</v>
      </c>
    </row>
    <row r="430" spans="1:12">
      <c r="A430">
        <v>116</v>
      </c>
      <c r="B430" t="s">
        <v>2305</v>
      </c>
      <c r="C430" s="96" t="s">
        <v>2306</v>
      </c>
      <c r="D430" t="s">
        <v>2307</v>
      </c>
      <c r="E430" s="96" t="s">
        <v>1467</v>
      </c>
      <c r="H430" t="s">
        <v>361</v>
      </c>
      <c r="I430">
        <f>VLOOKUP(H430,Listas!$B$2:$C$20,2,FALSE)</f>
        <v>500001</v>
      </c>
      <c r="J430" t="s">
        <v>73</v>
      </c>
      <c r="K430">
        <f>VLOOKUP(J430,Listas!$B$21:$C$50,2,FALSE)</f>
        <v>600017</v>
      </c>
      <c r="L430">
        <v>-1</v>
      </c>
    </row>
    <row r="431" spans="1:12">
      <c r="A431">
        <v>116</v>
      </c>
      <c r="B431" t="s">
        <v>2308</v>
      </c>
      <c r="C431" s="96" t="s">
        <v>2309</v>
      </c>
      <c r="D431" t="s">
        <v>2310</v>
      </c>
      <c r="E431" s="96" t="s">
        <v>1467</v>
      </c>
      <c r="H431" t="s">
        <v>361</v>
      </c>
      <c r="I431">
        <f>VLOOKUP(H431,Listas!$B$2:$C$20,2,FALSE)</f>
        <v>500001</v>
      </c>
      <c r="J431" t="s">
        <v>73</v>
      </c>
      <c r="K431">
        <f>VLOOKUP(J431,Listas!$B$21:$C$50,2,FALSE)</f>
        <v>600017</v>
      </c>
      <c r="L431">
        <v>-1</v>
      </c>
    </row>
    <row r="432" spans="1:12">
      <c r="A432">
        <v>116</v>
      </c>
      <c r="B432" t="s">
        <v>2311</v>
      </c>
      <c r="C432" s="96" t="s">
        <v>2312</v>
      </c>
      <c r="D432" t="s">
        <v>2313</v>
      </c>
      <c r="E432" s="96" t="s">
        <v>1467</v>
      </c>
      <c r="H432" t="s">
        <v>361</v>
      </c>
      <c r="I432">
        <f>VLOOKUP(H432,Listas!$B$2:$C$20,2,FALSE)</f>
        <v>500001</v>
      </c>
      <c r="J432" t="s">
        <v>73</v>
      </c>
      <c r="K432">
        <f>VLOOKUP(J432,Listas!$B$21:$C$50,2,FALSE)</f>
        <v>600017</v>
      </c>
      <c r="L432">
        <v>-1</v>
      </c>
    </row>
    <row r="433" spans="1:12">
      <c r="A433">
        <v>116</v>
      </c>
      <c r="B433" t="s">
        <v>2314</v>
      </c>
      <c r="C433" s="96" t="s">
        <v>2315</v>
      </c>
      <c r="D433" t="s">
        <v>2316</v>
      </c>
      <c r="E433" s="96" t="s">
        <v>1467</v>
      </c>
      <c r="H433" t="s">
        <v>361</v>
      </c>
      <c r="I433">
        <f>VLOOKUP(H433,Listas!$B$2:$C$20,2,FALSE)</f>
        <v>500001</v>
      </c>
      <c r="J433" t="s">
        <v>73</v>
      </c>
      <c r="K433">
        <f>VLOOKUP(J433,Listas!$B$21:$C$50,2,FALSE)</f>
        <v>600017</v>
      </c>
      <c r="L433">
        <v>-1</v>
      </c>
    </row>
    <row r="434" spans="1:12">
      <c r="A434">
        <v>116</v>
      </c>
      <c r="B434" t="s">
        <v>2317</v>
      </c>
      <c r="C434" s="96" t="s">
        <v>2318</v>
      </c>
      <c r="D434" t="s">
        <v>2319</v>
      </c>
      <c r="E434" s="96" t="s">
        <v>1467</v>
      </c>
      <c r="H434" t="s">
        <v>361</v>
      </c>
      <c r="I434">
        <f>VLOOKUP(H434,Listas!$B$2:$C$20,2,FALSE)</f>
        <v>500001</v>
      </c>
      <c r="J434" t="s">
        <v>73</v>
      </c>
      <c r="K434">
        <f>VLOOKUP(J434,Listas!$B$21:$C$50,2,FALSE)</f>
        <v>600017</v>
      </c>
      <c r="L434">
        <v>-1</v>
      </c>
    </row>
    <row r="435" spans="1:12">
      <c r="A435">
        <v>116</v>
      </c>
      <c r="B435" t="s">
        <v>2320</v>
      </c>
      <c r="C435" s="96" t="s">
        <v>2321</v>
      </c>
      <c r="D435" t="s">
        <v>2322</v>
      </c>
      <c r="E435" s="96" t="s">
        <v>1467</v>
      </c>
      <c r="H435" t="s">
        <v>361</v>
      </c>
      <c r="I435">
        <f>VLOOKUP(H435,Listas!$B$2:$C$20,2,FALSE)</f>
        <v>500001</v>
      </c>
      <c r="J435" t="s">
        <v>73</v>
      </c>
      <c r="K435">
        <f>VLOOKUP(J435,Listas!$B$21:$C$50,2,FALSE)</f>
        <v>600017</v>
      </c>
      <c r="L435">
        <v>-1</v>
      </c>
    </row>
    <row r="436" spans="1:12">
      <c r="A436">
        <v>116</v>
      </c>
      <c r="B436" t="s">
        <v>2323</v>
      </c>
      <c r="C436" s="96" t="s">
        <v>2324</v>
      </c>
      <c r="D436" t="s">
        <v>2325</v>
      </c>
      <c r="E436" s="96" t="s">
        <v>1467</v>
      </c>
      <c r="H436" t="s">
        <v>361</v>
      </c>
      <c r="I436">
        <f>VLOOKUP(H436,Listas!$B$2:$C$20,2,FALSE)</f>
        <v>500001</v>
      </c>
      <c r="J436" t="s">
        <v>73</v>
      </c>
      <c r="K436">
        <f>VLOOKUP(J436,Listas!$B$21:$C$50,2,FALSE)</f>
        <v>600017</v>
      </c>
      <c r="L436">
        <v>-1</v>
      </c>
    </row>
    <row r="437" spans="1:12">
      <c r="A437">
        <v>116</v>
      </c>
      <c r="B437" t="s">
        <v>2326</v>
      </c>
      <c r="C437" s="96" t="s">
        <v>2327</v>
      </c>
      <c r="D437" t="s">
        <v>2328</v>
      </c>
      <c r="E437" s="96" t="s">
        <v>1467</v>
      </c>
      <c r="H437" t="s">
        <v>361</v>
      </c>
      <c r="I437">
        <f>VLOOKUP(H437,Listas!$B$2:$C$20,2,FALSE)</f>
        <v>500001</v>
      </c>
      <c r="J437" t="s">
        <v>73</v>
      </c>
      <c r="K437">
        <f>VLOOKUP(J437,Listas!$B$21:$C$50,2,FALSE)</f>
        <v>600017</v>
      </c>
      <c r="L437">
        <v>-1</v>
      </c>
    </row>
    <row r="438" spans="1:12">
      <c r="A438">
        <v>116</v>
      </c>
      <c r="B438" t="s">
        <v>2329</v>
      </c>
      <c r="C438" s="96" t="s">
        <v>2330</v>
      </c>
      <c r="D438" t="s">
        <v>2331</v>
      </c>
      <c r="E438" s="96" t="s">
        <v>1467</v>
      </c>
      <c r="H438" t="s">
        <v>361</v>
      </c>
      <c r="I438">
        <f>VLOOKUP(H438,Listas!$B$2:$C$20,2,FALSE)</f>
        <v>500001</v>
      </c>
      <c r="J438" t="s">
        <v>73</v>
      </c>
      <c r="K438">
        <f>VLOOKUP(J438,Listas!$B$21:$C$50,2,FALSE)</f>
        <v>600017</v>
      </c>
      <c r="L438">
        <v>-1</v>
      </c>
    </row>
    <row r="439" spans="1:12">
      <c r="A439">
        <v>116</v>
      </c>
      <c r="B439" t="s">
        <v>2332</v>
      </c>
      <c r="C439" s="96" t="s">
        <v>2333</v>
      </c>
      <c r="D439" t="s">
        <v>2334</v>
      </c>
      <c r="E439" s="96" t="s">
        <v>1467</v>
      </c>
      <c r="H439" t="s">
        <v>361</v>
      </c>
      <c r="I439">
        <f>VLOOKUP(H439,Listas!$B$2:$C$20,2,FALSE)</f>
        <v>500001</v>
      </c>
      <c r="J439" t="s">
        <v>73</v>
      </c>
      <c r="K439">
        <f>VLOOKUP(J439,Listas!$B$21:$C$50,2,FALSE)</f>
        <v>600017</v>
      </c>
      <c r="L439">
        <v>-1</v>
      </c>
    </row>
    <row r="440" spans="1:12">
      <c r="A440">
        <v>116</v>
      </c>
      <c r="B440" t="s">
        <v>2335</v>
      </c>
      <c r="C440" s="96" t="s">
        <v>2336</v>
      </c>
      <c r="D440" t="s">
        <v>2337</v>
      </c>
      <c r="E440" s="96" t="s">
        <v>1467</v>
      </c>
      <c r="H440" t="s">
        <v>361</v>
      </c>
      <c r="I440">
        <f>VLOOKUP(H440,Listas!$B$2:$C$20,2,FALSE)</f>
        <v>500001</v>
      </c>
      <c r="J440" t="s">
        <v>73</v>
      </c>
      <c r="K440">
        <f>VLOOKUP(J440,Listas!$B$21:$C$50,2,FALSE)</f>
        <v>600017</v>
      </c>
      <c r="L440">
        <v>-1</v>
      </c>
    </row>
    <row r="441" spans="1:12">
      <c r="A441">
        <v>116</v>
      </c>
      <c r="B441" t="s">
        <v>2338</v>
      </c>
      <c r="C441" s="96" t="s">
        <v>2339</v>
      </c>
      <c r="D441" t="s">
        <v>2340</v>
      </c>
      <c r="E441" s="96" t="s">
        <v>1467</v>
      </c>
      <c r="H441" t="s">
        <v>361</v>
      </c>
      <c r="I441">
        <f>VLOOKUP(H441,Listas!$B$2:$C$20,2,FALSE)</f>
        <v>500001</v>
      </c>
      <c r="J441" t="s">
        <v>73</v>
      </c>
      <c r="K441">
        <f>VLOOKUP(J441,Listas!$B$21:$C$50,2,FALSE)</f>
        <v>600017</v>
      </c>
      <c r="L441">
        <v>-1</v>
      </c>
    </row>
    <row r="442" spans="1:12">
      <c r="A442">
        <v>116</v>
      </c>
      <c r="B442" t="s">
        <v>2341</v>
      </c>
      <c r="C442" s="96" t="s">
        <v>2342</v>
      </c>
      <c r="D442" t="s">
        <v>2343</v>
      </c>
      <c r="E442" s="96" t="s">
        <v>1467</v>
      </c>
      <c r="H442" t="s">
        <v>361</v>
      </c>
      <c r="I442">
        <f>VLOOKUP(H442,Listas!$B$2:$C$20,2,FALSE)</f>
        <v>500001</v>
      </c>
      <c r="J442" t="s">
        <v>73</v>
      </c>
      <c r="K442">
        <f>VLOOKUP(J442,Listas!$B$21:$C$50,2,FALSE)</f>
        <v>600017</v>
      </c>
      <c r="L442">
        <v>-1</v>
      </c>
    </row>
    <row r="443" spans="1:12">
      <c r="A443">
        <v>116</v>
      </c>
      <c r="B443" t="s">
        <v>2344</v>
      </c>
      <c r="C443" s="96" t="s">
        <v>2345</v>
      </c>
      <c r="D443" t="s">
        <v>2346</v>
      </c>
      <c r="E443" s="96" t="s">
        <v>1467</v>
      </c>
      <c r="H443" t="s">
        <v>361</v>
      </c>
      <c r="I443">
        <f>VLOOKUP(H443,Listas!$B$2:$C$20,2,FALSE)</f>
        <v>500001</v>
      </c>
      <c r="J443" t="s">
        <v>73</v>
      </c>
      <c r="K443">
        <f>VLOOKUP(J443,Listas!$B$21:$C$50,2,FALSE)</f>
        <v>600017</v>
      </c>
      <c r="L443">
        <v>-1</v>
      </c>
    </row>
    <row r="444" spans="1:12">
      <c r="A444">
        <v>116</v>
      </c>
      <c r="B444" t="s">
        <v>2347</v>
      </c>
      <c r="C444" s="96" t="s">
        <v>2348</v>
      </c>
      <c r="D444" t="s">
        <v>2349</v>
      </c>
      <c r="E444" s="96" t="s">
        <v>1467</v>
      </c>
      <c r="H444" t="s">
        <v>361</v>
      </c>
      <c r="I444">
        <f>VLOOKUP(H444,Listas!$B$2:$C$20,2,FALSE)</f>
        <v>500001</v>
      </c>
      <c r="J444" t="s">
        <v>73</v>
      </c>
      <c r="K444">
        <f>VLOOKUP(J444,Listas!$B$21:$C$50,2,FALSE)</f>
        <v>600017</v>
      </c>
      <c r="L444">
        <v>-1</v>
      </c>
    </row>
    <row r="445" spans="1:12">
      <c r="A445">
        <v>116</v>
      </c>
      <c r="B445" t="s">
        <v>2350</v>
      </c>
      <c r="C445" s="96" t="s">
        <v>2351</v>
      </c>
      <c r="D445" t="s">
        <v>2352</v>
      </c>
      <c r="E445" s="96" t="s">
        <v>1467</v>
      </c>
      <c r="H445" t="s">
        <v>361</v>
      </c>
      <c r="I445">
        <f>VLOOKUP(H445,Listas!$B$2:$C$20,2,FALSE)</f>
        <v>500001</v>
      </c>
      <c r="J445" t="s">
        <v>73</v>
      </c>
      <c r="K445">
        <f>VLOOKUP(J445,Listas!$B$21:$C$50,2,FALSE)</f>
        <v>600017</v>
      </c>
      <c r="L445">
        <v>-1</v>
      </c>
    </row>
    <row r="446" spans="1:12">
      <c r="A446">
        <v>116</v>
      </c>
      <c r="B446" t="s">
        <v>2353</v>
      </c>
      <c r="C446" s="96" t="s">
        <v>2354</v>
      </c>
      <c r="D446" t="s">
        <v>2355</v>
      </c>
      <c r="E446" s="96" t="s">
        <v>1467</v>
      </c>
      <c r="H446" t="s">
        <v>361</v>
      </c>
      <c r="I446">
        <f>VLOOKUP(H446,Listas!$B$2:$C$20,2,FALSE)</f>
        <v>500001</v>
      </c>
      <c r="J446" t="s">
        <v>73</v>
      </c>
      <c r="K446">
        <f>VLOOKUP(J446,Listas!$B$21:$C$50,2,FALSE)</f>
        <v>600017</v>
      </c>
      <c r="L446">
        <v>-1</v>
      </c>
    </row>
    <row r="447" spans="1:12">
      <c r="A447">
        <v>116</v>
      </c>
      <c r="B447" t="s">
        <v>2356</v>
      </c>
      <c r="C447" s="96" t="s">
        <v>2357</v>
      </c>
      <c r="D447" t="s">
        <v>2358</v>
      </c>
      <c r="E447" s="96" t="s">
        <v>1467</v>
      </c>
      <c r="H447" t="s">
        <v>361</v>
      </c>
      <c r="I447">
        <f>VLOOKUP(H447,Listas!$B$2:$C$20,2,FALSE)</f>
        <v>500001</v>
      </c>
      <c r="J447" t="s">
        <v>73</v>
      </c>
      <c r="K447">
        <f>VLOOKUP(J447,Listas!$B$21:$C$50,2,FALSE)</f>
        <v>600017</v>
      </c>
      <c r="L447">
        <v>-1</v>
      </c>
    </row>
    <row r="448" spans="1:12">
      <c r="A448">
        <v>116</v>
      </c>
      <c r="B448" t="s">
        <v>2359</v>
      </c>
      <c r="C448" s="96" t="s">
        <v>2360</v>
      </c>
      <c r="D448" t="s">
        <v>2361</v>
      </c>
      <c r="E448" s="96" t="s">
        <v>1467</v>
      </c>
      <c r="H448" t="s">
        <v>361</v>
      </c>
      <c r="I448">
        <f>VLOOKUP(H448,Listas!$B$2:$C$20,2,FALSE)</f>
        <v>500001</v>
      </c>
      <c r="J448" t="s">
        <v>73</v>
      </c>
      <c r="K448">
        <f>VLOOKUP(J448,Listas!$B$21:$C$50,2,FALSE)</f>
        <v>600017</v>
      </c>
      <c r="L448">
        <v>-1</v>
      </c>
    </row>
    <row r="449" spans="1:12">
      <c r="A449">
        <v>116</v>
      </c>
      <c r="B449" t="s">
        <v>2362</v>
      </c>
      <c r="C449" s="96" t="s">
        <v>2363</v>
      </c>
      <c r="D449" t="s">
        <v>2364</v>
      </c>
      <c r="E449" s="96" t="s">
        <v>1467</v>
      </c>
      <c r="H449" t="s">
        <v>361</v>
      </c>
      <c r="I449">
        <f>VLOOKUP(H449,Listas!$B$2:$C$20,2,FALSE)</f>
        <v>500001</v>
      </c>
      <c r="J449" t="s">
        <v>73</v>
      </c>
      <c r="K449">
        <f>VLOOKUP(J449,Listas!$B$21:$C$50,2,FALSE)</f>
        <v>600017</v>
      </c>
      <c r="L449">
        <v>-1</v>
      </c>
    </row>
    <row r="450" spans="1:12">
      <c r="A450">
        <v>116</v>
      </c>
      <c r="B450" t="s">
        <v>2365</v>
      </c>
      <c r="C450" s="96" t="s">
        <v>2366</v>
      </c>
      <c r="D450" t="s">
        <v>2367</v>
      </c>
      <c r="E450" s="96" t="s">
        <v>1467</v>
      </c>
      <c r="H450" t="s">
        <v>361</v>
      </c>
      <c r="I450">
        <f>VLOOKUP(H450,Listas!$B$2:$C$20,2,FALSE)</f>
        <v>500001</v>
      </c>
      <c r="J450" t="s">
        <v>73</v>
      </c>
      <c r="K450">
        <f>VLOOKUP(J450,Listas!$B$21:$C$50,2,FALSE)</f>
        <v>600017</v>
      </c>
      <c r="L450">
        <v>-1</v>
      </c>
    </row>
    <row r="451" spans="1:12">
      <c r="A451">
        <v>116</v>
      </c>
      <c r="B451" t="s">
        <v>2368</v>
      </c>
      <c r="C451" s="96" t="s">
        <v>2369</v>
      </c>
      <c r="D451" t="s">
        <v>2370</v>
      </c>
      <c r="E451" s="96" t="s">
        <v>1467</v>
      </c>
      <c r="H451" t="s">
        <v>361</v>
      </c>
      <c r="I451">
        <f>VLOOKUP(H451,Listas!$B$2:$C$20,2,FALSE)</f>
        <v>500001</v>
      </c>
      <c r="J451" t="s">
        <v>73</v>
      </c>
      <c r="K451">
        <f>VLOOKUP(J451,Listas!$B$21:$C$50,2,FALSE)</f>
        <v>600017</v>
      </c>
      <c r="L451">
        <v>-1</v>
      </c>
    </row>
    <row r="452" spans="1:12">
      <c r="A452">
        <v>116</v>
      </c>
      <c r="B452" t="s">
        <v>2371</v>
      </c>
      <c r="C452" s="96" t="s">
        <v>2372</v>
      </c>
      <c r="D452" t="s">
        <v>2373</v>
      </c>
      <c r="E452" s="96" t="s">
        <v>1467</v>
      </c>
      <c r="H452" t="s">
        <v>361</v>
      </c>
      <c r="I452">
        <f>VLOOKUP(H452,Listas!$B$2:$C$20,2,FALSE)</f>
        <v>500001</v>
      </c>
      <c r="J452" t="s">
        <v>73</v>
      </c>
      <c r="K452">
        <f>VLOOKUP(J452,Listas!$B$21:$C$50,2,FALSE)</f>
        <v>600017</v>
      </c>
      <c r="L452">
        <v>-1</v>
      </c>
    </row>
    <row r="453" spans="1:12">
      <c r="A453">
        <v>116</v>
      </c>
      <c r="B453" t="s">
        <v>2374</v>
      </c>
      <c r="C453" s="96" t="s">
        <v>2375</v>
      </c>
      <c r="D453" t="s">
        <v>2376</v>
      </c>
      <c r="E453" s="96" t="s">
        <v>1467</v>
      </c>
      <c r="H453" t="s">
        <v>361</v>
      </c>
      <c r="I453">
        <f>VLOOKUP(H453,Listas!$B$2:$C$20,2,FALSE)</f>
        <v>500001</v>
      </c>
      <c r="J453" t="s">
        <v>73</v>
      </c>
      <c r="K453">
        <f>VLOOKUP(J453,Listas!$B$21:$C$50,2,FALSE)</f>
        <v>600017</v>
      </c>
      <c r="L453">
        <v>-1</v>
      </c>
    </row>
    <row r="454" spans="1:12">
      <c r="A454">
        <v>116</v>
      </c>
      <c r="B454" t="s">
        <v>2377</v>
      </c>
      <c r="C454" s="96" t="s">
        <v>2378</v>
      </c>
      <c r="D454" t="s">
        <v>2379</v>
      </c>
      <c r="E454" s="96" t="s">
        <v>1467</v>
      </c>
      <c r="H454" t="s">
        <v>361</v>
      </c>
      <c r="I454">
        <f>VLOOKUP(H454,Listas!$B$2:$C$20,2,FALSE)</f>
        <v>500001</v>
      </c>
      <c r="J454" t="s">
        <v>73</v>
      </c>
      <c r="K454">
        <f>VLOOKUP(J454,Listas!$B$21:$C$50,2,FALSE)</f>
        <v>600017</v>
      </c>
      <c r="L454">
        <v>-1</v>
      </c>
    </row>
    <row r="455" spans="1:12">
      <c r="A455">
        <v>116</v>
      </c>
      <c r="B455" t="s">
        <v>2380</v>
      </c>
      <c r="C455" s="96" t="s">
        <v>2381</v>
      </c>
      <c r="D455" t="s">
        <v>2382</v>
      </c>
      <c r="E455" s="96" t="s">
        <v>1467</v>
      </c>
      <c r="H455" t="s">
        <v>361</v>
      </c>
      <c r="I455">
        <f>VLOOKUP(H455,Listas!$B$2:$C$20,2,FALSE)</f>
        <v>500001</v>
      </c>
      <c r="J455" t="s">
        <v>73</v>
      </c>
      <c r="K455">
        <f>VLOOKUP(J455,Listas!$B$21:$C$50,2,FALSE)</f>
        <v>600017</v>
      </c>
      <c r="L455">
        <v>-1</v>
      </c>
    </row>
    <row r="456" spans="1:12">
      <c r="A456">
        <v>116</v>
      </c>
      <c r="B456" t="s">
        <v>2383</v>
      </c>
      <c r="C456" s="96" t="s">
        <v>2384</v>
      </c>
      <c r="D456" t="s">
        <v>2385</v>
      </c>
      <c r="E456" s="96" t="s">
        <v>1467</v>
      </c>
      <c r="H456" t="s">
        <v>361</v>
      </c>
      <c r="I456">
        <f>VLOOKUP(H456,Listas!$B$2:$C$20,2,FALSE)</f>
        <v>500001</v>
      </c>
      <c r="J456" t="s">
        <v>73</v>
      </c>
      <c r="K456">
        <f>VLOOKUP(J456,Listas!$B$21:$C$50,2,FALSE)</f>
        <v>600017</v>
      </c>
      <c r="L456">
        <v>-1</v>
      </c>
    </row>
    <row r="457" spans="1:12">
      <c r="A457">
        <v>116</v>
      </c>
      <c r="B457" t="s">
        <v>2386</v>
      </c>
      <c r="C457" s="96" t="s">
        <v>2387</v>
      </c>
      <c r="D457" t="s">
        <v>2388</v>
      </c>
      <c r="E457" s="96" t="s">
        <v>1467</v>
      </c>
      <c r="H457" t="s">
        <v>361</v>
      </c>
      <c r="I457">
        <f>VLOOKUP(H457,Listas!$B$2:$C$20,2,FALSE)</f>
        <v>500001</v>
      </c>
      <c r="J457" t="s">
        <v>73</v>
      </c>
      <c r="K457">
        <f>VLOOKUP(J457,Listas!$B$21:$C$50,2,FALSE)</f>
        <v>600017</v>
      </c>
      <c r="L457">
        <v>-1</v>
      </c>
    </row>
    <row r="458" spans="1:12">
      <c r="A458">
        <v>116</v>
      </c>
      <c r="B458" t="s">
        <v>2389</v>
      </c>
      <c r="C458" s="96" t="s">
        <v>2390</v>
      </c>
      <c r="D458" t="s">
        <v>2391</v>
      </c>
      <c r="E458" s="96" t="s">
        <v>1467</v>
      </c>
      <c r="H458" t="s">
        <v>361</v>
      </c>
      <c r="I458">
        <f>VLOOKUP(H458,Listas!$B$2:$C$20,2,FALSE)</f>
        <v>500001</v>
      </c>
      <c r="J458" t="s">
        <v>73</v>
      </c>
      <c r="K458">
        <f>VLOOKUP(J458,Listas!$B$21:$C$50,2,FALSE)</f>
        <v>600017</v>
      </c>
      <c r="L458">
        <v>-1</v>
      </c>
    </row>
    <row r="459" spans="1:12">
      <c r="A459">
        <v>116</v>
      </c>
      <c r="B459" t="s">
        <v>2392</v>
      </c>
      <c r="C459" s="96" t="s">
        <v>2393</v>
      </c>
      <c r="D459" t="s">
        <v>2394</v>
      </c>
      <c r="E459" s="96" t="s">
        <v>1467</v>
      </c>
      <c r="H459" t="s">
        <v>361</v>
      </c>
      <c r="I459">
        <f>VLOOKUP(H459,Listas!$B$2:$C$20,2,FALSE)</f>
        <v>500001</v>
      </c>
      <c r="J459" t="s">
        <v>73</v>
      </c>
      <c r="K459">
        <f>VLOOKUP(J459,Listas!$B$21:$C$50,2,FALSE)</f>
        <v>600017</v>
      </c>
      <c r="L459">
        <v>-1</v>
      </c>
    </row>
    <row r="460" spans="1:12">
      <c r="A460">
        <v>116</v>
      </c>
      <c r="B460" t="s">
        <v>2395</v>
      </c>
      <c r="C460" s="96" t="s">
        <v>2396</v>
      </c>
      <c r="D460" t="s">
        <v>2397</v>
      </c>
      <c r="E460" s="96" t="s">
        <v>1467</v>
      </c>
      <c r="H460" t="s">
        <v>361</v>
      </c>
      <c r="I460">
        <f>VLOOKUP(H460,Listas!$B$2:$C$20,2,FALSE)</f>
        <v>500001</v>
      </c>
      <c r="J460" t="s">
        <v>73</v>
      </c>
      <c r="K460">
        <f>VLOOKUP(J460,Listas!$B$21:$C$50,2,FALSE)</f>
        <v>600017</v>
      </c>
      <c r="L460">
        <v>-1</v>
      </c>
    </row>
    <row r="461" spans="1:12">
      <c r="A461">
        <v>116</v>
      </c>
      <c r="B461" t="s">
        <v>2398</v>
      </c>
      <c r="C461" s="96" t="s">
        <v>2399</v>
      </c>
      <c r="D461" t="s">
        <v>2400</v>
      </c>
      <c r="E461" s="96" t="s">
        <v>1467</v>
      </c>
      <c r="H461" t="s">
        <v>361</v>
      </c>
      <c r="I461">
        <f>VLOOKUP(H461,Listas!$B$2:$C$20,2,FALSE)</f>
        <v>500001</v>
      </c>
      <c r="J461" t="s">
        <v>73</v>
      </c>
      <c r="K461">
        <f>VLOOKUP(J461,Listas!$B$21:$C$50,2,FALSE)</f>
        <v>600017</v>
      </c>
      <c r="L461">
        <v>-1</v>
      </c>
    </row>
    <row r="462" spans="1:12">
      <c r="A462">
        <v>116</v>
      </c>
      <c r="B462" t="s">
        <v>2401</v>
      </c>
      <c r="C462" s="96" t="s">
        <v>2402</v>
      </c>
      <c r="D462" t="s">
        <v>2403</v>
      </c>
      <c r="E462" s="96" t="s">
        <v>1467</v>
      </c>
      <c r="H462" t="s">
        <v>361</v>
      </c>
      <c r="I462">
        <f>VLOOKUP(H462,Listas!$B$2:$C$20,2,FALSE)</f>
        <v>500001</v>
      </c>
      <c r="J462" t="s">
        <v>73</v>
      </c>
      <c r="K462">
        <f>VLOOKUP(J462,Listas!$B$21:$C$50,2,FALSE)</f>
        <v>600017</v>
      </c>
      <c r="L462">
        <v>-1</v>
      </c>
    </row>
    <row r="463" spans="1:12">
      <c r="A463">
        <v>116</v>
      </c>
      <c r="B463" t="s">
        <v>2404</v>
      </c>
      <c r="C463" s="96" t="s">
        <v>2405</v>
      </c>
      <c r="D463" t="s">
        <v>2406</v>
      </c>
      <c r="E463" s="96" t="s">
        <v>1467</v>
      </c>
      <c r="H463" t="s">
        <v>361</v>
      </c>
      <c r="I463">
        <f>VLOOKUP(H463,Listas!$B$2:$C$20,2,FALSE)</f>
        <v>500001</v>
      </c>
      <c r="J463" t="s">
        <v>73</v>
      </c>
      <c r="K463">
        <f>VLOOKUP(J463,Listas!$B$21:$C$50,2,FALSE)</f>
        <v>600017</v>
      </c>
      <c r="L463">
        <v>-1</v>
      </c>
    </row>
    <row r="464" spans="1:12">
      <c r="A464">
        <v>116</v>
      </c>
      <c r="B464" t="s">
        <v>2407</v>
      </c>
      <c r="C464" s="96" t="s">
        <v>2408</v>
      </c>
      <c r="D464" t="s">
        <v>2409</v>
      </c>
      <c r="E464" s="96" t="s">
        <v>1467</v>
      </c>
      <c r="H464" t="s">
        <v>361</v>
      </c>
      <c r="I464">
        <f>VLOOKUP(H464,Listas!$B$2:$C$20,2,FALSE)</f>
        <v>500001</v>
      </c>
      <c r="J464" t="s">
        <v>73</v>
      </c>
      <c r="K464">
        <f>VLOOKUP(J464,Listas!$B$21:$C$50,2,FALSE)</f>
        <v>600017</v>
      </c>
      <c r="L464">
        <v>-1</v>
      </c>
    </row>
    <row r="465" spans="1:12">
      <c r="A465">
        <v>116</v>
      </c>
      <c r="B465" t="s">
        <v>2410</v>
      </c>
      <c r="C465" s="96" t="s">
        <v>2411</v>
      </c>
      <c r="D465" t="s">
        <v>2412</v>
      </c>
      <c r="E465" s="96" t="s">
        <v>1467</v>
      </c>
      <c r="H465" t="s">
        <v>361</v>
      </c>
      <c r="I465">
        <f>VLOOKUP(H465,Listas!$B$2:$C$20,2,FALSE)</f>
        <v>500001</v>
      </c>
      <c r="J465" t="s">
        <v>73</v>
      </c>
      <c r="K465">
        <f>VLOOKUP(J465,Listas!$B$21:$C$50,2,FALSE)</f>
        <v>600017</v>
      </c>
      <c r="L465">
        <v>-1</v>
      </c>
    </row>
    <row r="466" spans="1:12">
      <c r="A466">
        <v>116</v>
      </c>
      <c r="B466" t="s">
        <v>2413</v>
      </c>
      <c r="C466" s="96" t="s">
        <v>2414</v>
      </c>
      <c r="D466" t="s">
        <v>2415</v>
      </c>
      <c r="E466" s="96" t="s">
        <v>1467</v>
      </c>
      <c r="H466" t="s">
        <v>361</v>
      </c>
      <c r="I466">
        <f>VLOOKUP(H466,Listas!$B$2:$C$20,2,FALSE)</f>
        <v>500001</v>
      </c>
      <c r="J466" t="s">
        <v>73</v>
      </c>
      <c r="K466">
        <f>VLOOKUP(J466,Listas!$B$21:$C$50,2,FALSE)</f>
        <v>600017</v>
      </c>
      <c r="L466">
        <v>-1</v>
      </c>
    </row>
    <row r="467" spans="1:12">
      <c r="A467">
        <v>116</v>
      </c>
      <c r="B467" t="s">
        <v>2416</v>
      </c>
      <c r="C467" s="96" t="s">
        <v>2417</v>
      </c>
      <c r="D467" t="s">
        <v>2418</v>
      </c>
      <c r="E467" s="96" t="s">
        <v>1467</v>
      </c>
      <c r="H467" t="s">
        <v>361</v>
      </c>
      <c r="I467">
        <f>VLOOKUP(H467,Listas!$B$2:$C$20,2,FALSE)</f>
        <v>500001</v>
      </c>
      <c r="J467" t="s">
        <v>73</v>
      </c>
      <c r="K467">
        <f>VLOOKUP(J467,Listas!$B$21:$C$50,2,FALSE)</f>
        <v>600017</v>
      </c>
      <c r="L467">
        <v>-1</v>
      </c>
    </row>
    <row r="468" spans="1:12">
      <c r="A468">
        <v>116</v>
      </c>
      <c r="B468" t="s">
        <v>2419</v>
      </c>
      <c r="C468" s="96" t="s">
        <v>2420</v>
      </c>
      <c r="D468" t="s">
        <v>2421</v>
      </c>
      <c r="E468" s="96" t="s">
        <v>1467</v>
      </c>
      <c r="H468" t="s">
        <v>361</v>
      </c>
      <c r="I468">
        <f>VLOOKUP(H468,Listas!$B$2:$C$20,2,FALSE)</f>
        <v>500001</v>
      </c>
      <c r="J468" t="s">
        <v>73</v>
      </c>
      <c r="K468">
        <f>VLOOKUP(J468,Listas!$B$21:$C$50,2,FALSE)</f>
        <v>600017</v>
      </c>
      <c r="L468">
        <v>-1</v>
      </c>
    </row>
    <row r="469" spans="1:12">
      <c r="A469">
        <v>116</v>
      </c>
      <c r="B469" t="s">
        <v>2422</v>
      </c>
      <c r="C469" s="96" t="s">
        <v>2423</v>
      </c>
      <c r="D469" t="s">
        <v>2424</v>
      </c>
      <c r="E469" s="96" t="s">
        <v>1467</v>
      </c>
      <c r="H469" t="s">
        <v>361</v>
      </c>
      <c r="I469">
        <f>VLOOKUP(H469,Listas!$B$2:$C$20,2,FALSE)</f>
        <v>500001</v>
      </c>
      <c r="J469" t="s">
        <v>73</v>
      </c>
      <c r="K469">
        <f>VLOOKUP(J469,Listas!$B$21:$C$50,2,FALSE)</f>
        <v>600017</v>
      </c>
      <c r="L469">
        <v>-1</v>
      </c>
    </row>
    <row r="470" spans="1:12">
      <c r="A470">
        <v>116</v>
      </c>
      <c r="B470" t="s">
        <v>2425</v>
      </c>
      <c r="C470" s="96" t="s">
        <v>2426</v>
      </c>
      <c r="D470" t="s">
        <v>2427</v>
      </c>
      <c r="E470" s="96" t="s">
        <v>1467</v>
      </c>
      <c r="H470" t="s">
        <v>361</v>
      </c>
      <c r="I470">
        <f>VLOOKUP(H470,Listas!$B$2:$C$20,2,FALSE)</f>
        <v>500001</v>
      </c>
      <c r="J470" t="s">
        <v>73</v>
      </c>
      <c r="K470">
        <f>VLOOKUP(J470,Listas!$B$21:$C$50,2,FALSE)</f>
        <v>600017</v>
      </c>
      <c r="L470">
        <v>-1</v>
      </c>
    </row>
    <row r="471" spans="1:12">
      <c r="A471">
        <v>116</v>
      </c>
      <c r="B471" t="s">
        <v>2428</v>
      </c>
      <c r="C471" s="96" t="s">
        <v>2429</v>
      </c>
      <c r="D471" t="s">
        <v>2430</v>
      </c>
      <c r="E471" s="96" t="s">
        <v>1467</v>
      </c>
      <c r="H471" t="s">
        <v>361</v>
      </c>
      <c r="I471">
        <f>VLOOKUP(H471,Listas!$B$2:$C$20,2,FALSE)</f>
        <v>500001</v>
      </c>
      <c r="J471" t="s">
        <v>73</v>
      </c>
      <c r="K471">
        <f>VLOOKUP(J471,Listas!$B$21:$C$50,2,FALSE)</f>
        <v>600017</v>
      </c>
      <c r="L471">
        <v>-1</v>
      </c>
    </row>
    <row r="472" spans="1:12">
      <c r="A472">
        <v>116</v>
      </c>
      <c r="B472" t="s">
        <v>2431</v>
      </c>
      <c r="C472" s="96" t="s">
        <v>2432</v>
      </c>
      <c r="D472" t="s">
        <v>2433</v>
      </c>
      <c r="E472" s="96" t="s">
        <v>1467</v>
      </c>
      <c r="H472" t="s">
        <v>361</v>
      </c>
      <c r="I472">
        <f>VLOOKUP(H472,Listas!$B$2:$C$20,2,FALSE)</f>
        <v>500001</v>
      </c>
      <c r="J472" t="s">
        <v>73</v>
      </c>
      <c r="K472">
        <f>VLOOKUP(J472,Listas!$B$21:$C$50,2,FALSE)</f>
        <v>600017</v>
      </c>
      <c r="L472">
        <v>-1</v>
      </c>
    </row>
    <row r="473" spans="1:12">
      <c r="A473">
        <v>116</v>
      </c>
      <c r="B473" t="s">
        <v>2434</v>
      </c>
      <c r="C473" s="96" t="s">
        <v>2435</v>
      </c>
      <c r="D473" t="s">
        <v>2436</v>
      </c>
      <c r="E473" s="96" t="s">
        <v>1467</v>
      </c>
      <c r="H473" t="s">
        <v>361</v>
      </c>
      <c r="I473">
        <f>VLOOKUP(H473,Listas!$B$2:$C$20,2,FALSE)</f>
        <v>500001</v>
      </c>
      <c r="J473" t="s">
        <v>73</v>
      </c>
      <c r="K473">
        <f>VLOOKUP(J473,Listas!$B$21:$C$50,2,FALSE)</f>
        <v>600017</v>
      </c>
      <c r="L473">
        <v>-1</v>
      </c>
    </row>
    <row r="474" spans="1:12">
      <c r="A474">
        <v>116</v>
      </c>
      <c r="B474" t="s">
        <v>2437</v>
      </c>
      <c r="C474" s="96" t="s">
        <v>2438</v>
      </c>
      <c r="D474" t="s">
        <v>2439</v>
      </c>
      <c r="E474" s="96" t="s">
        <v>1467</v>
      </c>
      <c r="H474" t="s">
        <v>361</v>
      </c>
      <c r="I474">
        <f>VLOOKUP(H474,Listas!$B$2:$C$20,2,FALSE)</f>
        <v>500001</v>
      </c>
      <c r="J474" t="s">
        <v>73</v>
      </c>
      <c r="K474">
        <f>VLOOKUP(J474,Listas!$B$21:$C$50,2,FALSE)</f>
        <v>600017</v>
      </c>
      <c r="L474">
        <v>-1</v>
      </c>
    </row>
    <row r="475" spans="1:12">
      <c r="A475">
        <v>116</v>
      </c>
      <c r="B475" t="s">
        <v>2440</v>
      </c>
      <c r="C475" s="96" t="s">
        <v>2441</v>
      </c>
      <c r="D475" t="s">
        <v>2442</v>
      </c>
      <c r="E475" s="96" t="s">
        <v>1467</v>
      </c>
      <c r="H475" t="s">
        <v>361</v>
      </c>
      <c r="I475">
        <f>VLOOKUP(H475,Listas!$B$2:$C$20,2,FALSE)</f>
        <v>500001</v>
      </c>
      <c r="J475" t="s">
        <v>73</v>
      </c>
      <c r="K475">
        <f>VLOOKUP(J475,Listas!$B$21:$C$50,2,FALSE)</f>
        <v>600017</v>
      </c>
      <c r="L475">
        <v>-1</v>
      </c>
    </row>
    <row r="476" spans="1:12">
      <c r="A476">
        <v>116</v>
      </c>
      <c r="B476" t="s">
        <v>2443</v>
      </c>
      <c r="C476" s="96" t="s">
        <v>2444</v>
      </c>
      <c r="D476" t="s">
        <v>2445</v>
      </c>
      <c r="E476" s="96" t="s">
        <v>1467</v>
      </c>
      <c r="H476" t="s">
        <v>361</v>
      </c>
      <c r="I476">
        <f>VLOOKUP(H476,Listas!$B$2:$C$20,2,FALSE)</f>
        <v>500001</v>
      </c>
      <c r="J476" t="s">
        <v>73</v>
      </c>
      <c r="K476">
        <f>VLOOKUP(J476,Listas!$B$21:$C$50,2,FALSE)</f>
        <v>600017</v>
      </c>
      <c r="L476">
        <v>-1</v>
      </c>
    </row>
    <row r="477" spans="1:12">
      <c r="A477">
        <v>116</v>
      </c>
      <c r="B477" t="s">
        <v>2446</v>
      </c>
      <c r="C477" s="96" t="s">
        <v>2447</v>
      </c>
      <c r="D477" t="s">
        <v>2448</v>
      </c>
      <c r="E477" s="96" t="s">
        <v>1467</v>
      </c>
      <c r="H477" t="s">
        <v>361</v>
      </c>
      <c r="I477">
        <f>VLOOKUP(H477,Listas!$B$2:$C$20,2,FALSE)</f>
        <v>500001</v>
      </c>
      <c r="J477" t="s">
        <v>73</v>
      </c>
      <c r="K477">
        <f>VLOOKUP(J477,Listas!$B$21:$C$50,2,FALSE)</f>
        <v>600017</v>
      </c>
      <c r="L477">
        <v>-1</v>
      </c>
    </row>
    <row r="478" spans="1:12">
      <c r="A478">
        <v>116</v>
      </c>
      <c r="B478" t="s">
        <v>2449</v>
      </c>
      <c r="C478" s="96" t="s">
        <v>2450</v>
      </c>
      <c r="D478" t="s">
        <v>2451</v>
      </c>
      <c r="E478" s="96" t="s">
        <v>1467</v>
      </c>
      <c r="H478" t="s">
        <v>361</v>
      </c>
      <c r="I478">
        <f>VLOOKUP(H478,Listas!$B$2:$C$20,2,FALSE)</f>
        <v>500001</v>
      </c>
      <c r="J478" t="s">
        <v>73</v>
      </c>
      <c r="K478">
        <f>VLOOKUP(J478,Listas!$B$21:$C$50,2,FALSE)</f>
        <v>600017</v>
      </c>
      <c r="L478">
        <v>-1</v>
      </c>
    </row>
    <row r="479" spans="1:12">
      <c r="A479">
        <v>116</v>
      </c>
      <c r="B479" t="s">
        <v>2452</v>
      </c>
      <c r="C479" s="96" t="s">
        <v>2453</v>
      </c>
      <c r="D479" t="s">
        <v>2454</v>
      </c>
      <c r="E479" s="96" t="s">
        <v>1467</v>
      </c>
      <c r="H479" t="s">
        <v>361</v>
      </c>
      <c r="I479">
        <f>VLOOKUP(H479,Listas!$B$2:$C$20,2,FALSE)</f>
        <v>500001</v>
      </c>
      <c r="J479" t="s">
        <v>73</v>
      </c>
      <c r="K479">
        <f>VLOOKUP(J479,Listas!$B$21:$C$50,2,FALSE)</f>
        <v>600017</v>
      </c>
      <c r="L479">
        <v>-1</v>
      </c>
    </row>
    <row r="480" spans="1:12">
      <c r="A480">
        <v>116</v>
      </c>
      <c r="B480" t="s">
        <v>2455</v>
      </c>
      <c r="C480" s="96" t="s">
        <v>2456</v>
      </c>
      <c r="D480" t="s">
        <v>2457</v>
      </c>
      <c r="E480" s="96" t="s">
        <v>1467</v>
      </c>
      <c r="H480" t="s">
        <v>361</v>
      </c>
      <c r="I480">
        <f>VLOOKUP(H480,Listas!$B$2:$C$20,2,FALSE)</f>
        <v>500001</v>
      </c>
      <c r="J480" t="s">
        <v>73</v>
      </c>
      <c r="K480">
        <f>VLOOKUP(J480,Listas!$B$21:$C$50,2,FALSE)</f>
        <v>600017</v>
      </c>
      <c r="L480">
        <v>-1</v>
      </c>
    </row>
    <row r="481" spans="1:12">
      <c r="A481">
        <v>116</v>
      </c>
      <c r="B481" t="s">
        <v>2458</v>
      </c>
      <c r="C481" s="96" t="s">
        <v>2459</v>
      </c>
      <c r="D481" t="s">
        <v>2460</v>
      </c>
      <c r="E481" s="96" t="s">
        <v>1467</v>
      </c>
      <c r="H481" t="s">
        <v>361</v>
      </c>
      <c r="I481">
        <f>VLOOKUP(H481,Listas!$B$2:$C$20,2,FALSE)</f>
        <v>500001</v>
      </c>
      <c r="J481" t="s">
        <v>73</v>
      </c>
      <c r="K481">
        <f>VLOOKUP(J481,Listas!$B$21:$C$50,2,FALSE)</f>
        <v>600017</v>
      </c>
      <c r="L481">
        <v>-1</v>
      </c>
    </row>
    <row r="482" spans="1:12">
      <c r="A482">
        <v>116</v>
      </c>
      <c r="B482" t="s">
        <v>2461</v>
      </c>
      <c r="C482" s="96" t="s">
        <v>2462</v>
      </c>
      <c r="D482" t="s">
        <v>2463</v>
      </c>
      <c r="E482" s="96" t="s">
        <v>1467</v>
      </c>
      <c r="H482" t="s">
        <v>361</v>
      </c>
      <c r="I482">
        <f>VLOOKUP(H482,Listas!$B$2:$C$20,2,FALSE)</f>
        <v>500001</v>
      </c>
      <c r="J482" t="s">
        <v>73</v>
      </c>
      <c r="K482">
        <f>VLOOKUP(J482,Listas!$B$21:$C$50,2,FALSE)</f>
        <v>600017</v>
      </c>
      <c r="L482">
        <v>-1</v>
      </c>
    </row>
    <row r="483" spans="1:12">
      <c r="A483">
        <v>116</v>
      </c>
      <c r="B483" t="s">
        <v>2464</v>
      </c>
      <c r="C483" s="96" t="s">
        <v>2465</v>
      </c>
      <c r="D483" t="s">
        <v>1788</v>
      </c>
      <c r="E483" s="96" t="s">
        <v>1467</v>
      </c>
      <c r="H483" t="s">
        <v>361</v>
      </c>
      <c r="I483">
        <f>VLOOKUP(H483,Listas!$B$2:$C$20,2,FALSE)</f>
        <v>500001</v>
      </c>
      <c r="J483" t="s">
        <v>73</v>
      </c>
      <c r="K483">
        <f>VLOOKUP(J483,Listas!$B$21:$C$50,2,FALSE)</f>
        <v>600017</v>
      </c>
      <c r="L483">
        <v>-1</v>
      </c>
    </row>
    <row r="484" spans="1:12">
      <c r="A484">
        <v>116</v>
      </c>
      <c r="B484" t="s">
        <v>2466</v>
      </c>
      <c r="C484" s="96" t="s">
        <v>2467</v>
      </c>
      <c r="D484" t="s">
        <v>2468</v>
      </c>
      <c r="E484" s="96" t="s">
        <v>1467</v>
      </c>
      <c r="H484" t="s">
        <v>361</v>
      </c>
      <c r="I484">
        <f>VLOOKUP(H484,Listas!$B$2:$C$20,2,FALSE)</f>
        <v>500001</v>
      </c>
      <c r="J484" t="s">
        <v>73</v>
      </c>
      <c r="K484">
        <f>VLOOKUP(J484,Listas!$B$21:$C$50,2,FALSE)</f>
        <v>600017</v>
      </c>
      <c r="L484">
        <v>-1</v>
      </c>
    </row>
    <row r="485" spans="1:12">
      <c r="A485">
        <v>116</v>
      </c>
      <c r="B485" t="s">
        <v>2469</v>
      </c>
      <c r="C485" s="96" t="s">
        <v>2470</v>
      </c>
      <c r="D485" t="s">
        <v>2471</v>
      </c>
      <c r="E485" s="96" t="s">
        <v>1467</v>
      </c>
      <c r="H485" t="s">
        <v>361</v>
      </c>
      <c r="I485">
        <f>VLOOKUP(H485,Listas!$B$2:$C$20,2,FALSE)</f>
        <v>500001</v>
      </c>
      <c r="J485" t="s">
        <v>73</v>
      </c>
      <c r="K485">
        <f>VLOOKUP(J485,Listas!$B$21:$C$50,2,FALSE)</f>
        <v>600017</v>
      </c>
      <c r="L485">
        <v>-1</v>
      </c>
    </row>
    <row r="486" spans="1:12">
      <c r="A486">
        <v>116</v>
      </c>
      <c r="B486" t="s">
        <v>2472</v>
      </c>
      <c r="C486" s="96" t="s">
        <v>2473</v>
      </c>
      <c r="D486" t="s">
        <v>2474</v>
      </c>
      <c r="E486" s="96" t="s">
        <v>1467</v>
      </c>
      <c r="H486" t="s">
        <v>361</v>
      </c>
      <c r="I486">
        <f>VLOOKUP(H486,Listas!$B$2:$C$20,2,FALSE)</f>
        <v>500001</v>
      </c>
      <c r="J486" t="s">
        <v>73</v>
      </c>
      <c r="K486">
        <f>VLOOKUP(J486,Listas!$B$21:$C$50,2,FALSE)</f>
        <v>600017</v>
      </c>
      <c r="L486">
        <v>-1</v>
      </c>
    </row>
    <row r="487" spans="1:12">
      <c r="A487">
        <v>116</v>
      </c>
      <c r="B487" t="s">
        <v>2475</v>
      </c>
      <c r="C487" s="96" t="s">
        <v>2476</v>
      </c>
      <c r="D487" t="s">
        <v>2477</v>
      </c>
      <c r="E487" s="96" t="s">
        <v>1467</v>
      </c>
      <c r="H487" t="s">
        <v>361</v>
      </c>
      <c r="I487">
        <f>VLOOKUP(H487,Listas!$B$2:$C$20,2,FALSE)</f>
        <v>500001</v>
      </c>
      <c r="J487" t="s">
        <v>73</v>
      </c>
      <c r="K487">
        <f>VLOOKUP(J487,Listas!$B$21:$C$50,2,FALSE)</f>
        <v>600017</v>
      </c>
      <c r="L487">
        <v>-1</v>
      </c>
    </row>
    <row r="488" spans="1:12">
      <c r="A488">
        <v>116</v>
      </c>
      <c r="B488" t="s">
        <v>2478</v>
      </c>
      <c r="C488" s="96" t="s">
        <v>2479</v>
      </c>
      <c r="D488" t="s">
        <v>2480</v>
      </c>
      <c r="E488" s="96" t="s">
        <v>1467</v>
      </c>
      <c r="H488" t="s">
        <v>361</v>
      </c>
      <c r="I488">
        <f>VLOOKUP(H488,Listas!$B$2:$C$20,2,FALSE)</f>
        <v>500001</v>
      </c>
      <c r="J488" t="s">
        <v>73</v>
      </c>
      <c r="K488">
        <f>VLOOKUP(J488,Listas!$B$21:$C$50,2,FALSE)</f>
        <v>600017</v>
      </c>
      <c r="L488">
        <v>-1</v>
      </c>
    </row>
    <row r="489" spans="1:12">
      <c r="A489">
        <v>116</v>
      </c>
      <c r="B489" t="s">
        <v>2481</v>
      </c>
      <c r="C489" s="96" t="s">
        <v>2482</v>
      </c>
      <c r="D489" t="s">
        <v>2483</v>
      </c>
      <c r="E489" s="96" t="s">
        <v>1467</v>
      </c>
      <c r="H489" t="s">
        <v>361</v>
      </c>
      <c r="I489">
        <f>VLOOKUP(H489,Listas!$B$2:$C$20,2,FALSE)</f>
        <v>500001</v>
      </c>
      <c r="J489" t="s">
        <v>73</v>
      </c>
      <c r="K489">
        <f>VLOOKUP(J489,Listas!$B$21:$C$50,2,FALSE)</f>
        <v>600017</v>
      </c>
      <c r="L489">
        <v>-1</v>
      </c>
    </row>
    <row r="490" spans="1:12">
      <c r="A490">
        <v>116</v>
      </c>
      <c r="B490" t="s">
        <v>2484</v>
      </c>
      <c r="C490" s="96" t="s">
        <v>2485</v>
      </c>
      <c r="D490" t="s">
        <v>2486</v>
      </c>
      <c r="E490" s="96" t="s">
        <v>1467</v>
      </c>
      <c r="H490" t="s">
        <v>361</v>
      </c>
      <c r="I490">
        <f>VLOOKUP(H490,Listas!$B$2:$C$20,2,FALSE)</f>
        <v>500001</v>
      </c>
      <c r="J490" t="s">
        <v>73</v>
      </c>
      <c r="K490">
        <f>VLOOKUP(J490,Listas!$B$21:$C$50,2,FALSE)</f>
        <v>600017</v>
      </c>
      <c r="L490">
        <v>-1</v>
      </c>
    </row>
    <row r="491" spans="1:12">
      <c r="A491">
        <v>116</v>
      </c>
      <c r="B491" t="s">
        <v>2487</v>
      </c>
      <c r="C491" s="96" t="s">
        <v>2488</v>
      </c>
      <c r="D491" t="s">
        <v>2489</v>
      </c>
      <c r="E491" s="96" t="s">
        <v>1467</v>
      </c>
      <c r="H491" t="s">
        <v>361</v>
      </c>
      <c r="I491">
        <f>VLOOKUP(H491,Listas!$B$2:$C$20,2,FALSE)</f>
        <v>500001</v>
      </c>
      <c r="J491" t="s">
        <v>73</v>
      </c>
      <c r="K491">
        <f>VLOOKUP(J491,Listas!$B$21:$C$50,2,FALSE)</f>
        <v>600017</v>
      </c>
      <c r="L491">
        <v>-1</v>
      </c>
    </row>
    <row r="492" spans="1:12">
      <c r="A492">
        <v>116</v>
      </c>
      <c r="B492" t="s">
        <v>2490</v>
      </c>
      <c r="C492" s="96" t="s">
        <v>2491</v>
      </c>
      <c r="D492" t="s">
        <v>2492</v>
      </c>
      <c r="E492" s="96" t="s">
        <v>1467</v>
      </c>
      <c r="H492" t="s">
        <v>361</v>
      </c>
      <c r="I492">
        <f>VLOOKUP(H492,Listas!$B$2:$C$20,2,FALSE)</f>
        <v>500001</v>
      </c>
      <c r="J492" t="s">
        <v>73</v>
      </c>
      <c r="K492">
        <f>VLOOKUP(J492,Listas!$B$21:$C$50,2,FALSE)</f>
        <v>600017</v>
      </c>
      <c r="L492">
        <v>-1</v>
      </c>
    </row>
    <row r="493" spans="1:12">
      <c r="A493">
        <v>116</v>
      </c>
      <c r="B493" t="s">
        <v>2493</v>
      </c>
      <c r="C493" s="96" t="s">
        <v>2494</v>
      </c>
      <c r="D493" t="s">
        <v>2495</v>
      </c>
      <c r="E493" s="96" t="s">
        <v>1467</v>
      </c>
      <c r="H493" t="s">
        <v>361</v>
      </c>
      <c r="I493">
        <f>VLOOKUP(H493,Listas!$B$2:$C$20,2,FALSE)</f>
        <v>500001</v>
      </c>
      <c r="J493" t="s">
        <v>73</v>
      </c>
      <c r="K493">
        <f>VLOOKUP(J493,Listas!$B$21:$C$50,2,FALSE)</f>
        <v>600017</v>
      </c>
      <c r="L493">
        <v>-1</v>
      </c>
    </row>
    <row r="494" spans="1:12">
      <c r="A494">
        <v>116</v>
      </c>
      <c r="B494" t="s">
        <v>2496</v>
      </c>
      <c r="C494" s="96" t="s">
        <v>2497</v>
      </c>
      <c r="D494" t="s">
        <v>2498</v>
      </c>
      <c r="E494" s="96" t="s">
        <v>1467</v>
      </c>
      <c r="H494" t="s">
        <v>361</v>
      </c>
      <c r="I494">
        <f>VLOOKUP(H494,Listas!$B$2:$C$20,2,FALSE)</f>
        <v>500001</v>
      </c>
      <c r="J494" t="s">
        <v>73</v>
      </c>
      <c r="K494">
        <f>VLOOKUP(J494,Listas!$B$21:$C$50,2,FALSE)</f>
        <v>600017</v>
      </c>
      <c r="L494">
        <v>-1</v>
      </c>
    </row>
    <row r="495" spans="1:12">
      <c r="A495">
        <v>116</v>
      </c>
      <c r="B495" t="s">
        <v>2499</v>
      </c>
      <c r="C495" s="96" t="s">
        <v>2500</v>
      </c>
      <c r="D495" t="s">
        <v>2501</v>
      </c>
      <c r="E495" s="96" t="s">
        <v>1467</v>
      </c>
      <c r="H495" t="s">
        <v>361</v>
      </c>
      <c r="I495">
        <f>VLOOKUP(H495,Listas!$B$2:$C$20,2,FALSE)</f>
        <v>500001</v>
      </c>
      <c r="J495" t="s">
        <v>73</v>
      </c>
      <c r="K495">
        <f>VLOOKUP(J495,Listas!$B$21:$C$50,2,FALSE)</f>
        <v>600017</v>
      </c>
      <c r="L495">
        <v>-1</v>
      </c>
    </row>
    <row r="496" spans="1:12">
      <c r="A496">
        <v>116</v>
      </c>
      <c r="B496" t="s">
        <v>2502</v>
      </c>
      <c r="C496" s="96" t="s">
        <v>2503</v>
      </c>
      <c r="D496" t="s">
        <v>2504</v>
      </c>
      <c r="E496" s="96" t="s">
        <v>1467</v>
      </c>
      <c r="H496" t="s">
        <v>361</v>
      </c>
      <c r="I496">
        <f>VLOOKUP(H496,Listas!$B$2:$C$20,2,FALSE)</f>
        <v>500001</v>
      </c>
      <c r="J496" t="s">
        <v>73</v>
      </c>
      <c r="K496">
        <f>VLOOKUP(J496,Listas!$B$21:$C$50,2,FALSE)</f>
        <v>600017</v>
      </c>
      <c r="L496">
        <v>-1</v>
      </c>
    </row>
    <row r="497" spans="1:12">
      <c r="A497">
        <v>116</v>
      </c>
      <c r="B497" t="s">
        <v>2505</v>
      </c>
      <c r="C497" s="96" t="s">
        <v>2506</v>
      </c>
      <c r="D497" t="s">
        <v>2507</v>
      </c>
      <c r="E497" s="96" t="s">
        <v>1467</v>
      </c>
      <c r="H497" t="s">
        <v>361</v>
      </c>
      <c r="I497">
        <f>VLOOKUP(H497,Listas!$B$2:$C$20,2,FALSE)</f>
        <v>500001</v>
      </c>
      <c r="J497" t="s">
        <v>73</v>
      </c>
      <c r="K497">
        <f>VLOOKUP(J497,Listas!$B$21:$C$50,2,FALSE)</f>
        <v>600017</v>
      </c>
      <c r="L497">
        <v>-1</v>
      </c>
    </row>
    <row r="498" spans="1:12">
      <c r="A498">
        <v>116</v>
      </c>
      <c r="B498" t="s">
        <v>2508</v>
      </c>
      <c r="C498" s="96" t="s">
        <v>2509</v>
      </c>
      <c r="D498" t="s">
        <v>2510</v>
      </c>
      <c r="E498" s="96" t="s">
        <v>1467</v>
      </c>
      <c r="H498" t="s">
        <v>361</v>
      </c>
      <c r="I498">
        <f>VLOOKUP(H498,Listas!$B$2:$C$20,2,FALSE)</f>
        <v>500001</v>
      </c>
      <c r="J498" t="s">
        <v>73</v>
      </c>
      <c r="K498">
        <f>VLOOKUP(J498,Listas!$B$21:$C$50,2,FALSE)</f>
        <v>600017</v>
      </c>
      <c r="L498">
        <v>-1</v>
      </c>
    </row>
    <row r="499" spans="1:12">
      <c r="A499">
        <v>116</v>
      </c>
      <c r="B499" t="s">
        <v>2511</v>
      </c>
      <c r="C499" s="96" t="s">
        <v>2512</v>
      </c>
      <c r="D499" t="s">
        <v>2513</v>
      </c>
      <c r="E499" s="96" t="s">
        <v>1467</v>
      </c>
      <c r="H499" t="s">
        <v>361</v>
      </c>
      <c r="I499">
        <f>VLOOKUP(H499,Listas!$B$2:$C$20,2,FALSE)</f>
        <v>500001</v>
      </c>
      <c r="J499" t="s">
        <v>73</v>
      </c>
      <c r="K499">
        <f>VLOOKUP(J499,Listas!$B$21:$C$50,2,FALSE)</f>
        <v>600017</v>
      </c>
      <c r="L499">
        <v>-1</v>
      </c>
    </row>
    <row r="500" spans="1:12">
      <c r="A500">
        <v>116</v>
      </c>
      <c r="B500" t="s">
        <v>2514</v>
      </c>
      <c r="C500" s="96" t="s">
        <v>2515</v>
      </c>
      <c r="D500" t="s">
        <v>2516</v>
      </c>
      <c r="E500" s="96" t="s">
        <v>1467</v>
      </c>
      <c r="H500" t="s">
        <v>361</v>
      </c>
      <c r="I500">
        <f>VLOOKUP(H500,Listas!$B$2:$C$20,2,FALSE)</f>
        <v>500001</v>
      </c>
      <c r="J500" t="s">
        <v>73</v>
      </c>
      <c r="K500">
        <f>VLOOKUP(J500,Listas!$B$21:$C$50,2,FALSE)</f>
        <v>600017</v>
      </c>
      <c r="L500">
        <v>-1</v>
      </c>
    </row>
    <row r="501" spans="1:12">
      <c r="A501">
        <v>116</v>
      </c>
      <c r="B501" t="s">
        <v>2517</v>
      </c>
      <c r="C501" s="96" t="s">
        <v>2518</v>
      </c>
      <c r="D501" t="s">
        <v>2519</v>
      </c>
      <c r="E501" s="96" t="s">
        <v>1467</v>
      </c>
      <c r="H501" t="s">
        <v>361</v>
      </c>
      <c r="I501">
        <f>VLOOKUP(H501,Listas!$B$2:$C$20,2,FALSE)</f>
        <v>500001</v>
      </c>
      <c r="J501" t="s">
        <v>73</v>
      </c>
      <c r="K501">
        <f>VLOOKUP(J501,Listas!$B$21:$C$50,2,FALSE)</f>
        <v>600017</v>
      </c>
      <c r="L501">
        <v>-1</v>
      </c>
    </row>
    <row r="502" spans="1:12">
      <c r="A502">
        <v>116</v>
      </c>
      <c r="B502" t="s">
        <v>2520</v>
      </c>
      <c r="C502" s="96" t="s">
        <v>2521</v>
      </c>
      <c r="D502" t="s">
        <v>2522</v>
      </c>
      <c r="E502" s="96" t="s">
        <v>1467</v>
      </c>
      <c r="H502" t="s">
        <v>361</v>
      </c>
      <c r="I502">
        <f>VLOOKUP(H502,Listas!$B$2:$C$20,2,FALSE)</f>
        <v>500001</v>
      </c>
      <c r="J502" t="s">
        <v>73</v>
      </c>
      <c r="K502">
        <f>VLOOKUP(J502,Listas!$B$21:$C$50,2,FALSE)</f>
        <v>600017</v>
      </c>
      <c r="L502">
        <v>-1</v>
      </c>
    </row>
    <row r="503" spans="1:12">
      <c r="A503">
        <v>116</v>
      </c>
      <c r="B503" t="s">
        <v>2523</v>
      </c>
      <c r="C503" s="96" t="s">
        <v>2524</v>
      </c>
      <c r="D503" t="s">
        <v>2525</v>
      </c>
      <c r="E503" s="96" t="s">
        <v>1467</v>
      </c>
      <c r="H503" t="s">
        <v>361</v>
      </c>
      <c r="I503">
        <f>VLOOKUP(H503,Listas!$B$2:$C$20,2,FALSE)</f>
        <v>500001</v>
      </c>
      <c r="J503" t="s">
        <v>73</v>
      </c>
      <c r="K503">
        <f>VLOOKUP(J503,Listas!$B$21:$C$50,2,FALSE)</f>
        <v>600017</v>
      </c>
      <c r="L503">
        <v>-1</v>
      </c>
    </row>
    <row r="504" spans="1:12">
      <c r="A504">
        <v>116</v>
      </c>
      <c r="B504" t="s">
        <v>701</v>
      </c>
      <c r="C504" s="96" t="s">
        <v>702</v>
      </c>
      <c r="D504" t="s">
        <v>703</v>
      </c>
      <c r="E504" s="96" t="s">
        <v>1467</v>
      </c>
      <c r="H504" t="s">
        <v>361</v>
      </c>
      <c r="I504">
        <f>VLOOKUP(H504,Listas!$B$2:$C$20,2,FALSE)</f>
        <v>500001</v>
      </c>
      <c r="J504" t="s">
        <v>73</v>
      </c>
      <c r="K504">
        <f>VLOOKUP(J504,Listas!$B$21:$C$50,2,FALSE)</f>
        <v>600017</v>
      </c>
      <c r="L504">
        <v>-1</v>
      </c>
    </row>
    <row r="505" spans="1:12">
      <c r="A505">
        <v>116</v>
      </c>
      <c r="B505" t="s">
        <v>2526</v>
      </c>
      <c r="C505" s="96" t="s">
        <v>2527</v>
      </c>
      <c r="D505" t="s">
        <v>2528</v>
      </c>
      <c r="E505" s="96" t="s">
        <v>1467</v>
      </c>
      <c r="H505" t="s">
        <v>361</v>
      </c>
      <c r="I505">
        <f>VLOOKUP(H505,Listas!$B$2:$C$20,2,FALSE)</f>
        <v>500001</v>
      </c>
      <c r="J505" t="s">
        <v>73</v>
      </c>
      <c r="K505">
        <f>VLOOKUP(J505,Listas!$B$21:$C$50,2,FALSE)</f>
        <v>600017</v>
      </c>
      <c r="L505">
        <v>-1</v>
      </c>
    </row>
    <row r="506" spans="1:12">
      <c r="A506">
        <v>116</v>
      </c>
      <c r="B506" t="s">
        <v>2529</v>
      </c>
      <c r="C506" s="96" t="s">
        <v>2530</v>
      </c>
      <c r="D506" t="s">
        <v>2531</v>
      </c>
      <c r="E506" s="96" t="s">
        <v>1467</v>
      </c>
      <c r="H506" t="s">
        <v>361</v>
      </c>
      <c r="I506">
        <f>VLOOKUP(H506,Listas!$B$2:$C$20,2,FALSE)</f>
        <v>500001</v>
      </c>
      <c r="J506" t="s">
        <v>73</v>
      </c>
      <c r="K506">
        <f>VLOOKUP(J506,Listas!$B$21:$C$50,2,FALSE)</f>
        <v>600017</v>
      </c>
      <c r="L506">
        <v>-1</v>
      </c>
    </row>
    <row r="507" spans="1:12">
      <c r="A507">
        <v>116</v>
      </c>
      <c r="B507" t="s">
        <v>2532</v>
      </c>
      <c r="C507" s="96" t="s">
        <v>2533</v>
      </c>
      <c r="D507" t="s">
        <v>2534</v>
      </c>
      <c r="E507" s="96" t="s">
        <v>1467</v>
      </c>
      <c r="H507" t="s">
        <v>361</v>
      </c>
      <c r="I507">
        <f>VLOOKUP(H507,Listas!$B$2:$C$20,2,FALSE)</f>
        <v>500001</v>
      </c>
      <c r="J507" t="s">
        <v>73</v>
      </c>
      <c r="K507">
        <f>VLOOKUP(J507,Listas!$B$21:$C$50,2,FALSE)</f>
        <v>600017</v>
      </c>
      <c r="L507">
        <v>-1</v>
      </c>
    </row>
    <row r="508" spans="1:12">
      <c r="A508">
        <v>116</v>
      </c>
      <c r="B508" t="s">
        <v>2535</v>
      </c>
      <c r="C508" s="96" t="s">
        <v>2536</v>
      </c>
      <c r="D508" t="s">
        <v>2537</v>
      </c>
      <c r="E508" s="96" t="s">
        <v>1467</v>
      </c>
      <c r="H508" t="s">
        <v>361</v>
      </c>
      <c r="I508">
        <f>VLOOKUP(H508,Listas!$B$2:$C$20,2,FALSE)</f>
        <v>500001</v>
      </c>
      <c r="J508" t="s">
        <v>73</v>
      </c>
      <c r="K508">
        <f>VLOOKUP(J508,Listas!$B$21:$C$50,2,FALSE)</f>
        <v>600017</v>
      </c>
      <c r="L508">
        <v>-1</v>
      </c>
    </row>
    <row r="509" spans="1:12">
      <c r="A509">
        <v>116</v>
      </c>
      <c r="B509" t="s">
        <v>2538</v>
      </c>
      <c r="C509" s="96" t="s">
        <v>2539</v>
      </c>
      <c r="D509" t="s">
        <v>2540</v>
      </c>
      <c r="E509" s="96" t="s">
        <v>1467</v>
      </c>
      <c r="H509" t="s">
        <v>361</v>
      </c>
      <c r="I509">
        <f>VLOOKUP(H509,Listas!$B$2:$C$20,2,FALSE)</f>
        <v>500001</v>
      </c>
      <c r="J509" t="s">
        <v>73</v>
      </c>
      <c r="K509">
        <f>VLOOKUP(J509,Listas!$B$21:$C$50,2,FALSE)</f>
        <v>600017</v>
      </c>
      <c r="L509">
        <v>-1</v>
      </c>
    </row>
    <row r="510" spans="1:12">
      <c r="A510">
        <v>116</v>
      </c>
      <c r="B510" t="s">
        <v>2541</v>
      </c>
      <c r="C510" s="96" t="s">
        <v>2542</v>
      </c>
      <c r="D510" t="s">
        <v>2543</v>
      </c>
      <c r="E510" s="96" t="s">
        <v>1467</v>
      </c>
      <c r="H510" t="s">
        <v>361</v>
      </c>
      <c r="I510">
        <f>VLOOKUP(H510,Listas!$B$2:$C$20,2,FALSE)</f>
        <v>500001</v>
      </c>
      <c r="J510" t="s">
        <v>73</v>
      </c>
      <c r="K510">
        <f>VLOOKUP(J510,Listas!$B$21:$C$50,2,FALSE)</f>
        <v>600017</v>
      </c>
      <c r="L510">
        <v>-1</v>
      </c>
    </row>
    <row r="511" spans="1:12">
      <c r="A511">
        <v>116</v>
      </c>
      <c r="B511" t="s">
        <v>2544</v>
      </c>
      <c r="C511" s="96" t="s">
        <v>2545</v>
      </c>
      <c r="D511" t="s">
        <v>2546</v>
      </c>
      <c r="E511" s="96" t="s">
        <v>1467</v>
      </c>
      <c r="H511" t="s">
        <v>361</v>
      </c>
      <c r="I511">
        <f>VLOOKUP(H511,Listas!$B$2:$C$20,2,FALSE)</f>
        <v>500001</v>
      </c>
      <c r="J511" t="s">
        <v>73</v>
      </c>
      <c r="K511">
        <f>VLOOKUP(J511,Listas!$B$21:$C$50,2,FALSE)</f>
        <v>600017</v>
      </c>
      <c r="L511">
        <v>-1</v>
      </c>
    </row>
    <row r="512" spans="1:12">
      <c r="A512">
        <v>116</v>
      </c>
      <c r="B512" t="s">
        <v>2547</v>
      </c>
      <c r="C512" s="96" t="s">
        <v>2548</v>
      </c>
      <c r="D512" t="s">
        <v>2549</v>
      </c>
      <c r="E512" s="96" t="s">
        <v>1467</v>
      </c>
      <c r="H512" t="s">
        <v>361</v>
      </c>
      <c r="I512">
        <f>VLOOKUP(H512,Listas!$B$2:$C$20,2,FALSE)</f>
        <v>500001</v>
      </c>
      <c r="J512" t="s">
        <v>73</v>
      </c>
      <c r="K512">
        <f>VLOOKUP(J512,Listas!$B$21:$C$50,2,FALSE)</f>
        <v>600017</v>
      </c>
      <c r="L512">
        <v>-1</v>
      </c>
    </row>
    <row r="513" spans="1:12">
      <c r="A513">
        <v>116</v>
      </c>
      <c r="B513" t="s">
        <v>2550</v>
      </c>
      <c r="C513" s="96" t="s">
        <v>2551</v>
      </c>
      <c r="D513" t="s">
        <v>2552</v>
      </c>
      <c r="E513" s="96" t="s">
        <v>1467</v>
      </c>
      <c r="H513" t="s">
        <v>361</v>
      </c>
      <c r="I513">
        <f>VLOOKUP(H513,Listas!$B$2:$C$20,2,FALSE)</f>
        <v>500001</v>
      </c>
      <c r="J513" t="s">
        <v>73</v>
      </c>
      <c r="K513">
        <f>VLOOKUP(J513,Listas!$B$21:$C$50,2,FALSE)</f>
        <v>600017</v>
      </c>
      <c r="L513">
        <v>-1</v>
      </c>
    </row>
    <row r="514" spans="1:12">
      <c r="A514">
        <v>116</v>
      </c>
      <c r="B514" t="s">
        <v>2553</v>
      </c>
      <c r="C514" s="96" t="s">
        <v>2554</v>
      </c>
      <c r="D514" t="s">
        <v>2555</v>
      </c>
      <c r="E514" s="96" t="s">
        <v>1467</v>
      </c>
      <c r="H514" t="s">
        <v>361</v>
      </c>
      <c r="I514">
        <f>VLOOKUP(H514,Listas!$B$2:$C$20,2,FALSE)</f>
        <v>500001</v>
      </c>
      <c r="J514" t="s">
        <v>73</v>
      </c>
      <c r="K514">
        <f>VLOOKUP(J514,Listas!$B$21:$C$50,2,FALSE)</f>
        <v>600017</v>
      </c>
      <c r="L514">
        <v>-1</v>
      </c>
    </row>
    <row r="515" spans="1:12">
      <c r="A515">
        <v>116</v>
      </c>
      <c r="B515" t="s">
        <v>2556</v>
      </c>
      <c r="C515" s="96" t="s">
        <v>2557</v>
      </c>
      <c r="D515" t="s">
        <v>2558</v>
      </c>
      <c r="E515" s="96" t="s">
        <v>1467</v>
      </c>
      <c r="H515" t="s">
        <v>361</v>
      </c>
      <c r="I515">
        <f>VLOOKUP(H515,Listas!$B$2:$C$20,2,FALSE)</f>
        <v>500001</v>
      </c>
      <c r="J515" t="s">
        <v>73</v>
      </c>
      <c r="K515">
        <f>VLOOKUP(J515,Listas!$B$21:$C$50,2,FALSE)</f>
        <v>600017</v>
      </c>
      <c r="L515">
        <v>-1</v>
      </c>
    </row>
    <row r="516" spans="1:12">
      <c r="A516">
        <v>116</v>
      </c>
      <c r="B516" t="s">
        <v>2559</v>
      </c>
      <c r="C516" s="96" t="s">
        <v>2560</v>
      </c>
      <c r="D516" t="s">
        <v>2561</v>
      </c>
      <c r="E516" s="96" t="s">
        <v>1467</v>
      </c>
      <c r="H516" t="s">
        <v>361</v>
      </c>
      <c r="I516">
        <f>VLOOKUP(H516,Listas!$B$2:$C$20,2,FALSE)</f>
        <v>500001</v>
      </c>
      <c r="J516" t="s">
        <v>73</v>
      </c>
      <c r="K516">
        <f>VLOOKUP(J516,Listas!$B$21:$C$50,2,FALSE)</f>
        <v>600017</v>
      </c>
      <c r="L516">
        <v>-1</v>
      </c>
    </row>
    <row r="517" spans="1:12">
      <c r="A517">
        <v>116</v>
      </c>
      <c r="B517" t="s">
        <v>2562</v>
      </c>
      <c r="C517" s="96" t="s">
        <v>2563</v>
      </c>
      <c r="D517" t="s">
        <v>2564</v>
      </c>
      <c r="E517" s="96" t="s">
        <v>1467</v>
      </c>
      <c r="H517" t="s">
        <v>361</v>
      </c>
      <c r="I517">
        <f>VLOOKUP(H517,Listas!$B$2:$C$20,2,FALSE)</f>
        <v>500001</v>
      </c>
      <c r="J517" t="s">
        <v>73</v>
      </c>
      <c r="K517">
        <f>VLOOKUP(J517,Listas!$B$21:$C$50,2,FALSE)</f>
        <v>600017</v>
      </c>
      <c r="L517">
        <v>-1</v>
      </c>
    </row>
    <row r="518" spans="1:12">
      <c r="A518">
        <v>116</v>
      </c>
      <c r="B518" t="s">
        <v>2565</v>
      </c>
      <c r="C518" s="96" t="s">
        <v>2566</v>
      </c>
      <c r="D518" t="s">
        <v>2567</v>
      </c>
      <c r="E518" s="96" t="s">
        <v>1467</v>
      </c>
      <c r="H518" t="s">
        <v>361</v>
      </c>
      <c r="I518">
        <f>VLOOKUP(H518,Listas!$B$2:$C$20,2,FALSE)</f>
        <v>500001</v>
      </c>
      <c r="J518" t="s">
        <v>73</v>
      </c>
      <c r="K518">
        <f>VLOOKUP(J518,Listas!$B$21:$C$50,2,FALSE)</f>
        <v>600017</v>
      </c>
      <c r="L518">
        <v>-1</v>
      </c>
    </row>
    <row r="519" spans="1:12">
      <c r="A519">
        <v>116</v>
      </c>
      <c r="B519" t="s">
        <v>2568</v>
      </c>
      <c r="C519" s="96" t="s">
        <v>2569</v>
      </c>
      <c r="D519" t="s">
        <v>2570</v>
      </c>
      <c r="E519" s="96" t="s">
        <v>1467</v>
      </c>
      <c r="H519" t="s">
        <v>361</v>
      </c>
      <c r="I519">
        <f>VLOOKUP(H519,Listas!$B$2:$C$20,2,FALSE)</f>
        <v>500001</v>
      </c>
      <c r="J519" t="s">
        <v>73</v>
      </c>
      <c r="K519">
        <f>VLOOKUP(J519,Listas!$B$21:$C$50,2,FALSE)</f>
        <v>600017</v>
      </c>
      <c r="L519">
        <v>-1</v>
      </c>
    </row>
    <row r="520" spans="1:12">
      <c r="A520">
        <v>116</v>
      </c>
      <c r="B520" t="s">
        <v>2571</v>
      </c>
      <c r="C520" s="96">
        <v>68646553000150</v>
      </c>
      <c r="D520" t="s">
        <v>2572</v>
      </c>
      <c r="E520" s="96" t="s">
        <v>1467</v>
      </c>
      <c r="H520" t="s">
        <v>361</v>
      </c>
      <c r="I520">
        <f>VLOOKUP(H520,Listas!$B$2:$C$20,2,FALSE)</f>
        <v>500001</v>
      </c>
      <c r="J520" t="s">
        <v>73</v>
      </c>
      <c r="K520">
        <f>VLOOKUP(J520,Listas!$B$21:$C$50,2,FALSE)</f>
        <v>600017</v>
      </c>
      <c r="L520">
        <v>-1</v>
      </c>
    </row>
    <row r="521" spans="1:12">
      <c r="A521">
        <v>116</v>
      </c>
      <c r="B521" t="s">
        <v>704</v>
      </c>
      <c r="C521" s="96" t="s">
        <v>705</v>
      </c>
      <c r="D521" t="s">
        <v>706</v>
      </c>
      <c r="E521" s="96" t="s">
        <v>1467</v>
      </c>
      <c r="H521" t="s">
        <v>361</v>
      </c>
      <c r="I521">
        <f>VLOOKUP(H521,Listas!$B$2:$C$20,2,FALSE)</f>
        <v>500001</v>
      </c>
      <c r="J521" t="s">
        <v>73</v>
      </c>
      <c r="K521">
        <f>VLOOKUP(J521,Listas!$B$21:$C$50,2,FALSE)</f>
        <v>600017</v>
      </c>
      <c r="L521">
        <v>-1</v>
      </c>
    </row>
    <row r="522" spans="1:12">
      <c r="A522">
        <v>116</v>
      </c>
      <c r="B522" t="s">
        <v>2573</v>
      </c>
      <c r="C522" s="96" t="s">
        <v>2574</v>
      </c>
      <c r="D522" t="s">
        <v>2575</v>
      </c>
      <c r="E522" s="96" t="s">
        <v>1467</v>
      </c>
      <c r="H522" t="s">
        <v>361</v>
      </c>
      <c r="I522">
        <f>VLOOKUP(H522,Listas!$B$2:$C$20,2,FALSE)</f>
        <v>500001</v>
      </c>
      <c r="J522" t="s">
        <v>73</v>
      </c>
      <c r="K522">
        <f>VLOOKUP(J522,Listas!$B$21:$C$50,2,FALSE)</f>
        <v>600017</v>
      </c>
      <c r="L522">
        <v>-1</v>
      </c>
    </row>
    <row r="523" spans="1:12">
      <c r="A523">
        <v>116</v>
      </c>
      <c r="B523" t="s">
        <v>2576</v>
      </c>
      <c r="C523" s="96" t="s">
        <v>2577</v>
      </c>
      <c r="D523" t="s">
        <v>2578</v>
      </c>
      <c r="E523" s="96" t="s">
        <v>1467</v>
      </c>
      <c r="H523" t="s">
        <v>361</v>
      </c>
      <c r="I523">
        <f>VLOOKUP(H523,Listas!$B$2:$C$20,2,FALSE)</f>
        <v>500001</v>
      </c>
      <c r="J523" t="s">
        <v>73</v>
      </c>
      <c r="K523">
        <f>VLOOKUP(J523,Listas!$B$21:$C$50,2,FALSE)</f>
        <v>600017</v>
      </c>
      <c r="L523">
        <v>-1</v>
      </c>
    </row>
    <row r="524" spans="1:12">
      <c r="A524">
        <v>116</v>
      </c>
      <c r="B524" t="s">
        <v>2579</v>
      </c>
      <c r="C524" s="96" t="s">
        <v>2580</v>
      </c>
      <c r="D524" t="s">
        <v>2581</v>
      </c>
      <c r="E524" s="96" t="s">
        <v>1467</v>
      </c>
      <c r="H524" t="s">
        <v>361</v>
      </c>
      <c r="I524">
        <f>VLOOKUP(H524,Listas!$B$2:$C$20,2,FALSE)</f>
        <v>500001</v>
      </c>
      <c r="J524" t="s">
        <v>73</v>
      </c>
      <c r="K524">
        <f>VLOOKUP(J524,Listas!$B$21:$C$50,2,FALSE)</f>
        <v>600017</v>
      </c>
      <c r="L524">
        <v>-1</v>
      </c>
    </row>
    <row r="525" spans="1:12">
      <c r="A525">
        <v>116</v>
      </c>
      <c r="B525" t="s">
        <v>2582</v>
      </c>
      <c r="C525" s="96" t="s">
        <v>2583</v>
      </c>
      <c r="D525" t="s">
        <v>2584</v>
      </c>
      <c r="E525" s="96" t="s">
        <v>1467</v>
      </c>
      <c r="H525" t="s">
        <v>361</v>
      </c>
      <c r="I525">
        <f>VLOOKUP(H525,Listas!$B$2:$C$20,2,FALSE)</f>
        <v>500001</v>
      </c>
      <c r="J525" t="s">
        <v>73</v>
      </c>
      <c r="K525">
        <f>VLOOKUP(J525,Listas!$B$21:$C$50,2,FALSE)</f>
        <v>600017</v>
      </c>
      <c r="L525">
        <v>-1</v>
      </c>
    </row>
    <row r="526" spans="1:12">
      <c r="A526">
        <v>116</v>
      </c>
      <c r="B526" t="s">
        <v>2585</v>
      </c>
      <c r="C526" s="96" t="s">
        <v>2586</v>
      </c>
      <c r="D526" t="s">
        <v>2587</v>
      </c>
      <c r="E526" s="96" t="s">
        <v>1467</v>
      </c>
      <c r="H526" t="s">
        <v>361</v>
      </c>
      <c r="I526">
        <f>VLOOKUP(H526,Listas!$B$2:$C$20,2,FALSE)</f>
        <v>500001</v>
      </c>
      <c r="J526" t="s">
        <v>73</v>
      </c>
      <c r="K526">
        <f>VLOOKUP(J526,Listas!$B$21:$C$50,2,FALSE)</f>
        <v>600017</v>
      </c>
      <c r="L526">
        <v>-1</v>
      </c>
    </row>
    <row r="527" spans="1:12">
      <c r="A527">
        <v>116</v>
      </c>
      <c r="B527" t="s">
        <v>2588</v>
      </c>
      <c r="C527" s="96" t="s">
        <v>2589</v>
      </c>
      <c r="D527" t="s">
        <v>2590</v>
      </c>
      <c r="E527" s="96" t="s">
        <v>1467</v>
      </c>
      <c r="H527" t="s">
        <v>361</v>
      </c>
      <c r="I527">
        <f>VLOOKUP(H527,Listas!$B$2:$C$20,2,FALSE)</f>
        <v>500001</v>
      </c>
      <c r="J527" t="s">
        <v>73</v>
      </c>
      <c r="K527">
        <f>VLOOKUP(J527,Listas!$B$21:$C$50,2,FALSE)</f>
        <v>600017</v>
      </c>
      <c r="L527">
        <v>-1</v>
      </c>
    </row>
    <row r="528" spans="1:12">
      <c r="A528">
        <v>116</v>
      </c>
      <c r="B528" t="s">
        <v>2591</v>
      </c>
      <c r="C528" s="96" t="s">
        <v>2592</v>
      </c>
      <c r="D528" t="s">
        <v>2593</v>
      </c>
      <c r="E528" s="96" t="s">
        <v>1467</v>
      </c>
      <c r="H528" t="s">
        <v>361</v>
      </c>
      <c r="I528">
        <f>VLOOKUP(H528,Listas!$B$2:$C$20,2,FALSE)</f>
        <v>500001</v>
      </c>
      <c r="J528" t="s">
        <v>73</v>
      </c>
      <c r="K528">
        <f>VLOOKUP(J528,Listas!$B$21:$C$50,2,FALSE)</f>
        <v>600017</v>
      </c>
      <c r="L528">
        <v>-1</v>
      </c>
    </row>
    <row r="529" spans="1:12">
      <c r="A529">
        <v>116</v>
      </c>
      <c r="B529" t="s">
        <v>2594</v>
      </c>
      <c r="C529" s="96" t="s">
        <v>2595</v>
      </c>
      <c r="D529" t="s">
        <v>2596</v>
      </c>
      <c r="E529" s="96" t="s">
        <v>1467</v>
      </c>
      <c r="H529" t="s">
        <v>361</v>
      </c>
      <c r="I529">
        <f>VLOOKUP(H529,Listas!$B$2:$C$20,2,FALSE)</f>
        <v>500001</v>
      </c>
      <c r="J529" t="s">
        <v>73</v>
      </c>
      <c r="K529">
        <f>VLOOKUP(J529,Listas!$B$21:$C$50,2,FALSE)</f>
        <v>600017</v>
      </c>
      <c r="L529">
        <v>-1</v>
      </c>
    </row>
    <row r="530" spans="1:12">
      <c r="A530">
        <v>116</v>
      </c>
      <c r="B530" t="s">
        <v>2597</v>
      </c>
      <c r="C530" s="96" t="s">
        <v>2598</v>
      </c>
      <c r="D530" t="s">
        <v>2599</v>
      </c>
      <c r="E530" s="96" t="s">
        <v>1467</v>
      </c>
      <c r="H530" t="s">
        <v>361</v>
      </c>
      <c r="I530">
        <f>VLOOKUP(H530,Listas!$B$2:$C$20,2,FALSE)</f>
        <v>500001</v>
      </c>
      <c r="J530" t="s">
        <v>73</v>
      </c>
      <c r="K530">
        <f>VLOOKUP(J530,Listas!$B$21:$C$50,2,FALSE)</f>
        <v>600017</v>
      </c>
      <c r="L530">
        <v>-1</v>
      </c>
    </row>
    <row r="531" spans="1:12">
      <c r="A531">
        <v>116</v>
      </c>
      <c r="B531" t="s">
        <v>2600</v>
      </c>
      <c r="C531" s="96" t="s">
        <v>2601</v>
      </c>
      <c r="D531" t="s">
        <v>2602</v>
      </c>
      <c r="E531" s="96" t="s">
        <v>1467</v>
      </c>
      <c r="H531" t="s">
        <v>361</v>
      </c>
      <c r="I531">
        <f>VLOOKUP(H531,Listas!$B$2:$C$20,2,FALSE)</f>
        <v>500001</v>
      </c>
      <c r="J531" t="s">
        <v>73</v>
      </c>
      <c r="K531">
        <f>VLOOKUP(J531,Listas!$B$21:$C$50,2,FALSE)</f>
        <v>600017</v>
      </c>
      <c r="L531">
        <v>-1</v>
      </c>
    </row>
    <row r="532" spans="1:12">
      <c r="A532">
        <v>116</v>
      </c>
      <c r="B532" t="s">
        <v>2603</v>
      </c>
      <c r="C532" s="96" t="s">
        <v>2604</v>
      </c>
      <c r="D532" t="s">
        <v>2605</v>
      </c>
      <c r="E532" s="96" t="s">
        <v>1467</v>
      </c>
      <c r="H532" t="s">
        <v>361</v>
      </c>
      <c r="I532">
        <f>VLOOKUP(H532,Listas!$B$2:$C$20,2,FALSE)</f>
        <v>500001</v>
      </c>
      <c r="J532" t="s">
        <v>73</v>
      </c>
      <c r="K532">
        <f>VLOOKUP(J532,Listas!$B$21:$C$50,2,FALSE)</f>
        <v>600017</v>
      </c>
      <c r="L532">
        <v>-1</v>
      </c>
    </row>
    <row r="533" spans="1:12">
      <c r="A533">
        <v>116</v>
      </c>
      <c r="B533" t="s">
        <v>2606</v>
      </c>
      <c r="C533" s="96" t="s">
        <v>2607</v>
      </c>
      <c r="D533" t="s">
        <v>2608</v>
      </c>
      <c r="E533" s="96" t="s">
        <v>1467</v>
      </c>
      <c r="H533" t="s">
        <v>361</v>
      </c>
      <c r="I533">
        <f>VLOOKUP(H533,Listas!$B$2:$C$20,2,FALSE)</f>
        <v>500001</v>
      </c>
      <c r="J533" t="s">
        <v>73</v>
      </c>
      <c r="K533">
        <f>VLOOKUP(J533,Listas!$B$21:$C$50,2,FALSE)</f>
        <v>600017</v>
      </c>
      <c r="L533">
        <v>-1</v>
      </c>
    </row>
    <row r="534" spans="1:12">
      <c r="A534">
        <v>116</v>
      </c>
      <c r="B534" t="s">
        <v>2609</v>
      </c>
      <c r="C534" s="96" t="s">
        <v>2610</v>
      </c>
      <c r="D534" t="s">
        <v>2611</v>
      </c>
      <c r="E534" s="96" t="s">
        <v>1467</v>
      </c>
      <c r="H534" t="s">
        <v>361</v>
      </c>
      <c r="I534">
        <f>VLOOKUP(H534,Listas!$B$2:$C$20,2,FALSE)</f>
        <v>500001</v>
      </c>
      <c r="J534" t="s">
        <v>73</v>
      </c>
      <c r="K534">
        <f>VLOOKUP(J534,Listas!$B$21:$C$50,2,FALSE)</f>
        <v>600017</v>
      </c>
      <c r="L534">
        <v>-1</v>
      </c>
    </row>
    <row r="535" spans="1:12">
      <c r="A535">
        <v>116</v>
      </c>
      <c r="B535" t="s">
        <v>2612</v>
      </c>
      <c r="C535" s="96" t="s">
        <v>2613</v>
      </c>
      <c r="D535" t="s">
        <v>2614</v>
      </c>
      <c r="E535" s="96" t="s">
        <v>1467</v>
      </c>
      <c r="H535" t="s">
        <v>361</v>
      </c>
      <c r="I535">
        <f>VLOOKUP(H535,Listas!$B$2:$C$20,2,FALSE)</f>
        <v>500001</v>
      </c>
      <c r="J535" t="s">
        <v>73</v>
      </c>
      <c r="K535">
        <f>VLOOKUP(J535,Listas!$B$21:$C$50,2,FALSE)</f>
        <v>600017</v>
      </c>
      <c r="L535">
        <v>-1</v>
      </c>
    </row>
    <row r="536" spans="1:12">
      <c r="A536">
        <v>116</v>
      </c>
      <c r="B536" t="s">
        <v>2615</v>
      </c>
      <c r="C536" s="96" t="s">
        <v>2616</v>
      </c>
      <c r="D536" t="s">
        <v>2617</v>
      </c>
      <c r="E536" s="96" t="s">
        <v>1467</v>
      </c>
      <c r="H536" t="s">
        <v>361</v>
      </c>
      <c r="I536">
        <f>VLOOKUP(H536,Listas!$B$2:$C$20,2,FALSE)</f>
        <v>500001</v>
      </c>
      <c r="J536" t="s">
        <v>73</v>
      </c>
      <c r="K536">
        <f>VLOOKUP(J536,Listas!$B$21:$C$50,2,FALSE)</f>
        <v>600017</v>
      </c>
      <c r="L536">
        <v>-1</v>
      </c>
    </row>
    <row r="537" spans="1:12">
      <c r="A537">
        <v>116</v>
      </c>
      <c r="B537" t="s">
        <v>2618</v>
      </c>
      <c r="C537" s="96" t="s">
        <v>2619</v>
      </c>
      <c r="D537" t="s">
        <v>2620</v>
      </c>
      <c r="E537" s="96" t="s">
        <v>1467</v>
      </c>
      <c r="H537" t="s">
        <v>361</v>
      </c>
      <c r="I537">
        <f>VLOOKUP(H537,Listas!$B$2:$C$20,2,FALSE)</f>
        <v>500001</v>
      </c>
      <c r="J537" t="s">
        <v>73</v>
      </c>
      <c r="K537">
        <f>VLOOKUP(J537,Listas!$B$21:$C$50,2,FALSE)</f>
        <v>600017</v>
      </c>
      <c r="L537">
        <v>-1</v>
      </c>
    </row>
    <row r="538" spans="1:12">
      <c r="A538">
        <v>116</v>
      </c>
      <c r="B538" t="s">
        <v>2621</v>
      </c>
      <c r="C538" s="96" t="s">
        <v>2622</v>
      </c>
      <c r="D538" t="s">
        <v>2623</v>
      </c>
      <c r="E538" s="96" t="s">
        <v>1467</v>
      </c>
      <c r="H538" t="s">
        <v>361</v>
      </c>
      <c r="I538">
        <f>VLOOKUP(H538,Listas!$B$2:$C$20,2,FALSE)</f>
        <v>500001</v>
      </c>
      <c r="J538" t="s">
        <v>73</v>
      </c>
      <c r="K538">
        <f>VLOOKUP(J538,Listas!$B$21:$C$50,2,FALSE)</f>
        <v>600017</v>
      </c>
      <c r="L538">
        <v>-1</v>
      </c>
    </row>
    <row r="539" spans="1:12">
      <c r="A539">
        <v>116</v>
      </c>
      <c r="B539" t="s">
        <v>2624</v>
      </c>
      <c r="C539" s="96" t="s">
        <v>2625</v>
      </c>
      <c r="D539" t="s">
        <v>2626</v>
      </c>
      <c r="E539" s="96" t="s">
        <v>1467</v>
      </c>
      <c r="H539" t="s">
        <v>361</v>
      </c>
      <c r="I539">
        <f>VLOOKUP(H539,Listas!$B$2:$C$20,2,FALSE)</f>
        <v>500001</v>
      </c>
      <c r="J539" t="s">
        <v>73</v>
      </c>
      <c r="K539">
        <f>VLOOKUP(J539,Listas!$B$21:$C$50,2,FALSE)</f>
        <v>600017</v>
      </c>
      <c r="L539">
        <v>-1</v>
      </c>
    </row>
    <row r="540" spans="1:12">
      <c r="A540">
        <v>116</v>
      </c>
      <c r="B540" t="s">
        <v>2627</v>
      </c>
      <c r="C540" s="96" t="s">
        <v>2628</v>
      </c>
      <c r="D540" t="s">
        <v>2629</v>
      </c>
      <c r="E540" s="96" t="s">
        <v>1467</v>
      </c>
      <c r="H540" t="s">
        <v>361</v>
      </c>
      <c r="I540">
        <f>VLOOKUP(H540,Listas!$B$2:$C$20,2,FALSE)</f>
        <v>500001</v>
      </c>
      <c r="J540" t="s">
        <v>73</v>
      </c>
      <c r="K540">
        <f>VLOOKUP(J540,Listas!$B$21:$C$50,2,FALSE)</f>
        <v>600017</v>
      </c>
      <c r="L540">
        <v>-1</v>
      </c>
    </row>
    <row r="541" spans="1:12">
      <c r="A541">
        <v>116</v>
      </c>
      <c r="B541" t="s">
        <v>2630</v>
      </c>
      <c r="C541" s="96" t="s">
        <v>2631</v>
      </c>
      <c r="D541" t="s">
        <v>2632</v>
      </c>
      <c r="E541" s="96" t="s">
        <v>1467</v>
      </c>
      <c r="H541" t="s">
        <v>361</v>
      </c>
      <c r="I541">
        <f>VLOOKUP(H541,Listas!$B$2:$C$20,2,FALSE)</f>
        <v>500001</v>
      </c>
      <c r="J541" t="s">
        <v>73</v>
      </c>
      <c r="K541">
        <f>VLOOKUP(J541,Listas!$B$21:$C$50,2,FALSE)</f>
        <v>600017</v>
      </c>
      <c r="L541">
        <v>-1</v>
      </c>
    </row>
    <row r="542" spans="1:12">
      <c r="A542">
        <v>116</v>
      </c>
      <c r="B542" t="s">
        <v>2633</v>
      </c>
      <c r="C542" s="96" t="s">
        <v>2634</v>
      </c>
      <c r="D542" t="s">
        <v>2635</v>
      </c>
      <c r="E542" s="96" t="s">
        <v>1467</v>
      </c>
      <c r="H542" t="s">
        <v>361</v>
      </c>
      <c r="I542">
        <f>VLOOKUP(H542,Listas!$B$2:$C$20,2,FALSE)</f>
        <v>500001</v>
      </c>
      <c r="J542" t="s">
        <v>73</v>
      </c>
      <c r="K542">
        <f>VLOOKUP(J542,Listas!$B$21:$C$50,2,FALSE)</f>
        <v>600017</v>
      </c>
      <c r="L542">
        <v>-1</v>
      </c>
    </row>
    <row r="543" spans="1:12">
      <c r="A543">
        <v>116</v>
      </c>
      <c r="B543" t="s">
        <v>2636</v>
      </c>
      <c r="C543" s="96" t="s">
        <v>2637</v>
      </c>
      <c r="D543" t="s">
        <v>2638</v>
      </c>
      <c r="E543" s="96" t="s">
        <v>1467</v>
      </c>
      <c r="H543" t="s">
        <v>361</v>
      </c>
      <c r="I543">
        <f>VLOOKUP(H543,Listas!$B$2:$C$20,2,FALSE)</f>
        <v>500001</v>
      </c>
      <c r="J543" t="s">
        <v>73</v>
      </c>
      <c r="K543">
        <f>VLOOKUP(J543,Listas!$B$21:$C$50,2,FALSE)</f>
        <v>600017</v>
      </c>
      <c r="L543">
        <v>-1</v>
      </c>
    </row>
    <row r="544" spans="1:12">
      <c r="A544">
        <v>116</v>
      </c>
      <c r="B544" t="s">
        <v>2639</v>
      </c>
      <c r="C544" s="96" t="s">
        <v>2640</v>
      </c>
      <c r="D544" t="s">
        <v>2641</v>
      </c>
      <c r="E544" s="96" t="s">
        <v>1467</v>
      </c>
      <c r="H544" t="s">
        <v>361</v>
      </c>
      <c r="I544">
        <f>VLOOKUP(H544,Listas!$B$2:$C$20,2,FALSE)</f>
        <v>500001</v>
      </c>
      <c r="J544" t="s">
        <v>73</v>
      </c>
      <c r="K544">
        <f>VLOOKUP(J544,Listas!$B$21:$C$50,2,FALSE)</f>
        <v>600017</v>
      </c>
      <c r="L544">
        <v>-1</v>
      </c>
    </row>
    <row r="545" spans="1:12">
      <c r="A545">
        <v>116</v>
      </c>
      <c r="B545" t="s">
        <v>2642</v>
      </c>
      <c r="C545" s="96" t="s">
        <v>2643</v>
      </c>
      <c r="D545" t="s">
        <v>2644</v>
      </c>
      <c r="E545" s="96" t="s">
        <v>1467</v>
      </c>
      <c r="H545" t="s">
        <v>361</v>
      </c>
      <c r="I545">
        <f>VLOOKUP(H545,Listas!$B$2:$C$20,2,FALSE)</f>
        <v>500001</v>
      </c>
      <c r="J545" t="s">
        <v>73</v>
      </c>
      <c r="K545">
        <f>VLOOKUP(J545,Listas!$B$21:$C$50,2,FALSE)</f>
        <v>600017</v>
      </c>
      <c r="L545">
        <v>-1</v>
      </c>
    </row>
    <row r="546" spans="1:12">
      <c r="A546">
        <v>116</v>
      </c>
      <c r="B546" t="s">
        <v>2645</v>
      </c>
      <c r="C546" s="96" t="s">
        <v>2646</v>
      </c>
      <c r="D546" t="s">
        <v>2647</v>
      </c>
      <c r="E546" s="96" t="s">
        <v>1467</v>
      </c>
      <c r="H546" t="s">
        <v>361</v>
      </c>
      <c r="I546">
        <f>VLOOKUP(H546,Listas!$B$2:$C$20,2,FALSE)</f>
        <v>500001</v>
      </c>
      <c r="J546" t="s">
        <v>73</v>
      </c>
      <c r="K546">
        <f>VLOOKUP(J546,Listas!$B$21:$C$50,2,FALSE)</f>
        <v>600017</v>
      </c>
      <c r="L546">
        <v>-1</v>
      </c>
    </row>
    <row r="547" spans="1:12">
      <c r="A547">
        <v>116</v>
      </c>
      <c r="B547" t="s">
        <v>707</v>
      </c>
      <c r="C547" s="96" t="s">
        <v>708</v>
      </c>
      <c r="D547" t="s">
        <v>709</v>
      </c>
      <c r="E547" s="96" t="s">
        <v>1467</v>
      </c>
      <c r="H547" t="s">
        <v>361</v>
      </c>
      <c r="I547">
        <f>VLOOKUP(H547,Listas!$B$2:$C$20,2,FALSE)</f>
        <v>500001</v>
      </c>
      <c r="J547" t="s">
        <v>73</v>
      </c>
      <c r="K547">
        <f>VLOOKUP(J547,Listas!$B$21:$C$50,2,FALSE)</f>
        <v>600017</v>
      </c>
      <c r="L547">
        <v>-1</v>
      </c>
    </row>
    <row r="548" spans="1:12">
      <c r="A548">
        <v>116</v>
      </c>
      <c r="B548" t="s">
        <v>2648</v>
      </c>
      <c r="C548" s="96" t="s">
        <v>2649</v>
      </c>
      <c r="D548" t="s">
        <v>2650</v>
      </c>
      <c r="E548" s="96" t="s">
        <v>1467</v>
      </c>
      <c r="H548" t="s">
        <v>361</v>
      </c>
      <c r="I548">
        <f>VLOOKUP(H548,Listas!$B$2:$C$20,2,FALSE)</f>
        <v>500001</v>
      </c>
      <c r="J548" t="s">
        <v>73</v>
      </c>
      <c r="K548">
        <f>VLOOKUP(J548,Listas!$B$21:$C$50,2,FALSE)</f>
        <v>600017</v>
      </c>
      <c r="L548">
        <v>-1</v>
      </c>
    </row>
    <row r="549" spans="1:12">
      <c r="A549">
        <v>116</v>
      </c>
      <c r="B549" t="s">
        <v>2651</v>
      </c>
      <c r="C549" s="96" t="s">
        <v>2652</v>
      </c>
      <c r="D549" t="s">
        <v>2653</v>
      </c>
      <c r="E549" s="96" t="s">
        <v>1467</v>
      </c>
      <c r="H549" t="s">
        <v>361</v>
      </c>
      <c r="I549">
        <f>VLOOKUP(H549,Listas!$B$2:$C$20,2,FALSE)</f>
        <v>500001</v>
      </c>
      <c r="J549" t="s">
        <v>73</v>
      </c>
      <c r="K549">
        <f>VLOOKUP(J549,Listas!$B$21:$C$50,2,FALSE)</f>
        <v>600017</v>
      </c>
      <c r="L549">
        <v>-1</v>
      </c>
    </row>
    <row r="550" spans="1:12">
      <c r="A550">
        <v>116</v>
      </c>
      <c r="B550" t="s">
        <v>2654</v>
      </c>
      <c r="C550" s="96" t="s">
        <v>2655</v>
      </c>
      <c r="D550" t="s">
        <v>2656</v>
      </c>
      <c r="E550" s="96" t="s">
        <v>1467</v>
      </c>
      <c r="H550" t="s">
        <v>361</v>
      </c>
      <c r="I550">
        <f>VLOOKUP(H550,Listas!$B$2:$C$20,2,FALSE)</f>
        <v>500001</v>
      </c>
      <c r="J550" t="s">
        <v>73</v>
      </c>
      <c r="K550">
        <f>VLOOKUP(J550,Listas!$B$21:$C$50,2,FALSE)</f>
        <v>600017</v>
      </c>
      <c r="L550">
        <v>-1</v>
      </c>
    </row>
    <row r="551" spans="1:12">
      <c r="A551">
        <v>116</v>
      </c>
      <c r="B551" t="s">
        <v>2657</v>
      </c>
      <c r="C551" s="96" t="s">
        <v>2658</v>
      </c>
      <c r="D551" t="s">
        <v>2659</v>
      </c>
      <c r="E551" s="96" t="s">
        <v>1467</v>
      </c>
      <c r="H551" t="s">
        <v>361</v>
      </c>
      <c r="I551">
        <f>VLOOKUP(H551,Listas!$B$2:$C$20,2,FALSE)</f>
        <v>500001</v>
      </c>
      <c r="J551" t="s">
        <v>73</v>
      </c>
      <c r="K551">
        <f>VLOOKUP(J551,Listas!$B$21:$C$50,2,FALSE)</f>
        <v>600017</v>
      </c>
      <c r="L551">
        <v>-1</v>
      </c>
    </row>
    <row r="552" spans="1:12">
      <c r="A552">
        <v>116</v>
      </c>
      <c r="B552" t="s">
        <v>2660</v>
      </c>
      <c r="C552" s="96">
        <v>1250701</v>
      </c>
      <c r="D552" t="s">
        <v>2661</v>
      </c>
      <c r="E552" s="96" t="s">
        <v>1467</v>
      </c>
      <c r="H552" t="s">
        <v>361</v>
      </c>
      <c r="I552">
        <f>VLOOKUP(H552,Listas!$B$2:$C$20,2,FALSE)</f>
        <v>500001</v>
      </c>
      <c r="J552" t="s">
        <v>73</v>
      </c>
      <c r="K552">
        <f>VLOOKUP(J552,Listas!$B$21:$C$50,2,FALSE)</f>
        <v>600017</v>
      </c>
      <c r="L552">
        <v>-1</v>
      </c>
    </row>
    <row r="553" spans="1:12">
      <c r="A553">
        <v>116</v>
      </c>
      <c r="B553" t="s">
        <v>2662</v>
      </c>
      <c r="C553" s="96">
        <v>3623409</v>
      </c>
      <c r="D553" t="s">
        <v>2663</v>
      </c>
      <c r="E553" s="96" t="s">
        <v>1467</v>
      </c>
      <c r="H553" t="s">
        <v>361</v>
      </c>
      <c r="I553">
        <f>VLOOKUP(H553,Listas!$B$2:$C$20,2,FALSE)</f>
        <v>500001</v>
      </c>
      <c r="J553" t="s">
        <v>73</v>
      </c>
      <c r="K553">
        <f>VLOOKUP(J553,Listas!$B$21:$C$50,2,FALSE)</f>
        <v>600017</v>
      </c>
      <c r="L553">
        <v>-1</v>
      </c>
    </row>
    <row r="554" spans="1:12">
      <c r="A554">
        <v>116</v>
      </c>
      <c r="B554" t="s">
        <v>2664</v>
      </c>
      <c r="C554" s="96" t="s">
        <v>2665</v>
      </c>
      <c r="D554" t="s">
        <v>2666</v>
      </c>
      <c r="E554" s="96" t="s">
        <v>1467</v>
      </c>
      <c r="H554" t="s">
        <v>361</v>
      </c>
      <c r="I554">
        <f>VLOOKUP(H554,Listas!$B$2:$C$20,2,FALSE)</f>
        <v>500001</v>
      </c>
      <c r="J554" t="s">
        <v>73</v>
      </c>
      <c r="K554">
        <f>VLOOKUP(J554,Listas!$B$21:$C$50,2,FALSE)</f>
        <v>600017</v>
      </c>
      <c r="L554">
        <v>-1</v>
      </c>
    </row>
    <row r="555" spans="1:12">
      <c r="A555">
        <v>116</v>
      </c>
      <c r="B555" t="s">
        <v>2667</v>
      </c>
      <c r="C555" s="96" t="s">
        <v>2668</v>
      </c>
      <c r="D555" t="s">
        <v>2669</v>
      </c>
      <c r="E555" s="96" t="s">
        <v>1467</v>
      </c>
      <c r="H555" t="s">
        <v>361</v>
      </c>
      <c r="I555">
        <f>VLOOKUP(H555,Listas!$B$2:$C$20,2,FALSE)</f>
        <v>500001</v>
      </c>
      <c r="J555" t="s">
        <v>73</v>
      </c>
      <c r="K555">
        <f>VLOOKUP(J555,Listas!$B$21:$C$50,2,FALSE)</f>
        <v>600017</v>
      </c>
      <c r="L555">
        <v>-1</v>
      </c>
    </row>
    <row r="556" spans="1:12">
      <c r="A556">
        <v>116</v>
      </c>
      <c r="B556" t="s">
        <v>2670</v>
      </c>
      <c r="C556" s="96" t="s">
        <v>2671</v>
      </c>
      <c r="D556" t="s">
        <v>2672</v>
      </c>
      <c r="E556" s="96" t="s">
        <v>1467</v>
      </c>
      <c r="H556" t="s">
        <v>361</v>
      </c>
      <c r="I556">
        <f>VLOOKUP(H556,Listas!$B$2:$C$20,2,FALSE)</f>
        <v>500001</v>
      </c>
      <c r="J556" t="s">
        <v>73</v>
      </c>
      <c r="K556">
        <f>VLOOKUP(J556,Listas!$B$21:$C$50,2,FALSE)</f>
        <v>600017</v>
      </c>
      <c r="L556">
        <v>-1</v>
      </c>
    </row>
    <row r="557" spans="1:12">
      <c r="A557">
        <v>116</v>
      </c>
      <c r="B557" t="s">
        <v>2673</v>
      </c>
      <c r="C557" s="96" t="s">
        <v>2674</v>
      </c>
      <c r="D557" t="s">
        <v>2675</v>
      </c>
      <c r="E557" s="96" t="s">
        <v>1467</v>
      </c>
      <c r="H557" t="s">
        <v>361</v>
      </c>
      <c r="I557">
        <f>VLOOKUP(H557,Listas!$B$2:$C$20,2,FALSE)</f>
        <v>500001</v>
      </c>
      <c r="J557" t="s">
        <v>73</v>
      </c>
      <c r="K557">
        <f>VLOOKUP(J557,Listas!$B$21:$C$50,2,FALSE)</f>
        <v>600017</v>
      </c>
      <c r="L557">
        <v>-1</v>
      </c>
    </row>
    <row r="558" spans="1:12">
      <c r="A558">
        <v>116</v>
      </c>
      <c r="B558" t="s">
        <v>2676</v>
      </c>
      <c r="C558" s="96" t="s">
        <v>2677</v>
      </c>
      <c r="D558" t="s">
        <v>2678</v>
      </c>
      <c r="E558" s="96" t="s">
        <v>1467</v>
      </c>
      <c r="H558" t="s">
        <v>361</v>
      </c>
      <c r="I558">
        <f>VLOOKUP(H558,Listas!$B$2:$C$20,2,FALSE)</f>
        <v>500001</v>
      </c>
      <c r="J558" t="s">
        <v>73</v>
      </c>
      <c r="K558">
        <f>VLOOKUP(J558,Listas!$B$21:$C$50,2,FALSE)</f>
        <v>600017</v>
      </c>
      <c r="L558">
        <v>-1</v>
      </c>
    </row>
    <row r="559" spans="1:12">
      <c r="A559">
        <v>116</v>
      </c>
      <c r="B559" t="s">
        <v>2679</v>
      </c>
      <c r="C559" s="96" t="s">
        <v>2680</v>
      </c>
      <c r="D559" t="s">
        <v>2681</v>
      </c>
      <c r="E559" s="96" t="s">
        <v>1467</v>
      </c>
      <c r="H559" t="s">
        <v>361</v>
      </c>
      <c r="I559">
        <f>VLOOKUP(H559,Listas!$B$2:$C$20,2,FALSE)</f>
        <v>500001</v>
      </c>
      <c r="J559" t="s">
        <v>73</v>
      </c>
      <c r="K559">
        <f>VLOOKUP(J559,Listas!$B$21:$C$50,2,FALSE)</f>
        <v>600017</v>
      </c>
      <c r="L559">
        <v>-1</v>
      </c>
    </row>
    <row r="560" spans="1:12">
      <c r="A560">
        <v>116</v>
      </c>
      <c r="B560" t="s">
        <v>2682</v>
      </c>
      <c r="C560" s="96" t="s">
        <v>2683</v>
      </c>
      <c r="D560" t="s">
        <v>2684</v>
      </c>
      <c r="E560" s="96" t="s">
        <v>1467</v>
      </c>
      <c r="H560" t="s">
        <v>361</v>
      </c>
      <c r="I560">
        <f>VLOOKUP(H560,Listas!$B$2:$C$20,2,FALSE)</f>
        <v>500001</v>
      </c>
      <c r="J560" t="s">
        <v>73</v>
      </c>
      <c r="K560">
        <f>VLOOKUP(J560,Listas!$B$21:$C$50,2,FALSE)</f>
        <v>600017</v>
      </c>
      <c r="L560">
        <v>-1</v>
      </c>
    </row>
    <row r="561" spans="1:12">
      <c r="A561">
        <v>116</v>
      </c>
      <c r="B561" t="s">
        <v>2685</v>
      </c>
      <c r="C561" s="96" t="s">
        <v>2686</v>
      </c>
      <c r="D561" t="s">
        <v>2687</v>
      </c>
      <c r="E561" s="96" t="s">
        <v>1467</v>
      </c>
      <c r="H561" t="s">
        <v>361</v>
      </c>
      <c r="I561">
        <f>VLOOKUP(H561,Listas!$B$2:$C$20,2,FALSE)</f>
        <v>500001</v>
      </c>
      <c r="J561" t="s">
        <v>73</v>
      </c>
      <c r="K561">
        <f>VLOOKUP(J561,Listas!$B$21:$C$50,2,FALSE)</f>
        <v>600017</v>
      </c>
      <c r="L561">
        <v>-1</v>
      </c>
    </row>
    <row r="562" spans="1:12">
      <c r="A562">
        <v>116</v>
      </c>
      <c r="B562" t="s">
        <v>2688</v>
      </c>
      <c r="C562" s="96" t="s">
        <v>2689</v>
      </c>
      <c r="D562" t="s">
        <v>2690</v>
      </c>
      <c r="E562" s="96" t="s">
        <v>1467</v>
      </c>
      <c r="H562" t="s">
        <v>361</v>
      </c>
      <c r="I562">
        <f>VLOOKUP(H562,Listas!$B$2:$C$20,2,FALSE)</f>
        <v>500001</v>
      </c>
      <c r="J562" t="s">
        <v>73</v>
      </c>
      <c r="K562">
        <f>VLOOKUP(J562,Listas!$B$21:$C$50,2,FALSE)</f>
        <v>600017</v>
      </c>
      <c r="L562">
        <v>-1</v>
      </c>
    </row>
    <row r="563" spans="1:12">
      <c r="A563">
        <v>116</v>
      </c>
      <c r="B563" t="s">
        <v>2691</v>
      </c>
      <c r="C563" s="96" t="s">
        <v>2692</v>
      </c>
      <c r="D563" t="s">
        <v>2693</v>
      </c>
      <c r="E563" s="96" t="s">
        <v>1467</v>
      </c>
      <c r="H563" t="s">
        <v>361</v>
      </c>
      <c r="I563">
        <f>VLOOKUP(H563,Listas!$B$2:$C$20,2,FALSE)</f>
        <v>500001</v>
      </c>
      <c r="J563" t="s">
        <v>73</v>
      </c>
      <c r="K563">
        <f>VLOOKUP(J563,Listas!$B$21:$C$50,2,FALSE)</f>
        <v>600017</v>
      </c>
      <c r="L563">
        <v>-1</v>
      </c>
    </row>
    <row r="564" spans="1:12">
      <c r="A564">
        <v>116</v>
      </c>
      <c r="B564" t="s">
        <v>2694</v>
      </c>
      <c r="C564" s="96" t="s">
        <v>2695</v>
      </c>
      <c r="D564" t="s">
        <v>2696</v>
      </c>
      <c r="E564" s="96" t="s">
        <v>1467</v>
      </c>
      <c r="H564" t="s">
        <v>361</v>
      </c>
      <c r="I564">
        <f>VLOOKUP(H564,Listas!$B$2:$C$20,2,FALSE)</f>
        <v>500001</v>
      </c>
      <c r="J564" t="s">
        <v>73</v>
      </c>
      <c r="K564">
        <f>VLOOKUP(J564,Listas!$B$21:$C$50,2,FALSE)</f>
        <v>600017</v>
      </c>
      <c r="L564">
        <v>-1</v>
      </c>
    </row>
    <row r="565" spans="1:12">
      <c r="A565">
        <v>116</v>
      </c>
      <c r="B565" t="s">
        <v>2697</v>
      </c>
      <c r="C565" s="96" t="s">
        <v>2698</v>
      </c>
      <c r="D565" t="s">
        <v>2699</v>
      </c>
      <c r="E565" s="96" t="s">
        <v>1467</v>
      </c>
      <c r="H565" t="s">
        <v>361</v>
      </c>
      <c r="I565">
        <f>VLOOKUP(H565,Listas!$B$2:$C$20,2,FALSE)</f>
        <v>500001</v>
      </c>
      <c r="J565" t="s">
        <v>73</v>
      </c>
      <c r="K565">
        <f>VLOOKUP(J565,Listas!$B$21:$C$50,2,FALSE)</f>
        <v>600017</v>
      </c>
      <c r="L565">
        <v>-1</v>
      </c>
    </row>
    <row r="566" spans="1:12">
      <c r="A566">
        <v>116</v>
      </c>
      <c r="B566" t="s">
        <v>2700</v>
      </c>
      <c r="C566" s="96" t="s">
        <v>2701</v>
      </c>
      <c r="D566" t="s">
        <v>2702</v>
      </c>
      <c r="E566" s="96" t="s">
        <v>1467</v>
      </c>
      <c r="H566" t="s">
        <v>361</v>
      </c>
      <c r="I566">
        <f>VLOOKUP(H566,Listas!$B$2:$C$20,2,FALSE)</f>
        <v>500001</v>
      </c>
      <c r="J566" t="s">
        <v>73</v>
      </c>
      <c r="K566">
        <f>VLOOKUP(J566,Listas!$B$21:$C$50,2,FALSE)</f>
        <v>600017</v>
      </c>
      <c r="L566">
        <v>-1</v>
      </c>
    </row>
    <row r="567" spans="1:12">
      <c r="A567">
        <v>116</v>
      </c>
      <c r="B567" t="s">
        <v>2703</v>
      </c>
      <c r="C567" s="96" t="s">
        <v>2704</v>
      </c>
      <c r="D567" t="s">
        <v>2705</v>
      </c>
      <c r="E567" s="96" t="s">
        <v>1467</v>
      </c>
      <c r="H567" t="s">
        <v>361</v>
      </c>
      <c r="I567">
        <f>VLOOKUP(H567,Listas!$B$2:$C$20,2,FALSE)</f>
        <v>500001</v>
      </c>
      <c r="J567" t="s">
        <v>73</v>
      </c>
      <c r="K567">
        <f>VLOOKUP(J567,Listas!$B$21:$C$50,2,FALSE)</f>
        <v>600017</v>
      </c>
      <c r="L567">
        <v>-1</v>
      </c>
    </row>
    <row r="568" spans="1:12">
      <c r="A568">
        <v>116</v>
      </c>
      <c r="B568" t="s">
        <v>2706</v>
      </c>
      <c r="C568" s="96" t="s">
        <v>2707</v>
      </c>
      <c r="D568" t="s">
        <v>2708</v>
      </c>
      <c r="E568" s="96" t="s">
        <v>1467</v>
      </c>
      <c r="H568" t="s">
        <v>361</v>
      </c>
      <c r="I568">
        <f>VLOOKUP(H568,Listas!$B$2:$C$20,2,FALSE)</f>
        <v>500001</v>
      </c>
      <c r="J568" t="s">
        <v>73</v>
      </c>
      <c r="K568">
        <f>VLOOKUP(J568,Listas!$B$21:$C$50,2,FALSE)</f>
        <v>600017</v>
      </c>
      <c r="L568">
        <v>-1</v>
      </c>
    </row>
    <row r="569" spans="1:12">
      <c r="A569">
        <v>116</v>
      </c>
      <c r="B569" t="s">
        <v>2709</v>
      </c>
      <c r="C569" s="96" t="s">
        <v>2710</v>
      </c>
      <c r="D569" t="s">
        <v>2711</v>
      </c>
      <c r="E569" s="96" t="s">
        <v>1467</v>
      </c>
      <c r="H569" t="s">
        <v>361</v>
      </c>
      <c r="I569">
        <f>VLOOKUP(H569,Listas!$B$2:$C$20,2,FALSE)</f>
        <v>500001</v>
      </c>
      <c r="J569" t="s">
        <v>73</v>
      </c>
      <c r="K569">
        <f>VLOOKUP(J569,Listas!$B$21:$C$50,2,FALSE)</f>
        <v>600017</v>
      </c>
      <c r="L569">
        <v>-1</v>
      </c>
    </row>
    <row r="570" spans="1:12">
      <c r="A570">
        <v>116</v>
      </c>
      <c r="B570" t="s">
        <v>2712</v>
      </c>
      <c r="C570" s="96" t="s">
        <v>2713</v>
      </c>
      <c r="D570" t="s">
        <v>2714</v>
      </c>
      <c r="E570" s="96" t="s">
        <v>1467</v>
      </c>
      <c r="H570" t="s">
        <v>361</v>
      </c>
      <c r="I570">
        <f>VLOOKUP(H570,Listas!$B$2:$C$20,2,FALSE)</f>
        <v>500001</v>
      </c>
      <c r="J570" t="s">
        <v>73</v>
      </c>
      <c r="K570">
        <f>VLOOKUP(J570,Listas!$B$21:$C$50,2,FALSE)</f>
        <v>600017</v>
      </c>
      <c r="L570">
        <v>-1</v>
      </c>
    </row>
    <row r="571" spans="1:12">
      <c r="A571">
        <v>116</v>
      </c>
      <c r="B571" t="s">
        <v>2715</v>
      </c>
      <c r="C571" s="96" t="s">
        <v>2716</v>
      </c>
      <c r="D571" t="s">
        <v>2717</v>
      </c>
      <c r="E571" s="96" t="s">
        <v>1467</v>
      </c>
      <c r="H571" t="s">
        <v>361</v>
      </c>
      <c r="I571">
        <f>VLOOKUP(H571,Listas!$B$2:$C$20,2,FALSE)</f>
        <v>500001</v>
      </c>
      <c r="J571" t="s">
        <v>73</v>
      </c>
      <c r="K571">
        <f>VLOOKUP(J571,Listas!$B$21:$C$50,2,FALSE)</f>
        <v>600017</v>
      </c>
      <c r="L571">
        <v>-1</v>
      </c>
    </row>
    <row r="572" spans="1:12">
      <c r="A572">
        <v>116</v>
      </c>
      <c r="B572" t="s">
        <v>2718</v>
      </c>
      <c r="C572" s="96" t="s">
        <v>2719</v>
      </c>
      <c r="D572" t="s">
        <v>2720</v>
      </c>
      <c r="E572" s="96" t="s">
        <v>1467</v>
      </c>
      <c r="H572" t="s">
        <v>361</v>
      </c>
      <c r="I572">
        <f>VLOOKUP(H572,Listas!$B$2:$C$20,2,FALSE)</f>
        <v>500001</v>
      </c>
      <c r="J572" t="s">
        <v>73</v>
      </c>
      <c r="K572">
        <f>VLOOKUP(J572,Listas!$B$21:$C$50,2,FALSE)</f>
        <v>600017</v>
      </c>
      <c r="L572">
        <v>-1</v>
      </c>
    </row>
    <row r="573" spans="1:12">
      <c r="A573">
        <v>116</v>
      </c>
      <c r="B573" t="s">
        <v>2721</v>
      </c>
      <c r="C573" s="96" t="s">
        <v>2722</v>
      </c>
      <c r="D573" t="s">
        <v>2723</v>
      </c>
      <c r="E573" s="96" t="s">
        <v>1467</v>
      </c>
      <c r="H573" t="s">
        <v>361</v>
      </c>
      <c r="I573">
        <f>VLOOKUP(H573,Listas!$B$2:$C$20,2,FALSE)</f>
        <v>500001</v>
      </c>
      <c r="J573" t="s">
        <v>73</v>
      </c>
      <c r="K573">
        <f>VLOOKUP(J573,Listas!$B$21:$C$50,2,FALSE)</f>
        <v>600017</v>
      </c>
      <c r="L573">
        <v>-1</v>
      </c>
    </row>
    <row r="574" spans="1:12">
      <c r="A574">
        <v>116</v>
      </c>
      <c r="B574" t="s">
        <v>2724</v>
      </c>
      <c r="C574" s="96" t="s">
        <v>2725</v>
      </c>
      <c r="D574" t="s">
        <v>2726</v>
      </c>
      <c r="E574" s="96" t="s">
        <v>1467</v>
      </c>
      <c r="H574" t="s">
        <v>361</v>
      </c>
      <c r="I574">
        <f>VLOOKUP(H574,Listas!$B$2:$C$20,2,FALSE)</f>
        <v>500001</v>
      </c>
      <c r="J574" t="s">
        <v>73</v>
      </c>
      <c r="K574">
        <f>VLOOKUP(J574,Listas!$B$21:$C$50,2,FALSE)</f>
        <v>600017</v>
      </c>
      <c r="L574">
        <v>-1</v>
      </c>
    </row>
    <row r="575" spans="1:12">
      <c r="A575">
        <v>116</v>
      </c>
      <c r="B575" t="s">
        <v>2727</v>
      </c>
      <c r="C575" s="96" t="s">
        <v>2728</v>
      </c>
      <c r="D575" t="s">
        <v>2729</v>
      </c>
      <c r="E575" s="96" t="s">
        <v>1467</v>
      </c>
      <c r="H575" t="s">
        <v>361</v>
      </c>
      <c r="I575">
        <f>VLOOKUP(H575,Listas!$B$2:$C$20,2,FALSE)</f>
        <v>500001</v>
      </c>
      <c r="J575" t="s">
        <v>73</v>
      </c>
      <c r="K575">
        <f>VLOOKUP(J575,Listas!$B$21:$C$50,2,FALSE)</f>
        <v>600017</v>
      </c>
      <c r="L575">
        <v>-1</v>
      </c>
    </row>
    <row r="576" spans="1:12">
      <c r="A576">
        <v>116</v>
      </c>
      <c r="B576" t="s">
        <v>2730</v>
      </c>
      <c r="C576" s="96">
        <v>32578387000154</v>
      </c>
      <c r="D576" t="s">
        <v>2731</v>
      </c>
      <c r="E576" s="96" t="s">
        <v>1467</v>
      </c>
      <c r="H576" t="s">
        <v>361</v>
      </c>
      <c r="I576">
        <f>VLOOKUP(H576,Listas!$B$2:$C$20,2,FALSE)</f>
        <v>500001</v>
      </c>
      <c r="J576" t="s">
        <v>73</v>
      </c>
      <c r="K576">
        <f>VLOOKUP(J576,Listas!$B$21:$C$50,2,FALSE)</f>
        <v>600017</v>
      </c>
      <c r="L576">
        <v>-1</v>
      </c>
    </row>
    <row r="577" spans="1:12">
      <c r="A577">
        <v>116</v>
      </c>
      <c r="B577" t="s">
        <v>2732</v>
      </c>
      <c r="C577" s="96" t="s">
        <v>2733</v>
      </c>
      <c r="D577" t="s">
        <v>2734</v>
      </c>
      <c r="E577" s="96" t="s">
        <v>1467</v>
      </c>
      <c r="H577" t="s">
        <v>361</v>
      </c>
      <c r="I577">
        <f>VLOOKUP(H577,Listas!$B$2:$C$20,2,FALSE)</f>
        <v>500001</v>
      </c>
      <c r="J577" t="s">
        <v>73</v>
      </c>
      <c r="K577">
        <f>VLOOKUP(J577,Listas!$B$21:$C$50,2,FALSE)</f>
        <v>600017</v>
      </c>
      <c r="L577">
        <v>-1</v>
      </c>
    </row>
    <row r="578" spans="1:12">
      <c r="A578">
        <v>116</v>
      </c>
      <c r="B578" t="s">
        <v>2735</v>
      </c>
      <c r="C578" s="96" t="s">
        <v>2736</v>
      </c>
      <c r="D578" t="s">
        <v>2737</v>
      </c>
      <c r="E578" s="96" t="s">
        <v>1467</v>
      </c>
      <c r="H578" t="s">
        <v>361</v>
      </c>
      <c r="I578">
        <f>VLOOKUP(H578,Listas!$B$2:$C$20,2,FALSE)</f>
        <v>500001</v>
      </c>
      <c r="J578" t="s">
        <v>73</v>
      </c>
      <c r="K578">
        <f>VLOOKUP(J578,Listas!$B$21:$C$50,2,FALSE)</f>
        <v>600017</v>
      </c>
      <c r="L578">
        <v>-1</v>
      </c>
    </row>
    <row r="579" spans="1:12">
      <c r="A579">
        <v>116</v>
      </c>
      <c r="B579" t="s">
        <v>2738</v>
      </c>
      <c r="C579" s="96" t="s">
        <v>2739</v>
      </c>
      <c r="D579" t="s">
        <v>2740</v>
      </c>
      <c r="E579" s="96" t="s">
        <v>1467</v>
      </c>
      <c r="H579" t="s">
        <v>361</v>
      </c>
      <c r="I579">
        <f>VLOOKUP(H579,Listas!$B$2:$C$20,2,FALSE)</f>
        <v>500001</v>
      </c>
      <c r="J579" t="s">
        <v>73</v>
      </c>
      <c r="K579">
        <f>VLOOKUP(J579,Listas!$B$21:$C$50,2,FALSE)</f>
        <v>600017</v>
      </c>
      <c r="L579">
        <v>-1</v>
      </c>
    </row>
    <row r="580" spans="1:12">
      <c r="A580">
        <v>116</v>
      </c>
      <c r="B580" t="s">
        <v>2741</v>
      </c>
      <c r="C580" s="96" t="s">
        <v>2742</v>
      </c>
      <c r="D580" t="s">
        <v>2743</v>
      </c>
      <c r="E580" s="96" t="s">
        <v>1467</v>
      </c>
      <c r="H580" t="s">
        <v>361</v>
      </c>
      <c r="I580">
        <f>VLOOKUP(H580,Listas!$B$2:$C$20,2,FALSE)</f>
        <v>500001</v>
      </c>
      <c r="J580" t="s">
        <v>73</v>
      </c>
      <c r="K580">
        <f>VLOOKUP(J580,Listas!$B$21:$C$50,2,FALSE)</f>
        <v>600017</v>
      </c>
      <c r="L580">
        <v>-1</v>
      </c>
    </row>
    <row r="581" spans="1:12">
      <c r="A581">
        <v>116</v>
      </c>
      <c r="B581" t="s">
        <v>2744</v>
      </c>
      <c r="C581" s="96" t="s">
        <v>2745</v>
      </c>
      <c r="D581" t="s">
        <v>2746</v>
      </c>
      <c r="E581" s="96" t="s">
        <v>1467</v>
      </c>
      <c r="H581" t="s">
        <v>361</v>
      </c>
      <c r="I581">
        <f>VLOOKUP(H581,Listas!$B$2:$C$20,2,FALSE)</f>
        <v>500001</v>
      </c>
      <c r="J581" t="s">
        <v>73</v>
      </c>
      <c r="K581">
        <f>VLOOKUP(J581,Listas!$B$21:$C$50,2,FALSE)</f>
        <v>600017</v>
      </c>
      <c r="L581">
        <v>-1</v>
      </c>
    </row>
    <row r="582" spans="1:12">
      <c r="A582">
        <v>116</v>
      </c>
      <c r="B582" t="s">
        <v>2747</v>
      </c>
      <c r="C582" s="96" t="s">
        <v>2748</v>
      </c>
      <c r="D582" t="s">
        <v>2749</v>
      </c>
      <c r="E582" s="96" t="s">
        <v>1467</v>
      </c>
      <c r="H582" t="s">
        <v>361</v>
      </c>
      <c r="I582">
        <f>VLOOKUP(H582,Listas!$B$2:$C$20,2,FALSE)</f>
        <v>500001</v>
      </c>
      <c r="J582" t="s">
        <v>73</v>
      </c>
      <c r="K582">
        <f>VLOOKUP(J582,Listas!$B$21:$C$50,2,FALSE)</f>
        <v>600017</v>
      </c>
      <c r="L582">
        <v>-1</v>
      </c>
    </row>
    <row r="583" spans="1:12">
      <c r="A583">
        <v>116</v>
      </c>
      <c r="B583" t="s">
        <v>2750</v>
      </c>
      <c r="C583" s="96" t="s">
        <v>2751</v>
      </c>
      <c r="D583" t="s">
        <v>2752</v>
      </c>
      <c r="E583" s="96" t="s">
        <v>1467</v>
      </c>
      <c r="H583" t="s">
        <v>361</v>
      </c>
      <c r="I583">
        <f>VLOOKUP(H583,Listas!$B$2:$C$20,2,FALSE)</f>
        <v>500001</v>
      </c>
      <c r="J583" t="s">
        <v>73</v>
      </c>
      <c r="K583">
        <f>VLOOKUP(J583,Listas!$B$21:$C$50,2,FALSE)</f>
        <v>600017</v>
      </c>
      <c r="L583">
        <v>-1</v>
      </c>
    </row>
    <row r="584" spans="1:12">
      <c r="A584">
        <v>116</v>
      </c>
      <c r="B584" t="s">
        <v>2753</v>
      </c>
      <c r="C584" s="96" t="s">
        <v>2754</v>
      </c>
      <c r="D584" t="s">
        <v>2755</v>
      </c>
      <c r="E584" s="96" t="s">
        <v>1467</v>
      </c>
      <c r="H584" t="s">
        <v>361</v>
      </c>
      <c r="I584">
        <f>VLOOKUP(H584,Listas!$B$2:$C$20,2,FALSE)</f>
        <v>500001</v>
      </c>
      <c r="J584" t="s">
        <v>73</v>
      </c>
      <c r="K584">
        <f>VLOOKUP(J584,Listas!$B$21:$C$50,2,FALSE)</f>
        <v>600017</v>
      </c>
      <c r="L584">
        <v>-1</v>
      </c>
    </row>
    <row r="585" spans="1:12">
      <c r="A585">
        <v>116</v>
      </c>
      <c r="B585" t="s">
        <v>2756</v>
      </c>
      <c r="C585" s="96" t="s">
        <v>2757</v>
      </c>
      <c r="D585" t="s">
        <v>2758</v>
      </c>
      <c r="E585" s="96" t="s">
        <v>1467</v>
      </c>
      <c r="H585" t="s">
        <v>361</v>
      </c>
      <c r="I585">
        <f>VLOOKUP(H585,Listas!$B$2:$C$20,2,FALSE)</f>
        <v>500001</v>
      </c>
      <c r="J585" t="s">
        <v>73</v>
      </c>
      <c r="K585">
        <f>VLOOKUP(J585,Listas!$B$21:$C$50,2,FALSE)</f>
        <v>600017</v>
      </c>
      <c r="L585">
        <v>-1</v>
      </c>
    </row>
    <row r="586" spans="1:12">
      <c r="A586">
        <v>116</v>
      </c>
      <c r="B586" t="s">
        <v>710</v>
      </c>
      <c r="C586" s="96" t="s">
        <v>711</v>
      </c>
      <c r="D586" t="s">
        <v>712</v>
      </c>
      <c r="E586" s="96" t="s">
        <v>1467</v>
      </c>
      <c r="H586" t="s">
        <v>361</v>
      </c>
      <c r="I586">
        <f>VLOOKUP(H586,Listas!$B$2:$C$20,2,FALSE)</f>
        <v>500001</v>
      </c>
      <c r="J586" t="s">
        <v>73</v>
      </c>
      <c r="K586">
        <f>VLOOKUP(J586,Listas!$B$21:$C$50,2,FALSE)</f>
        <v>600017</v>
      </c>
      <c r="L586">
        <v>-1</v>
      </c>
    </row>
    <row r="587" spans="1:12">
      <c r="A587">
        <v>116</v>
      </c>
      <c r="B587" t="s">
        <v>2759</v>
      </c>
      <c r="C587" s="96" t="s">
        <v>2760</v>
      </c>
      <c r="D587" t="s">
        <v>2761</v>
      </c>
      <c r="E587" s="96" t="s">
        <v>1467</v>
      </c>
      <c r="H587" t="s">
        <v>361</v>
      </c>
      <c r="I587">
        <f>VLOOKUP(H587,Listas!$B$2:$C$20,2,FALSE)</f>
        <v>500001</v>
      </c>
      <c r="J587" t="s">
        <v>73</v>
      </c>
      <c r="K587">
        <f>VLOOKUP(J587,Listas!$B$21:$C$50,2,FALSE)</f>
        <v>600017</v>
      </c>
      <c r="L587">
        <v>-1</v>
      </c>
    </row>
    <row r="588" spans="1:12">
      <c r="A588">
        <v>116</v>
      </c>
      <c r="B588" t="s">
        <v>2762</v>
      </c>
      <c r="C588" s="96" t="s">
        <v>2763</v>
      </c>
      <c r="D588" t="s">
        <v>2764</v>
      </c>
      <c r="E588" s="96" t="s">
        <v>1467</v>
      </c>
      <c r="H588" t="s">
        <v>361</v>
      </c>
      <c r="I588">
        <f>VLOOKUP(H588,Listas!$B$2:$C$20,2,FALSE)</f>
        <v>500001</v>
      </c>
      <c r="J588" t="s">
        <v>73</v>
      </c>
      <c r="K588">
        <f>VLOOKUP(J588,Listas!$B$21:$C$50,2,FALSE)</f>
        <v>600017</v>
      </c>
      <c r="L588">
        <v>-1</v>
      </c>
    </row>
    <row r="589" spans="1:12">
      <c r="A589">
        <v>116</v>
      </c>
      <c r="B589" t="s">
        <v>2765</v>
      </c>
      <c r="C589" s="96" t="s">
        <v>2766</v>
      </c>
      <c r="D589" t="s">
        <v>2767</v>
      </c>
      <c r="E589" s="96" t="s">
        <v>1467</v>
      </c>
      <c r="H589" t="s">
        <v>361</v>
      </c>
      <c r="I589">
        <f>VLOOKUP(H589,Listas!$B$2:$C$20,2,FALSE)</f>
        <v>500001</v>
      </c>
      <c r="J589" t="s">
        <v>73</v>
      </c>
      <c r="K589">
        <f>VLOOKUP(J589,Listas!$B$21:$C$50,2,FALSE)</f>
        <v>600017</v>
      </c>
      <c r="L589">
        <v>-1</v>
      </c>
    </row>
    <row r="590" spans="1:12">
      <c r="A590">
        <v>116</v>
      </c>
      <c r="B590" t="s">
        <v>2768</v>
      </c>
      <c r="C590" s="96" t="s">
        <v>2769</v>
      </c>
      <c r="D590" t="s">
        <v>2770</v>
      </c>
      <c r="E590" s="96" t="s">
        <v>1467</v>
      </c>
      <c r="H590" t="s">
        <v>361</v>
      </c>
      <c r="I590">
        <f>VLOOKUP(H590,Listas!$B$2:$C$20,2,FALSE)</f>
        <v>500001</v>
      </c>
      <c r="J590" t="s">
        <v>73</v>
      </c>
      <c r="K590">
        <f>VLOOKUP(J590,Listas!$B$21:$C$50,2,FALSE)</f>
        <v>600017</v>
      </c>
      <c r="L590">
        <v>-1</v>
      </c>
    </row>
    <row r="591" spans="1:12">
      <c r="A591">
        <v>116</v>
      </c>
      <c r="B591" t="s">
        <v>2771</v>
      </c>
      <c r="C591" s="96" t="s">
        <v>2772</v>
      </c>
      <c r="D591" t="s">
        <v>2773</v>
      </c>
      <c r="E591" s="96" t="s">
        <v>1467</v>
      </c>
      <c r="H591" t="s">
        <v>361</v>
      </c>
      <c r="I591">
        <f>VLOOKUP(H591,Listas!$B$2:$C$20,2,FALSE)</f>
        <v>500001</v>
      </c>
      <c r="J591" t="s">
        <v>73</v>
      </c>
      <c r="K591">
        <f>VLOOKUP(J591,Listas!$B$21:$C$50,2,FALSE)</f>
        <v>600017</v>
      </c>
      <c r="L591">
        <v>-1</v>
      </c>
    </row>
    <row r="592" spans="1:12">
      <c r="A592">
        <v>116</v>
      </c>
      <c r="B592" t="s">
        <v>2774</v>
      </c>
      <c r="C592" s="96" t="s">
        <v>2775</v>
      </c>
      <c r="D592" t="s">
        <v>2776</v>
      </c>
      <c r="E592" s="96" t="s">
        <v>1467</v>
      </c>
      <c r="H592" t="s">
        <v>361</v>
      </c>
      <c r="I592">
        <f>VLOOKUP(H592,Listas!$B$2:$C$20,2,FALSE)</f>
        <v>500001</v>
      </c>
      <c r="J592" t="s">
        <v>73</v>
      </c>
      <c r="K592">
        <f>VLOOKUP(J592,Listas!$B$21:$C$50,2,FALSE)</f>
        <v>600017</v>
      </c>
      <c r="L592">
        <v>-1</v>
      </c>
    </row>
    <row r="593" spans="1:12">
      <c r="A593">
        <v>116</v>
      </c>
      <c r="B593" t="s">
        <v>2777</v>
      </c>
      <c r="C593" s="96" t="s">
        <v>2778</v>
      </c>
      <c r="D593" t="s">
        <v>2779</v>
      </c>
      <c r="E593" s="96" t="s">
        <v>1467</v>
      </c>
      <c r="H593" t="s">
        <v>361</v>
      </c>
      <c r="I593">
        <f>VLOOKUP(H593,Listas!$B$2:$C$20,2,FALSE)</f>
        <v>500001</v>
      </c>
      <c r="J593" t="s">
        <v>73</v>
      </c>
      <c r="K593">
        <f>VLOOKUP(J593,Listas!$B$21:$C$50,2,FALSE)</f>
        <v>600017</v>
      </c>
      <c r="L593">
        <v>-1</v>
      </c>
    </row>
    <row r="594" spans="1:12">
      <c r="A594">
        <v>116</v>
      </c>
      <c r="B594" t="s">
        <v>2780</v>
      </c>
      <c r="C594" s="96" t="s">
        <v>2781</v>
      </c>
      <c r="D594" t="s">
        <v>2782</v>
      </c>
      <c r="E594" s="96" t="s">
        <v>1467</v>
      </c>
      <c r="H594" t="s">
        <v>361</v>
      </c>
      <c r="I594">
        <f>VLOOKUP(H594,Listas!$B$2:$C$20,2,FALSE)</f>
        <v>500001</v>
      </c>
      <c r="J594" t="s">
        <v>73</v>
      </c>
      <c r="K594">
        <f>VLOOKUP(J594,Listas!$B$21:$C$50,2,FALSE)</f>
        <v>600017</v>
      </c>
      <c r="L594">
        <v>-1</v>
      </c>
    </row>
    <row r="595" spans="1:12">
      <c r="A595">
        <v>116</v>
      </c>
      <c r="B595" t="s">
        <v>2783</v>
      </c>
      <c r="C595" s="96" t="s">
        <v>2784</v>
      </c>
      <c r="D595" t="s">
        <v>2785</v>
      </c>
      <c r="E595" s="96" t="s">
        <v>1467</v>
      </c>
      <c r="H595" t="s">
        <v>361</v>
      </c>
      <c r="I595">
        <f>VLOOKUP(H595,Listas!$B$2:$C$20,2,FALSE)</f>
        <v>500001</v>
      </c>
      <c r="J595" t="s">
        <v>73</v>
      </c>
      <c r="K595">
        <f>VLOOKUP(J595,Listas!$B$21:$C$50,2,FALSE)</f>
        <v>600017</v>
      </c>
      <c r="L595">
        <v>-1</v>
      </c>
    </row>
    <row r="596" spans="1:12">
      <c r="A596">
        <v>116</v>
      </c>
      <c r="B596" t="s">
        <v>2786</v>
      </c>
      <c r="C596" s="96">
        <v>14084391000184</v>
      </c>
      <c r="D596" t="s">
        <v>2787</v>
      </c>
      <c r="E596" s="96" t="s">
        <v>1467</v>
      </c>
      <c r="H596" t="s">
        <v>361</v>
      </c>
      <c r="I596">
        <f>VLOOKUP(H596,Listas!$B$2:$C$20,2,FALSE)</f>
        <v>500001</v>
      </c>
      <c r="J596" t="s">
        <v>73</v>
      </c>
      <c r="K596">
        <f>VLOOKUP(J596,Listas!$B$21:$C$50,2,FALSE)</f>
        <v>600017</v>
      </c>
      <c r="L596">
        <v>-1</v>
      </c>
    </row>
    <row r="597" spans="1:12">
      <c r="A597">
        <v>116</v>
      </c>
      <c r="B597" t="s">
        <v>2788</v>
      </c>
      <c r="C597" s="96" t="s">
        <v>2789</v>
      </c>
      <c r="D597" t="s">
        <v>2790</v>
      </c>
      <c r="E597" s="96" t="s">
        <v>1467</v>
      </c>
      <c r="H597" t="s">
        <v>361</v>
      </c>
      <c r="I597">
        <f>VLOOKUP(H597,Listas!$B$2:$C$20,2,FALSE)</f>
        <v>500001</v>
      </c>
      <c r="J597" t="s">
        <v>73</v>
      </c>
      <c r="K597">
        <f>VLOOKUP(J597,Listas!$B$21:$C$50,2,FALSE)</f>
        <v>600017</v>
      </c>
      <c r="L597">
        <v>-1</v>
      </c>
    </row>
    <row r="598" spans="1:12">
      <c r="A598">
        <v>116</v>
      </c>
      <c r="B598" t="s">
        <v>2791</v>
      </c>
      <c r="C598" s="96" t="s">
        <v>2792</v>
      </c>
      <c r="D598" t="s">
        <v>2793</v>
      </c>
      <c r="E598" s="96" t="s">
        <v>1467</v>
      </c>
      <c r="H598" t="s">
        <v>361</v>
      </c>
      <c r="I598">
        <f>VLOOKUP(H598,Listas!$B$2:$C$20,2,FALSE)</f>
        <v>500001</v>
      </c>
      <c r="J598" t="s">
        <v>73</v>
      </c>
      <c r="K598">
        <f>VLOOKUP(J598,Listas!$B$21:$C$50,2,FALSE)</f>
        <v>600017</v>
      </c>
      <c r="L598">
        <v>-1</v>
      </c>
    </row>
    <row r="599" spans="1:12">
      <c r="A599">
        <v>116</v>
      </c>
      <c r="B599" t="s">
        <v>2794</v>
      </c>
      <c r="C599" s="96" t="s">
        <v>2795</v>
      </c>
      <c r="D599" t="s">
        <v>2796</v>
      </c>
      <c r="E599" s="96" t="s">
        <v>1467</v>
      </c>
      <c r="H599" t="s">
        <v>361</v>
      </c>
      <c r="I599">
        <f>VLOOKUP(H599,Listas!$B$2:$C$20,2,FALSE)</f>
        <v>500001</v>
      </c>
      <c r="J599" t="s">
        <v>73</v>
      </c>
      <c r="K599">
        <f>VLOOKUP(J599,Listas!$B$21:$C$50,2,FALSE)</f>
        <v>600017</v>
      </c>
      <c r="L599">
        <v>-1</v>
      </c>
    </row>
    <row r="600" spans="1:12">
      <c r="A600">
        <v>116</v>
      </c>
      <c r="B600" t="s">
        <v>2797</v>
      </c>
      <c r="C600" s="96" t="s">
        <v>2798</v>
      </c>
      <c r="D600" t="s">
        <v>2799</v>
      </c>
      <c r="E600" s="96" t="s">
        <v>1467</v>
      </c>
      <c r="H600" t="s">
        <v>361</v>
      </c>
      <c r="I600">
        <f>VLOOKUP(H600,Listas!$B$2:$C$20,2,FALSE)</f>
        <v>500001</v>
      </c>
      <c r="J600" t="s">
        <v>73</v>
      </c>
      <c r="K600">
        <f>VLOOKUP(J600,Listas!$B$21:$C$50,2,FALSE)</f>
        <v>600017</v>
      </c>
      <c r="L600">
        <v>-1</v>
      </c>
    </row>
    <row r="601" spans="1:12">
      <c r="A601">
        <v>116</v>
      </c>
      <c r="B601" t="s">
        <v>2800</v>
      </c>
      <c r="C601" s="96" t="s">
        <v>2801</v>
      </c>
      <c r="D601" t="s">
        <v>2802</v>
      </c>
      <c r="E601" s="96" t="s">
        <v>1467</v>
      </c>
      <c r="H601" t="s">
        <v>361</v>
      </c>
      <c r="I601">
        <f>VLOOKUP(H601,Listas!$B$2:$C$20,2,FALSE)</f>
        <v>500001</v>
      </c>
      <c r="J601" t="s">
        <v>73</v>
      </c>
      <c r="K601">
        <f>VLOOKUP(J601,Listas!$B$21:$C$50,2,FALSE)</f>
        <v>600017</v>
      </c>
      <c r="L601">
        <v>-1</v>
      </c>
    </row>
    <row r="602" spans="1:12">
      <c r="A602">
        <v>116</v>
      </c>
      <c r="B602" t="s">
        <v>2803</v>
      </c>
      <c r="C602" s="96" t="s">
        <v>2804</v>
      </c>
      <c r="D602" t="s">
        <v>2805</v>
      </c>
      <c r="E602" s="96" t="s">
        <v>1467</v>
      </c>
      <c r="H602" t="s">
        <v>361</v>
      </c>
      <c r="I602">
        <f>VLOOKUP(H602,Listas!$B$2:$C$20,2,FALSE)</f>
        <v>500001</v>
      </c>
      <c r="J602" t="s">
        <v>73</v>
      </c>
      <c r="K602">
        <f>VLOOKUP(J602,Listas!$B$21:$C$50,2,FALSE)</f>
        <v>600017</v>
      </c>
      <c r="L602">
        <v>-1</v>
      </c>
    </row>
    <row r="603" spans="1:12">
      <c r="A603">
        <v>116</v>
      </c>
      <c r="B603" t="s">
        <v>2806</v>
      </c>
      <c r="C603" s="96" t="s">
        <v>2807</v>
      </c>
      <c r="D603" t="s">
        <v>2808</v>
      </c>
      <c r="E603" s="96" t="s">
        <v>1467</v>
      </c>
      <c r="H603" t="s">
        <v>361</v>
      </c>
      <c r="I603">
        <f>VLOOKUP(H603,Listas!$B$2:$C$20,2,FALSE)</f>
        <v>500001</v>
      </c>
      <c r="J603" t="s">
        <v>73</v>
      </c>
      <c r="K603">
        <f>VLOOKUP(J603,Listas!$B$21:$C$50,2,FALSE)</f>
        <v>600017</v>
      </c>
      <c r="L603">
        <v>-1</v>
      </c>
    </row>
    <row r="604" spans="1:12">
      <c r="A604">
        <v>116</v>
      </c>
      <c r="B604" t="s">
        <v>2809</v>
      </c>
      <c r="C604" s="96" t="s">
        <v>2810</v>
      </c>
      <c r="D604" t="s">
        <v>2811</v>
      </c>
      <c r="E604" s="96" t="s">
        <v>1467</v>
      </c>
      <c r="H604" t="s">
        <v>361</v>
      </c>
      <c r="I604">
        <f>VLOOKUP(H604,Listas!$B$2:$C$20,2,FALSE)</f>
        <v>500001</v>
      </c>
      <c r="J604" t="s">
        <v>73</v>
      </c>
      <c r="K604">
        <f>VLOOKUP(J604,Listas!$B$21:$C$50,2,FALSE)</f>
        <v>600017</v>
      </c>
      <c r="L604">
        <v>-1</v>
      </c>
    </row>
    <row r="605" spans="1:12">
      <c r="A605">
        <v>116</v>
      </c>
      <c r="B605" t="s">
        <v>2812</v>
      </c>
      <c r="C605" s="96" t="s">
        <v>2813</v>
      </c>
      <c r="D605" t="s">
        <v>2814</v>
      </c>
      <c r="E605" s="96" t="s">
        <v>1467</v>
      </c>
      <c r="H605" t="s">
        <v>361</v>
      </c>
      <c r="I605">
        <f>VLOOKUP(H605,Listas!$B$2:$C$20,2,FALSE)</f>
        <v>500001</v>
      </c>
      <c r="J605" t="s">
        <v>73</v>
      </c>
      <c r="K605">
        <f>VLOOKUP(J605,Listas!$B$21:$C$50,2,FALSE)</f>
        <v>600017</v>
      </c>
      <c r="L605">
        <v>-1</v>
      </c>
    </row>
    <row r="606" spans="1:12">
      <c r="A606">
        <v>116</v>
      </c>
      <c r="B606" t="s">
        <v>2815</v>
      </c>
      <c r="C606" s="96" t="s">
        <v>2816</v>
      </c>
      <c r="D606" t="s">
        <v>2817</v>
      </c>
      <c r="E606" s="96" t="s">
        <v>1467</v>
      </c>
      <c r="H606" t="s">
        <v>361</v>
      </c>
      <c r="I606">
        <f>VLOOKUP(H606,Listas!$B$2:$C$20,2,FALSE)</f>
        <v>500001</v>
      </c>
      <c r="J606" t="s">
        <v>73</v>
      </c>
      <c r="K606">
        <f>VLOOKUP(J606,Listas!$B$21:$C$50,2,FALSE)</f>
        <v>600017</v>
      </c>
      <c r="L606">
        <v>-1</v>
      </c>
    </row>
    <row r="607" spans="1:12">
      <c r="A607">
        <v>116</v>
      </c>
      <c r="B607" t="s">
        <v>2818</v>
      </c>
      <c r="C607" s="96" t="s">
        <v>2819</v>
      </c>
      <c r="D607" t="s">
        <v>2820</v>
      </c>
      <c r="E607" s="96" t="s">
        <v>1467</v>
      </c>
      <c r="H607" t="s">
        <v>361</v>
      </c>
      <c r="I607">
        <f>VLOOKUP(H607,Listas!$B$2:$C$20,2,FALSE)</f>
        <v>500001</v>
      </c>
      <c r="J607" t="s">
        <v>73</v>
      </c>
      <c r="K607">
        <f>VLOOKUP(J607,Listas!$B$21:$C$50,2,FALSE)</f>
        <v>600017</v>
      </c>
      <c r="L607">
        <v>-1</v>
      </c>
    </row>
    <row r="608" spans="1:12">
      <c r="A608">
        <v>116</v>
      </c>
      <c r="B608" t="s">
        <v>2821</v>
      </c>
      <c r="C608" s="96" t="s">
        <v>2822</v>
      </c>
      <c r="D608" t="s">
        <v>2823</v>
      </c>
      <c r="E608" s="96" t="s">
        <v>1467</v>
      </c>
      <c r="H608" t="s">
        <v>361</v>
      </c>
      <c r="I608">
        <f>VLOOKUP(H608,Listas!$B$2:$C$20,2,FALSE)</f>
        <v>500001</v>
      </c>
      <c r="J608" t="s">
        <v>73</v>
      </c>
      <c r="K608">
        <f>VLOOKUP(J608,Listas!$B$21:$C$50,2,FALSE)</f>
        <v>600017</v>
      </c>
      <c r="L608">
        <v>-1</v>
      </c>
    </row>
    <row r="609" spans="1:12">
      <c r="A609">
        <v>116</v>
      </c>
      <c r="B609" t="s">
        <v>2824</v>
      </c>
      <c r="C609" s="96" t="s">
        <v>2825</v>
      </c>
      <c r="D609" t="s">
        <v>2826</v>
      </c>
      <c r="E609" s="96" t="s">
        <v>1467</v>
      </c>
      <c r="H609" t="s">
        <v>361</v>
      </c>
      <c r="I609">
        <f>VLOOKUP(H609,Listas!$B$2:$C$20,2,FALSE)</f>
        <v>500001</v>
      </c>
      <c r="J609" t="s">
        <v>73</v>
      </c>
      <c r="K609">
        <f>VLOOKUP(J609,Listas!$B$21:$C$50,2,FALSE)</f>
        <v>600017</v>
      </c>
      <c r="L609">
        <v>-1</v>
      </c>
    </row>
    <row r="610" spans="1:12">
      <c r="A610">
        <v>116</v>
      </c>
      <c r="B610" t="s">
        <v>2827</v>
      </c>
      <c r="C610" s="96" t="s">
        <v>2828</v>
      </c>
      <c r="D610" t="s">
        <v>2829</v>
      </c>
      <c r="E610" s="96" t="s">
        <v>1467</v>
      </c>
      <c r="H610" t="s">
        <v>361</v>
      </c>
      <c r="I610">
        <f>VLOOKUP(H610,Listas!$B$2:$C$20,2,FALSE)</f>
        <v>500001</v>
      </c>
      <c r="J610" t="s">
        <v>73</v>
      </c>
      <c r="K610">
        <f>VLOOKUP(J610,Listas!$B$21:$C$50,2,FALSE)</f>
        <v>600017</v>
      </c>
      <c r="L610">
        <v>-1</v>
      </c>
    </row>
    <row r="611" spans="1:12">
      <c r="A611">
        <v>116</v>
      </c>
      <c r="B611" t="s">
        <v>2830</v>
      </c>
      <c r="C611" s="96" t="s">
        <v>2831</v>
      </c>
      <c r="D611" t="s">
        <v>2832</v>
      </c>
      <c r="E611" s="96" t="s">
        <v>1467</v>
      </c>
      <c r="H611" t="s">
        <v>361</v>
      </c>
      <c r="I611">
        <f>VLOOKUP(H611,Listas!$B$2:$C$20,2,FALSE)</f>
        <v>500001</v>
      </c>
      <c r="J611" t="s">
        <v>73</v>
      </c>
      <c r="K611">
        <f>VLOOKUP(J611,Listas!$B$21:$C$50,2,FALSE)</f>
        <v>600017</v>
      </c>
      <c r="L611">
        <v>-1</v>
      </c>
    </row>
    <row r="612" spans="1:12">
      <c r="A612">
        <v>116</v>
      </c>
      <c r="B612" t="s">
        <v>2833</v>
      </c>
      <c r="C612" s="96" t="s">
        <v>2834</v>
      </c>
      <c r="D612" t="s">
        <v>2835</v>
      </c>
      <c r="E612" s="96" t="s">
        <v>1467</v>
      </c>
      <c r="H612" t="s">
        <v>361</v>
      </c>
      <c r="I612">
        <f>VLOOKUP(H612,Listas!$B$2:$C$20,2,FALSE)</f>
        <v>500001</v>
      </c>
      <c r="J612" t="s">
        <v>73</v>
      </c>
      <c r="K612">
        <f>VLOOKUP(J612,Listas!$B$21:$C$50,2,FALSE)</f>
        <v>600017</v>
      </c>
      <c r="L612">
        <v>-1</v>
      </c>
    </row>
    <row r="613" spans="1:12">
      <c r="A613">
        <v>116</v>
      </c>
      <c r="B613" t="s">
        <v>2836</v>
      </c>
      <c r="C613" s="96" t="s">
        <v>2837</v>
      </c>
      <c r="D613" t="s">
        <v>2838</v>
      </c>
      <c r="E613" s="96" t="s">
        <v>1467</v>
      </c>
      <c r="H613" t="s">
        <v>361</v>
      </c>
      <c r="I613">
        <f>VLOOKUP(H613,Listas!$B$2:$C$20,2,FALSE)</f>
        <v>500001</v>
      </c>
      <c r="J613" t="s">
        <v>73</v>
      </c>
      <c r="K613">
        <f>VLOOKUP(J613,Listas!$B$21:$C$50,2,FALSE)</f>
        <v>600017</v>
      </c>
      <c r="L613">
        <v>-1</v>
      </c>
    </row>
    <row r="614" spans="1:12">
      <c r="A614">
        <v>116</v>
      </c>
      <c r="B614" t="s">
        <v>2839</v>
      </c>
      <c r="C614" s="96" t="s">
        <v>2840</v>
      </c>
      <c r="D614" t="s">
        <v>2841</v>
      </c>
      <c r="E614" s="96" t="s">
        <v>1467</v>
      </c>
      <c r="H614" t="s">
        <v>361</v>
      </c>
      <c r="I614">
        <f>VLOOKUP(H614,Listas!$B$2:$C$20,2,FALSE)</f>
        <v>500001</v>
      </c>
      <c r="J614" t="s">
        <v>73</v>
      </c>
      <c r="K614">
        <f>VLOOKUP(J614,Listas!$B$21:$C$50,2,FALSE)</f>
        <v>600017</v>
      </c>
      <c r="L614">
        <v>-1</v>
      </c>
    </row>
    <row r="615" spans="1:12">
      <c r="A615">
        <v>116</v>
      </c>
      <c r="B615" t="s">
        <v>2842</v>
      </c>
      <c r="C615" s="96" t="s">
        <v>2843</v>
      </c>
      <c r="D615" t="s">
        <v>2844</v>
      </c>
      <c r="E615" s="96" t="s">
        <v>1467</v>
      </c>
      <c r="H615" t="s">
        <v>361</v>
      </c>
      <c r="I615">
        <f>VLOOKUP(H615,Listas!$B$2:$C$20,2,FALSE)</f>
        <v>500001</v>
      </c>
      <c r="J615" t="s">
        <v>73</v>
      </c>
      <c r="K615">
        <f>VLOOKUP(J615,Listas!$B$21:$C$50,2,FALSE)</f>
        <v>600017</v>
      </c>
      <c r="L615">
        <v>-1</v>
      </c>
    </row>
    <row r="616" spans="1:12">
      <c r="A616">
        <v>116</v>
      </c>
      <c r="B616" t="s">
        <v>2845</v>
      </c>
      <c r="C616" s="96" t="s">
        <v>2846</v>
      </c>
      <c r="D616" t="s">
        <v>2847</v>
      </c>
      <c r="E616" s="96" t="s">
        <v>1467</v>
      </c>
      <c r="H616" t="s">
        <v>361</v>
      </c>
      <c r="I616">
        <f>VLOOKUP(H616,Listas!$B$2:$C$20,2,FALSE)</f>
        <v>500001</v>
      </c>
      <c r="J616" t="s">
        <v>73</v>
      </c>
      <c r="K616">
        <f>VLOOKUP(J616,Listas!$B$21:$C$50,2,FALSE)</f>
        <v>600017</v>
      </c>
      <c r="L616">
        <v>-1</v>
      </c>
    </row>
    <row r="617" spans="1:12">
      <c r="A617">
        <v>116</v>
      </c>
      <c r="B617" t="s">
        <v>2848</v>
      </c>
      <c r="C617" s="96" t="s">
        <v>2849</v>
      </c>
      <c r="D617" t="s">
        <v>2850</v>
      </c>
      <c r="E617" s="96" t="s">
        <v>1467</v>
      </c>
      <c r="H617" t="s">
        <v>361</v>
      </c>
      <c r="I617">
        <f>VLOOKUP(H617,Listas!$B$2:$C$20,2,FALSE)</f>
        <v>500001</v>
      </c>
      <c r="J617" t="s">
        <v>73</v>
      </c>
      <c r="K617">
        <f>VLOOKUP(J617,Listas!$B$21:$C$50,2,FALSE)</f>
        <v>600017</v>
      </c>
      <c r="L617">
        <v>-1</v>
      </c>
    </row>
    <row r="618" spans="1:12">
      <c r="A618">
        <v>116</v>
      </c>
      <c r="B618" t="s">
        <v>2851</v>
      </c>
      <c r="C618" s="96" t="s">
        <v>2852</v>
      </c>
      <c r="D618" t="s">
        <v>2853</v>
      </c>
      <c r="E618" s="96" t="s">
        <v>1467</v>
      </c>
      <c r="H618" t="s">
        <v>361</v>
      </c>
      <c r="I618">
        <f>VLOOKUP(H618,Listas!$B$2:$C$20,2,FALSE)</f>
        <v>500001</v>
      </c>
      <c r="J618" t="s">
        <v>73</v>
      </c>
      <c r="K618">
        <f>VLOOKUP(J618,Listas!$B$21:$C$50,2,FALSE)</f>
        <v>600017</v>
      </c>
      <c r="L618">
        <v>-1</v>
      </c>
    </row>
    <row r="619" spans="1:12">
      <c r="A619">
        <v>116</v>
      </c>
      <c r="B619" t="s">
        <v>2854</v>
      </c>
      <c r="C619" s="96" t="s">
        <v>2855</v>
      </c>
      <c r="D619" t="s">
        <v>2856</v>
      </c>
      <c r="E619" s="96" t="s">
        <v>1467</v>
      </c>
      <c r="H619" t="s">
        <v>361</v>
      </c>
      <c r="I619">
        <f>VLOOKUP(H619,Listas!$B$2:$C$20,2,FALSE)</f>
        <v>500001</v>
      </c>
      <c r="J619" t="s">
        <v>73</v>
      </c>
      <c r="K619">
        <f>VLOOKUP(J619,Listas!$B$21:$C$50,2,FALSE)</f>
        <v>600017</v>
      </c>
      <c r="L619">
        <v>-1</v>
      </c>
    </row>
    <row r="620" spans="1:12">
      <c r="A620">
        <v>116</v>
      </c>
      <c r="B620" t="s">
        <v>2857</v>
      </c>
      <c r="C620" s="96" t="s">
        <v>2858</v>
      </c>
      <c r="D620" t="s">
        <v>2859</v>
      </c>
      <c r="E620" s="96" t="s">
        <v>1467</v>
      </c>
      <c r="H620" t="s">
        <v>361</v>
      </c>
      <c r="I620">
        <f>VLOOKUP(H620,Listas!$B$2:$C$20,2,FALSE)</f>
        <v>500001</v>
      </c>
      <c r="J620" t="s">
        <v>73</v>
      </c>
      <c r="K620">
        <f>VLOOKUP(J620,Listas!$B$21:$C$50,2,FALSE)</f>
        <v>600017</v>
      </c>
      <c r="L620">
        <v>-1</v>
      </c>
    </row>
    <row r="621" spans="1:12">
      <c r="A621">
        <v>116</v>
      </c>
      <c r="B621" t="s">
        <v>2860</v>
      </c>
      <c r="C621" s="96" t="s">
        <v>2861</v>
      </c>
      <c r="D621" t="s">
        <v>2862</v>
      </c>
      <c r="E621" s="96" t="s">
        <v>1467</v>
      </c>
      <c r="H621" t="s">
        <v>361</v>
      </c>
      <c r="I621">
        <f>VLOOKUP(H621,Listas!$B$2:$C$20,2,FALSE)</f>
        <v>500001</v>
      </c>
      <c r="J621" t="s">
        <v>73</v>
      </c>
      <c r="K621">
        <f>VLOOKUP(J621,Listas!$B$21:$C$50,2,FALSE)</f>
        <v>600017</v>
      </c>
      <c r="L621">
        <v>-1</v>
      </c>
    </row>
    <row r="622" spans="1:12">
      <c r="A622">
        <v>116</v>
      </c>
      <c r="B622" t="s">
        <v>2863</v>
      </c>
      <c r="C622" s="96" t="s">
        <v>2864</v>
      </c>
      <c r="D622" t="s">
        <v>2865</v>
      </c>
      <c r="E622" s="96" t="s">
        <v>1467</v>
      </c>
      <c r="H622" t="s">
        <v>361</v>
      </c>
      <c r="I622">
        <f>VLOOKUP(H622,Listas!$B$2:$C$20,2,FALSE)</f>
        <v>500001</v>
      </c>
      <c r="J622" t="s">
        <v>73</v>
      </c>
      <c r="K622">
        <f>VLOOKUP(J622,Listas!$B$21:$C$50,2,FALSE)</f>
        <v>600017</v>
      </c>
      <c r="L622">
        <v>-1</v>
      </c>
    </row>
    <row r="623" spans="1:12">
      <c r="A623">
        <v>116</v>
      </c>
      <c r="B623" t="s">
        <v>2866</v>
      </c>
      <c r="C623" s="96" t="s">
        <v>2867</v>
      </c>
      <c r="D623" t="s">
        <v>2868</v>
      </c>
      <c r="E623" s="96" t="s">
        <v>1467</v>
      </c>
      <c r="H623" t="s">
        <v>361</v>
      </c>
      <c r="I623">
        <f>VLOOKUP(H623,Listas!$B$2:$C$20,2,FALSE)</f>
        <v>500001</v>
      </c>
      <c r="J623" t="s">
        <v>73</v>
      </c>
      <c r="K623">
        <f>VLOOKUP(J623,Listas!$B$21:$C$50,2,FALSE)</f>
        <v>600017</v>
      </c>
      <c r="L623">
        <v>-1</v>
      </c>
    </row>
    <row r="624" spans="1:12">
      <c r="A624">
        <v>116</v>
      </c>
      <c r="B624" t="s">
        <v>2869</v>
      </c>
      <c r="C624" s="96" t="s">
        <v>2870</v>
      </c>
      <c r="D624" t="s">
        <v>2871</v>
      </c>
      <c r="E624" s="96" t="s">
        <v>1467</v>
      </c>
      <c r="H624" t="s">
        <v>361</v>
      </c>
      <c r="I624">
        <f>VLOOKUP(H624,Listas!$B$2:$C$20,2,FALSE)</f>
        <v>500001</v>
      </c>
      <c r="J624" t="s">
        <v>73</v>
      </c>
      <c r="K624">
        <f>VLOOKUP(J624,Listas!$B$21:$C$50,2,FALSE)</f>
        <v>600017</v>
      </c>
      <c r="L624">
        <v>-1</v>
      </c>
    </row>
    <row r="625" spans="1:12">
      <c r="A625">
        <v>116</v>
      </c>
      <c r="B625" t="s">
        <v>2872</v>
      </c>
      <c r="C625" s="96" t="s">
        <v>2873</v>
      </c>
      <c r="D625" t="s">
        <v>2874</v>
      </c>
      <c r="E625" s="96" t="s">
        <v>1467</v>
      </c>
      <c r="H625" t="s">
        <v>361</v>
      </c>
      <c r="I625">
        <f>VLOOKUP(H625,Listas!$B$2:$C$20,2,FALSE)</f>
        <v>500001</v>
      </c>
      <c r="J625" t="s">
        <v>73</v>
      </c>
      <c r="K625">
        <f>VLOOKUP(J625,Listas!$B$21:$C$50,2,FALSE)</f>
        <v>600017</v>
      </c>
      <c r="L625">
        <v>-1</v>
      </c>
    </row>
    <row r="626" spans="1:12">
      <c r="A626">
        <v>116</v>
      </c>
      <c r="B626" t="s">
        <v>2875</v>
      </c>
      <c r="C626" s="96" t="s">
        <v>2876</v>
      </c>
      <c r="D626" t="s">
        <v>2877</v>
      </c>
      <c r="E626" s="96" t="s">
        <v>1467</v>
      </c>
      <c r="H626" t="s">
        <v>361</v>
      </c>
      <c r="I626">
        <f>VLOOKUP(H626,Listas!$B$2:$C$20,2,FALSE)</f>
        <v>500001</v>
      </c>
      <c r="J626" t="s">
        <v>73</v>
      </c>
      <c r="K626">
        <f>VLOOKUP(J626,Listas!$B$21:$C$50,2,FALSE)</f>
        <v>600017</v>
      </c>
      <c r="L626">
        <v>-1</v>
      </c>
    </row>
    <row r="627" spans="1:12">
      <c r="A627">
        <v>116</v>
      </c>
      <c r="B627" t="s">
        <v>2878</v>
      </c>
      <c r="C627" s="96" t="s">
        <v>2879</v>
      </c>
      <c r="D627" t="s">
        <v>2880</v>
      </c>
      <c r="E627" s="96" t="s">
        <v>1467</v>
      </c>
      <c r="H627" t="s">
        <v>361</v>
      </c>
      <c r="I627">
        <f>VLOOKUP(H627,Listas!$B$2:$C$20,2,FALSE)</f>
        <v>500001</v>
      </c>
      <c r="J627" t="s">
        <v>73</v>
      </c>
      <c r="K627">
        <f>VLOOKUP(J627,Listas!$B$21:$C$50,2,FALSE)</f>
        <v>600017</v>
      </c>
      <c r="L627">
        <v>-1</v>
      </c>
    </row>
    <row r="628" spans="1:12">
      <c r="A628">
        <v>116</v>
      </c>
      <c r="B628" t="s">
        <v>2881</v>
      </c>
      <c r="C628" s="96" t="s">
        <v>2882</v>
      </c>
      <c r="D628" t="s">
        <v>2883</v>
      </c>
      <c r="E628" s="96" t="s">
        <v>1467</v>
      </c>
      <c r="H628" t="s">
        <v>361</v>
      </c>
      <c r="I628">
        <f>VLOOKUP(H628,Listas!$B$2:$C$20,2,FALSE)</f>
        <v>500001</v>
      </c>
      <c r="J628" t="s">
        <v>73</v>
      </c>
      <c r="K628">
        <f>VLOOKUP(J628,Listas!$B$21:$C$50,2,FALSE)</f>
        <v>600017</v>
      </c>
      <c r="L628">
        <v>-1</v>
      </c>
    </row>
    <row r="629" spans="1:12">
      <c r="A629">
        <v>116</v>
      </c>
      <c r="B629" t="s">
        <v>2884</v>
      </c>
      <c r="C629" s="96" t="s">
        <v>2885</v>
      </c>
      <c r="D629" t="s">
        <v>2886</v>
      </c>
      <c r="E629" s="96" t="s">
        <v>1467</v>
      </c>
      <c r="H629" t="s">
        <v>361</v>
      </c>
      <c r="I629">
        <f>VLOOKUP(H629,Listas!$B$2:$C$20,2,FALSE)</f>
        <v>500001</v>
      </c>
      <c r="J629" t="s">
        <v>73</v>
      </c>
      <c r="K629">
        <f>VLOOKUP(J629,Listas!$B$21:$C$50,2,FALSE)</f>
        <v>600017</v>
      </c>
      <c r="L629">
        <v>-1</v>
      </c>
    </row>
    <row r="630" spans="1:12">
      <c r="A630">
        <v>116</v>
      </c>
      <c r="B630" t="s">
        <v>2887</v>
      </c>
      <c r="C630" s="96" t="s">
        <v>2888</v>
      </c>
      <c r="D630" t="s">
        <v>2889</v>
      </c>
      <c r="E630" s="96" t="s">
        <v>1467</v>
      </c>
      <c r="H630" t="s">
        <v>361</v>
      </c>
      <c r="I630">
        <f>VLOOKUP(H630,Listas!$B$2:$C$20,2,FALSE)</f>
        <v>500001</v>
      </c>
      <c r="J630" t="s">
        <v>73</v>
      </c>
      <c r="K630">
        <f>VLOOKUP(J630,Listas!$B$21:$C$50,2,FALSE)</f>
        <v>600017</v>
      </c>
      <c r="L630">
        <v>-1</v>
      </c>
    </row>
    <row r="631" spans="1:12">
      <c r="A631">
        <v>116</v>
      </c>
      <c r="B631" t="s">
        <v>2890</v>
      </c>
      <c r="C631" s="96" t="s">
        <v>2891</v>
      </c>
      <c r="D631" t="s">
        <v>2892</v>
      </c>
      <c r="E631" s="96" t="s">
        <v>1467</v>
      </c>
      <c r="H631" t="s">
        <v>361</v>
      </c>
      <c r="I631">
        <f>VLOOKUP(H631,Listas!$B$2:$C$20,2,FALSE)</f>
        <v>500001</v>
      </c>
      <c r="J631" t="s">
        <v>73</v>
      </c>
      <c r="K631">
        <f>VLOOKUP(J631,Listas!$B$21:$C$50,2,FALSE)</f>
        <v>600017</v>
      </c>
      <c r="L631">
        <v>-1</v>
      </c>
    </row>
    <row r="632" spans="1:12">
      <c r="A632">
        <v>116</v>
      </c>
      <c r="B632" t="s">
        <v>2893</v>
      </c>
      <c r="C632" s="96" t="s">
        <v>2894</v>
      </c>
      <c r="D632" t="s">
        <v>2895</v>
      </c>
      <c r="E632" s="96" t="s">
        <v>1467</v>
      </c>
      <c r="H632" t="s">
        <v>361</v>
      </c>
      <c r="I632">
        <f>VLOOKUP(H632,Listas!$B$2:$C$20,2,FALSE)</f>
        <v>500001</v>
      </c>
      <c r="J632" t="s">
        <v>73</v>
      </c>
      <c r="K632">
        <f>VLOOKUP(J632,Listas!$B$21:$C$50,2,FALSE)</f>
        <v>600017</v>
      </c>
      <c r="L632">
        <v>-1</v>
      </c>
    </row>
    <row r="633" spans="1:12">
      <c r="A633">
        <v>116</v>
      </c>
      <c r="B633" t="s">
        <v>2896</v>
      </c>
      <c r="C633" s="96" t="s">
        <v>2897</v>
      </c>
      <c r="D633" t="s">
        <v>2898</v>
      </c>
      <c r="E633" s="96" t="s">
        <v>1467</v>
      </c>
      <c r="H633" t="s">
        <v>361</v>
      </c>
      <c r="I633">
        <f>VLOOKUP(H633,Listas!$B$2:$C$20,2,FALSE)</f>
        <v>500001</v>
      </c>
      <c r="J633" t="s">
        <v>73</v>
      </c>
      <c r="K633">
        <f>VLOOKUP(J633,Listas!$B$21:$C$50,2,FALSE)</f>
        <v>600017</v>
      </c>
      <c r="L633">
        <v>-1</v>
      </c>
    </row>
    <row r="634" spans="1:12">
      <c r="A634">
        <v>116</v>
      </c>
      <c r="B634" t="s">
        <v>2899</v>
      </c>
      <c r="C634" s="96" t="s">
        <v>2900</v>
      </c>
      <c r="D634" t="s">
        <v>2901</v>
      </c>
      <c r="E634" s="96" t="s">
        <v>1467</v>
      </c>
      <c r="H634" t="s">
        <v>361</v>
      </c>
      <c r="I634">
        <f>VLOOKUP(H634,Listas!$B$2:$C$20,2,FALSE)</f>
        <v>500001</v>
      </c>
      <c r="J634" t="s">
        <v>73</v>
      </c>
      <c r="K634">
        <f>VLOOKUP(J634,Listas!$B$21:$C$50,2,FALSE)</f>
        <v>600017</v>
      </c>
      <c r="L634">
        <v>-1</v>
      </c>
    </row>
    <row r="635" spans="1:12">
      <c r="A635">
        <v>116</v>
      </c>
      <c r="B635" t="s">
        <v>2902</v>
      </c>
      <c r="C635" s="96" t="s">
        <v>2903</v>
      </c>
      <c r="D635" t="s">
        <v>2904</v>
      </c>
      <c r="E635" s="96" t="s">
        <v>1467</v>
      </c>
      <c r="H635" t="s">
        <v>361</v>
      </c>
      <c r="I635">
        <f>VLOOKUP(H635,Listas!$B$2:$C$20,2,FALSE)</f>
        <v>500001</v>
      </c>
      <c r="J635" t="s">
        <v>73</v>
      </c>
      <c r="K635">
        <f>VLOOKUP(J635,Listas!$B$21:$C$50,2,FALSE)</f>
        <v>600017</v>
      </c>
      <c r="L635">
        <v>-1</v>
      </c>
    </row>
    <row r="636" spans="1:12">
      <c r="A636">
        <v>116</v>
      </c>
      <c r="B636" t="s">
        <v>2905</v>
      </c>
      <c r="C636" s="96" t="s">
        <v>2906</v>
      </c>
      <c r="D636" t="s">
        <v>2907</v>
      </c>
      <c r="E636" s="96" t="s">
        <v>1467</v>
      </c>
      <c r="H636" t="s">
        <v>361</v>
      </c>
      <c r="I636">
        <f>VLOOKUP(H636,Listas!$B$2:$C$20,2,FALSE)</f>
        <v>500001</v>
      </c>
      <c r="J636" t="s">
        <v>73</v>
      </c>
      <c r="K636">
        <f>VLOOKUP(J636,Listas!$B$21:$C$50,2,FALSE)</f>
        <v>600017</v>
      </c>
      <c r="L636">
        <v>-1</v>
      </c>
    </row>
    <row r="637" spans="1:12">
      <c r="A637">
        <v>116</v>
      </c>
      <c r="B637" t="s">
        <v>2908</v>
      </c>
      <c r="C637" s="96" t="s">
        <v>2909</v>
      </c>
      <c r="D637" t="s">
        <v>2910</v>
      </c>
      <c r="E637" s="96" t="s">
        <v>1467</v>
      </c>
      <c r="H637" t="s">
        <v>361</v>
      </c>
      <c r="I637">
        <f>VLOOKUP(H637,Listas!$B$2:$C$20,2,FALSE)</f>
        <v>500001</v>
      </c>
      <c r="J637" t="s">
        <v>73</v>
      </c>
      <c r="K637">
        <f>VLOOKUP(J637,Listas!$B$21:$C$50,2,FALSE)</f>
        <v>600017</v>
      </c>
      <c r="L637">
        <v>-1</v>
      </c>
    </row>
    <row r="638" spans="1:12">
      <c r="A638">
        <v>116</v>
      </c>
      <c r="B638" t="s">
        <v>2911</v>
      </c>
      <c r="C638" s="96" t="s">
        <v>2912</v>
      </c>
      <c r="D638" t="s">
        <v>2913</v>
      </c>
      <c r="E638" s="96" t="s">
        <v>1467</v>
      </c>
      <c r="H638" t="s">
        <v>361</v>
      </c>
      <c r="I638">
        <f>VLOOKUP(H638,Listas!$B$2:$C$20,2,FALSE)</f>
        <v>500001</v>
      </c>
      <c r="J638" t="s">
        <v>73</v>
      </c>
      <c r="K638">
        <f>VLOOKUP(J638,Listas!$B$21:$C$50,2,FALSE)</f>
        <v>600017</v>
      </c>
      <c r="L638">
        <v>-1</v>
      </c>
    </row>
    <row r="639" spans="1:12">
      <c r="A639">
        <v>116</v>
      </c>
      <c r="B639" t="s">
        <v>2914</v>
      </c>
      <c r="C639" s="96" t="s">
        <v>2915</v>
      </c>
      <c r="D639" t="s">
        <v>2916</v>
      </c>
      <c r="E639" s="96" t="s">
        <v>1467</v>
      </c>
      <c r="H639" t="s">
        <v>361</v>
      </c>
      <c r="I639">
        <f>VLOOKUP(H639,Listas!$B$2:$C$20,2,FALSE)</f>
        <v>500001</v>
      </c>
      <c r="J639" t="s">
        <v>73</v>
      </c>
      <c r="K639">
        <f>VLOOKUP(J639,Listas!$B$21:$C$50,2,FALSE)</f>
        <v>600017</v>
      </c>
      <c r="L639">
        <v>-1</v>
      </c>
    </row>
    <row r="640" spans="1:12">
      <c r="A640">
        <v>116</v>
      </c>
      <c r="B640" t="s">
        <v>2917</v>
      </c>
      <c r="C640" s="96" t="s">
        <v>2918</v>
      </c>
      <c r="D640" t="s">
        <v>2919</v>
      </c>
      <c r="E640" s="96" t="s">
        <v>1467</v>
      </c>
      <c r="H640" t="s">
        <v>361</v>
      </c>
      <c r="I640">
        <f>VLOOKUP(H640,Listas!$B$2:$C$20,2,FALSE)</f>
        <v>500001</v>
      </c>
      <c r="J640" t="s">
        <v>73</v>
      </c>
      <c r="K640">
        <f>VLOOKUP(J640,Listas!$B$21:$C$50,2,FALSE)</f>
        <v>600017</v>
      </c>
      <c r="L640">
        <v>-1</v>
      </c>
    </row>
    <row r="641" spans="1:12">
      <c r="A641">
        <v>116</v>
      </c>
      <c r="B641" t="s">
        <v>2920</v>
      </c>
      <c r="C641" s="96" t="s">
        <v>2921</v>
      </c>
      <c r="D641" t="s">
        <v>2922</v>
      </c>
      <c r="E641" s="96" t="s">
        <v>1467</v>
      </c>
      <c r="H641" t="s">
        <v>361</v>
      </c>
      <c r="I641">
        <f>VLOOKUP(H641,Listas!$B$2:$C$20,2,FALSE)</f>
        <v>500001</v>
      </c>
      <c r="J641" t="s">
        <v>73</v>
      </c>
      <c r="K641">
        <f>VLOOKUP(J641,Listas!$B$21:$C$50,2,FALSE)</f>
        <v>600017</v>
      </c>
      <c r="L641">
        <v>-1</v>
      </c>
    </row>
    <row r="642" spans="1:12">
      <c r="A642">
        <v>116</v>
      </c>
      <c r="B642" t="s">
        <v>2923</v>
      </c>
      <c r="C642" s="96" t="s">
        <v>2924</v>
      </c>
      <c r="D642" t="s">
        <v>2925</v>
      </c>
      <c r="E642" s="96" t="s">
        <v>1467</v>
      </c>
      <c r="H642" t="s">
        <v>361</v>
      </c>
      <c r="I642">
        <f>VLOOKUP(H642,Listas!$B$2:$C$20,2,FALSE)</f>
        <v>500001</v>
      </c>
      <c r="J642" t="s">
        <v>73</v>
      </c>
      <c r="K642">
        <f>VLOOKUP(J642,Listas!$B$21:$C$50,2,FALSE)</f>
        <v>600017</v>
      </c>
      <c r="L642">
        <v>-1</v>
      </c>
    </row>
    <row r="643" spans="1:12">
      <c r="A643">
        <v>116</v>
      </c>
      <c r="B643" t="s">
        <v>2926</v>
      </c>
      <c r="C643" s="96" t="s">
        <v>2927</v>
      </c>
      <c r="D643" t="s">
        <v>2928</v>
      </c>
      <c r="E643" s="96" t="s">
        <v>1467</v>
      </c>
      <c r="H643" t="s">
        <v>361</v>
      </c>
      <c r="I643">
        <f>VLOOKUP(H643,Listas!$B$2:$C$20,2,FALSE)</f>
        <v>500001</v>
      </c>
      <c r="J643" t="s">
        <v>73</v>
      </c>
      <c r="K643">
        <f>VLOOKUP(J643,Listas!$B$21:$C$50,2,FALSE)</f>
        <v>600017</v>
      </c>
      <c r="L643">
        <v>-1</v>
      </c>
    </row>
    <row r="644" spans="1:12">
      <c r="A644">
        <v>116</v>
      </c>
      <c r="B644" t="s">
        <v>2929</v>
      </c>
      <c r="C644" s="96" t="s">
        <v>2930</v>
      </c>
      <c r="D644" t="s">
        <v>2931</v>
      </c>
      <c r="E644" s="96" t="s">
        <v>1467</v>
      </c>
      <c r="H644" t="s">
        <v>361</v>
      </c>
      <c r="I644">
        <f>VLOOKUP(H644,Listas!$B$2:$C$20,2,FALSE)</f>
        <v>500001</v>
      </c>
      <c r="J644" t="s">
        <v>73</v>
      </c>
      <c r="K644">
        <f>VLOOKUP(J644,Listas!$B$21:$C$50,2,FALSE)</f>
        <v>600017</v>
      </c>
      <c r="L644">
        <v>-1</v>
      </c>
    </row>
    <row r="645" spans="1:12">
      <c r="A645">
        <v>116</v>
      </c>
      <c r="B645" t="s">
        <v>2932</v>
      </c>
      <c r="C645" s="96" t="s">
        <v>2933</v>
      </c>
      <c r="D645" t="s">
        <v>2934</v>
      </c>
      <c r="E645" s="96" t="s">
        <v>1467</v>
      </c>
      <c r="H645" t="s">
        <v>361</v>
      </c>
      <c r="I645">
        <f>VLOOKUP(H645,Listas!$B$2:$C$20,2,FALSE)</f>
        <v>500001</v>
      </c>
      <c r="J645" t="s">
        <v>73</v>
      </c>
      <c r="K645">
        <f>VLOOKUP(J645,Listas!$B$21:$C$50,2,FALSE)</f>
        <v>600017</v>
      </c>
      <c r="L645">
        <v>-1</v>
      </c>
    </row>
    <row r="646" spans="1:12">
      <c r="A646">
        <v>116</v>
      </c>
      <c r="B646" t="s">
        <v>2935</v>
      </c>
      <c r="C646" s="96" t="s">
        <v>2936</v>
      </c>
      <c r="D646" t="s">
        <v>2937</v>
      </c>
      <c r="E646" s="96" t="s">
        <v>1467</v>
      </c>
      <c r="H646" t="s">
        <v>361</v>
      </c>
      <c r="I646">
        <f>VLOOKUP(H646,Listas!$B$2:$C$20,2,FALSE)</f>
        <v>500001</v>
      </c>
      <c r="J646" t="s">
        <v>73</v>
      </c>
      <c r="K646">
        <f>VLOOKUP(J646,Listas!$B$21:$C$50,2,FALSE)</f>
        <v>600017</v>
      </c>
      <c r="L646">
        <v>-1</v>
      </c>
    </row>
    <row r="647" spans="1:12">
      <c r="A647">
        <v>116</v>
      </c>
      <c r="B647" t="s">
        <v>2938</v>
      </c>
      <c r="C647" s="96" t="s">
        <v>2939</v>
      </c>
      <c r="D647" t="s">
        <v>2940</v>
      </c>
      <c r="E647" s="96" t="s">
        <v>1467</v>
      </c>
      <c r="H647" t="s">
        <v>361</v>
      </c>
      <c r="I647">
        <f>VLOOKUP(H647,Listas!$B$2:$C$20,2,FALSE)</f>
        <v>500001</v>
      </c>
      <c r="J647" t="s">
        <v>73</v>
      </c>
      <c r="K647">
        <f>VLOOKUP(J647,Listas!$B$21:$C$50,2,FALSE)</f>
        <v>600017</v>
      </c>
      <c r="L647">
        <v>-1</v>
      </c>
    </row>
    <row r="648" spans="1:12">
      <c r="A648">
        <v>116</v>
      </c>
      <c r="B648" t="s">
        <v>2941</v>
      </c>
      <c r="C648" s="96" t="s">
        <v>2942</v>
      </c>
      <c r="D648" t="s">
        <v>2943</v>
      </c>
      <c r="E648" s="96" t="s">
        <v>1467</v>
      </c>
      <c r="H648" t="s">
        <v>361</v>
      </c>
      <c r="I648">
        <f>VLOOKUP(H648,Listas!$B$2:$C$20,2,FALSE)</f>
        <v>500001</v>
      </c>
      <c r="J648" t="s">
        <v>73</v>
      </c>
      <c r="K648">
        <f>VLOOKUP(J648,Listas!$B$21:$C$50,2,FALSE)</f>
        <v>600017</v>
      </c>
      <c r="L648">
        <v>-1</v>
      </c>
    </row>
    <row r="649" spans="1:12">
      <c r="A649">
        <v>116</v>
      </c>
      <c r="B649" t="s">
        <v>2944</v>
      </c>
      <c r="C649" s="96" t="s">
        <v>2945</v>
      </c>
      <c r="D649" t="s">
        <v>2946</v>
      </c>
      <c r="E649" s="96" t="s">
        <v>1467</v>
      </c>
      <c r="H649" t="s">
        <v>361</v>
      </c>
      <c r="I649">
        <f>VLOOKUP(H649,Listas!$B$2:$C$20,2,FALSE)</f>
        <v>500001</v>
      </c>
      <c r="J649" t="s">
        <v>73</v>
      </c>
      <c r="K649">
        <f>VLOOKUP(J649,Listas!$B$21:$C$50,2,FALSE)</f>
        <v>600017</v>
      </c>
      <c r="L649">
        <v>-1</v>
      </c>
    </row>
    <row r="650" spans="1:12">
      <c r="A650">
        <v>116</v>
      </c>
      <c r="B650" t="s">
        <v>2947</v>
      </c>
      <c r="C650" s="96" t="s">
        <v>2948</v>
      </c>
      <c r="D650" t="s">
        <v>2949</v>
      </c>
      <c r="E650" s="96" t="s">
        <v>1467</v>
      </c>
      <c r="H650" t="s">
        <v>361</v>
      </c>
      <c r="I650">
        <f>VLOOKUP(H650,Listas!$B$2:$C$20,2,FALSE)</f>
        <v>500001</v>
      </c>
      <c r="J650" t="s">
        <v>73</v>
      </c>
      <c r="K650">
        <f>VLOOKUP(J650,Listas!$B$21:$C$50,2,FALSE)</f>
        <v>600017</v>
      </c>
      <c r="L650">
        <v>-1</v>
      </c>
    </row>
    <row r="651" spans="1:12">
      <c r="A651">
        <v>116</v>
      </c>
      <c r="B651" t="s">
        <v>2950</v>
      </c>
      <c r="C651" s="96" t="s">
        <v>2951</v>
      </c>
      <c r="D651" t="s">
        <v>2952</v>
      </c>
      <c r="E651" s="96" t="s">
        <v>1467</v>
      </c>
      <c r="H651" t="s">
        <v>361</v>
      </c>
      <c r="I651">
        <f>VLOOKUP(H651,Listas!$B$2:$C$20,2,FALSE)</f>
        <v>500001</v>
      </c>
      <c r="J651" t="s">
        <v>73</v>
      </c>
      <c r="K651">
        <f>VLOOKUP(J651,Listas!$B$21:$C$50,2,FALSE)</f>
        <v>600017</v>
      </c>
      <c r="L651">
        <v>-1</v>
      </c>
    </row>
    <row r="652" spans="1:12">
      <c r="A652">
        <v>116</v>
      </c>
      <c r="B652" t="s">
        <v>2953</v>
      </c>
      <c r="C652" s="96" t="s">
        <v>2954</v>
      </c>
      <c r="D652" t="s">
        <v>2955</v>
      </c>
      <c r="E652" s="96" t="s">
        <v>1467</v>
      </c>
      <c r="H652" t="s">
        <v>361</v>
      </c>
      <c r="I652">
        <f>VLOOKUP(H652,Listas!$B$2:$C$20,2,FALSE)</f>
        <v>500001</v>
      </c>
      <c r="J652" t="s">
        <v>73</v>
      </c>
      <c r="K652">
        <f>VLOOKUP(J652,Listas!$B$21:$C$50,2,FALSE)</f>
        <v>600017</v>
      </c>
      <c r="L652">
        <v>-1</v>
      </c>
    </row>
    <row r="653" spans="1:12">
      <c r="A653">
        <v>116</v>
      </c>
      <c r="B653" t="s">
        <v>2956</v>
      </c>
      <c r="C653" s="96" t="s">
        <v>2957</v>
      </c>
      <c r="D653" t="s">
        <v>2958</v>
      </c>
      <c r="E653" s="96" t="s">
        <v>1467</v>
      </c>
      <c r="H653" t="s">
        <v>361</v>
      </c>
      <c r="I653">
        <f>VLOOKUP(H653,Listas!$B$2:$C$20,2,FALSE)</f>
        <v>500001</v>
      </c>
      <c r="J653" t="s">
        <v>73</v>
      </c>
      <c r="K653">
        <f>VLOOKUP(J653,Listas!$B$21:$C$50,2,FALSE)</f>
        <v>600017</v>
      </c>
      <c r="L653">
        <v>-1</v>
      </c>
    </row>
    <row r="654" spans="1:12">
      <c r="A654">
        <v>116</v>
      </c>
      <c r="B654" t="s">
        <v>2959</v>
      </c>
      <c r="C654" s="96" t="s">
        <v>2960</v>
      </c>
      <c r="D654" t="s">
        <v>2961</v>
      </c>
      <c r="E654" s="96" t="s">
        <v>1467</v>
      </c>
      <c r="H654" t="s">
        <v>361</v>
      </c>
      <c r="I654">
        <f>VLOOKUP(H654,Listas!$B$2:$C$20,2,FALSE)</f>
        <v>500001</v>
      </c>
      <c r="J654" t="s">
        <v>73</v>
      </c>
      <c r="K654">
        <f>VLOOKUP(J654,Listas!$B$21:$C$50,2,FALSE)</f>
        <v>600017</v>
      </c>
      <c r="L654">
        <v>-1</v>
      </c>
    </row>
    <row r="655" spans="1:12">
      <c r="A655">
        <v>116</v>
      </c>
      <c r="B655" t="s">
        <v>2962</v>
      </c>
      <c r="C655" s="96" t="s">
        <v>2963</v>
      </c>
      <c r="D655" t="s">
        <v>2964</v>
      </c>
      <c r="E655" s="96" t="s">
        <v>1467</v>
      </c>
      <c r="H655" t="s">
        <v>361</v>
      </c>
      <c r="I655">
        <f>VLOOKUP(H655,Listas!$B$2:$C$20,2,FALSE)</f>
        <v>500001</v>
      </c>
      <c r="J655" t="s">
        <v>73</v>
      </c>
      <c r="K655">
        <f>VLOOKUP(J655,Listas!$B$21:$C$50,2,FALSE)</f>
        <v>600017</v>
      </c>
      <c r="L655">
        <v>-1</v>
      </c>
    </row>
    <row r="656" spans="1:12">
      <c r="A656">
        <v>116</v>
      </c>
      <c r="B656" t="s">
        <v>2965</v>
      </c>
      <c r="C656" s="96" t="s">
        <v>2966</v>
      </c>
      <c r="D656" t="s">
        <v>2967</v>
      </c>
      <c r="E656" s="96" t="s">
        <v>1467</v>
      </c>
      <c r="H656" t="s">
        <v>361</v>
      </c>
      <c r="I656">
        <f>VLOOKUP(H656,Listas!$B$2:$C$20,2,FALSE)</f>
        <v>500001</v>
      </c>
      <c r="J656" t="s">
        <v>73</v>
      </c>
      <c r="K656">
        <f>VLOOKUP(J656,Listas!$B$21:$C$50,2,FALSE)</f>
        <v>600017</v>
      </c>
      <c r="L656">
        <v>-1</v>
      </c>
    </row>
    <row r="657" spans="1:12">
      <c r="A657">
        <v>116</v>
      </c>
      <c r="B657" t="s">
        <v>2968</v>
      </c>
      <c r="C657" s="96" t="s">
        <v>2969</v>
      </c>
      <c r="D657" t="s">
        <v>2970</v>
      </c>
      <c r="E657" s="96" t="s">
        <v>1467</v>
      </c>
      <c r="H657" t="s">
        <v>361</v>
      </c>
      <c r="I657">
        <f>VLOOKUP(H657,Listas!$B$2:$C$20,2,FALSE)</f>
        <v>500001</v>
      </c>
      <c r="J657" t="s">
        <v>73</v>
      </c>
      <c r="K657">
        <f>VLOOKUP(J657,Listas!$B$21:$C$50,2,FALSE)</f>
        <v>600017</v>
      </c>
      <c r="L657">
        <v>-1</v>
      </c>
    </row>
    <row r="658" spans="1:12">
      <c r="A658">
        <v>116</v>
      </c>
      <c r="B658" t="s">
        <v>713</v>
      </c>
      <c r="C658" s="96" t="s">
        <v>714</v>
      </c>
      <c r="D658" t="s">
        <v>715</v>
      </c>
      <c r="E658" s="96" t="s">
        <v>1467</v>
      </c>
      <c r="H658" t="s">
        <v>361</v>
      </c>
      <c r="I658">
        <f>VLOOKUP(H658,Listas!$B$2:$C$20,2,FALSE)</f>
        <v>500001</v>
      </c>
      <c r="J658" t="s">
        <v>73</v>
      </c>
      <c r="K658">
        <f>VLOOKUP(J658,Listas!$B$21:$C$50,2,FALSE)</f>
        <v>600017</v>
      </c>
      <c r="L658">
        <v>-1</v>
      </c>
    </row>
    <row r="659" spans="1:12">
      <c r="A659">
        <v>116</v>
      </c>
      <c r="B659" t="s">
        <v>2971</v>
      </c>
      <c r="C659" s="96" t="s">
        <v>2972</v>
      </c>
      <c r="D659" t="s">
        <v>2973</v>
      </c>
      <c r="E659" s="96" t="s">
        <v>1467</v>
      </c>
      <c r="H659" t="s">
        <v>361</v>
      </c>
      <c r="I659">
        <f>VLOOKUP(H659,Listas!$B$2:$C$20,2,FALSE)</f>
        <v>500001</v>
      </c>
      <c r="J659" t="s">
        <v>73</v>
      </c>
      <c r="K659">
        <f>VLOOKUP(J659,Listas!$B$21:$C$50,2,FALSE)</f>
        <v>600017</v>
      </c>
      <c r="L659">
        <v>-1</v>
      </c>
    </row>
    <row r="660" spans="1:12">
      <c r="A660">
        <v>116</v>
      </c>
      <c r="B660" t="s">
        <v>2974</v>
      </c>
      <c r="C660" s="96">
        <v>10282714000193</v>
      </c>
      <c r="D660" t="s">
        <v>2975</v>
      </c>
      <c r="E660" s="96" t="s">
        <v>1467</v>
      </c>
      <c r="H660" t="s">
        <v>361</v>
      </c>
      <c r="I660">
        <f>VLOOKUP(H660,Listas!$B$2:$C$20,2,FALSE)</f>
        <v>500001</v>
      </c>
      <c r="J660" t="s">
        <v>73</v>
      </c>
      <c r="K660">
        <f>VLOOKUP(J660,Listas!$B$21:$C$50,2,FALSE)</f>
        <v>600017</v>
      </c>
      <c r="L660">
        <v>-1</v>
      </c>
    </row>
    <row r="661" spans="1:12">
      <c r="A661">
        <v>116</v>
      </c>
      <c r="B661" t="s">
        <v>2976</v>
      </c>
      <c r="C661" s="96" t="s">
        <v>2977</v>
      </c>
      <c r="D661" t="s">
        <v>2978</v>
      </c>
      <c r="E661" s="96" t="s">
        <v>1467</v>
      </c>
      <c r="H661" t="s">
        <v>361</v>
      </c>
      <c r="I661">
        <f>VLOOKUP(H661,Listas!$B$2:$C$20,2,FALSE)</f>
        <v>500001</v>
      </c>
      <c r="J661" t="s">
        <v>73</v>
      </c>
      <c r="K661">
        <f>VLOOKUP(J661,Listas!$B$21:$C$50,2,FALSE)</f>
        <v>600017</v>
      </c>
      <c r="L661">
        <v>-1</v>
      </c>
    </row>
    <row r="662" spans="1:12">
      <c r="A662">
        <v>116</v>
      </c>
      <c r="B662" t="s">
        <v>2979</v>
      </c>
      <c r="C662" s="96" t="s">
        <v>2980</v>
      </c>
      <c r="D662" t="s">
        <v>2981</v>
      </c>
      <c r="E662" s="96" t="s">
        <v>1467</v>
      </c>
      <c r="H662" t="s">
        <v>361</v>
      </c>
      <c r="I662">
        <f>VLOOKUP(H662,Listas!$B$2:$C$20,2,FALSE)</f>
        <v>500001</v>
      </c>
      <c r="J662" t="s">
        <v>73</v>
      </c>
      <c r="K662">
        <f>VLOOKUP(J662,Listas!$B$21:$C$50,2,FALSE)</f>
        <v>600017</v>
      </c>
      <c r="L662">
        <v>-1</v>
      </c>
    </row>
    <row r="663" spans="1:12">
      <c r="A663">
        <v>116</v>
      </c>
      <c r="B663" t="s">
        <v>2982</v>
      </c>
      <c r="C663" s="96" t="s">
        <v>2983</v>
      </c>
      <c r="D663" t="s">
        <v>2984</v>
      </c>
      <c r="E663" s="96" t="s">
        <v>1467</v>
      </c>
      <c r="H663" t="s">
        <v>361</v>
      </c>
      <c r="I663">
        <f>VLOOKUP(H663,Listas!$B$2:$C$20,2,FALSE)</f>
        <v>500001</v>
      </c>
      <c r="J663" t="s">
        <v>73</v>
      </c>
      <c r="K663">
        <f>VLOOKUP(J663,Listas!$B$21:$C$50,2,FALSE)</f>
        <v>600017</v>
      </c>
      <c r="L663">
        <v>-1</v>
      </c>
    </row>
    <row r="664" spans="1:12">
      <c r="A664">
        <v>116</v>
      </c>
      <c r="B664" t="s">
        <v>2985</v>
      </c>
      <c r="C664" s="96" t="s">
        <v>2986</v>
      </c>
      <c r="D664" t="s">
        <v>2987</v>
      </c>
      <c r="E664" s="96" t="s">
        <v>1467</v>
      </c>
      <c r="H664" t="s">
        <v>361</v>
      </c>
      <c r="I664">
        <f>VLOOKUP(H664,Listas!$B$2:$C$20,2,FALSE)</f>
        <v>500001</v>
      </c>
      <c r="J664" t="s">
        <v>73</v>
      </c>
      <c r="K664">
        <f>VLOOKUP(J664,Listas!$B$21:$C$50,2,FALSE)</f>
        <v>600017</v>
      </c>
      <c r="L664">
        <v>-1</v>
      </c>
    </row>
    <row r="665" spans="1:12">
      <c r="A665">
        <v>116</v>
      </c>
      <c r="B665" t="s">
        <v>716</v>
      </c>
      <c r="C665" s="96" t="s">
        <v>717</v>
      </c>
      <c r="D665" t="s">
        <v>718</v>
      </c>
      <c r="E665" s="96" t="s">
        <v>1467</v>
      </c>
      <c r="H665" t="s">
        <v>361</v>
      </c>
      <c r="I665">
        <f>VLOOKUP(H665,Listas!$B$2:$C$20,2,FALSE)</f>
        <v>500001</v>
      </c>
      <c r="J665" t="s">
        <v>73</v>
      </c>
      <c r="K665">
        <f>VLOOKUP(J665,Listas!$B$21:$C$50,2,FALSE)</f>
        <v>600017</v>
      </c>
      <c r="L665">
        <v>-1</v>
      </c>
    </row>
    <row r="666" spans="1:12">
      <c r="A666">
        <v>116</v>
      </c>
      <c r="B666" t="s">
        <v>2988</v>
      </c>
      <c r="C666" s="96" t="s">
        <v>2989</v>
      </c>
      <c r="D666" t="s">
        <v>2990</v>
      </c>
      <c r="E666" s="96" t="s">
        <v>1467</v>
      </c>
      <c r="H666" t="s">
        <v>361</v>
      </c>
      <c r="I666">
        <f>VLOOKUP(H666,Listas!$B$2:$C$20,2,FALSE)</f>
        <v>500001</v>
      </c>
      <c r="J666" t="s">
        <v>73</v>
      </c>
      <c r="K666">
        <f>VLOOKUP(J666,Listas!$B$21:$C$50,2,FALSE)</f>
        <v>600017</v>
      </c>
      <c r="L666">
        <v>-1</v>
      </c>
    </row>
    <row r="667" spans="1:12">
      <c r="A667">
        <v>116</v>
      </c>
      <c r="B667" t="s">
        <v>2991</v>
      </c>
      <c r="C667" s="96" t="s">
        <v>2992</v>
      </c>
      <c r="D667" t="s">
        <v>2993</v>
      </c>
      <c r="E667" s="96" t="s">
        <v>1467</v>
      </c>
      <c r="H667" t="s">
        <v>361</v>
      </c>
      <c r="I667">
        <f>VLOOKUP(H667,Listas!$B$2:$C$20,2,FALSE)</f>
        <v>500001</v>
      </c>
      <c r="J667" t="s">
        <v>73</v>
      </c>
      <c r="K667">
        <f>VLOOKUP(J667,Listas!$B$21:$C$50,2,FALSE)</f>
        <v>600017</v>
      </c>
      <c r="L667">
        <v>-1</v>
      </c>
    </row>
    <row r="668" spans="1:12">
      <c r="A668">
        <v>116</v>
      </c>
      <c r="B668" t="s">
        <v>2994</v>
      </c>
      <c r="C668" s="96" t="s">
        <v>2995</v>
      </c>
      <c r="D668" t="s">
        <v>2996</v>
      </c>
      <c r="E668" s="96" t="s">
        <v>1467</v>
      </c>
      <c r="H668" t="s">
        <v>361</v>
      </c>
      <c r="I668">
        <f>VLOOKUP(H668,Listas!$B$2:$C$20,2,FALSE)</f>
        <v>500001</v>
      </c>
      <c r="J668" t="s">
        <v>73</v>
      </c>
      <c r="K668">
        <f>VLOOKUP(J668,Listas!$B$21:$C$50,2,FALSE)</f>
        <v>600017</v>
      </c>
      <c r="L668">
        <v>-1</v>
      </c>
    </row>
    <row r="669" spans="1:12">
      <c r="A669">
        <v>116</v>
      </c>
      <c r="B669" t="s">
        <v>2997</v>
      </c>
      <c r="C669" s="96" t="s">
        <v>2998</v>
      </c>
      <c r="D669" t="s">
        <v>2999</v>
      </c>
      <c r="E669" s="96" t="s">
        <v>1467</v>
      </c>
      <c r="H669" t="s">
        <v>361</v>
      </c>
      <c r="I669">
        <f>VLOOKUP(H669,Listas!$B$2:$C$20,2,FALSE)</f>
        <v>500001</v>
      </c>
      <c r="J669" t="s">
        <v>73</v>
      </c>
      <c r="K669">
        <f>VLOOKUP(J669,Listas!$B$21:$C$50,2,FALSE)</f>
        <v>600017</v>
      </c>
      <c r="L669">
        <v>-1</v>
      </c>
    </row>
    <row r="670" spans="1:12">
      <c r="A670">
        <v>116</v>
      </c>
      <c r="B670" t="s">
        <v>3000</v>
      </c>
      <c r="C670" s="96" t="s">
        <v>3001</v>
      </c>
      <c r="D670" t="s">
        <v>3002</v>
      </c>
      <c r="E670" s="96" t="s">
        <v>1467</v>
      </c>
      <c r="H670" t="s">
        <v>361</v>
      </c>
      <c r="I670">
        <f>VLOOKUP(H670,Listas!$B$2:$C$20,2,FALSE)</f>
        <v>500001</v>
      </c>
      <c r="J670" t="s">
        <v>73</v>
      </c>
      <c r="K670">
        <f>VLOOKUP(J670,Listas!$B$21:$C$50,2,FALSE)</f>
        <v>600017</v>
      </c>
      <c r="L670">
        <v>-1</v>
      </c>
    </row>
    <row r="671" spans="1:12">
      <c r="A671">
        <v>116</v>
      </c>
      <c r="B671" t="s">
        <v>3003</v>
      </c>
      <c r="C671" s="96" t="s">
        <v>3004</v>
      </c>
      <c r="D671" t="s">
        <v>3005</v>
      </c>
      <c r="E671" s="96" t="s">
        <v>1467</v>
      </c>
      <c r="H671" t="s">
        <v>361</v>
      </c>
      <c r="I671">
        <f>VLOOKUP(H671,Listas!$B$2:$C$20,2,FALSE)</f>
        <v>500001</v>
      </c>
      <c r="J671" t="s">
        <v>73</v>
      </c>
      <c r="K671">
        <f>VLOOKUP(J671,Listas!$B$21:$C$50,2,FALSE)</f>
        <v>600017</v>
      </c>
      <c r="L671">
        <v>-1</v>
      </c>
    </row>
    <row r="672" spans="1:12">
      <c r="A672">
        <v>116</v>
      </c>
      <c r="B672" t="s">
        <v>3006</v>
      </c>
      <c r="C672" s="96" t="s">
        <v>3007</v>
      </c>
      <c r="D672" t="s">
        <v>3008</v>
      </c>
      <c r="E672" s="96" t="s">
        <v>1467</v>
      </c>
      <c r="H672" t="s">
        <v>361</v>
      </c>
      <c r="I672">
        <f>VLOOKUP(H672,Listas!$B$2:$C$20,2,FALSE)</f>
        <v>500001</v>
      </c>
      <c r="J672" t="s">
        <v>73</v>
      </c>
      <c r="K672">
        <f>VLOOKUP(J672,Listas!$B$21:$C$50,2,FALSE)</f>
        <v>600017</v>
      </c>
      <c r="L672">
        <v>-1</v>
      </c>
    </row>
    <row r="673" spans="1:12">
      <c r="A673">
        <v>116</v>
      </c>
      <c r="B673" t="s">
        <v>3009</v>
      </c>
      <c r="C673" s="96" t="s">
        <v>3010</v>
      </c>
      <c r="D673" t="s">
        <v>3011</v>
      </c>
      <c r="E673" s="96" t="s">
        <v>1467</v>
      </c>
      <c r="H673" t="s">
        <v>361</v>
      </c>
      <c r="I673">
        <f>VLOOKUP(H673,Listas!$B$2:$C$20,2,FALSE)</f>
        <v>500001</v>
      </c>
      <c r="J673" t="s">
        <v>73</v>
      </c>
      <c r="K673">
        <f>VLOOKUP(J673,Listas!$B$21:$C$50,2,FALSE)</f>
        <v>600017</v>
      </c>
      <c r="L673">
        <v>-1</v>
      </c>
    </row>
    <row r="674" spans="1:12">
      <c r="A674">
        <v>116</v>
      </c>
      <c r="B674" t="s">
        <v>3012</v>
      </c>
      <c r="C674" s="96" t="s">
        <v>3013</v>
      </c>
      <c r="D674" t="s">
        <v>3014</v>
      </c>
      <c r="E674" s="96" t="s">
        <v>1467</v>
      </c>
      <c r="H674" t="s">
        <v>361</v>
      </c>
      <c r="I674">
        <f>VLOOKUP(H674,Listas!$B$2:$C$20,2,FALSE)</f>
        <v>500001</v>
      </c>
      <c r="J674" t="s">
        <v>73</v>
      </c>
      <c r="K674">
        <f>VLOOKUP(J674,Listas!$B$21:$C$50,2,FALSE)</f>
        <v>600017</v>
      </c>
      <c r="L674">
        <v>-1</v>
      </c>
    </row>
    <row r="675" spans="1:12">
      <c r="A675">
        <v>116</v>
      </c>
      <c r="B675" t="s">
        <v>3015</v>
      </c>
      <c r="C675" s="96" t="s">
        <v>3016</v>
      </c>
      <c r="D675" t="s">
        <v>3017</v>
      </c>
      <c r="E675" s="96" t="s">
        <v>1467</v>
      </c>
      <c r="H675" t="s">
        <v>361</v>
      </c>
      <c r="I675">
        <f>VLOOKUP(H675,Listas!$B$2:$C$20,2,FALSE)</f>
        <v>500001</v>
      </c>
      <c r="J675" t="s">
        <v>73</v>
      </c>
      <c r="K675">
        <f>VLOOKUP(J675,Listas!$B$21:$C$50,2,FALSE)</f>
        <v>600017</v>
      </c>
      <c r="L675">
        <v>-1</v>
      </c>
    </row>
    <row r="676" spans="1:12">
      <c r="A676">
        <v>116</v>
      </c>
      <c r="B676" t="s">
        <v>3018</v>
      </c>
      <c r="C676" s="96" t="s">
        <v>3019</v>
      </c>
      <c r="D676" t="s">
        <v>3020</v>
      </c>
      <c r="E676" s="96" t="s">
        <v>1467</v>
      </c>
      <c r="H676" t="s">
        <v>361</v>
      </c>
      <c r="I676">
        <f>VLOOKUP(H676,Listas!$B$2:$C$20,2,FALSE)</f>
        <v>500001</v>
      </c>
      <c r="J676" t="s">
        <v>73</v>
      </c>
      <c r="K676">
        <f>VLOOKUP(J676,Listas!$B$21:$C$50,2,FALSE)</f>
        <v>600017</v>
      </c>
      <c r="L676">
        <v>-1</v>
      </c>
    </row>
    <row r="677" spans="1:12">
      <c r="A677">
        <v>116</v>
      </c>
      <c r="B677" t="s">
        <v>3021</v>
      </c>
      <c r="C677" s="96" t="s">
        <v>3022</v>
      </c>
      <c r="D677" t="s">
        <v>3023</v>
      </c>
      <c r="E677" s="96" t="s">
        <v>1467</v>
      </c>
      <c r="H677" t="s">
        <v>361</v>
      </c>
      <c r="I677">
        <f>VLOOKUP(H677,Listas!$B$2:$C$20,2,FALSE)</f>
        <v>500001</v>
      </c>
      <c r="J677" t="s">
        <v>73</v>
      </c>
      <c r="K677">
        <f>VLOOKUP(J677,Listas!$B$21:$C$50,2,FALSE)</f>
        <v>600017</v>
      </c>
      <c r="L677">
        <v>-1</v>
      </c>
    </row>
    <row r="678" spans="1:12">
      <c r="A678">
        <v>116</v>
      </c>
      <c r="B678" t="s">
        <v>3024</v>
      </c>
      <c r="C678" s="96" t="s">
        <v>3025</v>
      </c>
      <c r="D678" t="s">
        <v>3026</v>
      </c>
      <c r="E678" s="96" t="s">
        <v>1467</v>
      </c>
      <c r="H678" t="s">
        <v>361</v>
      </c>
      <c r="I678">
        <f>VLOOKUP(H678,Listas!$B$2:$C$20,2,FALSE)</f>
        <v>500001</v>
      </c>
      <c r="J678" t="s">
        <v>73</v>
      </c>
      <c r="K678">
        <f>VLOOKUP(J678,Listas!$B$21:$C$50,2,FALSE)</f>
        <v>600017</v>
      </c>
      <c r="L678">
        <v>-1</v>
      </c>
    </row>
    <row r="679" spans="1:12">
      <c r="A679">
        <v>116</v>
      </c>
      <c r="B679" t="s">
        <v>3027</v>
      </c>
      <c r="C679" s="96" t="s">
        <v>3028</v>
      </c>
      <c r="D679" t="s">
        <v>3029</v>
      </c>
      <c r="E679" s="96" t="s">
        <v>1467</v>
      </c>
      <c r="H679" t="s">
        <v>361</v>
      </c>
      <c r="I679">
        <f>VLOOKUP(H679,Listas!$B$2:$C$20,2,FALSE)</f>
        <v>500001</v>
      </c>
      <c r="J679" t="s">
        <v>73</v>
      </c>
      <c r="K679">
        <f>VLOOKUP(J679,Listas!$B$21:$C$50,2,FALSE)</f>
        <v>600017</v>
      </c>
      <c r="L679">
        <v>-1</v>
      </c>
    </row>
    <row r="680" spans="1:12">
      <c r="A680">
        <v>116</v>
      </c>
      <c r="B680" t="s">
        <v>3030</v>
      </c>
      <c r="C680" s="96" t="s">
        <v>3031</v>
      </c>
      <c r="D680" t="s">
        <v>3032</v>
      </c>
      <c r="E680" s="96" t="s">
        <v>1467</v>
      </c>
      <c r="H680" t="s">
        <v>361</v>
      </c>
      <c r="I680">
        <f>VLOOKUP(H680,Listas!$B$2:$C$20,2,FALSE)</f>
        <v>500001</v>
      </c>
      <c r="J680" t="s">
        <v>73</v>
      </c>
      <c r="K680">
        <f>VLOOKUP(J680,Listas!$B$21:$C$50,2,FALSE)</f>
        <v>600017</v>
      </c>
      <c r="L680">
        <v>-1</v>
      </c>
    </row>
    <row r="681" spans="1:12">
      <c r="A681">
        <v>116</v>
      </c>
      <c r="B681" t="s">
        <v>719</v>
      </c>
      <c r="C681" s="96" t="s">
        <v>720</v>
      </c>
      <c r="D681" t="s">
        <v>721</v>
      </c>
      <c r="E681" s="96" t="s">
        <v>1467</v>
      </c>
      <c r="H681" t="s">
        <v>361</v>
      </c>
      <c r="I681">
        <f>VLOOKUP(H681,Listas!$B$2:$C$20,2,FALSE)</f>
        <v>500001</v>
      </c>
      <c r="J681" t="s">
        <v>73</v>
      </c>
      <c r="K681">
        <f>VLOOKUP(J681,Listas!$B$21:$C$50,2,FALSE)</f>
        <v>600017</v>
      </c>
      <c r="L681">
        <v>-1</v>
      </c>
    </row>
    <row r="682" spans="1:12">
      <c r="A682">
        <v>116</v>
      </c>
      <c r="B682" t="s">
        <v>3033</v>
      </c>
      <c r="C682" s="96" t="s">
        <v>3034</v>
      </c>
      <c r="D682" t="s">
        <v>3035</v>
      </c>
      <c r="E682" s="96" t="s">
        <v>1467</v>
      </c>
      <c r="H682" t="s">
        <v>361</v>
      </c>
      <c r="I682">
        <f>VLOOKUP(H682,Listas!$B$2:$C$20,2,FALSE)</f>
        <v>500001</v>
      </c>
      <c r="J682" t="s">
        <v>73</v>
      </c>
      <c r="K682">
        <f>VLOOKUP(J682,Listas!$B$21:$C$50,2,FALSE)</f>
        <v>600017</v>
      </c>
      <c r="L682">
        <v>-1</v>
      </c>
    </row>
    <row r="683" spans="1:12">
      <c r="A683">
        <v>116</v>
      </c>
      <c r="B683" t="s">
        <v>3036</v>
      </c>
      <c r="C683" s="96">
        <v>2794423</v>
      </c>
      <c r="D683" t="s">
        <v>3037</v>
      </c>
      <c r="E683" s="96" t="s">
        <v>1467</v>
      </c>
      <c r="H683" t="s">
        <v>361</v>
      </c>
      <c r="I683">
        <f>VLOOKUP(H683,Listas!$B$2:$C$20,2,FALSE)</f>
        <v>500001</v>
      </c>
      <c r="J683" t="s">
        <v>73</v>
      </c>
      <c r="K683">
        <f>VLOOKUP(J683,Listas!$B$21:$C$50,2,FALSE)</f>
        <v>600017</v>
      </c>
      <c r="L683">
        <v>-1</v>
      </c>
    </row>
    <row r="684" spans="1:12">
      <c r="A684">
        <v>116</v>
      </c>
      <c r="B684" t="s">
        <v>3038</v>
      </c>
      <c r="C684" s="96" t="s">
        <v>3039</v>
      </c>
      <c r="D684" t="s">
        <v>3040</v>
      </c>
      <c r="E684" s="96" t="s">
        <v>1467</v>
      </c>
      <c r="H684" t="s">
        <v>361</v>
      </c>
      <c r="I684">
        <f>VLOOKUP(H684,Listas!$B$2:$C$20,2,FALSE)</f>
        <v>500001</v>
      </c>
      <c r="J684" t="s">
        <v>73</v>
      </c>
      <c r="K684">
        <f>VLOOKUP(J684,Listas!$B$21:$C$50,2,FALSE)</f>
        <v>600017</v>
      </c>
      <c r="L684">
        <v>-1</v>
      </c>
    </row>
    <row r="685" spans="1:12">
      <c r="A685">
        <v>116</v>
      </c>
      <c r="B685" t="s">
        <v>3041</v>
      </c>
      <c r="C685" s="96" t="s">
        <v>3042</v>
      </c>
      <c r="D685" t="s">
        <v>3043</v>
      </c>
      <c r="E685" s="96" t="s">
        <v>1467</v>
      </c>
      <c r="H685" t="s">
        <v>361</v>
      </c>
      <c r="I685">
        <f>VLOOKUP(H685,Listas!$B$2:$C$20,2,FALSE)</f>
        <v>500001</v>
      </c>
      <c r="J685" t="s">
        <v>73</v>
      </c>
      <c r="K685">
        <f>VLOOKUP(J685,Listas!$B$21:$C$50,2,FALSE)</f>
        <v>600017</v>
      </c>
      <c r="L685">
        <v>-1</v>
      </c>
    </row>
    <row r="686" spans="1:12">
      <c r="A686">
        <v>116</v>
      </c>
      <c r="B686" t="s">
        <v>3044</v>
      </c>
      <c r="C686" s="96" t="s">
        <v>3045</v>
      </c>
      <c r="D686" t="s">
        <v>3040</v>
      </c>
      <c r="E686" s="96" t="s">
        <v>1467</v>
      </c>
      <c r="H686" t="s">
        <v>361</v>
      </c>
      <c r="I686">
        <f>VLOOKUP(H686,Listas!$B$2:$C$20,2,FALSE)</f>
        <v>500001</v>
      </c>
      <c r="J686" t="s">
        <v>73</v>
      </c>
      <c r="K686">
        <f>VLOOKUP(J686,Listas!$B$21:$C$50,2,FALSE)</f>
        <v>600017</v>
      </c>
      <c r="L686">
        <v>-1</v>
      </c>
    </row>
    <row r="687" spans="1:12">
      <c r="A687">
        <v>116</v>
      </c>
      <c r="B687" t="s">
        <v>3046</v>
      </c>
      <c r="C687" s="96">
        <v>7874587000130</v>
      </c>
      <c r="D687" t="s">
        <v>3047</v>
      </c>
      <c r="E687" s="96" t="s">
        <v>1467</v>
      </c>
      <c r="H687" t="s">
        <v>361</v>
      </c>
      <c r="I687">
        <f>VLOOKUP(H687,Listas!$B$2:$C$20,2,FALSE)</f>
        <v>500001</v>
      </c>
      <c r="J687" t="s">
        <v>73</v>
      </c>
      <c r="K687">
        <f>VLOOKUP(J687,Listas!$B$21:$C$50,2,FALSE)</f>
        <v>600017</v>
      </c>
      <c r="L687">
        <v>-1</v>
      </c>
    </row>
    <row r="688" spans="1:12">
      <c r="A688">
        <v>116</v>
      </c>
      <c r="B688" t="s">
        <v>3048</v>
      </c>
      <c r="C688" s="96" t="s">
        <v>3049</v>
      </c>
      <c r="D688" t="s">
        <v>3050</v>
      </c>
      <c r="E688" s="96" t="s">
        <v>1467</v>
      </c>
      <c r="H688" t="s">
        <v>361</v>
      </c>
      <c r="I688">
        <f>VLOOKUP(H688,Listas!$B$2:$C$20,2,FALSE)</f>
        <v>500001</v>
      </c>
      <c r="J688" t="s">
        <v>73</v>
      </c>
      <c r="K688">
        <f>VLOOKUP(J688,Listas!$B$21:$C$50,2,FALSE)</f>
        <v>600017</v>
      </c>
      <c r="L688">
        <v>-1</v>
      </c>
    </row>
    <row r="689" spans="1:12">
      <c r="A689">
        <v>116</v>
      </c>
      <c r="B689" t="s">
        <v>3051</v>
      </c>
      <c r="C689" s="96" t="s">
        <v>3052</v>
      </c>
      <c r="D689" t="s">
        <v>3053</v>
      </c>
      <c r="E689" s="96" t="s">
        <v>1467</v>
      </c>
      <c r="H689" t="s">
        <v>361</v>
      </c>
      <c r="I689">
        <f>VLOOKUP(H689,Listas!$B$2:$C$20,2,FALSE)</f>
        <v>500001</v>
      </c>
      <c r="J689" t="s">
        <v>73</v>
      </c>
      <c r="K689">
        <f>VLOOKUP(J689,Listas!$B$21:$C$50,2,FALSE)</f>
        <v>600017</v>
      </c>
      <c r="L689">
        <v>-1</v>
      </c>
    </row>
    <row r="690" spans="1:12">
      <c r="A690">
        <v>116</v>
      </c>
      <c r="B690" t="s">
        <v>3054</v>
      </c>
      <c r="C690" s="96" t="s">
        <v>3055</v>
      </c>
      <c r="D690" t="s">
        <v>3056</v>
      </c>
      <c r="E690" s="96" t="s">
        <v>1467</v>
      </c>
      <c r="H690" t="s">
        <v>361</v>
      </c>
      <c r="I690">
        <f>VLOOKUP(H690,Listas!$B$2:$C$20,2,FALSE)</f>
        <v>500001</v>
      </c>
      <c r="J690" t="s">
        <v>73</v>
      </c>
      <c r="K690">
        <f>VLOOKUP(J690,Listas!$B$21:$C$50,2,FALSE)</f>
        <v>600017</v>
      </c>
      <c r="L690">
        <v>-1</v>
      </c>
    </row>
    <row r="691" spans="1:12">
      <c r="A691">
        <v>116</v>
      </c>
      <c r="B691" t="s">
        <v>3057</v>
      </c>
      <c r="C691" s="96" t="s">
        <v>3058</v>
      </c>
      <c r="D691" t="s">
        <v>3059</v>
      </c>
      <c r="E691" s="96" t="s">
        <v>1467</v>
      </c>
      <c r="H691" t="s">
        <v>361</v>
      </c>
      <c r="I691">
        <f>VLOOKUP(H691,Listas!$B$2:$C$20,2,FALSE)</f>
        <v>500001</v>
      </c>
      <c r="J691" t="s">
        <v>73</v>
      </c>
      <c r="K691">
        <f>VLOOKUP(J691,Listas!$B$21:$C$50,2,FALSE)</f>
        <v>600017</v>
      </c>
      <c r="L691">
        <v>-1</v>
      </c>
    </row>
    <row r="692" spans="1:12">
      <c r="A692">
        <v>116</v>
      </c>
      <c r="B692" t="s">
        <v>3060</v>
      </c>
      <c r="C692" s="96" t="s">
        <v>3061</v>
      </c>
      <c r="D692" t="s">
        <v>3062</v>
      </c>
      <c r="E692" s="96" t="s">
        <v>1467</v>
      </c>
      <c r="H692" t="s">
        <v>361</v>
      </c>
      <c r="I692">
        <f>VLOOKUP(H692,Listas!$B$2:$C$20,2,FALSE)</f>
        <v>500001</v>
      </c>
      <c r="J692" t="s">
        <v>73</v>
      </c>
      <c r="K692">
        <f>VLOOKUP(J692,Listas!$B$21:$C$50,2,FALSE)</f>
        <v>600017</v>
      </c>
      <c r="L692">
        <v>-1</v>
      </c>
    </row>
    <row r="693" spans="1:12">
      <c r="A693">
        <v>116</v>
      </c>
      <c r="B693" t="s">
        <v>3063</v>
      </c>
      <c r="C693" s="96" t="s">
        <v>3064</v>
      </c>
      <c r="D693" t="s">
        <v>3065</v>
      </c>
      <c r="E693" s="96" t="s">
        <v>1467</v>
      </c>
      <c r="H693" t="s">
        <v>361</v>
      </c>
      <c r="I693">
        <f>VLOOKUP(H693,Listas!$B$2:$C$20,2,FALSE)</f>
        <v>500001</v>
      </c>
      <c r="J693" t="s">
        <v>73</v>
      </c>
      <c r="K693">
        <f>VLOOKUP(J693,Listas!$B$21:$C$50,2,FALSE)</f>
        <v>600017</v>
      </c>
      <c r="L693">
        <v>-1</v>
      </c>
    </row>
    <row r="694" spans="1:12">
      <c r="A694">
        <v>116</v>
      </c>
      <c r="B694" t="s">
        <v>3066</v>
      </c>
      <c r="C694" s="96" t="s">
        <v>3067</v>
      </c>
      <c r="D694" t="s">
        <v>3068</v>
      </c>
      <c r="E694" s="96" t="s">
        <v>1467</v>
      </c>
      <c r="H694" t="s">
        <v>361</v>
      </c>
      <c r="I694">
        <f>VLOOKUP(H694,Listas!$B$2:$C$20,2,FALSE)</f>
        <v>500001</v>
      </c>
      <c r="J694" t="s">
        <v>73</v>
      </c>
      <c r="K694">
        <f>VLOOKUP(J694,Listas!$B$21:$C$50,2,FALSE)</f>
        <v>600017</v>
      </c>
      <c r="L694">
        <v>-1</v>
      </c>
    </row>
    <row r="695" spans="1:12">
      <c r="A695">
        <v>116</v>
      </c>
      <c r="B695" t="s">
        <v>3069</v>
      </c>
      <c r="C695" s="96" t="s">
        <v>3070</v>
      </c>
      <c r="D695" t="s">
        <v>3071</v>
      </c>
      <c r="E695" s="96" t="s">
        <v>1467</v>
      </c>
      <c r="H695" t="s">
        <v>361</v>
      </c>
      <c r="I695">
        <f>VLOOKUP(H695,Listas!$B$2:$C$20,2,FALSE)</f>
        <v>500001</v>
      </c>
      <c r="J695" t="s">
        <v>73</v>
      </c>
      <c r="K695">
        <f>VLOOKUP(J695,Listas!$B$21:$C$50,2,FALSE)</f>
        <v>600017</v>
      </c>
      <c r="L695">
        <v>-1</v>
      </c>
    </row>
    <row r="696" spans="1:12">
      <c r="A696">
        <v>116</v>
      </c>
      <c r="B696" t="s">
        <v>3072</v>
      </c>
      <c r="C696" s="96" t="s">
        <v>3073</v>
      </c>
      <c r="D696" t="s">
        <v>3074</v>
      </c>
      <c r="E696" s="96" t="s">
        <v>1467</v>
      </c>
      <c r="H696" t="s">
        <v>361</v>
      </c>
      <c r="I696">
        <f>VLOOKUP(H696,Listas!$B$2:$C$20,2,FALSE)</f>
        <v>500001</v>
      </c>
      <c r="J696" t="s">
        <v>73</v>
      </c>
      <c r="K696">
        <f>VLOOKUP(J696,Listas!$B$21:$C$50,2,FALSE)</f>
        <v>600017</v>
      </c>
      <c r="L696">
        <v>-1</v>
      </c>
    </row>
    <row r="697" spans="1:12">
      <c r="A697">
        <v>116</v>
      </c>
      <c r="B697" t="s">
        <v>3075</v>
      </c>
      <c r="C697" s="96" t="s">
        <v>3076</v>
      </c>
      <c r="D697" t="s">
        <v>3077</v>
      </c>
      <c r="E697" s="96" t="s">
        <v>1467</v>
      </c>
      <c r="H697" t="s">
        <v>361</v>
      </c>
      <c r="I697">
        <f>VLOOKUP(H697,Listas!$B$2:$C$20,2,FALSE)</f>
        <v>500001</v>
      </c>
      <c r="J697" t="s">
        <v>73</v>
      </c>
      <c r="K697">
        <f>VLOOKUP(J697,Listas!$B$21:$C$50,2,FALSE)</f>
        <v>600017</v>
      </c>
      <c r="L697">
        <v>-1</v>
      </c>
    </row>
    <row r="698" spans="1:12">
      <c r="A698">
        <v>116</v>
      </c>
      <c r="B698" t="s">
        <v>3078</v>
      </c>
      <c r="C698" s="96" t="s">
        <v>3079</v>
      </c>
      <c r="D698" t="s">
        <v>3080</v>
      </c>
      <c r="E698" s="96" t="s">
        <v>1467</v>
      </c>
      <c r="H698" t="s">
        <v>361</v>
      </c>
      <c r="I698">
        <f>VLOOKUP(H698,Listas!$B$2:$C$20,2,FALSE)</f>
        <v>500001</v>
      </c>
      <c r="J698" t="s">
        <v>73</v>
      </c>
      <c r="K698">
        <f>VLOOKUP(J698,Listas!$B$21:$C$50,2,FALSE)</f>
        <v>600017</v>
      </c>
      <c r="L698">
        <v>-1</v>
      </c>
    </row>
    <row r="699" spans="1:12">
      <c r="A699">
        <v>116</v>
      </c>
      <c r="B699" t="s">
        <v>3081</v>
      </c>
      <c r="C699" s="96" t="s">
        <v>3082</v>
      </c>
      <c r="D699" t="s">
        <v>3083</v>
      </c>
      <c r="E699" s="96" t="s">
        <v>1467</v>
      </c>
      <c r="H699" t="s">
        <v>361</v>
      </c>
      <c r="I699">
        <f>VLOOKUP(H699,Listas!$B$2:$C$20,2,FALSE)</f>
        <v>500001</v>
      </c>
      <c r="J699" t="s">
        <v>73</v>
      </c>
      <c r="K699">
        <f>VLOOKUP(J699,Listas!$B$21:$C$50,2,FALSE)</f>
        <v>600017</v>
      </c>
      <c r="L699">
        <v>-1</v>
      </c>
    </row>
    <row r="700" spans="1:12">
      <c r="A700">
        <v>116</v>
      </c>
      <c r="B700" t="s">
        <v>3084</v>
      </c>
      <c r="C700" s="96" t="s">
        <v>3085</v>
      </c>
      <c r="D700" t="s">
        <v>3086</v>
      </c>
      <c r="E700" s="96" t="s">
        <v>1467</v>
      </c>
      <c r="H700" t="s">
        <v>361</v>
      </c>
      <c r="I700">
        <f>VLOOKUP(H700,Listas!$B$2:$C$20,2,FALSE)</f>
        <v>500001</v>
      </c>
      <c r="J700" t="s">
        <v>73</v>
      </c>
      <c r="K700">
        <f>VLOOKUP(J700,Listas!$B$21:$C$50,2,FALSE)</f>
        <v>600017</v>
      </c>
      <c r="L700">
        <v>-1</v>
      </c>
    </row>
    <row r="701" spans="1:12">
      <c r="A701">
        <v>116</v>
      </c>
      <c r="B701" t="s">
        <v>3087</v>
      </c>
      <c r="C701" s="96" t="s">
        <v>3088</v>
      </c>
      <c r="D701" t="s">
        <v>3089</v>
      </c>
      <c r="E701" s="96" t="s">
        <v>1467</v>
      </c>
      <c r="H701" t="s">
        <v>361</v>
      </c>
      <c r="I701">
        <f>VLOOKUP(H701,Listas!$B$2:$C$20,2,FALSE)</f>
        <v>500001</v>
      </c>
      <c r="J701" t="s">
        <v>73</v>
      </c>
      <c r="K701">
        <f>VLOOKUP(J701,Listas!$B$21:$C$50,2,FALSE)</f>
        <v>600017</v>
      </c>
      <c r="L701">
        <v>-1</v>
      </c>
    </row>
    <row r="702" spans="1:12">
      <c r="A702">
        <v>116</v>
      </c>
      <c r="B702" t="s">
        <v>3090</v>
      </c>
      <c r="C702" s="96" t="s">
        <v>3091</v>
      </c>
      <c r="D702" t="s">
        <v>3092</v>
      </c>
      <c r="E702" s="96" t="s">
        <v>1467</v>
      </c>
      <c r="H702" t="s">
        <v>361</v>
      </c>
      <c r="I702">
        <f>VLOOKUP(H702,Listas!$B$2:$C$20,2,FALSE)</f>
        <v>500001</v>
      </c>
      <c r="J702" t="s">
        <v>73</v>
      </c>
      <c r="K702">
        <f>VLOOKUP(J702,Listas!$B$21:$C$50,2,FALSE)</f>
        <v>600017</v>
      </c>
      <c r="L702">
        <v>-1</v>
      </c>
    </row>
    <row r="703" spans="1:12">
      <c r="A703">
        <v>116</v>
      </c>
      <c r="B703" t="s">
        <v>3093</v>
      </c>
      <c r="C703" s="96" t="s">
        <v>3094</v>
      </c>
      <c r="D703" t="s">
        <v>3095</v>
      </c>
      <c r="E703" s="96" t="s">
        <v>1467</v>
      </c>
      <c r="H703" t="s">
        <v>361</v>
      </c>
      <c r="I703">
        <f>VLOOKUP(H703,Listas!$B$2:$C$20,2,FALSE)</f>
        <v>500001</v>
      </c>
      <c r="J703" t="s">
        <v>73</v>
      </c>
      <c r="K703">
        <f>VLOOKUP(J703,Listas!$B$21:$C$50,2,FALSE)</f>
        <v>600017</v>
      </c>
      <c r="L703">
        <v>-1</v>
      </c>
    </row>
    <row r="704" spans="1:12">
      <c r="A704">
        <v>116</v>
      </c>
      <c r="B704" t="s">
        <v>3096</v>
      </c>
      <c r="C704" s="96" t="s">
        <v>3097</v>
      </c>
      <c r="D704" t="s">
        <v>3098</v>
      </c>
      <c r="E704" s="96" t="s">
        <v>1467</v>
      </c>
      <c r="H704" t="s">
        <v>361</v>
      </c>
      <c r="I704">
        <f>VLOOKUP(H704,Listas!$B$2:$C$20,2,FALSE)</f>
        <v>500001</v>
      </c>
      <c r="J704" t="s">
        <v>73</v>
      </c>
      <c r="K704">
        <f>VLOOKUP(J704,Listas!$B$21:$C$50,2,FALSE)</f>
        <v>600017</v>
      </c>
      <c r="L704">
        <v>-1</v>
      </c>
    </row>
    <row r="705" spans="1:12">
      <c r="A705">
        <v>116</v>
      </c>
      <c r="B705" t="s">
        <v>3099</v>
      </c>
      <c r="C705" s="96" t="s">
        <v>3100</v>
      </c>
      <c r="D705" t="s">
        <v>3101</v>
      </c>
      <c r="E705" s="96" t="s">
        <v>1467</v>
      </c>
      <c r="H705" t="s">
        <v>361</v>
      </c>
      <c r="I705">
        <f>VLOOKUP(H705,Listas!$B$2:$C$20,2,FALSE)</f>
        <v>500001</v>
      </c>
      <c r="J705" t="s">
        <v>73</v>
      </c>
      <c r="K705">
        <f>VLOOKUP(J705,Listas!$B$21:$C$50,2,FALSE)</f>
        <v>600017</v>
      </c>
      <c r="L705">
        <v>-1</v>
      </c>
    </row>
    <row r="706" spans="1:12">
      <c r="A706">
        <v>116</v>
      </c>
      <c r="B706" t="s">
        <v>3102</v>
      </c>
      <c r="C706" s="96" t="s">
        <v>3103</v>
      </c>
      <c r="D706" t="s">
        <v>3104</v>
      </c>
      <c r="E706" s="96" t="s">
        <v>1467</v>
      </c>
      <c r="H706" t="s">
        <v>361</v>
      </c>
      <c r="I706">
        <f>VLOOKUP(H706,Listas!$B$2:$C$20,2,FALSE)</f>
        <v>500001</v>
      </c>
      <c r="J706" t="s">
        <v>73</v>
      </c>
      <c r="K706">
        <f>VLOOKUP(J706,Listas!$B$21:$C$50,2,FALSE)</f>
        <v>600017</v>
      </c>
      <c r="L706">
        <v>-1</v>
      </c>
    </row>
    <row r="707" spans="1:12">
      <c r="A707">
        <v>116</v>
      </c>
      <c r="B707" t="s">
        <v>3105</v>
      </c>
      <c r="C707" s="96" t="s">
        <v>3106</v>
      </c>
      <c r="D707" t="s">
        <v>3107</v>
      </c>
      <c r="E707" s="96" t="s">
        <v>1467</v>
      </c>
      <c r="H707" t="s">
        <v>361</v>
      </c>
      <c r="I707">
        <f>VLOOKUP(H707,Listas!$B$2:$C$20,2,FALSE)</f>
        <v>500001</v>
      </c>
      <c r="J707" t="s">
        <v>73</v>
      </c>
      <c r="K707">
        <f>VLOOKUP(J707,Listas!$B$21:$C$50,2,FALSE)</f>
        <v>600017</v>
      </c>
      <c r="L707">
        <v>-1</v>
      </c>
    </row>
    <row r="708" spans="1:12">
      <c r="A708">
        <v>116</v>
      </c>
      <c r="B708" t="s">
        <v>3108</v>
      </c>
      <c r="C708" s="96" t="s">
        <v>3109</v>
      </c>
      <c r="D708" t="s">
        <v>3110</v>
      </c>
      <c r="E708" s="96" t="s">
        <v>1467</v>
      </c>
      <c r="H708" t="s">
        <v>361</v>
      </c>
      <c r="I708">
        <f>VLOOKUP(H708,Listas!$B$2:$C$20,2,FALSE)</f>
        <v>500001</v>
      </c>
      <c r="J708" t="s">
        <v>73</v>
      </c>
      <c r="K708">
        <f>VLOOKUP(J708,Listas!$B$21:$C$50,2,FALSE)</f>
        <v>600017</v>
      </c>
      <c r="L708">
        <v>-1</v>
      </c>
    </row>
    <row r="709" spans="1:12">
      <c r="A709">
        <v>116</v>
      </c>
      <c r="B709" t="s">
        <v>3111</v>
      </c>
      <c r="C709" s="96" t="s">
        <v>3112</v>
      </c>
      <c r="D709" t="s">
        <v>3113</v>
      </c>
      <c r="E709" s="96" t="s">
        <v>1467</v>
      </c>
      <c r="H709" t="s">
        <v>361</v>
      </c>
      <c r="I709">
        <f>VLOOKUP(H709,Listas!$B$2:$C$20,2,FALSE)</f>
        <v>500001</v>
      </c>
      <c r="J709" t="s">
        <v>73</v>
      </c>
      <c r="K709">
        <f>VLOOKUP(J709,Listas!$B$21:$C$50,2,FALSE)</f>
        <v>600017</v>
      </c>
      <c r="L709">
        <v>-1</v>
      </c>
    </row>
    <row r="710" spans="1:12">
      <c r="A710">
        <v>116</v>
      </c>
      <c r="B710" t="s">
        <v>3114</v>
      </c>
      <c r="C710" s="96" t="s">
        <v>3115</v>
      </c>
      <c r="D710" t="s">
        <v>3116</v>
      </c>
      <c r="E710" s="96" t="s">
        <v>1467</v>
      </c>
      <c r="H710" t="s">
        <v>361</v>
      </c>
      <c r="I710">
        <f>VLOOKUP(H710,Listas!$B$2:$C$20,2,FALSE)</f>
        <v>500001</v>
      </c>
      <c r="J710" t="s">
        <v>73</v>
      </c>
      <c r="K710">
        <f>VLOOKUP(J710,Listas!$B$21:$C$50,2,FALSE)</f>
        <v>600017</v>
      </c>
      <c r="L710">
        <v>-1</v>
      </c>
    </row>
    <row r="711" spans="1:12">
      <c r="A711">
        <v>116</v>
      </c>
      <c r="B711" t="s">
        <v>3117</v>
      </c>
      <c r="C711" s="96" t="s">
        <v>3118</v>
      </c>
      <c r="D711" t="s">
        <v>3119</v>
      </c>
      <c r="E711" s="96" t="s">
        <v>1467</v>
      </c>
      <c r="H711" t="s">
        <v>361</v>
      </c>
      <c r="I711">
        <f>VLOOKUP(H711,Listas!$B$2:$C$20,2,FALSE)</f>
        <v>500001</v>
      </c>
      <c r="J711" t="s">
        <v>73</v>
      </c>
      <c r="K711">
        <f>VLOOKUP(J711,Listas!$B$21:$C$50,2,FALSE)</f>
        <v>600017</v>
      </c>
      <c r="L711">
        <v>-1</v>
      </c>
    </row>
    <row r="712" spans="1:12">
      <c r="A712">
        <v>116</v>
      </c>
      <c r="B712" t="s">
        <v>3120</v>
      </c>
      <c r="C712" s="96" t="s">
        <v>3121</v>
      </c>
      <c r="D712" t="s">
        <v>3122</v>
      </c>
      <c r="E712" s="96" t="s">
        <v>1467</v>
      </c>
      <c r="H712" t="s">
        <v>361</v>
      </c>
      <c r="I712">
        <f>VLOOKUP(H712,Listas!$B$2:$C$20,2,FALSE)</f>
        <v>500001</v>
      </c>
      <c r="J712" t="s">
        <v>73</v>
      </c>
      <c r="K712">
        <f>VLOOKUP(J712,Listas!$B$21:$C$50,2,FALSE)</f>
        <v>600017</v>
      </c>
      <c r="L712">
        <v>-1</v>
      </c>
    </row>
    <row r="713" spans="1:12">
      <c r="A713">
        <v>116</v>
      </c>
      <c r="B713" t="s">
        <v>3123</v>
      </c>
      <c r="C713" s="96" t="s">
        <v>3124</v>
      </c>
      <c r="D713" t="s">
        <v>3125</v>
      </c>
      <c r="E713" s="96" t="s">
        <v>1467</v>
      </c>
      <c r="H713" t="s">
        <v>361</v>
      </c>
      <c r="I713">
        <f>VLOOKUP(H713,Listas!$B$2:$C$20,2,FALSE)</f>
        <v>500001</v>
      </c>
      <c r="J713" t="s">
        <v>73</v>
      </c>
      <c r="K713">
        <f>VLOOKUP(J713,Listas!$B$21:$C$50,2,FALSE)</f>
        <v>600017</v>
      </c>
      <c r="L713">
        <v>-1</v>
      </c>
    </row>
    <row r="714" spans="1:12">
      <c r="A714">
        <v>116</v>
      </c>
      <c r="B714" t="s">
        <v>3126</v>
      </c>
      <c r="C714" s="96" t="s">
        <v>3127</v>
      </c>
      <c r="D714" t="s">
        <v>3128</v>
      </c>
      <c r="E714" s="96" t="s">
        <v>1467</v>
      </c>
      <c r="H714" t="s">
        <v>361</v>
      </c>
      <c r="I714">
        <f>VLOOKUP(H714,Listas!$B$2:$C$20,2,FALSE)</f>
        <v>500001</v>
      </c>
      <c r="J714" t="s">
        <v>73</v>
      </c>
      <c r="K714">
        <f>VLOOKUP(J714,Listas!$B$21:$C$50,2,FALSE)</f>
        <v>600017</v>
      </c>
      <c r="L714">
        <v>-1</v>
      </c>
    </row>
    <row r="715" spans="1:12">
      <c r="A715">
        <v>116</v>
      </c>
      <c r="B715" t="s">
        <v>3129</v>
      </c>
      <c r="C715" s="96" t="s">
        <v>3130</v>
      </c>
      <c r="D715" t="s">
        <v>3131</v>
      </c>
      <c r="E715" s="96" t="s">
        <v>1467</v>
      </c>
      <c r="H715" t="s">
        <v>361</v>
      </c>
      <c r="I715">
        <f>VLOOKUP(H715,Listas!$B$2:$C$20,2,FALSE)</f>
        <v>500001</v>
      </c>
      <c r="J715" t="s">
        <v>73</v>
      </c>
      <c r="K715">
        <f>VLOOKUP(J715,Listas!$B$21:$C$50,2,FALSE)</f>
        <v>600017</v>
      </c>
      <c r="L715">
        <v>-1</v>
      </c>
    </row>
    <row r="716" spans="1:12">
      <c r="A716">
        <v>116</v>
      </c>
      <c r="B716" t="s">
        <v>3132</v>
      </c>
      <c r="C716" s="96" t="s">
        <v>3133</v>
      </c>
      <c r="D716" t="s">
        <v>3134</v>
      </c>
      <c r="E716" s="96" t="s">
        <v>1467</v>
      </c>
      <c r="H716" t="s">
        <v>361</v>
      </c>
      <c r="I716">
        <f>VLOOKUP(H716,Listas!$B$2:$C$20,2,FALSE)</f>
        <v>500001</v>
      </c>
      <c r="J716" t="s">
        <v>73</v>
      </c>
      <c r="K716">
        <f>VLOOKUP(J716,Listas!$B$21:$C$50,2,FALSE)</f>
        <v>600017</v>
      </c>
      <c r="L716">
        <v>-1</v>
      </c>
    </row>
    <row r="717" spans="1:12">
      <c r="A717">
        <v>116</v>
      </c>
      <c r="B717" t="s">
        <v>3135</v>
      </c>
      <c r="C717" s="96" t="s">
        <v>3136</v>
      </c>
      <c r="D717" t="s">
        <v>3137</v>
      </c>
      <c r="E717" s="96" t="s">
        <v>1467</v>
      </c>
      <c r="H717" t="s">
        <v>361</v>
      </c>
      <c r="I717">
        <f>VLOOKUP(H717,Listas!$B$2:$C$20,2,FALSE)</f>
        <v>500001</v>
      </c>
      <c r="J717" t="s">
        <v>73</v>
      </c>
      <c r="K717">
        <f>VLOOKUP(J717,Listas!$B$21:$C$50,2,FALSE)</f>
        <v>600017</v>
      </c>
      <c r="L717">
        <v>-1</v>
      </c>
    </row>
    <row r="718" spans="1:12">
      <c r="A718">
        <v>116</v>
      </c>
      <c r="B718" t="s">
        <v>3138</v>
      </c>
      <c r="C718" s="96" t="s">
        <v>3139</v>
      </c>
      <c r="D718" t="s">
        <v>3140</v>
      </c>
      <c r="E718" s="96" t="s">
        <v>1467</v>
      </c>
      <c r="H718" t="s">
        <v>361</v>
      </c>
      <c r="I718">
        <f>VLOOKUP(H718,Listas!$B$2:$C$20,2,FALSE)</f>
        <v>500001</v>
      </c>
      <c r="J718" t="s">
        <v>73</v>
      </c>
      <c r="K718">
        <f>VLOOKUP(J718,Listas!$B$21:$C$50,2,FALSE)</f>
        <v>600017</v>
      </c>
      <c r="L718">
        <v>-1</v>
      </c>
    </row>
    <row r="719" spans="1:12">
      <c r="A719">
        <v>116</v>
      </c>
      <c r="B719" t="s">
        <v>3141</v>
      </c>
      <c r="C719" s="96" t="s">
        <v>3142</v>
      </c>
      <c r="D719" t="s">
        <v>3143</v>
      </c>
      <c r="E719" s="96" t="s">
        <v>1467</v>
      </c>
      <c r="H719" t="s">
        <v>361</v>
      </c>
      <c r="I719">
        <f>VLOOKUP(H719,Listas!$B$2:$C$20,2,FALSE)</f>
        <v>500001</v>
      </c>
      <c r="J719" t="s">
        <v>73</v>
      </c>
      <c r="K719">
        <f>VLOOKUP(J719,Listas!$B$21:$C$50,2,FALSE)</f>
        <v>600017</v>
      </c>
      <c r="L719">
        <v>-1</v>
      </c>
    </row>
    <row r="720" spans="1:12">
      <c r="A720">
        <v>116</v>
      </c>
      <c r="B720" t="s">
        <v>3144</v>
      </c>
      <c r="C720" s="96" t="s">
        <v>3145</v>
      </c>
      <c r="D720" t="s">
        <v>3146</v>
      </c>
      <c r="E720" s="96" t="s">
        <v>1467</v>
      </c>
      <c r="H720" t="s">
        <v>361</v>
      </c>
      <c r="I720">
        <f>VLOOKUP(H720,Listas!$B$2:$C$20,2,FALSE)</f>
        <v>500001</v>
      </c>
      <c r="J720" t="s">
        <v>73</v>
      </c>
      <c r="K720">
        <f>VLOOKUP(J720,Listas!$B$21:$C$50,2,FALSE)</f>
        <v>600017</v>
      </c>
      <c r="L720">
        <v>-1</v>
      </c>
    </row>
    <row r="721" spans="1:12">
      <c r="A721">
        <v>116</v>
      </c>
      <c r="B721" t="s">
        <v>3147</v>
      </c>
      <c r="C721" s="96" t="s">
        <v>3148</v>
      </c>
      <c r="D721" t="s">
        <v>3149</v>
      </c>
      <c r="E721" s="96" t="s">
        <v>1467</v>
      </c>
      <c r="H721" t="s">
        <v>361</v>
      </c>
      <c r="I721">
        <f>VLOOKUP(H721,Listas!$B$2:$C$20,2,FALSE)</f>
        <v>500001</v>
      </c>
      <c r="J721" t="s">
        <v>73</v>
      </c>
      <c r="K721">
        <f>VLOOKUP(J721,Listas!$B$21:$C$50,2,FALSE)</f>
        <v>600017</v>
      </c>
      <c r="L721">
        <v>-1</v>
      </c>
    </row>
    <row r="722" spans="1:12">
      <c r="A722">
        <v>116</v>
      </c>
      <c r="B722" t="s">
        <v>3150</v>
      </c>
      <c r="C722" s="96" t="s">
        <v>3151</v>
      </c>
      <c r="D722" t="s">
        <v>3152</v>
      </c>
      <c r="E722" s="96" t="s">
        <v>1467</v>
      </c>
      <c r="H722" t="s">
        <v>361</v>
      </c>
      <c r="I722">
        <f>VLOOKUP(H722,Listas!$B$2:$C$20,2,FALSE)</f>
        <v>500001</v>
      </c>
      <c r="J722" t="s">
        <v>73</v>
      </c>
      <c r="K722">
        <f>VLOOKUP(J722,Listas!$B$21:$C$50,2,FALSE)</f>
        <v>600017</v>
      </c>
      <c r="L722">
        <v>-1</v>
      </c>
    </row>
    <row r="723" spans="1:12">
      <c r="A723">
        <v>116</v>
      </c>
      <c r="B723" t="s">
        <v>3153</v>
      </c>
      <c r="C723" s="96" t="s">
        <v>3154</v>
      </c>
      <c r="D723" t="s">
        <v>3155</v>
      </c>
      <c r="E723" s="96" t="s">
        <v>1467</v>
      </c>
      <c r="H723" t="s">
        <v>361</v>
      </c>
      <c r="I723">
        <f>VLOOKUP(H723,Listas!$B$2:$C$20,2,FALSE)</f>
        <v>500001</v>
      </c>
      <c r="J723" t="s">
        <v>73</v>
      </c>
      <c r="K723">
        <f>VLOOKUP(J723,Listas!$B$21:$C$50,2,FALSE)</f>
        <v>600017</v>
      </c>
      <c r="L723">
        <v>-1</v>
      </c>
    </row>
    <row r="724" spans="1:12">
      <c r="A724">
        <v>116</v>
      </c>
      <c r="B724" t="s">
        <v>3156</v>
      </c>
      <c r="C724" s="96" t="s">
        <v>3157</v>
      </c>
      <c r="D724" t="s">
        <v>3158</v>
      </c>
      <c r="E724" s="96" t="s">
        <v>1467</v>
      </c>
      <c r="H724" t="s">
        <v>361</v>
      </c>
      <c r="I724">
        <f>VLOOKUP(H724,Listas!$B$2:$C$20,2,FALSE)</f>
        <v>500001</v>
      </c>
      <c r="J724" t="s">
        <v>73</v>
      </c>
      <c r="K724">
        <f>VLOOKUP(J724,Listas!$B$21:$C$50,2,FALSE)</f>
        <v>600017</v>
      </c>
      <c r="L724">
        <v>-1</v>
      </c>
    </row>
    <row r="725" spans="1:12">
      <c r="A725">
        <v>116</v>
      </c>
      <c r="B725" t="s">
        <v>3159</v>
      </c>
      <c r="C725" s="96" t="s">
        <v>3160</v>
      </c>
      <c r="D725" t="s">
        <v>3161</v>
      </c>
      <c r="E725" s="96" t="s">
        <v>1467</v>
      </c>
      <c r="H725" t="s">
        <v>361</v>
      </c>
      <c r="I725">
        <f>VLOOKUP(H725,Listas!$B$2:$C$20,2,FALSE)</f>
        <v>500001</v>
      </c>
      <c r="J725" t="s">
        <v>73</v>
      </c>
      <c r="K725">
        <f>VLOOKUP(J725,Listas!$B$21:$C$50,2,FALSE)</f>
        <v>600017</v>
      </c>
      <c r="L725">
        <v>-1</v>
      </c>
    </row>
    <row r="726" spans="1:12">
      <c r="A726">
        <v>116</v>
      </c>
      <c r="B726" t="s">
        <v>3162</v>
      </c>
      <c r="C726" s="96" t="s">
        <v>3163</v>
      </c>
      <c r="D726" t="s">
        <v>3164</v>
      </c>
      <c r="E726" s="96" t="s">
        <v>1467</v>
      </c>
      <c r="H726" t="s">
        <v>361</v>
      </c>
      <c r="I726">
        <f>VLOOKUP(H726,Listas!$B$2:$C$20,2,FALSE)</f>
        <v>500001</v>
      </c>
      <c r="J726" t="s">
        <v>73</v>
      </c>
      <c r="K726">
        <f>VLOOKUP(J726,Listas!$B$21:$C$50,2,FALSE)</f>
        <v>600017</v>
      </c>
      <c r="L726">
        <v>-1</v>
      </c>
    </row>
    <row r="727" spans="1:12">
      <c r="A727">
        <v>116</v>
      </c>
      <c r="B727" t="s">
        <v>3165</v>
      </c>
      <c r="C727" s="96" t="s">
        <v>3166</v>
      </c>
      <c r="D727" t="s">
        <v>3167</v>
      </c>
      <c r="E727" s="96" t="s">
        <v>1467</v>
      </c>
      <c r="H727" t="s">
        <v>361</v>
      </c>
      <c r="I727">
        <f>VLOOKUP(H727,Listas!$B$2:$C$20,2,FALSE)</f>
        <v>500001</v>
      </c>
      <c r="J727" t="s">
        <v>73</v>
      </c>
      <c r="K727">
        <f>VLOOKUP(J727,Listas!$B$21:$C$50,2,FALSE)</f>
        <v>600017</v>
      </c>
      <c r="L727">
        <v>-1</v>
      </c>
    </row>
    <row r="728" spans="1:12">
      <c r="A728">
        <v>116</v>
      </c>
      <c r="B728" t="s">
        <v>3168</v>
      </c>
      <c r="C728" s="96" t="s">
        <v>3169</v>
      </c>
      <c r="D728" t="s">
        <v>3170</v>
      </c>
      <c r="E728" s="96" t="s">
        <v>1467</v>
      </c>
      <c r="H728" t="s">
        <v>361</v>
      </c>
      <c r="I728">
        <f>VLOOKUP(H728,Listas!$B$2:$C$20,2,FALSE)</f>
        <v>500001</v>
      </c>
      <c r="J728" t="s">
        <v>73</v>
      </c>
      <c r="K728">
        <f>VLOOKUP(J728,Listas!$B$21:$C$50,2,FALSE)</f>
        <v>600017</v>
      </c>
      <c r="L728">
        <v>-1</v>
      </c>
    </row>
    <row r="729" spans="1:12">
      <c r="A729">
        <v>116</v>
      </c>
      <c r="B729" t="s">
        <v>3171</v>
      </c>
      <c r="C729" s="96" t="s">
        <v>3172</v>
      </c>
      <c r="D729" t="s">
        <v>3173</v>
      </c>
      <c r="E729" s="96" t="s">
        <v>1467</v>
      </c>
      <c r="H729" t="s">
        <v>361</v>
      </c>
      <c r="I729">
        <f>VLOOKUP(H729,Listas!$B$2:$C$20,2,FALSE)</f>
        <v>500001</v>
      </c>
      <c r="J729" t="s">
        <v>73</v>
      </c>
      <c r="K729">
        <f>VLOOKUP(J729,Listas!$B$21:$C$50,2,FALSE)</f>
        <v>600017</v>
      </c>
      <c r="L729">
        <v>-1</v>
      </c>
    </row>
    <row r="730" spans="1:12">
      <c r="A730">
        <v>116</v>
      </c>
      <c r="B730" t="s">
        <v>3174</v>
      </c>
      <c r="C730" s="96" t="s">
        <v>3175</v>
      </c>
      <c r="D730" t="s">
        <v>3176</v>
      </c>
      <c r="E730" s="96" t="s">
        <v>1467</v>
      </c>
      <c r="H730" t="s">
        <v>361</v>
      </c>
      <c r="I730">
        <f>VLOOKUP(H730,Listas!$B$2:$C$20,2,FALSE)</f>
        <v>500001</v>
      </c>
      <c r="J730" t="s">
        <v>73</v>
      </c>
      <c r="K730">
        <f>VLOOKUP(J730,Listas!$B$21:$C$50,2,FALSE)</f>
        <v>600017</v>
      </c>
      <c r="L730">
        <v>-1</v>
      </c>
    </row>
    <row r="731" spans="1:12">
      <c r="A731">
        <v>116</v>
      </c>
      <c r="B731" t="s">
        <v>3177</v>
      </c>
      <c r="C731" s="96" t="s">
        <v>3178</v>
      </c>
      <c r="D731" t="s">
        <v>3179</v>
      </c>
      <c r="E731" s="96" t="s">
        <v>1467</v>
      </c>
      <c r="H731" t="s">
        <v>361</v>
      </c>
      <c r="I731">
        <f>VLOOKUP(H731,Listas!$B$2:$C$20,2,FALSE)</f>
        <v>500001</v>
      </c>
      <c r="J731" t="s">
        <v>73</v>
      </c>
      <c r="K731">
        <f>VLOOKUP(J731,Listas!$B$21:$C$50,2,FALSE)</f>
        <v>600017</v>
      </c>
      <c r="L731">
        <v>-1</v>
      </c>
    </row>
    <row r="732" spans="1:12">
      <c r="A732">
        <v>116</v>
      </c>
      <c r="B732" t="s">
        <v>3180</v>
      </c>
      <c r="C732" s="96" t="s">
        <v>3181</v>
      </c>
      <c r="D732" t="s">
        <v>3182</v>
      </c>
      <c r="E732" s="96" t="s">
        <v>1467</v>
      </c>
      <c r="H732" t="s">
        <v>361</v>
      </c>
      <c r="I732">
        <f>VLOOKUP(H732,Listas!$B$2:$C$20,2,FALSE)</f>
        <v>500001</v>
      </c>
      <c r="J732" t="s">
        <v>73</v>
      </c>
      <c r="K732">
        <f>VLOOKUP(J732,Listas!$B$21:$C$50,2,FALSE)</f>
        <v>600017</v>
      </c>
      <c r="L732">
        <v>-1</v>
      </c>
    </row>
    <row r="733" spans="1:12">
      <c r="A733">
        <v>116</v>
      </c>
      <c r="B733" t="s">
        <v>3183</v>
      </c>
      <c r="C733" s="96">
        <v>4709191000116</v>
      </c>
      <c r="D733" t="s">
        <v>3184</v>
      </c>
      <c r="E733" s="96" t="s">
        <v>1467</v>
      </c>
      <c r="H733" t="s">
        <v>361</v>
      </c>
      <c r="I733">
        <f>VLOOKUP(H733,Listas!$B$2:$C$20,2,FALSE)</f>
        <v>500001</v>
      </c>
      <c r="J733" t="s">
        <v>73</v>
      </c>
      <c r="K733">
        <f>VLOOKUP(J733,Listas!$B$21:$C$50,2,FALSE)</f>
        <v>600017</v>
      </c>
      <c r="L733">
        <v>-1</v>
      </c>
    </row>
    <row r="734" spans="1:12">
      <c r="A734">
        <v>116</v>
      </c>
      <c r="B734" t="s">
        <v>3185</v>
      </c>
      <c r="C734" s="96" t="s">
        <v>3186</v>
      </c>
      <c r="D734" t="s">
        <v>3187</v>
      </c>
      <c r="E734" s="96" t="s">
        <v>1467</v>
      </c>
      <c r="H734" t="s">
        <v>361</v>
      </c>
      <c r="I734">
        <f>VLOOKUP(H734,Listas!$B$2:$C$20,2,FALSE)</f>
        <v>500001</v>
      </c>
      <c r="J734" t="s">
        <v>73</v>
      </c>
      <c r="K734">
        <f>VLOOKUP(J734,Listas!$B$21:$C$50,2,FALSE)</f>
        <v>600017</v>
      </c>
      <c r="L734">
        <v>-1</v>
      </c>
    </row>
    <row r="735" spans="1:12">
      <c r="A735">
        <v>116</v>
      </c>
      <c r="B735" t="s">
        <v>722</v>
      </c>
      <c r="C735" s="96" t="s">
        <v>723</v>
      </c>
      <c r="D735" t="s">
        <v>724</v>
      </c>
      <c r="E735" s="96" t="s">
        <v>1467</v>
      </c>
      <c r="H735" t="s">
        <v>361</v>
      </c>
      <c r="I735">
        <f>VLOOKUP(H735,Listas!$B$2:$C$20,2,FALSE)</f>
        <v>500001</v>
      </c>
      <c r="J735" t="s">
        <v>73</v>
      </c>
      <c r="K735">
        <f>VLOOKUP(J735,Listas!$B$21:$C$50,2,FALSE)</f>
        <v>600017</v>
      </c>
      <c r="L735">
        <v>-1</v>
      </c>
    </row>
    <row r="736" spans="1:12">
      <c r="A736">
        <v>116</v>
      </c>
      <c r="B736" t="s">
        <v>3188</v>
      </c>
      <c r="C736" s="96">
        <v>7866293000133</v>
      </c>
      <c r="D736" t="s">
        <v>3189</v>
      </c>
      <c r="E736" s="96" t="s">
        <v>1467</v>
      </c>
      <c r="H736" t="s">
        <v>361</v>
      </c>
      <c r="I736">
        <f>VLOOKUP(H736,Listas!$B$2:$C$20,2,FALSE)</f>
        <v>500001</v>
      </c>
      <c r="J736" t="s">
        <v>73</v>
      </c>
      <c r="K736">
        <f>VLOOKUP(J736,Listas!$B$21:$C$50,2,FALSE)</f>
        <v>600017</v>
      </c>
      <c r="L736">
        <v>-1</v>
      </c>
    </row>
    <row r="737" spans="1:12">
      <c r="A737">
        <v>116</v>
      </c>
      <c r="B737" t="s">
        <v>3190</v>
      </c>
      <c r="C737" s="96" t="s">
        <v>3191</v>
      </c>
      <c r="D737" t="s">
        <v>3192</v>
      </c>
      <c r="E737" s="96" t="s">
        <v>1467</v>
      </c>
      <c r="H737" t="s">
        <v>361</v>
      </c>
      <c r="I737">
        <f>VLOOKUP(H737,Listas!$B$2:$C$20,2,FALSE)</f>
        <v>500001</v>
      </c>
      <c r="J737" t="s">
        <v>73</v>
      </c>
      <c r="K737">
        <f>VLOOKUP(J737,Listas!$B$21:$C$50,2,FALSE)</f>
        <v>600017</v>
      </c>
      <c r="L737">
        <v>-1</v>
      </c>
    </row>
    <row r="738" spans="1:12">
      <c r="A738">
        <v>116</v>
      </c>
      <c r="B738" t="s">
        <v>3193</v>
      </c>
      <c r="C738" s="96" t="s">
        <v>3194</v>
      </c>
      <c r="D738" t="s">
        <v>3195</v>
      </c>
      <c r="E738" s="96" t="s">
        <v>1467</v>
      </c>
      <c r="H738" t="s">
        <v>361</v>
      </c>
      <c r="I738">
        <f>VLOOKUP(H738,Listas!$B$2:$C$20,2,FALSE)</f>
        <v>500001</v>
      </c>
      <c r="J738" t="s">
        <v>73</v>
      </c>
      <c r="K738">
        <f>VLOOKUP(J738,Listas!$B$21:$C$50,2,FALSE)</f>
        <v>600017</v>
      </c>
      <c r="L738">
        <v>-1</v>
      </c>
    </row>
    <row r="739" spans="1:12">
      <c r="A739">
        <v>116</v>
      </c>
      <c r="B739" t="s">
        <v>3196</v>
      </c>
      <c r="C739" s="96" t="s">
        <v>3197</v>
      </c>
      <c r="D739" t="s">
        <v>3198</v>
      </c>
      <c r="E739" s="96" t="s">
        <v>1467</v>
      </c>
      <c r="H739" t="s">
        <v>361</v>
      </c>
      <c r="I739">
        <f>VLOOKUP(H739,Listas!$B$2:$C$20,2,FALSE)</f>
        <v>500001</v>
      </c>
      <c r="J739" t="s">
        <v>73</v>
      </c>
      <c r="K739">
        <f>VLOOKUP(J739,Listas!$B$21:$C$50,2,FALSE)</f>
        <v>600017</v>
      </c>
      <c r="L739">
        <v>-1</v>
      </c>
    </row>
    <row r="740" spans="1:12">
      <c r="A740">
        <v>116</v>
      </c>
      <c r="B740" t="s">
        <v>3199</v>
      </c>
      <c r="C740" s="96" t="s">
        <v>3200</v>
      </c>
      <c r="D740" t="s">
        <v>3201</v>
      </c>
      <c r="E740" s="96" t="s">
        <v>1467</v>
      </c>
      <c r="H740" t="s">
        <v>361</v>
      </c>
      <c r="I740">
        <f>VLOOKUP(H740,Listas!$B$2:$C$20,2,FALSE)</f>
        <v>500001</v>
      </c>
      <c r="J740" t="s">
        <v>73</v>
      </c>
      <c r="K740">
        <f>VLOOKUP(J740,Listas!$B$21:$C$50,2,FALSE)</f>
        <v>600017</v>
      </c>
      <c r="L740">
        <v>-1</v>
      </c>
    </row>
    <row r="741" spans="1:12">
      <c r="A741">
        <v>116</v>
      </c>
      <c r="B741" t="s">
        <v>3202</v>
      </c>
      <c r="C741" s="96" t="s">
        <v>3203</v>
      </c>
      <c r="D741" t="s">
        <v>3204</v>
      </c>
      <c r="E741" s="96" t="s">
        <v>1467</v>
      </c>
      <c r="H741" t="s">
        <v>361</v>
      </c>
      <c r="I741">
        <f>VLOOKUP(H741,Listas!$B$2:$C$20,2,FALSE)</f>
        <v>500001</v>
      </c>
      <c r="J741" t="s">
        <v>73</v>
      </c>
      <c r="K741">
        <f>VLOOKUP(J741,Listas!$B$21:$C$50,2,FALSE)</f>
        <v>600017</v>
      </c>
      <c r="L741">
        <v>-1</v>
      </c>
    </row>
    <row r="742" spans="1:12">
      <c r="A742">
        <v>116</v>
      </c>
      <c r="B742" t="s">
        <v>3205</v>
      </c>
      <c r="C742" s="96" t="s">
        <v>3206</v>
      </c>
      <c r="D742" t="s">
        <v>3207</v>
      </c>
      <c r="E742" s="96" t="s">
        <v>1467</v>
      </c>
      <c r="H742" t="s">
        <v>361</v>
      </c>
      <c r="I742">
        <f>VLOOKUP(H742,Listas!$B$2:$C$20,2,FALSE)</f>
        <v>500001</v>
      </c>
      <c r="J742" t="s">
        <v>73</v>
      </c>
      <c r="K742">
        <f>VLOOKUP(J742,Listas!$B$21:$C$50,2,FALSE)</f>
        <v>600017</v>
      </c>
      <c r="L742">
        <v>-1</v>
      </c>
    </row>
    <row r="743" spans="1:12">
      <c r="A743">
        <v>116</v>
      </c>
      <c r="B743" t="s">
        <v>3208</v>
      </c>
      <c r="C743" s="96" t="s">
        <v>3209</v>
      </c>
      <c r="D743" t="s">
        <v>3210</v>
      </c>
      <c r="E743" s="96" t="s">
        <v>1467</v>
      </c>
      <c r="H743" t="s">
        <v>361</v>
      </c>
      <c r="I743">
        <f>VLOOKUP(H743,Listas!$B$2:$C$20,2,FALSE)</f>
        <v>500001</v>
      </c>
      <c r="J743" t="s">
        <v>73</v>
      </c>
      <c r="K743">
        <f>VLOOKUP(J743,Listas!$B$21:$C$50,2,FALSE)</f>
        <v>600017</v>
      </c>
      <c r="L743">
        <v>-1</v>
      </c>
    </row>
    <row r="744" spans="1:12">
      <c r="A744">
        <v>116</v>
      </c>
      <c r="B744" t="s">
        <v>3211</v>
      </c>
      <c r="C744" s="96" t="s">
        <v>3212</v>
      </c>
      <c r="D744" t="s">
        <v>3213</v>
      </c>
      <c r="E744" s="96" t="s">
        <v>1467</v>
      </c>
      <c r="H744" t="s">
        <v>361</v>
      </c>
      <c r="I744">
        <f>VLOOKUP(H744,Listas!$B$2:$C$20,2,FALSE)</f>
        <v>500001</v>
      </c>
      <c r="J744" t="s">
        <v>73</v>
      </c>
      <c r="K744">
        <f>VLOOKUP(J744,Listas!$B$21:$C$50,2,FALSE)</f>
        <v>600017</v>
      </c>
      <c r="L744">
        <v>-1</v>
      </c>
    </row>
    <row r="745" spans="1:12">
      <c r="A745">
        <v>116</v>
      </c>
      <c r="B745" t="s">
        <v>3214</v>
      </c>
      <c r="C745" s="96" t="s">
        <v>3215</v>
      </c>
      <c r="D745" t="s">
        <v>3216</v>
      </c>
      <c r="E745" s="96" t="s">
        <v>1467</v>
      </c>
      <c r="H745" t="s">
        <v>361</v>
      </c>
      <c r="I745">
        <f>VLOOKUP(H745,Listas!$B$2:$C$20,2,FALSE)</f>
        <v>500001</v>
      </c>
      <c r="J745" t="s">
        <v>73</v>
      </c>
      <c r="K745">
        <f>VLOOKUP(J745,Listas!$B$21:$C$50,2,FALSE)</f>
        <v>600017</v>
      </c>
      <c r="L745">
        <v>-1</v>
      </c>
    </row>
    <row r="746" spans="1:12">
      <c r="A746">
        <v>116</v>
      </c>
      <c r="B746" t="s">
        <v>725</v>
      </c>
      <c r="C746" s="96" t="s">
        <v>726</v>
      </c>
      <c r="D746" t="s">
        <v>727</v>
      </c>
      <c r="E746" s="96" t="s">
        <v>1467</v>
      </c>
      <c r="H746" t="s">
        <v>361</v>
      </c>
      <c r="I746">
        <f>VLOOKUP(H746,Listas!$B$2:$C$20,2,FALSE)</f>
        <v>500001</v>
      </c>
      <c r="J746" t="s">
        <v>73</v>
      </c>
      <c r="K746">
        <f>VLOOKUP(J746,Listas!$B$21:$C$50,2,FALSE)</f>
        <v>600017</v>
      </c>
      <c r="L746">
        <v>-1</v>
      </c>
    </row>
    <row r="747" spans="1:12">
      <c r="A747">
        <v>116</v>
      </c>
      <c r="B747" t="s">
        <v>3217</v>
      </c>
      <c r="C747" s="96" t="s">
        <v>3218</v>
      </c>
      <c r="D747" t="s">
        <v>3219</v>
      </c>
      <c r="E747" s="96" t="s">
        <v>1467</v>
      </c>
      <c r="H747" t="s">
        <v>361</v>
      </c>
      <c r="I747">
        <f>VLOOKUP(H747,Listas!$B$2:$C$20,2,FALSE)</f>
        <v>500001</v>
      </c>
      <c r="J747" t="s">
        <v>73</v>
      </c>
      <c r="K747">
        <f>VLOOKUP(J747,Listas!$B$21:$C$50,2,FALSE)</f>
        <v>600017</v>
      </c>
      <c r="L747">
        <v>-1</v>
      </c>
    </row>
    <row r="748" spans="1:12">
      <c r="A748">
        <v>116</v>
      </c>
      <c r="B748" t="s">
        <v>3220</v>
      </c>
      <c r="C748" s="96" t="s">
        <v>3221</v>
      </c>
      <c r="D748" t="s">
        <v>3222</v>
      </c>
      <c r="E748" s="96" t="s">
        <v>1467</v>
      </c>
      <c r="H748" t="s">
        <v>361</v>
      </c>
      <c r="I748">
        <f>VLOOKUP(H748,Listas!$B$2:$C$20,2,FALSE)</f>
        <v>500001</v>
      </c>
      <c r="J748" t="s">
        <v>73</v>
      </c>
      <c r="K748">
        <f>VLOOKUP(J748,Listas!$B$21:$C$50,2,FALSE)</f>
        <v>600017</v>
      </c>
      <c r="L748">
        <v>-1</v>
      </c>
    </row>
    <row r="749" spans="1:12">
      <c r="A749">
        <v>116</v>
      </c>
      <c r="B749" t="s">
        <v>3223</v>
      </c>
      <c r="C749" s="96" t="s">
        <v>3224</v>
      </c>
      <c r="D749" t="s">
        <v>3225</v>
      </c>
      <c r="E749" s="96" t="s">
        <v>1467</v>
      </c>
      <c r="H749" t="s">
        <v>361</v>
      </c>
      <c r="I749">
        <f>VLOOKUP(H749,Listas!$B$2:$C$20,2,FALSE)</f>
        <v>500001</v>
      </c>
      <c r="J749" t="s">
        <v>73</v>
      </c>
      <c r="K749">
        <f>VLOOKUP(J749,Listas!$B$21:$C$50,2,FALSE)</f>
        <v>600017</v>
      </c>
      <c r="L749">
        <v>-1</v>
      </c>
    </row>
    <row r="750" spans="1:12">
      <c r="A750">
        <v>116</v>
      </c>
      <c r="B750" t="s">
        <v>3226</v>
      </c>
      <c r="C750" s="96" t="s">
        <v>3227</v>
      </c>
      <c r="D750" t="s">
        <v>3228</v>
      </c>
      <c r="E750" s="96" t="s">
        <v>1467</v>
      </c>
      <c r="H750" t="s">
        <v>361</v>
      </c>
      <c r="I750">
        <f>VLOOKUP(H750,Listas!$B$2:$C$20,2,FALSE)</f>
        <v>500001</v>
      </c>
      <c r="J750" t="s">
        <v>73</v>
      </c>
      <c r="K750">
        <f>VLOOKUP(J750,Listas!$B$21:$C$50,2,FALSE)</f>
        <v>600017</v>
      </c>
      <c r="L750">
        <v>-1</v>
      </c>
    </row>
    <row r="751" spans="1:12">
      <c r="A751">
        <v>116</v>
      </c>
      <c r="B751" t="s">
        <v>3229</v>
      </c>
      <c r="C751" s="96" t="s">
        <v>3230</v>
      </c>
      <c r="D751" t="s">
        <v>3231</v>
      </c>
      <c r="E751" s="96" t="s">
        <v>1467</v>
      </c>
      <c r="H751" t="s">
        <v>361</v>
      </c>
      <c r="I751">
        <f>VLOOKUP(H751,Listas!$B$2:$C$20,2,FALSE)</f>
        <v>500001</v>
      </c>
      <c r="J751" t="s">
        <v>73</v>
      </c>
      <c r="K751">
        <f>VLOOKUP(J751,Listas!$B$21:$C$50,2,FALSE)</f>
        <v>600017</v>
      </c>
      <c r="L751">
        <v>-1</v>
      </c>
    </row>
    <row r="752" spans="1:12">
      <c r="A752">
        <v>116</v>
      </c>
      <c r="B752" t="s">
        <v>3232</v>
      </c>
      <c r="C752" s="96" t="s">
        <v>3233</v>
      </c>
      <c r="D752" t="s">
        <v>3234</v>
      </c>
      <c r="E752" s="96" t="s">
        <v>1467</v>
      </c>
      <c r="H752" t="s">
        <v>361</v>
      </c>
      <c r="I752">
        <f>VLOOKUP(H752,Listas!$B$2:$C$20,2,FALSE)</f>
        <v>500001</v>
      </c>
      <c r="J752" t="s">
        <v>73</v>
      </c>
      <c r="K752">
        <f>VLOOKUP(J752,Listas!$B$21:$C$50,2,FALSE)</f>
        <v>600017</v>
      </c>
      <c r="L752">
        <v>-1</v>
      </c>
    </row>
    <row r="753" spans="1:12">
      <c r="A753">
        <v>116</v>
      </c>
      <c r="B753" t="s">
        <v>3235</v>
      </c>
      <c r="C753" s="96" t="s">
        <v>3236</v>
      </c>
      <c r="D753" t="s">
        <v>3237</v>
      </c>
      <c r="E753" s="96" t="s">
        <v>1467</v>
      </c>
      <c r="H753" t="s">
        <v>361</v>
      </c>
      <c r="I753">
        <f>VLOOKUP(H753,Listas!$B$2:$C$20,2,FALSE)</f>
        <v>500001</v>
      </c>
      <c r="J753" t="s">
        <v>73</v>
      </c>
      <c r="K753">
        <f>VLOOKUP(J753,Listas!$B$21:$C$50,2,FALSE)</f>
        <v>600017</v>
      </c>
      <c r="L753">
        <v>-1</v>
      </c>
    </row>
    <row r="754" spans="1:12">
      <c r="A754">
        <v>116</v>
      </c>
      <c r="B754" t="s">
        <v>3238</v>
      </c>
      <c r="C754" s="96" t="s">
        <v>3239</v>
      </c>
      <c r="D754" t="s">
        <v>3240</v>
      </c>
      <c r="E754" s="96" t="s">
        <v>1467</v>
      </c>
      <c r="H754" t="s">
        <v>361</v>
      </c>
      <c r="I754">
        <f>VLOOKUP(H754,Listas!$B$2:$C$20,2,FALSE)</f>
        <v>500001</v>
      </c>
      <c r="J754" t="s">
        <v>73</v>
      </c>
      <c r="K754">
        <f>VLOOKUP(J754,Listas!$B$21:$C$50,2,FALSE)</f>
        <v>600017</v>
      </c>
      <c r="L754">
        <v>-1</v>
      </c>
    </row>
    <row r="755" spans="1:12">
      <c r="A755">
        <v>116</v>
      </c>
      <c r="B755" t="s">
        <v>3241</v>
      </c>
      <c r="C755" s="96" t="s">
        <v>3242</v>
      </c>
      <c r="D755" t="s">
        <v>3243</v>
      </c>
      <c r="E755" s="96" t="s">
        <v>1467</v>
      </c>
      <c r="H755" t="s">
        <v>361</v>
      </c>
      <c r="I755">
        <f>VLOOKUP(H755,Listas!$B$2:$C$20,2,FALSE)</f>
        <v>500001</v>
      </c>
      <c r="J755" t="s">
        <v>73</v>
      </c>
      <c r="K755">
        <f>VLOOKUP(J755,Listas!$B$21:$C$50,2,FALSE)</f>
        <v>600017</v>
      </c>
      <c r="L755">
        <v>-1</v>
      </c>
    </row>
    <row r="756" spans="1:12">
      <c r="A756">
        <v>116</v>
      </c>
      <c r="B756" t="s">
        <v>3244</v>
      </c>
      <c r="C756" s="96" t="s">
        <v>3245</v>
      </c>
      <c r="D756" t="s">
        <v>3246</v>
      </c>
      <c r="E756" s="96" t="s">
        <v>1467</v>
      </c>
      <c r="H756" t="s">
        <v>361</v>
      </c>
      <c r="I756">
        <f>VLOOKUP(H756,Listas!$B$2:$C$20,2,FALSE)</f>
        <v>500001</v>
      </c>
      <c r="J756" t="s">
        <v>73</v>
      </c>
      <c r="K756">
        <f>VLOOKUP(J756,Listas!$B$21:$C$50,2,FALSE)</f>
        <v>600017</v>
      </c>
      <c r="L756">
        <v>-1</v>
      </c>
    </row>
    <row r="757" spans="1:12">
      <c r="A757">
        <v>116</v>
      </c>
      <c r="B757" t="s">
        <v>3247</v>
      </c>
      <c r="C757" s="96" t="s">
        <v>3248</v>
      </c>
      <c r="D757" t="s">
        <v>3249</v>
      </c>
      <c r="E757" s="96" t="s">
        <v>1467</v>
      </c>
      <c r="H757" t="s">
        <v>361</v>
      </c>
      <c r="I757">
        <f>VLOOKUP(H757,Listas!$B$2:$C$20,2,FALSE)</f>
        <v>500001</v>
      </c>
      <c r="J757" t="s">
        <v>73</v>
      </c>
      <c r="K757">
        <f>VLOOKUP(J757,Listas!$B$21:$C$50,2,FALSE)</f>
        <v>600017</v>
      </c>
      <c r="L757">
        <v>-1</v>
      </c>
    </row>
    <row r="758" spans="1:12">
      <c r="A758">
        <v>116</v>
      </c>
      <c r="B758" t="s">
        <v>728</v>
      </c>
      <c r="C758" s="96" t="s">
        <v>729</v>
      </c>
      <c r="D758" t="s">
        <v>730</v>
      </c>
      <c r="E758" s="96" t="s">
        <v>1467</v>
      </c>
      <c r="H758" t="s">
        <v>361</v>
      </c>
      <c r="I758">
        <f>VLOOKUP(H758,Listas!$B$2:$C$20,2,FALSE)</f>
        <v>500001</v>
      </c>
      <c r="J758" t="s">
        <v>73</v>
      </c>
      <c r="K758">
        <f>VLOOKUP(J758,Listas!$B$21:$C$50,2,FALSE)</f>
        <v>600017</v>
      </c>
      <c r="L758">
        <v>-1</v>
      </c>
    </row>
    <row r="759" spans="1:12">
      <c r="A759">
        <v>116</v>
      </c>
      <c r="B759" t="s">
        <v>3250</v>
      </c>
      <c r="C759" s="96" t="s">
        <v>3251</v>
      </c>
      <c r="D759" t="s">
        <v>3252</v>
      </c>
      <c r="E759" s="96" t="s">
        <v>1467</v>
      </c>
      <c r="H759" t="s">
        <v>361</v>
      </c>
      <c r="I759">
        <f>VLOOKUP(H759,Listas!$B$2:$C$20,2,FALSE)</f>
        <v>500001</v>
      </c>
      <c r="J759" t="s">
        <v>73</v>
      </c>
      <c r="K759">
        <f>VLOOKUP(J759,Listas!$B$21:$C$50,2,FALSE)</f>
        <v>600017</v>
      </c>
      <c r="L759">
        <v>-1</v>
      </c>
    </row>
    <row r="760" spans="1:12">
      <c r="A760">
        <v>116</v>
      </c>
      <c r="B760" t="s">
        <v>3253</v>
      </c>
      <c r="C760" s="96" t="s">
        <v>3254</v>
      </c>
      <c r="D760" t="s">
        <v>3255</v>
      </c>
      <c r="E760" s="96" t="s">
        <v>1467</v>
      </c>
      <c r="H760" t="s">
        <v>361</v>
      </c>
      <c r="I760">
        <f>VLOOKUP(H760,Listas!$B$2:$C$20,2,FALSE)</f>
        <v>500001</v>
      </c>
      <c r="J760" t="s">
        <v>73</v>
      </c>
      <c r="K760">
        <f>VLOOKUP(J760,Listas!$B$21:$C$50,2,FALSE)</f>
        <v>600017</v>
      </c>
      <c r="L760">
        <v>-1</v>
      </c>
    </row>
    <row r="761" spans="1:12">
      <c r="A761">
        <v>116</v>
      </c>
      <c r="B761" t="s">
        <v>3256</v>
      </c>
      <c r="C761" s="96" t="s">
        <v>3257</v>
      </c>
      <c r="D761" t="s">
        <v>3258</v>
      </c>
      <c r="E761" s="96" t="s">
        <v>1467</v>
      </c>
      <c r="H761" t="s">
        <v>361</v>
      </c>
      <c r="I761">
        <f>VLOOKUP(H761,Listas!$B$2:$C$20,2,FALSE)</f>
        <v>500001</v>
      </c>
      <c r="J761" t="s">
        <v>73</v>
      </c>
      <c r="K761">
        <f>VLOOKUP(J761,Listas!$B$21:$C$50,2,FALSE)</f>
        <v>600017</v>
      </c>
      <c r="L761">
        <v>-1</v>
      </c>
    </row>
    <row r="762" spans="1:12">
      <c r="A762">
        <v>116</v>
      </c>
      <c r="B762" t="s">
        <v>3259</v>
      </c>
      <c r="C762" s="96" t="s">
        <v>3260</v>
      </c>
      <c r="D762" t="s">
        <v>3261</v>
      </c>
      <c r="E762" s="96" t="s">
        <v>1467</v>
      </c>
      <c r="H762" t="s">
        <v>361</v>
      </c>
      <c r="I762">
        <f>VLOOKUP(H762,Listas!$B$2:$C$20,2,FALSE)</f>
        <v>500001</v>
      </c>
      <c r="J762" t="s">
        <v>73</v>
      </c>
      <c r="K762">
        <f>VLOOKUP(J762,Listas!$B$21:$C$50,2,FALSE)</f>
        <v>600017</v>
      </c>
      <c r="L762">
        <v>-1</v>
      </c>
    </row>
    <row r="763" spans="1:12">
      <c r="A763">
        <v>116</v>
      </c>
      <c r="B763" t="s">
        <v>3262</v>
      </c>
      <c r="C763" s="96" t="s">
        <v>3263</v>
      </c>
      <c r="D763" t="s">
        <v>3264</v>
      </c>
      <c r="E763" s="96" t="s">
        <v>1467</v>
      </c>
      <c r="H763" t="s">
        <v>361</v>
      </c>
      <c r="I763">
        <f>VLOOKUP(H763,Listas!$B$2:$C$20,2,FALSE)</f>
        <v>500001</v>
      </c>
      <c r="J763" t="s">
        <v>73</v>
      </c>
      <c r="K763">
        <f>VLOOKUP(J763,Listas!$B$21:$C$50,2,FALSE)</f>
        <v>600017</v>
      </c>
      <c r="L763">
        <v>-1</v>
      </c>
    </row>
    <row r="764" spans="1:12">
      <c r="A764">
        <v>116</v>
      </c>
      <c r="B764" t="s">
        <v>3265</v>
      </c>
      <c r="C764" s="96" t="s">
        <v>3266</v>
      </c>
      <c r="D764" t="s">
        <v>3267</v>
      </c>
      <c r="E764" s="96" t="s">
        <v>1467</v>
      </c>
      <c r="H764" t="s">
        <v>361</v>
      </c>
      <c r="I764">
        <f>VLOOKUP(H764,Listas!$B$2:$C$20,2,FALSE)</f>
        <v>500001</v>
      </c>
      <c r="J764" t="s">
        <v>73</v>
      </c>
      <c r="K764">
        <f>VLOOKUP(J764,Listas!$B$21:$C$50,2,FALSE)</f>
        <v>600017</v>
      </c>
      <c r="L764">
        <v>-1</v>
      </c>
    </row>
    <row r="765" spans="1:12">
      <c r="A765">
        <v>116</v>
      </c>
      <c r="B765" t="s">
        <v>3268</v>
      </c>
      <c r="C765" s="96" t="s">
        <v>3269</v>
      </c>
      <c r="D765" t="s">
        <v>3270</v>
      </c>
      <c r="E765" s="96" t="s">
        <v>1467</v>
      </c>
      <c r="H765" t="s">
        <v>361</v>
      </c>
      <c r="I765">
        <f>VLOOKUP(H765,Listas!$B$2:$C$20,2,FALSE)</f>
        <v>500001</v>
      </c>
      <c r="J765" t="s">
        <v>73</v>
      </c>
      <c r="K765">
        <f>VLOOKUP(J765,Listas!$B$21:$C$50,2,FALSE)</f>
        <v>600017</v>
      </c>
      <c r="L765">
        <v>-1</v>
      </c>
    </row>
    <row r="766" spans="1:12">
      <c r="A766">
        <v>116</v>
      </c>
      <c r="B766" t="s">
        <v>3271</v>
      </c>
      <c r="C766" s="96" t="s">
        <v>3272</v>
      </c>
      <c r="D766" t="s">
        <v>3273</v>
      </c>
      <c r="E766" s="96" t="s">
        <v>1467</v>
      </c>
      <c r="H766" t="s">
        <v>361</v>
      </c>
      <c r="I766">
        <f>VLOOKUP(H766,Listas!$B$2:$C$20,2,FALSE)</f>
        <v>500001</v>
      </c>
      <c r="J766" t="s">
        <v>73</v>
      </c>
      <c r="K766">
        <f>VLOOKUP(J766,Listas!$B$21:$C$50,2,FALSE)</f>
        <v>600017</v>
      </c>
      <c r="L766">
        <v>-1</v>
      </c>
    </row>
    <row r="767" spans="1:12">
      <c r="A767">
        <v>116</v>
      </c>
      <c r="B767" t="s">
        <v>3274</v>
      </c>
      <c r="C767" s="96" t="s">
        <v>3275</v>
      </c>
      <c r="D767" t="s">
        <v>3276</v>
      </c>
      <c r="E767" s="96" t="s">
        <v>1467</v>
      </c>
      <c r="H767" t="s">
        <v>361</v>
      </c>
      <c r="I767">
        <f>VLOOKUP(H767,Listas!$B$2:$C$20,2,FALSE)</f>
        <v>500001</v>
      </c>
      <c r="J767" t="s">
        <v>73</v>
      </c>
      <c r="K767">
        <f>VLOOKUP(J767,Listas!$B$21:$C$50,2,FALSE)</f>
        <v>600017</v>
      </c>
      <c r="L767">
        <v>-1</v>
      </c>
    </row>
    <row r="768" spans="1:12">
      <c r="A768">
        <v>116</v>
      </c>
      <c r="B768" t="s">
        <v>3277</v>
      </c>
      <c r="C768" s="96" t="s">
        <v>3278</v>
      </c>
      <c r="D768" t="s">
        <v>3279</v>
      </c>
      <c r="E768" s="96" t="s">
        <v>1467</v>
      </c>
      <c r="H768" t="s">
        <v>361</v>
      </c>
      <c r="I768">
        <f>VLOOKUP(H768,Listas!$B$2:$C$20,2,FALSE)</f>
        <v>500001</v>
      </c>
      <c r="J768" t="s">
        <v>73</v>
      </c>
      <c r="K768">
        <f>VLOOKUP(J768,Listas!$B$21:$C$50,2,FALSE)</f>
        <v>600017</v>
      </c>
      <c r="L768">
        <v>-1</v>
      </c>
    </row>
    <row r="769" spans="1:12">
      <c r="A769">
        <v>116</v>
      </c>
      <c r="B769" t="s">
        <v>3280</v>
      </c>
      <c r="C769" s="96" t="s">
        <v>3281</v>
      </c>
      <c r="D769" t="s">
        <v>3282</v>
      </c>
      <c r="E769" s="96" t="s">
        <v>1467</v>
      </c>
      <c r="H769" t="s">
        <v>361</v>
      </c>
      <c r="I769">
        <f>VLOOKUP(H769,Listas!$B$2:$C$20,2,FALSE)</f>
        <v>500001</v>
      </c>
      <c r="J769" t="s">
        <v>73</v>
      </c>
      <c r="K769">
        <f>VLOOKUP(J769,Listas!$B$21:$C$50,2,FALSE)</f>
        <v>600017</v>
      </c>
      <c r="L769">
        <v>-1</v>
      </c>
    </row>
    <row r="770" spans="1:12">
      <c r="A770">
        <v>116</v>
      </c>
      <c r="B770" t="s">
        <v>3283</v>
      </c>
      <c r="C770" s="96" t="s">
        <v>3284</v>
      </c>
      <c r="D770" t="s">
        <v>3285</v>
      </c>
      <c r="E770" s="96" t="s">
        <v>1467</v>
      </c>
      <c r="H770" t="s">
        <v>361</v>
      </c>
      <c r="I770">
        <f>VLOOKUP(H770,Listas!$B$2:$C$20,2,FALSE)</f>
        <v>500001</v>
      </c>
      <c r="J770" t="s">
        <v>73</v>
      </c>
      <c r="K770">
        <f>VLOOKUP(J770,Listas!$B$21:$C$50,2,FALSE)</f>
        <v>600017</v>
      </c>
      <c r="L770">
        <v>-1</v>
      </c>
    </row>
    <row r="771" spans="1:12">
      <c r="A771">
        <v>116</v>
      </c>
      <c r="B771" t="s">
        <v>3286</v>
      </c>
      <c r="C771" s="96" t="s">
        <v>3287</v>
      </c>
      <c r="D771" t="s">
        <v>3288</v>
      </c>
      <c r="E771" s="96" t="s">
        <v>1467</v>
      </c>
      <c r="H771" t="s">
        <v>361</v>
      </c>
      <c r="I771">
        <f>VLOOKUP(H771,Listas!$B$2:$C$20,2,FALSE)</f>
        <v>500001</v>
      </c>
      <c r="J771" t="s">
        <v>73</v>
      </c>
      <c r="K771">
        <f>VLOOKUP(J771,Listas!$B$21:$C$50,2,FALSE)</f>
        <v>600017</v>
      </c>
      <c r="L771">
        <v>-1</v>
      </c>
    </row>
    <row r="772" spans="1:12">
      <c r="A772">
        <v>116</v>
      </c>
      <c r="B772" t="s">
        <v>3289</v>
      </c>
      <c r="C772" s="96" t="s">
        <v>3290</v>
      </c>
      <c r="D772" t="s">
        <v>3291</v>
      </c>
      <c r="E772" s="96" t="s">
        <v>1467</v>
      </c>
      <c r="H772" t="s">
        <v>361</v>
      </c>
      <c r="I772">
        <f>VLOOKUP(H772,Listas!$B$2:$C$20,2,FALSE)</f>
        <v>500001</v>
      </c>
      <c r="J772" t="s">
        <v>73</v>
      </c>
      <c r="K772">
        <f>VLOOKUP(J772,Listas!$B$21:$C$50,2,FALSE)</f>
        <v>600017</v>
      </c>
      <c r="L772">
        <v>-1</v>
      </c>
    </row>
    <row r="773" spans="1:12">
      <c r="A773">
        <v>116</v>
      </c>
      <c r="B773" t="s">
        <v>3292</v>
      </c>
      <c r="C773" s="96" t="s">
        <v>3293</v>
      </c>
      <c r="D773" t="s">
        <v>3294</v>
      </c>
      <c r="E773" s="96" t="s">
        <v>1467</v>
      </c>
      <c r="H773" t="s">
        <v>361</v>
      </c>
      <c r="I773">
        <f>VLOOKUP(H773,Listas!$B$2:$C$20,2,FALSE)</f>
        <v>500001</v>
      </c>
      <c r="J773" t="s">
        <v>73</v>
      </c>
      <c r="K773">
        <f>VLOOKUP(J773,Listas!$B$21:$C$50,2,FALSE)</f>
        <v>600017</v>
      </c>
      <c r="L773">
        <v>-1</v>
      </c>
    </row>
    <row r="774" spans="1:12">
      <c r="A774">
        <v>116</v>
      </c>
      <c r="B774" t="s">
        <v>3295</v>
      </c>
      <c r="C774" s="96">
        <v>40232548000181</v>
      </c>
      <c r="D774" t="s">
        <v>3296</v>
      </c>
      <c r="E774" s="96" t="s">
        <v>1467</v>
      </c>
      <c r="H774" t="s">
        <v>361</v>
      </c>
      <c r="I774">
        <f>VLOOKUP(H774,Listas!$B$2:$C$20,2,FALSE)</f>
        <v>500001</v>
      </c>
      <c r="J774" t="s">
        <v>73</v>
      </c>
      <c r="K774">
        <f>VLOOKUP(J774,Listas!$B$21:$C$50,2,FALSE)</f>
        <v>600017</v>
      </c>
      <c r="L774">
        <v>-1</v>
      </c>
    </row>
    <row r="775" spans="1:12">
      <c r="A775">
        <v>116</v>
      </c>
      <c r="B775" t="s">
        <v>3297</v>
      </c>
      <c r="C775" s="96">
        <v>4725674000104</v>
      </c>
      <c r="D775" t="s">
        <v>3298</v>
      </c>
      <c r="E775" s="96" t="s">
        <v>1467</v>
      </c>
      <c r="H775" t="s">
        <v>361</v>
      </c>
      <c r="I775">
        <f>VLOOKUP(H775,Listas!$B$2:$C$20,2,FALSE)</f>
        <v>500001</v>
      </c>
      <c r="J775" t="s">
        <v>73</v>
      </c>
      <c r="K775">
        <f>VLOOKUP(J775,Listas!$B$21:$C$50,2,FALSE)</f>
        <v>600017</v>
      </c>
      <c r="L775">
        <v>-1</v>
      </c>
    </row>
    <row r="776" spans="1:12">
      <c r="A776">
        <v>116</v>
      </c>
      <c r="B776" t="s">
        <v>3299</v>
      </c>
      <c r="C776" s="96">
        <v>20491368000107</v>
      </c>
      <c r="D776" t="s">
        <v>3300</v>
      </c>
      <c r="E776" s="96" t="s">
        <v>1467</v>
      </c>
      <c r="H776" t="s">
        <v>361</v>
      </c>
      <c r="I776">
        <f>VLOOKUP(H776,Listas!$B$2:$C$20,2,FALSE)</f>
        <v>500001</v>
      </c>
      <c r="J776" t="s">
        <v>73</v>
      </c>
      <c r="K776">
        <f>VLOOKUP(J776,Listas!$B$21:$C$50,2,FALSE)</f>
        <v>600017</v>
      </c>
      <c r="L776">
        <v>-1</v>
      </c>
    </row>
    <row r="777" spans="1:12">
      <c r="A777">
        <v>116</v>
      </c>
      <c r="B777" t="s">
        <v>731</v>
      </c>
      <c r="C777" s="96">
        <v>33754482000124</v>
      </c>
      <c r="D777" t="s">
        <v>732</v>
      </c>
      <c r="E777" s="96" t="s">
        <v>1467</v>
      </c>
      <c r="H777" t="s">
        <v>361</v>
      </c>
      <c r="I777">
        <f>VLOOKUP(H777,Listas!$B$2:$C$20,2,FALSE)</f>
        <v>500001</v>
      </c>
      <c r="J777" t="s">
        <v>73</v>
      </c>
      <c r="K777">
        <f>VLOOKUP(J777,Listas!$B$21:$C$50,2,FALSE)</f>
        <v>600017</v>
      </c>
      <c r="L777">
        <v>-1</v>
      </c>
    </row>
    <row r="778" spans="1:12">
      <c r="A778">
        <v>116</v>
      </c>
      <c r="B778" t="s">
        <v>3301</v>
      </c>
      <c r="C778" s="96" t="s">
        <v>3302</v>
      </c>
      <c r="D778" t="s">
        <v>3303</v>
      </c>
      <c r="E778" s="96" t="s">
        <v>1467</v>
      </c>
      <c r="H778" t="s">
        <v>361</v>
      </c>
      <c r="I778">
        <f>VLOOKUP(H778,Listas!$B$2:$C$20,2,FALSE)</f>
        <v>500001</v>
      </c>
      <c r="J778" t="s">
        <v>73</v>
      </c>
      <c r="K778">
        <f>VLOOKUP(J778,Listas!$B$21:$C$50,2,FALSE)</f>
        <v>600017</v>
      </c>
      <c r="L778">
        <v>-1</v>
      </c>
    </row>
    <row r="779" spans="1:12">
      <c r="A779">
        <v>116</v>
      </c>
      <c r="B779" t="s">
        <v>3304</v>
      </c>
      <c r="C779" s="96" t="s">
        <v>3305</v>
      </c>
      <c r="D779" t="s">
        <v>3306</v>
      </c>
      <c r="E779" s="96" t="s">
        <v>1467</v>
      </c>
      <c r="H779" t="s">
        <v>361</v>
      </c>
      <c r="I779">
        <f>VLOOKUP(H779,Listas!$B$2:$C$20,2,FALSE)</f>
        <v>500001</v>
      </c>
      <c r="J779" t="s">
        <v>73</v>
      </c>
      <c r="K779">
        <f>VLOOKUP(J779,Listas!$B$21:$C$50,2,FALSE)</f>
        <v>600017</v>
      </c>
      <c r="L779">
        <v>-1</v>
      </c>
    </row>
    <row r="780" spans="1:12">
      <c r="A780">
        <v>116</v>
      </c>
      <c r="B780" t="s">
        <v>3307</v>
      </c>
      <c r="C780" s="96" t="s">
        <v>3308</v>
      </c>
      <c r="D780" t="s">
        <v>3309</v>
      </c>
      <c r="E780" s="96" t="s">
        <v>1467</v>
      </c>
      <c r="H780" t="s">
        <v>361</v>
      </c>
      <c r="I780">
        <f>VLOOKUP(H780,Listas!$B$2:$C$20,2,FALSE)</f>
        <v>500001</v>
      </c>
      <c r="J780" t="s">
        <v>73</v>
      </c>
      <c r="K780">
        <f>VLOOKUP(J780,Listas!$B$21:$C$50,2,FALSE)</f>
        <v>600017</v>
      </c>
      <c r="L780">
        <v>-1</v>
      </c>
    </row>
    <row r="781" spans="1:12">
      <c r="A781">
        <v>116</v>
      </c>
      <c r="B781" t="s">
        <v>3310</v>
      </c>
      <c r="C781" s="96" t="s">
        <v>3311</v>
      </c>
      <c r="D781" t="s">
        <v>3312</v>
      </c>
      <c r="E781" s="96" t="s">
        <v>1467</v>
      </c>
      <c r="H781" t="s">
        <v>361</v>
      </c>
      <c r="I781">
        <f>VLOOKUP(H781,Listas!$B$2:$C$20,2,FALSE)</f>
        <v>500001</v>
      </c>
      <c r="J781" t="s">
        <v>73</v>
      </c>
      <c r="K781">
        <f>VLOOKUP(J781,Listas!$B$21:$C$50,2,FALSE)</f>
        <v>600017</v>
      </c>
      <c r="L781">
        <v>-1</v>
      </c>
    </row>
    <row r="782" spans="1:12">
      <c r="A782">
        <v>116</v>
      </c>
      <c r="B782" t="s">
        <v>3313</v>
      </c>
      <c r="C782" s="96">
        <v>7775025000126</v>
      </c>
      <c r="D782" t="s">
        <v>3314</v>
      </c>
      <c r="E782" s="96" t="s">
        <v>1467</v>
      </c>
      <c r="H782" t="s">
        <v>361</v>
      </c>
      <c r="I782">
        <f>VLOOKUP(H782,Listas!$B$2:$C$20,2,FALSE)</f>
        <v>500001</v>
      </c>
      <c r="J782" t="s">
        <v>73</v>
      </c>
      <c r="K782">
        <f>VLOOKUP(J782,Listas!$B$21:$C$50,2,FALSE)</f>
        <v>600017</v>
      </c>
      <c r="L782">
        <v>-1</v>
      </c>
    </row>
    <row r="783" spans="1:12">
      <c r="A783">
        <v>116</v>
      </c>
      <c r="B783" t="s">
        <v>3315</v>
      </c>
      <c r="C783" s="96">
        <v>9664482000159</v>
      </c>
      <c r="D783" t="s">
        <v>3316</v>
      </c>
      <c r="E783" s="96" t="s">
        <v>1467</v>
      </c>
      <c r="H783" t="s">
        <v>361</v>
      </c>
      <c r="I783">
        <f>VLOOKUP(H783,Listas!$B$2:$C$20,2,FALSE)</f>
        <v>500001</v>
      </c>
      <c r="J783" t="s">
        <v>73</v>
      </c>
      <c r="K783">
        <f>VLOOKUP(J783,Listas!$B$21:$C$50,2,FALSE)</f>
        <v>600017</v>
      </c>
      <c r="L783">
        <v>-1</v>
      </c>
    </row>
    <row r="784" spans="1:12">
      <c r="A784">
        <v>116</v>
      </c>
      <c r="B784" t="s">
        <v>3317</v>
      </c>
      <c r="C784" s="96">
        <v>23056156000190</v>
      </c>
      <c r="D784" t="s">
        <v>3318</v>
      </c>
      <c r="E784" s="96" t="s">
        <v>1467</v>
      </c>
      <c r="H784" t="s">
        <v>361</v>
      </c>
      <c r="I784">
        <f>VLOOKUP(H784,Listas!$B$2:$C$20,2,FALSE)</f>
        <v>500001</v>
      </c>
      <c r="J784" t="s">
        <v>73</v>
      </c>
      <c r="K784">
        <f>VLOOKUP(J784,Listas!$B$21:$C$50,2,FALSE)</f>
        <v>600017</v>
      </c>
      <c r="L784">
        <v>-1</v>
      </c>
    </row>
    <row r="785" spans="1:12">
      <c r="A785">
        <v>116</v>
      </c>
      <c r="B785" t="s">
        <v>3319</v>
      </c>
      <c r="C785" s="96">
        <v>7993228000179</v>
      </c>
      <c r="D785" t="s">
        <v>3320</v>
      </c>
      <c r="E785" s="96" t="s">
        <v>1467</v>
      </c>
      <c r="H785" t="s">
        <v>361</v>
      </c>
      <c r="I785">
        <f>VLOOKUP(H785,Listas!$B$2:$C$20,2,FALSE)</f>
        <v>500001</v>
      </c>
      <c r="J785" t="s">
        <v>73</v>
      </c>
      <c r="K785">
        <f>VLOOKUP(J785,Listas!$B$21:$C$50,2,FALSE)</f>
        <v>600017</v>
      </c>
      <c r="L785">
        <v>-1</v>
      </c>
    </row>
    <row r="786" spans="1:12">
      <c r="A786">
        <v>116</v>
      </c>
      <c r="B786" t="s">
        <v>3321</v>
      </c>
      <c r="C786" s="96">
        <v>10865068000197</v>
      </c>
      <c r="D786" t="s">
        <v>3322</v>
      </c>
      <c r="E786" s="96" t="s">
        <v>1467</v>
      </c>
      <c r="H786" t="s">
        <v>361</v>
      </c>
      <c r="I786">
        <f>VLOOKUP(H786,Listas!$B$2:$C$20,2,FALSE)</f>
        <v>500001</v>
      </c>
      <c r="J786" t="s">
        <v>73</v>
      </c>
      <c r="K786">
        <f>VLOOKUP(J786,Listas!$B$21:$C$50,2,FALSE)</f>
        <v>600017</v>
      </c>
      <c r="L786">
        <v>-1</v>
      </c>
    </row>
    <row r="787" spans="1:12">
      <c r="A787">
        <v>116</v>
      </c>
      <c r="B787" t="s">
        <v>3323</v>
      </c>
      <c r="C787" s="96">
        <v>41769803000192</v>
      </c>
      <c r="D787" t="s">
        <v>3324</v>
      </c>
      <c r="E787" s="96" t="s">
        <v>1467</v>
      </c>
      <c r="H787" t="s">
        <v>361</v>
      </c>
      <c r="I787">
        <f>VLOOKUP(H787,Listas!$B$2:$C$20,2,FALSE)</f>
        <v>500001</v>
      </c>
      <c r="J787" t="s">
        <v>73</v>
      </c>
      <c r="K787">
        <f>VLOOKUP(J787,Listas!$B$21:$C$50,2,FALSE)</f>
        <v>600017</v>
      </c>
      <c r="L787">
        <v>-1</v>
      </c>
    </row>
    <row r="788" spans="1:12">
      <c r="A788">
        <v>116</v>
      </c>
      <c r="B788" t="s">
        <v>3325</v>
      </c>
      <c r="C788" s="96">
        <v>5430532000263</v>
      </c>
      <c r="D788" t="s">
        <v>3326</v>
      </c>
      <c r="E788" s="96" t="s">
        <v>1467</v>
      </c>
      <c r="H788" t="s">
        <v>361</v>
      </c>
      <c r="I788">
        <f>VLOOKUP(H788,Listas!$B$2:$C$20,2,FALSE)</f>
        <v>500001</v>
      </c>
      <c r="J788" t="s">
        <v>73</v>
      </c>
      <c r="K788">
        <f>VLOOKUP(J788,Listas!$B$21:$C$50,2,FALSE)</f>
        <v>600017</v>
      </c>
      <c r="L788">
        <v>-1</v>
      </c>
    </row>
    <row r="789" spans="1:12">
      <c r="A789">
        <v>116</v>
      </c>
      <c r="B789" t="s">
        <v>3327</v>
      </c>
      <c r="C789" s="96">
        <v>20177000114</v>
      </c>
      <c r="D789" t="s">
        <v>3328</v>
      </c>
      <c r="E789" s="96" t="s">
        <v>1467</v>
      </c>
      <c r="H789" t="s">
        <v>361</v>
      </c>
      <c r="I789">
        <f>VLOOKUP(H789,Listas!$B$2:$C$20,2,FALSE)</f>
        <v>500001</v>
      </c>
      <c r="J789" t="s">
        <v>73</v>
      </c>
      <c r="K789">
        <f>VLOOKUP(J789,Listas!$B$21:$C$50,2,FALSE)</f>
        <v>600017</v>
      </c>
      <c r="L789">
        <v>-1</v>
      </c>
    </row>
    <row r="790" spans="1:12">
      <c r="A790">
        <v>116</v>
      </c>
      <c r="B790" t="s">
        <v>3329</v>
      </c>
      <c r="C790" s="96">
        <v>55475115000124</v>
      </c>
      <c r="D790" t="s">
        <v>3330</v>
      </c>
      <c r="E790" s="96" t="s">
        <v>1467</v>
      </c>
      <c r="H790" t="s">
        <v>361</v>
      </c>
      <c r="I790">
        <f>VLOOKUP(H790,Listas!$B$2:$C$20,2,FALSE)</f>
        <v>500001</v>
      </c>
      <c r="J790" t="s">
        <v>73</v>
      </c>
      <c r="K790">
        <f>VLOOKUP(J790,Listas!$B$21:$C$50,2,FALSE)</f>
        <v>600017</v>
      </c>
      <c r="L790">
        <v>-1</v>
      </c>
    </row>
    <row r="791" spans="1:12">
      <c r="A791">
        <v>116</v>
      </c>
      <c r="B791" t="s">
        <v>3331</v>
      </c>
      <c r="C791" s="96">
        <v>9193427000128</v>
      </c>
      <c r="D791" t="s">
        <v>3332</v>
      </c>
      <c r="E791" s="96" t="s">
        <v>1467</v>
      </c>
      <c r="H791" t="s">
        <v>361</v>
      </c>
      <c r="I791">
        <f>VLOOKUP(H791,Listas!$B$2:$C$20,2,FALSE)</f>
        <v>500001</v>
      </c>
      <c r="J791" t="s">
        <v>73</v>
      </c>
      <c r="K791">
        <f>VLOOKUP(J791,Listas!$B$21:$C$50,2,FALSE)</f>
        <v>600017</v>
      </c>
      <c r="L791">
        <v>-1</v>
      </c>
    </row>
    <row r="792" spans="1:12">
      <c r="A792">
        <v>116</v>
      </c>
      <c r="B792" t="s">
        <v>3333</v>
      </c>
      <c r="C792" s="96">
        <v>17069036000124</v>
      </c>
      <c r="D792" t="s">
        <v>3334</v>
      </c>
      <c r="E792" s="96" t="s">
        <v>1467</v>
      </c>
      <c r="H792" t="s">
        <v>361</v>
      </c>
      <c r="I792">
        <f>VLOOKUP(H792,Listas!$B$2:$C$20,2,FALSE)</f>
        <v>500001</v>
      </c>
      <c r="J792" t="s">
        <v>73</v>
      </c>
      <c r="K792">
        <f>VLOOKUP(J792,Listas!$B$21:$C$50,2,FALSE)</f>
        <v>600017</v>
      </c>
      <c r="L792">
        <v>-1</v>
      </c>
    </row>
    <row r="793" spans="1:12">
      <c r="A793">
        <v>116</v>
      </c>
      <c r="B793" t="s">
        <v>3335</v>
      </c>
      <c r="C793" s="96">
        <v>71196034000141</v>
      </c>
      <c r="D793" t="s">
        <v>3336</v>
      </c>
      <c r="E793" s="96" t="s">
        <v>1467</v>
      </c>
      <c r="H793" t="s">
        <v>361</v>
      </c>
      <c r="I793">
        <f>VLOOKUP(H793,Listas!$B$2:$C$20,2,FALSE)</f>
        <v>500001</v>
      </c>
      <c r="J793" t="s">
        <v>73</v>
      </c>
      <c r="K793">
        <f>VLOOKUP(J793,Listas!$B$21:$C$50,2,FALSE)</f>
        <v>600017</v>
      </c>
      <c r="L793">
        <v>-1</v>
      </c>
    </row>
    <row r="794" spans="1:12">
      <c r="A794">
        <v>116</v>
      </c>
      <c r="B794" t="s">
        <v>3337</v>
      </c>
      <c r="C794" s="96">
        <v>5724276000136</v>
      </c>
      <c r="D794" t="s">
        <v>3338</v>
      </c>
      <c r="E794" s="96" t="s">
        <v>1467</v>
      </c>
      <c r="H794" t="s">
        <v>361</v>
      </c>
      <c r="I794">
        <f>VLOOKUP(H794,Listas!$B$2:$C$20,2,FALSE)</f>
        <v>500001</v>
      </c>
      <c r="J794" t="s">
        <v>73</v>
      </c>
      <c r="K794">
        <f>VLOOKUP(J794,Listas!$B$21:$C$50,2,FALSE)</f>
        <v>600017</v>
      </c>
      <c r="L794">
        <v>-1</v>
      </c>
    </row>
    <row r="795" spans="1:12">
      <c r="A795">
        <v>116</v>
      </c>
      <c r="B795" t="s">
        <v>3339</v>
      </c>
      <c r="C795" s="96">
        <v>19803838000141</v>
      </c>
      <c r="D795" t="s">
        <v>3340</v>
      </c>
      <c r="E795" s="96" t="s">
        <v>1467</v>
      </c>
      <c r="H795" t="s">
        <v>361</v>
      </c>
      <c r="I795">
        <f>VLOOKUP(H795,Listas!$B$2:$C$20,2,FALSE)</f>
        <v>500001</v>
      </c>
      <c r="J795" t="s">
        <v>73</v>
      </c>
      <c r="K795">
        <f>VLOOKUP(J795,Listas!$B$21:$C$50,2,FALSE)</f>
        <v>600017</v>
      </c>
      <c r="L795">
        <v>-1</v>
      </c>
    </row>
    <row r="796" spans="1:12">
      <c r="A796">
        <v>116</v>
      </c>
      <c r="B796" t="s">
        <v>3341</v>
      </c>
      <c r="C796" s="96">
        <v>53437406000100</v>
      </c>
      <c r="D796" t="s">
        <v>3342</v>
      </c>
      <c r="E796" s="96" t="s">
        <v>1467</v>
      </c>
      <c r="H796" t="s">
        <v>361</v>
      </c>
      <c r="I796">
        <f>VLOOKUP(H796,Listas!$B$2:$C$20,2,FALSE)</f>
        <v>500001</v>
      </c>
      <c r="J796" t="s">
        <v>73</v>
      </c>
      <c r="K796">
        <f>VLOOKUP(J796,Listas!$B$21:$C$50,2,FALSE)</f>
        <v>600017</v>
      </c>
      <c r="L796">
        <v>-1</v>
      </c>
    </row>
    <row r="797" spans="1:12">
      <c r="A797">
        <v>116</v>
      </c>
      <c r="B797" t="s">
        <v>3343</v>
      </c>
      <c r="C797" s="96">
        <v>9096717000315</v>
      </c>
      <c r="D797" t="s">
        <v>3344</v>
      </c>
      <c r="E797" s="96" t="s">
        <v>1467</v>
      </c>
      <c r="H797" t="s">
        <v>361</v>
      </c>
      <c r="I797">
        <f>VLOOKUP(H797,Listas!$B$2:$C$20,2,FALSE)</f>
        <v>500001</v>
      </c>
      <c r="J797" t="s">
        <v>73</v>
      </c>
      <c r="K797">
        <f>VLOOKUP(J797,Listas!$B$21:$C$50,2,FALSE)</f>
        <v>600017</v>
      </c>
      <c r="L797">
        <v>-1</v>
      </c>
    </row>
    <row r="798" spans="1:12">
      <c r="A798">
        <v>116</v>
      </c>
      <c r="B798" t="s">
        <v>3345</v>
      </c>
      <c r="C798" s="96">
        <v>68153238000190</v>
      </c>
      <c r="D798" t="s">
        <v>3346</v>
      </c>
      <c r="E798" s="96" t="s">
        <v>1467</v>
      </c>
      <c r="H798" t="s">
        <v>361</v>
      </c>
      <c r="I798">
        <f>VLOOKUP(H798,Listas!$B$2:$C$20,2,FALSE)</f>
        <v>500001</v>
      </c>
      <c r="J798" t="s">
        <v>73</v>
      </c>
      <c r="K798">
        <f>VLOOKUP(J798,Listas!$B$21:$C$50,2,FALSE)</f>
        <v>600017</v>
      </c>
      <c r="L798">
        <v>-1</v>
      </c>
    </row>
    <row r="799" spans="1:12">
      <c r="A799">
        <v>116</v>
      </c>
      <c r="B799" t="s">
        <v>3347</v>
      </c>
      <c r="C799" s="96">
        <v>1804986000115</v>
      </c>
      <c r="D799" t="s">
        <v>3348</v>
      </c>
      <c r="E799" s="96" t="s">
        <v>1467</v>
      </c>
      <c r="H799" t="s">
        <v>361</v>
      </c>
      <c r="I799">
        <f>VLOOKUP(H799,Listas!$B$2:$C$20,2,FALSE)</f>
        <v>500001</v>
      </c>
      <c r="J799" t="s">
        <v>73</v>
      </c>
      <c r="K799">
        <f>VLOOKUP(J799,Listas!$B$21:$C$50,2,FALSE)</f>
        <v>600017</v>
      </c>
      <c r="L799">
        <v>-1</v>
      </c>
    </row>
    <row r="800" spans="1:12">
      <c r="A800">
        <v>116</v>
      </c>
      <c r="B800" t="s">
        <v>733</v>
      </c>
      <c r="C800" s="96">
        <v>3017428000135</v>
      </c>
      <c r="D800" t="s">
        <v>734</v>
      </c>
      <c r="E800" s="96" t="s">
        <v>1467</v>
      </c>
      <c r="H800" t="s">
        <v>361</v>
      </c>
      <c r="I800">
        <f>VLOOKUP(H800,Listas!$B$2:$C$20,2,FALSE)</f>
        <v>500001</v>
      </c>
      <c r="J800" t="s">
        <v>73</v>
      </c>
      <c r="K800">
        <f>VLOOKUP(J800,Listas!$B$21:$C$50,2,FALSE)</f>
        <v>600017</v>
      </c>
      <c r="L800">
        <v>-1</v>
      </c>
    </row>
    <row r="801" spans="1:12">
      <c r="A801">
        <v>116</v>
      </c>
      <c r="B801" t="s">
        <v>3349</v>
      </c>
      <c r="C801" s="96">
        <v>4131922000199</v>
      </c>
      <c r="D801" t="s">
        <v>3350</v>
      </c>
      <c r="E801" s="96" t="s">
        <v>1467</v>
      </c>
      <c r="H801" t="s">
        <v>361</v>
      </c>
      <c r="I801">
        <f>VLOOKUP(H801,Listas!$B$2:$C$20,2,FALSE)</f>
        <v>500001</v>
      </c>
      <c r="J801" t="s">
        <v>73</v>
      </c>
      <c r="K801">
        <f>VLOOKUP(J801,Listas!$B$21:$C$50,2,FALSE)</f>
        <v>600017</v>
      </c>
      <c r="L801">
        <v>-1</v>
      </c>
    </row>
    <row r="802" spans="1:12">
      <c r="A802">
        <v>116</v>
      </c>
      <c r="B802" t="s">
        <v>3351</v>
      </c>
      <c r="C802" s="96" t="s">
        <v>3352</v>
      </c>
      <c r="D802" t="s">
        <v>3353</v>
      </c>
      <c r="E802" s="96" t="s">
        <v>1467</v>
      </c>
      <c r="H802" t="s">
        <v>361</v>
      </c>
      <c r="I802">
        <f>VLOOKUP(H802,Listas!$B$2:$C$20,2,FALSE)</f>
        <v>500001</v>
      </c>
      <c r="J802" t="s">
        <v>73</v>
      </c>
      <c r="K802">
        <f>VLOOKUP(J802,Listas!$B$21:$C$50,2,FALSE)</f>
        <v>600017</v>
      </c>
      <c r="L802">
        <v>-1</v>
      </c>
    </row>
    <row r="803" spans="1:12">
      <c r="A803">
        <v>116</v>
      </c>
      <c r="B803" t="s">
        <v>3354</v>
      </c>
      <c r="C803" s="96" t="s">
        <v>3355</v>
      </c>
      <c r="D803" t="s">
        <v>3356</v>
      </c>
      <c r="E803" s="96" t="s">
        <v>1467</v>
      </c>
      <c r="H803" t="s">
        <v>361</v>
      </c>
      <c r="I803">
        <f>VLOOKUP(H803,Listas!$B$2:$C$20,2,FALSE)</f>
        <v>500001</v>
      </c>
      <c r="J803" t="s">
        <v>73</v>
      </c>
      <c r="K803">
        <f>VLOOKUP(J803,Listas!$B$21:$C$50,2,FALSE)</f>
        <v>600017</v>
      </c>
      <c r="L803">
        <v>-1</v>
      </c>
    </row>
    <row r="804" spans="1:12">
      <c r="A804">
        <v>116</v>
      </c>
      <c r="B804" t="s">
        <v>3357</v>
      </c>
      <c r="C804" s="96" t="s">
        <v>3358</v>
      </c>
      <c r="D804" t="s">
        <v>3359</v>
      </c>
      <c r="E804" s="96" t="s">
        <v>1467</v>
      </c>
      <c r="H804" t="s">
        <v>361</v>
      </c>
      <c r="I804">
        <f>VLOOKUP(H804,Listas!$B$2:$C$20,2,FALSE)</f>
        <v>500001</v>
      </c>
      <c r="J804" t="s">
        <v>73</v>
      </c>
      <c r="K804">
        <f>VLOOKUP(J804,Listas!$B$21:$C$50,2,FALSE)</f>
        <v>600017</v>
      </c>
      <c r="L804">
        <v>-1</v>
      </c>
    </row>
    <row r="805" spans="1:12">
      <c r="A805">
        <v>116</v>
      </c>
      <c r="B805" t="s">
        <v>3360</v>
      </c>
      <c r="C805" s="96" t="s">
        <v>3361</v>
      </c>
      <c r="D805" t="s">
        <v>3362</v>
      </c>
      <c r="E805" s="96" t="s">
        <v>1467</v>
      </c>
      <c r="H805" t="s">
        <v>361</v>
      </c>
      <c r="I805">
        <f>VLOOKUP(H805,Listas!$B$2:$C$20,2,FALSE)</f>
        <v>500001</v>
      </c>
      <c r="J805" t="s">
        <v>73</v>
      </c>
      <c r="K805">
        <f>VLOOKUP(J805,Listas!$B$21:$C$50,2,FALSE)</f>
        <v>600017</v>
      </c>
      <c r="L805">
        <v>-1</v>
      </c>
    </row>
    <row r="806" spans="1:12">
      <c r="A806">
        <v>116</v>
      </c>
      <c r="B806" t="s">
        <v>3363</v>
      </c>
      <c r="C806" s="96" t="s">
        <v>3364</v>
      </c>
      <c r="D806" t="s">
        <v>3365</v>
      </c>
      <c r="E806" s="96" t="s">
        <v>1467</v>
      </c>
      <c r="H806" t="s">
        <v>361</v>
      </c>
      <c r="I806">
        <f>VLOOKUP(H806,Listas!$B$2:$C$20,2,FALSE)</f>
        <v>500001</v>
      </c>
      <c r="J806" t="s">
        <v>73</v>
      </c>
      <c r="K806">
        <f>VLOOKUP(J806,Listas!$B$21:$C$50,2,FALSE)</f>
        <v>600017</v>
      </c>
      <c r="L806">
        <v>-1</v>
      </c>
    </row>
    <row r="807" spans="1:12">
      <c r="A807">
        <v>116</v>
      </c>
      <c r="B807" t="s">
        <v>3366</v>
      </c>
      <c r="C807" s="96" t="s">
        <v>3367</v>
      </c>
      <c r="D807" t="s">
        <v>3368</v>
      </c>
      <c r="E807" s="96" t="s">
        <v>1467</v>
      </c>
      <c r="H807" t="s">
        <v>361</v>
      </c>
      <c r="I807">
        <f>VLOOKUP(H807,Listas!$B$2:$C$20,2,FALSE)</f>
        <v>500001</v>
      </c>
      <c r="J807" t="s">
        <v>73</v>
      </c>
      <c r="K807">
        <f>VLOOKUP(J807,Listas!$B$21:$C$50,2,FALSE)</f>
        <v>600017</v>
      </c>
      <c r="L807">
        <v>-1</v>
      </c>
    </row>
    <row r="808" spans="1:12">
      <c r="A808">
        <v>116</v>
      </c>
      <c r="B808" t="s">
        <v>3369</v>
      </c>
      <c r="C808" s="96" t="s">
        <v>3370</v>
      </c>
      <c r="D808" t="s">
        <v>3371</v>
      </c>
      <c r="E808" s="96" t="s">
        <v>1467</v>
      </c>
      <c r="H808" t="s">
        <v>361</v>
      </c>
      <c r="I808">
        <f>VLOOKUP(H808,Listas!$B$2:$C$20,2,FALSE)</f>
        <v>500001</v>
      </c>
      <c r="J808" t="s">
        <v>73</v>
      </c>
      <c r="K808">
        <f>VLOOKUP(J808,Listas!$B$21:$C$50,2,FALSE)</f>
        <v>600017</v>
      </c>
      <c r="L808">
        <v>-1</v>
      </c>
    </row>
    <row r="809" spans="1:12">
      <c r="A809">
        <v>116</v>
      </c>
      <c r="B809" t="s">
        <v>3372</v>
      </c>
      <c r="C809" s="96" t="s">
        <v>3373</v>
      </c>
      <c r="D809" t="s">
        <v>3374</v>
      </c>
      <c r="E809" s="96" t="s">
        <v>1467</v>
      </c>
      <c r="H809" t="s">
        <v>361</v>
      </c>
      <c r="I809">
        <f>VLOOKUP(H809,Listas!$B$2:$C$20,2,FALSE)</f>
        <v>500001</v>
      </c>
      <c r="J809" t="s">
        <v>73</v>
      </c>
      <c r="K809">
        <f>VLOOKUP(J809,Listas!$B$21:$C$50,2,FALSE)</f>
        <v>600017</v>
      </c>
      <c r="L809">
        <v>-1</v>
      </c>
    </row>
    <row r="810" spans="1:12">
      <c r="A810">
        <v>116</v>
      </c>
      <c r="B810" t="s">
        <v>3375</v>
      </c>
      <c r="C810" s="96">
        <v>23656099000180</v>
      </c>
      <c r="D810" t="s">
        <v>3376</v>
      </c>
      <c r="E810" s="96" t="s">
        <v>1467</v>
      </c>
      <c r="H810" t="s">
        <v>361</v>
      </c>
      <c r="I810">
        <f>VLOOKUP(H810,Listas!$B$2:$C$20,2,FALSE)</f>
        <v>500001</v>
      </c>
      <c r="J810" t="s">
        <v>73</v>
      </c>
      <c r="K810">
        <f>VLOOKUP(J810,Listas!$B$21:$C$50,2,FALSE)</f>
        <v>600017</v>
      </c>
      <c r="L810">
        <v>-1</v>
      </c>
    </row>
    <row r="811" spans="1:12">
      <c r="A811">
        <v>116</v>
      </c>
      <c r="B811" t="s">
        <v>3377</v>
      </c>
      <c r="C811" s="96">
        <v>3344826000166</v>
      </c>
      <c r="D811" t="s">
        <v>3378</v>
      </c>
      <c r="E811" s="96" t="s">
        <v>1467</v>
      </c>
      <c r="H811" t="s">
        <v>361</v>
      </c>
      <c r="I811">
        <f>VLOOKUP(H811,Listas!$B$2:$C$20,2,FALSE)</f>
        <v>500001</v>
      </c>
      <c r="J811" t="s">
        <v>73</v>
      </c>
      <c r="K811">
        <f>VLOOKUP(J811,Listas!$B$21:$C$50,2,FALSE)</f>
        <v>600017</v>
      </c>
      <c r="L811">
        <v>-1</v>
      </c>
    </row>
    <row r="812" spans="1:12">
      <c r="A812">
        <v>116</v>
      </c>
      <c r="B812" t="s">
        <v>3379</v>
      </c>
      <c r="C812" s="96">
        <v>8086693000199</v>
      </c>
      <c r="D812" t="s">
        <v>3380</v>
      </c>
      <c r="E812" s="96" t="s">
        <v>1467</v>
      </c>
      <c r="H812" t="s">
        <v>361</v>
      </c>
      <c r="I812">
        <f>VLOOKUP(H812,Listas!$B$2:$C$20,2,FALSE)</f>
        <v>500001</v>
      </c>
      <c r="J812" t="s">
        <v>73</v>
      </c>
      <c r="K812">
        <f>VLOOKUP(J812,Listas!$B$21:$C$50,2,FALSE)</f>
        <v>600017</v>
      </c>
      <c r="L812">
        <v>-1</v>
      </c>
    </row>
    <row r="813" spans="1:12">
      <c r="A813">
        <v>116</v>
      </c>
      <c r="B813" t="s">
        <v>3381</v>
      </c>
      <c r="C813" s="96">
        <v>12114529000115</v>
      </c>
      <c r="D813" t="s">
        <v>3382</v>
      </c>
      <c r="E813" s="96" t="s">
        <v>1467</v>
      </c>
      <c r="H813" t="s">
        <v>361</v>
      </c>
      <c r="I813">
        <f>VLOOKUP(H813,Listas!$B$2:$C$20,2,FALSE)</f>
        <v>500001</v>
      </c>
      <c r="J813" t="s">
        <v>73</v>
      </c>
      <c r="K813">
        <f>VLOOKUP(J813,Listas!$B$21:$C$50,2,FALSE)</f>
        <v>600017</v>
      </c>
      <c r="L813">
        <v>-1</v>
      </c>
    </row>
    <row r="814" spans="1:12">
      <c r="A814">
        <v>116</v>
      </c>
      <c r="B814" t="s">
        <v>3383</v>
      </c>
      <c r="C814" s="96" t="s">
        <v>3384</v>
      </c>
      <c r="D814" t="s">
        <v>3385</v>
      </c>
      <c r="E814" s="96" t="s">
        <v>1467</v>
      </c>
      <c r="H814" t="s">
        <v>361</v>
      </c>
      <c r="I814">
        <f>VLOOKUP(H814,Listas!$B$2:$C$20,2,FALSE)</f>
        <v>500001</v>
      </c>
      <c r="J814" t="s">
        <v>73</v>
      </c>
      <c r="K814">
        <f>VLOOKUP(J814,Listas!$B$21:$C$50,2,FALSE)</f>
        <v>600017</v>
      </c>
      <c r="L814">
        <v>-1</v>
      </c>
    </row>
    <row r="815" spans="1:12">
      <c r="A815">
        <v>116</v>
      </c>
      <c r="B815" t="s">
        <v>3386</v>
      </c>
      <c r="C815" s="96" t="s">
        <v>3387</v>
      </c>
      <c r="D815" t="s">
        <v>3388</v>
      </c>
      <c r="E815" s="96" t="s">
        <v>1467</v>
      </c>
      <c r="H815" t="s">
        <v>361</v>
      </c>
      <c r="I815">
        <f>VLOOKUP(H815,Listas!$B$2:$C$20,2,FALSE)</f>
        <v>500001</v>
      </c>
      <c r="J815" t="s">
        <v>73</v>
      </c>
      <c r="K815">
        <f>VLOOKUP(J815,Listas!$B$21:$C$50,2,FALSE)</f>
        <v>600017</v>
      </c>
      <c r="L815">
        <v>-1</v>
      </c>
    </row>
    <row r="816" spans="1:12">
      <c r="A816">
        <v>116</v>
      </c>
      <c r="B816" t="s">
        <v>3389</v>
      </c>
      <c r="C816" s="96">
        <v>15586880000105</v>
      </c>
      <c r="D816" t="s">
        <v>3390</v>
      </c>
      <c r="E816" s="96" t="s">
        <v>1467</v>
      </c>
      <c r="H816" t="s">
        <v>361</v>
      </c>
      <c r="I816">
        <f>VLOOKUP(H816,Listas!$B$2:$C$20,2,FALSE)</f>
        <v>500001</v>
      </c>
      <c r="J816" t="s">
        <v>73</v>
      </c>
      <c r="K816">
        <f>VLOOKUP(J816,Listas!$B$21:$C$50,2,FALSE)</f>
        <v>600017</v>
      </c>
      <c r="L816">
        <v>-1</v>
      </c>
    </row>
    <row r="817" spans="1:12">
      <c r="A817">
        <v>116</v>
      </c>
      <c r="B817" t="s">
        <v>3391</v>
      </c>
      <c r="C817" s="96">
        <v>13159833000141</v>
      </c>
      <c r="D817" t="s">
        <v>3392</v>
      </c>
      <c r="E817" s="96" t="s">
        <v>1467</v>
      </c>
      <c r="H817" t="s">
        <v>361</v>
      </c>
      <c r="I817">
        <f>VLOOKUP(H817,Listas!$B$2:$C$20,2,FALSE)</f>
        <v>500001</v>
      </c>
      <c r="J817" t="s">
        <v>73</v>
      </c>
      <c r="K817">
        <f>VLOOKUP(J817,Listas!$B$21:$C$50,2,FALSE)</f>
        <v>600017</v>
      </c>
      <c r="L817">
        <v>-1</v>
      </c>
    </row>
    <row r="818" spans="1:12">
      <c r="A818">
        <v>116</v>
      </c>
      <c r="B818" t="s">
        <v>3393</v>
      </c>
      <c r="C818" s="96">
        <v>5633420000129</v>
      </c>
      <c r="D818" t="s">
        <v>3394</v>
      </c>
      <c r="E818" s="96" t="s">
        <v>1467</v>
      </c>
      <c r="H818" t="s">
        <v>361</v>
      </c>
      <c r="I818">
        <f>VLOOKUP(H818,Listas!$B$2:$C$20,2,FALSE)</f>
        <v>500001</v>
      </c>
      <c r="J818" t="s">
        <v>73</v>
      </c>
      <c r="K818">
        <f>VLOOKUP(J818,Listas!$B$21:$C$50,2,FALSE)</f>
        <v>600017</v>
      </c>
      <c r="L818">
        <v>-1</v>
      </c>
    </row>
    <row r="819" spans="1:12">
      <c r="A819">
        <v>116</v>
      </c>
      <c r="B819" t="s">
        <v>3395</v>
      </c>
      <c r="C819" s="96">
        <v>20120933000120</v>
      </c>
      <c r="D819" t="s">
        <v>3396</v>
      </c>
      <c r="E819" s="96" t="s">
        <v>1467</v>
      </c>
      <c r="H819" t="s">
        <v>361</v>
      </c>
      <c r="I819">
        <f>VLOOKUP(H819,Listas!$B$2:$C$20,2,FALSE)</f>
        <v>500001</v>
      </c>
      <c r="J819" t="s">
        <v>73</v>
      </c>
      <c r="K819">
        <f>VLOOKUP(J819,Listas!$B$21:$C$50,2,FALSE)</f>
        <v>600017</v>
      </c>
      <c r="L819">
        <v>-1</v>
      </c>
    </row>
    <row r="820" spans="1:12">
      <c r="A820">
        <v>116</v>
      </c>
      <c r="B820" t="s">
        <v>3397</v>
      </c>
      <c r="C820" s="96" t="s">
        <v>3398</v>
      </c>
      <c r="D820" t="s">
        <v>3399</v>
      </c>
      <c r="E820" s="96" t="s">
        <v>1467</v>
      </c>
      <c r="H820" t="s">
        <v>361</v>
      </c>
      <c r="I820">
        <f>VLOOKUP(H820,Listas!$B$2:$C$20,2,FALSE)</f>
        <v>500001</v>
      </c>
      <c r="J820" t="s">
        <v>73</v>
      </c>
      <c r="K820">
        <f>VLOOKUP(J820,Listas!$B$21:$C$50,2,FALSE)</f>
        <v>600017</v>
      </c>
      <c r="L820">
        <v>-1</v>
      </c>
    </row>
    <row r="821" spans="1:12">
      <c r="A821">
        <v>116</v>
      </c>
      <c r="B821" t="s">
        <v>3400</v>
      </c>
      <c r="C821" s="96" t="s">
        <v>3401</v>
      </c>
      <c r="D821" t="s">
        <v>3402</v>
      </c>
      <c r="E821" s="96" t="s">
        <v>1467</v>
      </c>
      <c r="H821" t="s">
        <v>361</v>
      </c>
      <c r="I821">
        <f>VLOOKUP(H821,Listas!$B$2:$C$20,2,FALSE)</f>
        <v>500001</v>
      </c>
      <c r="J821" t="s">
        <v>73</v>
      </c>
      <c r="K821">
        <f>VLOOKUP(J821,Listas!$B$21:$C$50,2,FALSE)</f>
        <v>600017</v>
      </c>
      <c r="L821">
        <v>-1</v>
      </c>
    </row>
    <row r="822" spans="1:12">
      <c r="A822">
        <v>116</v>
      </c>
      <c r="B822" t="s">
        <v>3403</v>
      </c>
      <c r="C822" s="96" t="s">
        <v>3404</v>
      </c>
      <c r="D822" t="s">
        <v>3405</v>
      </c>
      <c r="E822" s="96" t="s">
        <v>1467</v>
      </c>
      <c r="H822" t="s">
        <v>361</v>
      </c>
      <c r="I822">
        <f>VLOOKUP(H822,Listas!$B$2:$C$20,2,FALSE)</f>
        <v>500001</v>
      </c>
      <c r="J822" t="s">
        <v>73</v>
      </c>
      <c r="K822">
        <f>VLOOKUP(J822,Listas!$B$21:$C$50,2,FALSE)</f>
        <v>600017</v>
      </c>
      <c r="L822">
        <v>-1</v>
      </c>
    </row>
    <row r="823" spans="1:12">
      <c r="A823">
        <v>116</v>
      </c>
      <c r="B823" t="s">
        <v>3406</v>
      </c>
      <c r="C823" s="96" t="s">
        <v>3407</v>
      </c>
      <c r="D823" t="s">
        <v>1788</v>
      </c>
      <c r="E823" s="96" t="s">
        <v>1467</v>
      </c>
      <c r="H823" t="s">
        <v>361</v>
      </c>
      <c r="I823">
        <f>VLOOKUP(H823,Listas!$B$2:$C$20,2,FALSE)</f>
        <v>500001</v>
      </c>
      <c r="J823" t="s">
        <v>73</v>
      </c>
      <c r="K823">
        <f>VLOOKUP(J823,Listas!$B$21:$C$50,2,FALSE)</f>
        <v>600017</v>
      </c>
      <c r="L823">
        <v>-1</v>
      </c>
    </row>
    <row r="824" spans="1:12">
      <c r="A824">
        <v>116</v>
      </c>
      <c r="B824" t="s">
        <v>3408</v>
      </c>
      <c r="C824" s="96" t="s">
        <v>3409</v>
      </c>
      <c r="D824" t="s">
        <v>3410</v>
      </c>
      <c r="E824" s="96" t="s">
        <v>1467</v>
      </c>
      <c r="H824" t="s">
        <v>361</v>
      </c>
      <c r="I824">
        <f>VLOOKUP(H824,Listas!$B$2:$C$20,2,FALSE)</f>
        <v>500001</v>
      </c>
      <c r="J824" t="s">
        <v>73</v>
      </c>
      <c r="K824">
        <f>VLOOKUP(J824,Listas!$B$21:$C$50,2,FALSE)</f>
        <v>600017</v>
      </c>
      <c r="L824">
        <v>-1</v>
      </c>
    </row>
    <row r="825" spans="1:12">
      <c r="A825">
        <v>116</v>
      </c>
      <c r="B825" t="s">
        <v>3411</v>
      </c>
      <c r="C825" s="96" t="s">
        <v>3412</v>
      </c>
      <c r="D825" t="s">
        <v>3413</v>
      </c>
      <c r="E825" s="96" t="s">
        <v>1467</v>
      </c>
      <c r="H825" t="s">
        <v>361</v>
      </c>
      <c r="I825">
        <f>VLOOKUP(H825,Listas!$B$2:$C$20,2,FALSE)</f>
        <v>500001</v>
      </c>
      <c r="J825" t="s">
        <v>73</v>
      </c>
      <c r="K825">
        <f>VLOOKUP(J825,Listas!$B$21:$C$50,2,FALSE)</f>
        <v>600017</v>
      </c>
      <c r="L825">
        <v>-1</v>
      </c>
    </row>
    <row r="826" spans="1:12">
      <c r="A826">
        <v>116</v>
      </c>
      <c r="B826" t="s">
        <v>3414</v>
      </c>
      <c r="C826" s="96" t="s">
        <v>3415</v>
      </c>
      <c r="D826" t="s">
        <v>3416</v>
      </c>
      <c r="E826" s="96" t="s">
        <v>1467</v>
      </c>
      <c r="H826" t="s">
        <v>361</v>
      </c>
      <c r="I826">
        <f>VLOOKUP(H826,Listas!$B$2:$C$20,2,FALSE)</f>
        <v>500001</v>
      </c>
      <c r="J826" t="s">
        <v>73</v>
      </c>
      <c r="K826">
        <f>VLOOKUP(J826,Listas!$B$21:$C$50,2,FALSE)</f>
        <v>600017</v>
      </c>
      <c r="L826">
        <v>-1</v>
      </c>
    </row>
    <row r="827" spans="1:12">
      <c r="A827">
        <v>116</v>
      </c>
      <c r="B827" t="s">
        <v>3417</v>
      </c>
      <c r="C827" s="96">
        <v>10498974000109</v>
      </c>
      <c r="D827" t="s">
        <v>3418</v>
      </c>
      <c r="E827" s="96" t="s">
        <v>1467</v>
      </c>
      <c r="H827" t="s">
        <v>361</v>
      </c>
      <c r="I827">
        <f>VLOOKUP(H827,Listas!$B$2:$C$20,2,FALSE)</f>
        <v>500001</v>
      </c>
      <c r="J827" t="s">
        <v>73</v>
      </c>
      <c r="K827">
        <f>VLOOKUP(J827,Listas!$B$21:$C$50,2,FALSE)</f>
        <v>600017</v>
      </c>
      <c r="L827">
        <v>-1</v>
      </c>
    </row>
    <row r="828" spans="1:12">
      <c r="A828">
        <v>116</v>
      </c>
      <c r="B828" t="s">
        <v>3419</v>
      </c>
      <c r="C828" s="96" t="s">
        <v>3420</v>
      </c>
      <c r="D828" t="s">
        <v>3421</v>
      </c>
      <c r="E828" s="96" t="s">
        <v>1467</v>
      </c>
      <c r="H828" t="s">
        <v>361</v>
      </c>
      <c r="I828">
        <f>VLOOKUP(H828,Listas!$B$2:$C$20,2,FALSE)</f>
        <v>500001</v>
      </c>
      <c r="J828" t="s">
        <v>73</v>
      </c>
      <c r="K828">
        <f>VLOOKUP(J828,Listas!$B$21:$C$50,2,FALSE)</f>
        <v>600017</v>
      </c>
      <c r="L828">
        <v>-1</v>
      </c>
    </row>
    <row r="829" spans="1:12">
      <c r="A829">
        <v>116</v>
      </c>
      <c r="B829" t="s">
        <v>3422</v>
      </c>
      <c r="C829" s="96" t="s">
        <v>3423</v>
      </c>
      <c r="D829" t="s">
        <v>3424</v>
      </c>
      <c r="E829" s="96" t="s">
        <v>1467</v>
      </c>
      <c r="H829" t="s">
        <v>361</v>
      </c>
      <c r="I829">
        <f>VLOOKUP(H829,Listas!$B$2:$C$20,2,FALSE)</f>
        <v>500001</v>
      </c>
      <c r="J829" t="s">
        <v>73</v>
      </c>
      <c r="K829">
        <f>VLOOKUP(J829,Listas!$B$21:$C$50,2,FALSE)</f>
        <v>600017</v>
      </c>
      <c r="L829">
        <v>-1</v>
      </c>
    </row>
    <row r="830" spans="1:12">
      <c r="A830">
        <v>116</v>
      </c>
      <c r="B830" t="s">
        <v>3425</v>
      </c>
      <c r="C830" s="96" t="s">
        <v>3426</v>
      </c>
      <c r="D830" t="s">
        <v>3427</v>
      </c>
      <c r="E830" s="96" t="s">
        <v>1467</v>
      </c>
      <c r="H830" t="s">
        <v>361</v>
      </c>
      <c r="I830">
        <f>VLOOKUP(H830,Listas!$B$2:$C$20,2,FALSE)</f>
        <v>500001</v>
      </c>
      <c r="J830" t="s">
        <v>73</v>
      </c>
      <c r="K830">
        <f>VLOOKUP(J830,Listas!$B$21:$C$50,2,FALSE)</f>
        <v>600017</v>
      </c>
      <c r="L830">
        <v>-1</v>
      </c>
    </row>
    <row r="831" spans="1:12">
      <c r="A831">
        <v>116</v>
      </c>
      <c r="B831" t="s">
        <v>3428</v>
      </c>
      <c r="C831" s="96" t="s">
        <v>3429</v>
      </c>
      <c r="D831" t="s">
        <v>3430</v>
      </c>
      <c r="E831" s="96" t="s">
        <v>1467</v>
      </c>
      <c r="H831" t="s">
        <v>361</v>
      </c>
      <c r="I831">
        <f>VLOOKUP(H831,Listas!$B$2:$C$20,2,FALSE)</f>
        <v>500001</v>
      </c>
      <c r="J831" t="s">
        <v>73</v>
      </c>
      <c r="K831">
        <f>VLOOKUP(J831,Listas!$B$21:$C$50,2,FALSE)</f>
        <v>600017</v>
      </c>
      <c r="L831">
        <v>-1</v>
      </c>
    </row>
    <row r="832" spans="1:12">
      <c r="A832">
        <v>116</v>
      </c>
      <c r="B832" t="s">
        <v>3431</v>
      </c>
      <c r="C832" s="96" t="s">
        <v>3432</v>
      </c>
      <c r="D832" t="s">
        <v>3433</v>
      </c>
      <c r="E832" s="96" t="s">
        <v>1467</v>
      </c>
      <c r="H832" t="s">
        <v>361</v>
      </c>
      <c r="I832">
        <f>VLOOKUP(H832,Listas!$B$2:$C$20,2,FALSE)</f>
        <v>500001</v>
      </c>
      <c r="J832" t="s">
        <v>73</v>
      </c>
      <c r="K832">
        <f>VLOOKUP(J832,Listas!$B$21:$C$50,2,FALSE)</f>
        <v>600017</v>
      </c>
      <c r="L832">
        <v>-1</v>
      </c>
    </row>
    <row r="833" spans="1:12">
      <c r="A833">
        <v>116</v>
      </c>
      <c r="B833" t="s">
        <v>3434</v>
      </c>
      <c r="C833" s="96">
        <v>26172558000148</v>
      </c>
      <c r="D833" t="s">
        <v>3435</v>
      </c>
      <c r="E833" s="96" t="s">
        <v>1467</v>
      </c>
      <c r="H833" t="s">
        <v>361</v>
      </c>
      <c r="I833">
        <f>VLOOKUP(H833,Listas!$B$2:$C$20,2,FALSE)</f>
        <v>500001</v>
      </c>
      <c r="J833" t="s">
        <v>73</v>
      </c>
      <c r="K833">
        <f>VLOOKUP(J833,Listas!$B$21:$C$50,2,FALSE)</f>
        <v>600017</v>
      </c>
      <c r="L833">
        <v>-1</v>
      </c>
    </row>
    <row r="834" spans="1:12">
      <c r="A834">
        <v>116</v>
      </c>
      <c r="B834" t="s">
        <v>3436</v>
      </c>
      <c r="C834" s="96">
        <v>7282516000115</v>
      </c>
      <c r="D834" t="s">
        <v>3437</v>
      </c>
      <c r="E834" s="96" t="s">
        <v>1467</v>
      </c>
      <c r="H834" t="s">
        <v>361</v>
      </c>
      <c r="I834">
        <f>VLOOKUP(H834,Listas!$B$2:$C$20,2,FALSE)</f>
        <v>500001</v>
      </c>
      <c r="J834" t="s">
        <v>73</v>
      </c>
      <c r="K834">
        <f>VLOOKUP(J834,Listas!$B$21:$C$50,2,FALSE)</f>
        <v>600017</v>
      </c>
      <c r="L834">
        <v>-1</v>
      </c>
    </row>
    <row r="835" spans="1:12">
      <c r="A835">
        <v>116</v>
      </c>
      <c r="B835" t="s">
        <v>3438</v>
      </c>
      <c r="C835" s="96">
        <v>86046463000100</v>
      </c>
      <c r="D835" t="s">
        <v>3439</v>
      </c>
      <c r="E835" s="96" t="s">
        <v>1467</v>
      </c>
      <c r="H835" t="s">
        <v>361</v>
      </c>
      <c r="I835">
        <f>VLOOKUP(H835,Listas!$B$2:$C$20,2,FALSE)</f>
        <v>500001</v>
      </c>
      <c r="J835" t="s">
        <v>73</v>
      </c>
      <c r="K835">
        <f>VLOOKUP(J835,Listas!$B$21:$C$50,2,FALSE)</f>
        <v>600017</v>
      </c>
      <c r="L835">
        <v>-1</v>
      </c>
    </row>
    <row r="836" spans="1:12">
      <c r="A836">
        <v>116</v>
      </c>
      <c r="B836" t="s">
        <v>3440</v>
      </c>
      <c r="C836" s="96">
        <v>523726000109</v>
      </c>
      <c r="D836" t="s">
        <v>3441</v>
      </c>
      <c r="E836" s="96" t="s">
        <v>1467</v>
      </c>
      <c r="H836" t="s">
        <v>361</v>
      </c>
      <c r="I836">
        <f>VLOOKUP(H836,Listas!$B$2:$C$20,2,FALSE)</f>
        <v>500001</v>
      </c>
      <c r="J836" t="s">
        <v>73</v>
      </c>
      <c r="K836">
        <f>VLOOKUP(J836,Listas!$B$21:$C$50,2,FALSE)</f>
        <v>600017</v>
      </c>
      <c r="L836">
        <v>-1</v>
      </c>
    </row>
    <row r="837" spans="1:12">
      <c r="A837">
        <v>116</v>
      </c>
      <c r="B837" t="s">
        <v>3442</v>
      </c>
      <c r="C837" s="96">
        <v>16599987000142</v>
      </c>
      <c r="D837" t="s">
        <v>3443</v>
      </c>
      <c r="E837" s="96" t="s">
        <v>1467</v>
      </c>
      <c r="H837" t="s">
        <v>361</v>
      </c>
      <c r="I837">
        <f>VLOOKUP(H837,Listas!$B$2:$C$20,2,FALSE)</f>
        <v>500001</v>
      </c>
      <c r="J837" t="s">
        <v>73</v>
      </c>
      <c r="K837">
        <f>VLOOKUP(J837,Listas!$B$21:$C$50,2,FALSE)</f>
        <v>600017</v>
      </c>
      <c r="L837">
        <v>-1</v>
      </c>
    </row>
    <row r="838" spans="1:12">
      <c r="A838">
        <v>116</v>
      </c>
      <c r="B838" t="s">
        <v>3444</v>
      </c>
      <c r="C838" s="96">
        <v>7524037000168</v>
      </c>
      <c r="D838" t="s">
        <v>3445</v>
      </c>
      <c r="E838" s="96" t="s">
        <v>1467</v>
      </c>
      <c r="H838" t="s">
        <v>361</v>
      </c>
      <c r="I838">
        <f>VLOOKUP(H838,Listas!$B$2:$C$20,2,FALSE)</f>
        <v>500001</v>
      </c>
      <c r="J838" t="s">
        <v>73</v>
      </c>
      <c r="K838">
        <f>VLOOKUP(J838,Listas!$B$21:$C$50,2,FALSE)</f>
        <v>600017</v>
      </c>
      <c r="L838">
        <v>-1</v>
      </c>
    </row>
    <row r="839" spans="1:12">
      <c r="A839">
        <v>116</v>
      </c>
      <c r="B839" t="s">
        <v>3446</v>
      </c>
      <c r="C839" s="96">
        <v>8827630000146</v>
      </c>
      <c r="D839" t="s">
        <v>3447</v>
      </c>
      <c r="E839" s="96" t="s">
        <v>1467</v>
      </c>
      <c r="H839" t="s">
        <v>361</v>
      </c>
      <c r="I839">
        <f>VLOOKUP(H839,Listas!$B$2:$C$20,2,FALSE)</f>
        <v>500001</v>
      </c>
      <c r="J839" t="s">
        <v>73</v>
      </c>
      <c r="K839">
        <f>VLOOKUP(J839,Listas!$B$21:$C$50,2,FALSE)</f>
        <v>600017</v>
      </c>
      <c r="L839">
        <v>-1</v>
      </c>
    </row>
    <row r="840" spans="1:12">
      <c r="A840">
        <v>116</v>
      </c>
      <c r="B840" t="s">
        <v>3448</v>
      </c>
      <c r="C840" s="96">
        <v>10741678000189</v>
      </c>
      <c r="D840" t="s">
        <v>3449</v>
      </c>
      <c r="E840" s="96" t="s">
        <v>1467</v>
      </c>
      <c r="H840" t="s">
        <v>361</v>
      </c>
      <c r="I840">
        <f>VLOOKUP(H840,Listas!$B$2:$C$20,2,FALSE)</f>
        <v>500001</v>
      </c>
      <c r="J840" t="s">
        <v>73</v>
      </c>
      <c r="K840">
        <f>VLOOKUP(J840,Listas!$B$21:$C$50,2,FALSE)</f>
        <v>600017</v>
      </c>
      <c r="L840">
        <v>-1</v>
      </c>
    </row>
    <row r="841" spans="1:12">
      <c r="A841">
        <v>116</v>
      </c>
      <c r="B841" t="s">
        <v>735</v>
      </c>
      <c r="C841" s="96">
        <v>33555921000170</v>
      </c>
      <c r="D841" t="s">
        <v>736</v>
      </c>
      <c r="E841" s="96" t="s">
        <v>1467</v>
      </c>
      <c r="H841" t="s">
        <v>361</v>
      </c>
      <c r="I841">
        <f>VLOOKUP(H841,Listas!$B$2:$C$20,2,FALSE)</f>
        <v>500001</v>
      </c>
      <c r="J841" t="s">
        <v>73</v>
      </c>
      <c r="K841">
        <f>VLOOKUP(J841,Listas!$B$21:$C$50,2,FALSE)</f>
        <v>600017</v>
      </c>
      <c r="L841">
        <v>-1</v>
      </c>
    </row>
    <row r="842" spans="1:12">
      <c r="A842">
        <v>116</v>
      </c>
      <c r="B842" t="s">
        <v>737</v>
      </c>
      <c r="C842" s="96">
        <v>482998000108</v>
      </c>
      <c r="D842" t="s">
        <v>738</v>
      </c>
      <c r="E842" s="96" t="s">
        <v>1467</v>
      </c>
      <c r="H842" t="s">
        <v>361</v>
      </c>
      <c r="I842">
        <f>VLOOKUP(H842,Listas!$B$2:$C$20,2,FALSE)</f>
        <v>500001</v>
      </c>
      <c r="J842" t="s">
        <v>73</v>
      </c>
      <c r="K842">
        <f>VLOOKUP(J842,Listas!$B$21:$C$50,2,FALSE)</f>
        <v>600017</v>
      </c>
      <c r="L842">
        <v>-1</v>
      </c>
    </row>
    <row r="843" spans="1:12">
      <c r="A843">
        <v>116</v>
      </c>
      <c r="B843" t="s">
        <v>3450</v>
      </c>
      <c r="C843" s="96">
        <v>28019214000129</v>
      </c>
      <c r="D843" t="s">
        <v>3451</v>
      </c>
      <c r="E843" s="96" t="s">
        <v>1467</v>
      </c>
      <c r="H843" t="s">
        <v>361</v>
      </c>
      <c r="I843">
        <f>VLOOKUP(H843,Listas!$B$2:$C$20,2,FALSE)</f>
        <v>500001</v>
      </c>
      <c r="J843" t="s">
        <v>73</v>
      </c>
      <c r="K843">
        <f>VLOOKUP(J843,Listas!$B$21:$C$50,2,FALSE)</f>
        <v>600017</v>
      </c>
      <c r="L843">
        <v>-1</v>
      </c>
    </row>
    <row r="844" spans="1:12">
      <c r="A844">
        <v>116</v>
      </c>
      <c r="B844" t="s">
        <v>3452</v>
      </c>
      <c r="C844" s="96">
        <v>3254967000198</v>
      </c>
      <c r="D844" t="s">
        <v>3453</v>
      </c>
      <c r="E844" s="96" t="s">
        <v>1467</v>
      </c>
      <c r="H844" t="s">
        <v>361</v>
      </c>
      <c r="I844">
        <f>VLOOKUP(H844,Listas!$B$2:$C$20,2,FALSE)</f>
        <v>500001</v>
      </c>
      <c r="J844" t="s">
        <v>73</v>
      </c>
      <c r="K844">
        <f>VLOOKUP(J844,Listas!$B$21:$C$50,2,FALSE)</f>
        <v>600017</v>
      </c>
      <c r="L844">
        <v>-1</v>
      </c>
    </row>
    <row r="845" spans="1:12">
      <c r="A845">
        <v>116</v>
      </c>
      <c r="B845" t="s">
        <v>3454</v>
      </c>
      <c r="C845" s="96">
        <v>429640000111</v>
      </c>
      <c r="D845" t="s">
        <v>3455</v>
      </c>
      <c r="E845" s="96" t="s">
        <v>1467</v>
      </c>
      <c r="H845" t="s">
        <v>361</v>
      </c>
      <c r="I845">
        <f>VLOOKUP(H845,Listas!$B$2:$C$20,2,FALSE)</f>
        <v>500001</v>
      </c>
      <c r="J845" t="s">
        <v>73</v>
      </c>
      <c r="K845">
        <f>VLOOKUP(J845,Listas!$B$21:$C$50,2,FALSE)</f>
        <v>600017</v>
      </c>
      <c r="L845">
        <v>-1</v>
      </c>
    </row>
    <row r="846" spans="1:12">
      <c r="A846">
        <v>116</v>
      </c>
      <c r="B846" t="s">
        <v>3456</v>
      </c>
      <c r="C846" s="96">
        <v>10656935000184</v>
      </c>
      <c r="D846" t="s">
        <v>3457</v>
      </c>
      <c r="E846" s="96" t="s">
        <v>1467</v>
      </c>
      <c r="H846" t="s">
        <v>361</v>
      </c>
      <c r="I846">
        <f>VLOOKUP(H846,Listas!$B$2:$C$20,2,FALSE)</f>
        <v>500001</v>
      </c>
      <c r="J846" t="s">
        <v>73</v>
      </c>
      <c r="K846">
        <f>VLOOKUP(J846,Listas!$B$21:$C$50,2,FALSE)</f>
        <v>600017</v>
      </c>
      <c r="L846">
        <v>-1</v>
      </c>
    </row>
    <row r="847" spans="1:12">
      <c r="A847">
        <v>116</v>
      </c>
      <c r="B847" t="s">
        <v>3458</v>
      </c>
      <c r="C847" s="96">
        <v>61398244000169</v>
      </c>
      <c r="D847" t="s">
        <v>3459</v>
      </c>
      <c r="E847" s="96" t="s">
        <v>1467</v>
      </c>
      <c r="H847" t="s">
        <v>361</v>
      </c>
      <c r="I847">
        <f>VLOOKUP(H847,Listas!$B$2:$C$20,2,FALSE)</f>
        <v>500001</v>
      </c>
      <c r="J847" t="s">
        <v>73</v>
      </c>
      <c r="K847">
        <f>VLOOKUP(J847,Listas!$B$21:$C$50,2,FALSE)</f>
        <v>600017</v>
      </c>
      <c r="L847">
        <v>-1</v>
      </c>
    </row>
    <row r="848" spans="1:12">
      <c r="A848">
        <v>116</v>
      </c>
      <c r="B848" t="s">
        <v>3460</v>
      </c>
      <c r="C848" s="96">
        <v>15805747000194</v>
      </c>
      <c r="D848" t="s">
        <v>3461</v>
      </c>
      <c r="E848" s="96" t="s">
        <v>1467</v>
      </c>
      <c r="H848" t="s">
        <v>361</v>
      </c>
      <c r="I848">
        <f>VLOOKUP(H848,Listas!$B$2:$C$20,2,FALSE)</f>
        <v>500001</v>
      </c>
      <c r="J848" t="s">
        <v>73</v>
      </c>
      <c r="K848">
        <f>VLOOKUP(J848,Listas!$B$21:$C$50,2,FALSE)</f>
        <v>600017</v>
      </c>
      <c r="L848">
        <v>-1</v>
      </c>
    </row>
    <row r="849" spans="1:12">
      <c r="A849">
        <v>116</v>
      </c>
      <c r="B849" t="s">
        <v>3462</v>
      </c>
      <c r="C849" s="96">
        <v>39183975000138</v>
      </c>
      <c r="D849" t="s">
        <v>3463</v>
      </c>
      <c r="E849" s="96" t="s">
        <v>1467</v>
      </c>
      <c r="H849" t="s">
        <v>361</v>
      </c>
      <c r="I849">
        <f>VLOOKUP(H849,Listas!$B$2:$C$20,2,FALSE)</f>
        <v>500001</v>
      </c>
      <c r="J849" t="s">
        <v>73</v>
      </c>
      <c r="K849">
        <f>VLOOKUP(J849,Listas!$B$21:$C$50,2,FALSE)</f>
        <v>600017</v>
      </c>
      <c r="L849">
        <v>-1</v>
      </c>
    </row>
    <row r="850" spans="1:12">
      <c r="A850">
        <v>116</v>
      </c>
      <c r="B850" t="s">
        <v>3464</v>
      </c>
      <c r="C850" s="96">
        <v>13828422000100</v>
      </c>
      <c r="D850" t="s">
        <v>3465</v>
      </c>
      <c r="E850" s="96" t="s">
        <v>1467</v>
      </c>
      <c r="H850" t="s">
        <v>361</v>
      </c>
      <c r="I850">
        <f>VLOOKUP(H850,Listas!$B$2:$C$20,2,FALSE)</f>
        <v>500001</v>
      </c>
      <c r="J850" t="s">
        <v>73</v>
      </c>
      <c r="K850">
        <f>VLOOKUP(J850,Listas!$B$21:$C$50,2,FALSE)</f>
        <v>600017</v>
      </c>
      <c r="L850">
        <v>-1</v>
      </c>
    </row>
    <row r="851" spans="1:12">
      <c r="A851">
        <v>116</v>
      </c>
      <c r="B851" t="s">
        <v>3466</v>
      </c>
      <c r="C851" s="96">
        <v>2497398000149</v>
      </c>
      <c r="D851" t="s">
        <v>3467</v>
      </c>
      <c r="E851" s="96" t="s">
        <v>1467</v>
      </c>
      <c r="H851" t="s">
        <v>361</v>
      </c>
      <c r="I851">
        <f>VLOOKUP(H851,Listas!$B$2:$C$20,2,FALSE)</f>
        <v>500001</v>
      </c>
      <c r="J851" t="s">
        <v>73</v>
      </c>
      <c r="K851">
        <f>VLOOKUP(J851,Listas!$B$21:$C$50,2,FALSE)</f>
        <v>600017</v>
      </c>
      <c r="L851">
        <v>-1</v>
      </c>
    </row>
    <row r="852" spans="1:12">
      <c r="A852">
        <v>116</v>
      </c>
      <c r="B852" t="s">
        <v>3468</v>
      </c>
      <c r="C852" s="96">
        <v>4206050000180</v>
      </c>
      <c r="D852" t="s">
        <v>3469</v>
      </c>
      <c r="E852" s="96" t="s">
        <v>1467</v>
      </c>
      <c r="H852" t="s">
        <v>361</v>
      </c>
      <c r="I852">
        <f>VLOOKUP(H852,Listas!$B$2:$C$20,2,FALSE)</f>
        <v>500001</v>
      </c>
      <c r="J852" t="s">
        <v>73</v>
      </c>
      <c r="K852">
        <f>VLOOKUP(J852,Listas!$B$21:$C$50,2,FALSE)</f>
        <v>600017</v>
      </c>
      <c r="L852">
        <v>-1</v>
      </c>
    </row>
    <row r="853" spans="1:12">
      <c r="A853">
        <v>116</v>
      </c>
      <c r="B853" t="s">
        <v>3470</v>
      </c>
      <c r="C853" s="96">
        <v>9597887000111</v>
      </c>
      <c r="D853" t="s">
        <v>3471</v>
      </c>
      <c r="E853" s="96" t="s">
        <v>1467</v>
      </c>
      <c r="H853" t="s">
        <v>361</v>
      </c>
      <c r="I853">
        <f>VLOOKUP(H853,Listas!$B$2:$C$20,2,FALSE)</f>
        <v>500001</v>
      </c>
      <c r="J853" t="s">
        <v>73</v>
      </c>
      <c r="K853">
        <f>VLOOKUP(J853,Listas!$B$21:$C$50,2,FALSE)</f>
        <v>600017</v>
      </c>
      <c r="L853">
        <v>-1</v>
      </c>
    </row>
    <row r="854" spans="1:12">
      <c r="A854">
        <v>116</v>
      </c>
      <c r="B854" t="s">
        <v>3472</v>
      </c>
      <c r="C854" s="96">
        <v>24521860000139</v>
      </c>
      <c r="D854" t="s">
        <v>3473</v>
      </c>
      <c r="E854" s="96" t="s">
        <v>1467</v>
      </c>
      <c r="H854" t="s">
        <v>361</v>
      </c>
      <c r="I854">
        <f>VLOOKUP(H854,Listas!$B$2:$C$20,2,FALSE)</f>
        <v>500001</v>
      </c>
      <c r="J854" t="s">
        <v>73</v>
      </c>
      <c r="K854">
        <f>VLOOKUP(J854,Listas!$B$21:$C$50,2,FALSE)</f>
        <v>600017</v>
      </c>
      <c r="L854">
        <v>-1</v>
      </c>
    </row>
    <row r="855" spans="1:12">
      <c r="A855">
        <v>116</v>
      </c>
      <c r="B855" t="s">
        <v>3474</v>
      </c>
      <c r="C855" s="96">
        <v>8071768000168</v>
      </c>
      <c r="D855" t="s">
        <v>3475</v>
      </c>
      <c r="E855" s="96" t="s">
        <v>1467</v>
      </c>
      <c r="H855" t="s">
        <v>361</v>
      </c>
      <c r="I855">
        <f>VLOOKUP(H855,Listas!$B$2:$C$20,2,FALSE)</f>
        <v>500001</v>
      </c>
      <c r="J855" t="s">
        <v>73</v>
      </c>
      <c r="K855">
        <f>VLOOKUP(J855,Listas!$B$21:$C$50,2,FALSE)</f>
        <v>600017</v>
      </c>
      <c r="L855">
        <v>-1</v>
      </c>
    </row>
    <row r="856" spans="1:12">
      <c r="A856">
        <v>116</v>
      </c>
      <c r="B856" t="s">
        <v>3476</v>
      </c>
      <c r="C856" s="96">
        <v>29108107000130</v>
      </c>
      <c r="D856" t="s">
        <v>3477</v>
      </c>
      <c r="E856" s="96" t="s">
        <v>1467</v>
      </c>
      <c r="H856" t="s">
        <v>361</v>
      </c>
      <c r="I856">
        <f>VLOOKUP(H856,Listas!$B$2:$C$20,2,FALSE)</f>
        <v>500001</v>
      </c>
      <c r="J856" t="s">
        <v>73</v>
      </c>
      <c r="K856">
        <f>VLOOKUP(J856,Listas!$B$21:$C$50,2,FALSE)</f>
        <v>600017</v>
      </c>
      <c r="L856">
        <v>-1</v>
      </c>
    </row>
    <row r="857" spans="1:12">
      <c r="A857">
        <v>116</v>
      </c>
      <c r="B857" t="s">
        <v>739</v>
      </c>
      <c r="C857" s="96">
        <v>16727386000178</v>
      </c>
      <c r="D857" t="s">
        <v>740</v>
      </c>
      <c r="E857" s="96" t="s">
        <v>1467</v>
      </c>
      <c r="H857" t="s">
        <v>361</v>
      </c>
      <c r="I857">
        <f>VLOOKUP(H857,Listas!$B$2:$C$20,2,FALSE)</f>
        <v>500001</v>
      </c>
      <c r="J857" t="s">
        <v>73</v>
      </c>
      <c r="K857">
        <f>VLOOKUP(J857,Listas!$B$21:$C$50,2,FALSE)</f>
        <v>600017</v>
      </c>
      <c r="L857">
        <v>-1</v>
      </c>
    </row>
    <row r="858" spans="1:12">
      <c r="A858">
        <v>116</v>
      </c>
      <c r="B858" t="s">
        <v>3478</v>
      </c>
      <c r="C858" s="96">
        <v>18696859</v>
      </c>
      <c r="D858" t="s">
        <v>3479</v>
      </c>
      <c r="E858" s="96" t="s">
        <v>1467</v>
      </c>
      <c r="H858" t="s">
        <v>361</v>
      </c>
      <c r="I858">
        <f>VLOOKUP(H858,Listas!$B$2:$C$20,2,FALSE)</f>
        <v>500001</v>
      </c>
      <c r="J858" t="s">
        <v>73</v>
      </c>
      <c r="K858">
        <f>VLOOKUP(J858,Listas!$B$21:$C$50,2,FALSE)</f>
        <v>600017</v>
      </c>
      <c r="L858">
        <v>-1</v>
      </c>
    </row>
    <row r="859" spans="1:12">
      <c r="A859">
        <v>116</v>
      </c>
      <c r="B859" t="s">
        <v>3480</v>
      </c>
      <c r="C859" s="96">
        <v>21687254</v>
      </c>
      <c r="D859" t="s">
        <v>3481</v>
      </c>
      <c r="E859" s="96" t="s">
        <v>1467</v>
      </c>
      <c r="H859" t="s">
        <v>361</v>
      </c>
      <c r="I859">
        <f>VLOOKUP(H859,Listas!$B$2:$C$20,2,FALSE)</f>
        <v>500001</v>
      </c>
      <c r="J859" t="s">
        <v>73</v>
      </c>
      <c r="K859">
        <f>VLOOKUP(J859,Listas!$B$21:$C$50,2,FALSE)</f>
        <v>600017</v>
      </c>
      <c r="L859">
        <v>-1</v>
      </c>
    </row>
    <row r="860" spans="1:12">
      <c r="A860">
        <v>116</v>
      </c>
      <c r="B860" t="s">
        <v>3482</v>
      </c>
      <c r="C860" s="96">
        <v>21456509</v>
      </c>
      <c r="D860" t="s">
        <v>3483</v>
      </c>
      <c r="E860" s="96" t="s">
        <v>1467</v>
      </c>
      <c r="H860" t="s">
        <v>361</v>
      </c>
      <c r="I860">
        <f>VLOOKUP(H860,Listas!$B$2:$C$20,2,FALSE)</f>
        <v>500001</v>
      </c>
      <c r="J860" t="s">
        <v>73</v>
      </c>
      <c r="K860">
        <f>VLOOKUP(J860,Listas!$B$21:$C$50,2,FALSE)</f>
        <v>600017</v>
      </c>
      <c r="L860">
        <v>-1</v>
      </c>
    </row>
    <row r="861" spans="1:12">
      <c r="A861">
        <v>116</v>
      </c>
      <c r="B861" t="s">
        <v>741</v>
      </c>
      <c r="C861" s="96">
        <v>3535902000544</v>
      </c>
      <c r="D861" t="s">
        <v>742</v>
      </c>
      <c r="E861" s="96" t="s">
        <v>1467</v>
      </c>
      <c r="H861" t="s">
        <v>361</v>
      </c>
      <c r="I861">
        <f>VLOOKUP(H861,Listas!$B$2:$C$20,2,FALSE)</f>
        <v>500001</v>
      </c>
      <c r="J861" t="s">
        <v>73</v>
      </c>
      <c r="K861">
        <f>VLOOKUP(J861,Listas!$B$21:$C$50,2,FALSE)</f>
        <v>600017</v>
      </c>
      <c r="L861">
        <v>-1</v>
      </c>
    </row>
    <row r="862" spans="1:12">
      <c r="A862">
        <v>116</v>
      </c>
      <c r="B862" t="s">
        <v>3484</v>
      </c>
      <c r="C862" s="96">
        <v>13403896</v>
      </c>
      <c r="D862" t="s">
        <v>3485</v>
      </c>
      <c r="E862" s="96" t="s">
        <v>1467</v>
      </c>
      <c r="H862" t="s">
        <v>361</v>
      </c>
      <c r="I862">
        <f>VLOOKUP(H862,Listas!$B$2:$C$20,2,FALSE)</f>
        <v>500001</v>
      </c>
      <c r="J862" t="s">
        <v>73</v>
      </c>
      <c r="K862">
        <f>VLOOKUP(J862,Listas!$B$21:$C$50,2,FALSE)</f>
        <v>600017</v>
      </c>
      <c r="L862">
        <v>-1</v>
      </c>
    </row>
    <row r="863" spans="1:12">
      <c r="A863">
        <v>116</v>
      </c>
      <c r="B863" t="s">
        <v>743</v>
      </c>
      <c r="C863" s="96">
        <v>18324158</v>
      </c>
      <c r="D863" t="s">
        <v>744</v>
      </c>
      <c r="E863" s="96" t="s">
        <v>1467</v>
      </c>
      <c r="H863" t="s">
        <v>361</v>
      </c>
      <c r="I863">
        <f>VLOOKUP(H863,Listas!$B$2:$C$20,2,FALSE)</f>
        <v>500001</v>
      </c>
      <c r="J863" t="s">
        <v>73</v>
      </c>
      <c r="K863">
        <f>VLOOKUP(J863,Listas!$B$21:$C$50,2,FALSE)</f>
        <v>600017</v>
      </c>
      <c r="L863">
        <v>-1</v>
      </c>
    </row>
    <row r="864" spans="1:12">
      <c r="A864">
        <v>116</v>
      </c>
      <c r="B864" t="s">
        <v>3486</v>
      </c>
      <c r="C864" s="96">
        <v>1337552</v>
      </c>
      <c r="D864" t="s">
        <v>3487</v>
      </c>
      <c r="E864" s="96" t="s">
        <v>1467</v>
      </c>
      <c r="H864" t="s">
        <v>361</v>
      </c>
      <c r="I864">
        <f>VLOOKUP(H864,Listas!$B$2:$C$20,2,FALSE)</f>
        <v>500001</v>
      </c>
      <c r="J864" t="s">
        <v>73</v>
      </c>
      <c r="K864">
        <f>VLOOKUP(J864,Listas!$B$21:$C$50,2,FALSE)</f>
        <v>600017</v>
      </c>
      <c r="L864">
        <v>-1</v>
      </c>
    </row>
    <row r="865" spans="1:12">
      <c r="A865">
        <v>116</v>
      </c>
      <c r="B865" t="s">
        <v>3488</v>
      </c>
      <c r="C865" s="96">
        <v>7777721000151</v>
      </c>
      <c r="D865" t="s">
        <v>3489</v>
      </c>
      <c r="E865" s="96" t="s">
        <v>1467</v>
      </c>
      <c r="H865" t="s">
        <v>361</v>
      </c>
      <c r="I865">
        <f>VLOOKUP(H865,Listas!$B$2:$C$20,2,FALSE)</f>
        <v>500001</v>
      </c>
      <c r="J865" t="s">
        <v>73</v>
      </c>
      <c r="K865">
        <f>VLOOKUP(J865,Listas!$B$21:$C$50,2,FALSE)</f>
        <v>600017</v>
      </c>
      <c r="L865">
        <v>-1</v>
      </c>
    </row>
    <row r="866" spans="1:12">
      <c r="A866">
        <v>116</v>
      </c>
      <c r="B866" t="s">
        <v>3490</v>
      </c>
      <c r="C866" s="96">
        <v>5794827000138</v>
      </c>
      <c r="D866" t="s">
        <v>3491</v>
      </c>
      <c r="E866" s="96" t="s">
        <v>1467</v>
      </c>
      <c r="H866" t="s">
        <v>361</v>
      </c>
      <c r="I866">
        <f>VLOOKUP(H866,Listas!$B$2:$C$20,2,FALSE)</f>
        <v>500001</v>
      </c>
      <c r="J866" t="s">
        <v>73</v>
      </c>
      <c r="K866">
        <f>VLOOKUP(J866,Listas!$B$21:$C$50,2,FALSE)</f>
        <v>600017</v>
      </c>
      <c r="L866">
        <v>-1</v>
      </c>
    </row>
    <row r="867" spans="1:12">
      <c r="A867">
        <v>116</v>
      </c>
      <c r="B867" t="s">
        <v>3492</v>
      </c>
      <c r="C867" s="96">
        <v>5512472000147</v>
      </c>
      <c r="D867" t="s">
        <v>3493</v>
      </c>
      <c r="E867" s="96" t="s">
        <v>1467</v>
      </c>
      <c r="H867" t="s">
        <v>361</v>
      </c>
      <c r="I867">
        <f>VLOOKUP(H867,Listas!$B$2:$C$20,2,FALSE)</f>
        <v>500001</v>
      </c>
      <c r="J867" t="s">
        <v>73</v>
      </c>
      <c r="K867">
        <f>VLOOKUP(J867,Listas!$B$21:$C$50,2,FALSE)</f>
        <v>600017</v>
      </c>
      <c r="L867">
        <v>-1</v>
      </c>
    </row>
    <row r="868" spans="1:12">
      <c r="A868">
        <v>116</v>
      </c>
      <c r="B868" t="s">
        <v>3494</v>
      </c>
      <c r="C868" s="96">
        <v>9398232000114</v>
      </c>
      <c r="D868" t="s">
        <v>3495</v>
      </c>
      <c r="E868" s="96" t="s">
        <v>1467</v>
      </c>
      <c r="H868" t="s">
        <v>361</v>
      </c>
      <c r="I868">
        <f>VLOOKUP(H868,Listas!$B$2:$C$20,2,FALSE)</f>
        <v>500001</v>
      </c>
      <c r="J868" t="s">
        <v>73</v>
      </c>
      <c r="K868">
        <f>VLOOKUP(J868,Listas!$B$21:$C$50,2,FALSE)</f>
        <v>600017</v>
      </c>
      <c r="L868">
        <v>-1</v>
      </c>
    </row>
    <row r="869" spans="1:12">
      <c r="A869">
        <v>116</v>
      </c>
      <c r="B869" t="s">
        <v>3496</v>
      </c>
      <c r="C869" s="96">
        <v>9676510000158</v>
      </c>
      <c r="D869" t="s">
        <v>3497</v>
      </c>
      <c r="E869" s="96" t="s">
        <v>1467</v>
      </c>
      <c r="H869" t="s">
        <v>361</v>
      </c>
      <c r="I869">
        <f>VLOOKUP(H869,Listas!$B$2:$C$20,2,FALSE)</f>
        <v>500001</v>
      </c>
      <c r="J869" t="s">
        <v>73</v>
      </c>
      <c r="K869">
        <f>VLOOKUP(J869,Listas!$B$21:$C$50,2,FALSE)</f>
        <v>600017</v>
      </c>
      <c r="L869">
        <v>-1</v>
      </c>
    </row>
    <row r="870" spans="1:12">
      <c r="A870">
        <v>116</v>
      </c>
      <c r="B870" t="s">
        <v>3498</v>
      </c>
      <c r="C870" s="96">
        <v>14783416000138</v>
      </c>
      <c r="D870" t="s">
        <v>3499</v>
      </c>
      <c r="E870" s="96" t="s">
        <v>1467</v>
      </c>
      <c r="H870" t="s">
        <v>361</v>
      </c>
      <c r="I870">
        <f>VLOOKUP(H870,Listas!$B$2:$C$20,2,FALSE)</f>
        <v>500001</v>
      </c>
      <c r="J870" t="s">
        <v>73</v>
      </c>
      <c r="K870">
        <f>VLOOKUP(J870,Listas!$B$21:$C$50,2,FALSE)</f>
        <v>600017</v>
      </c>
      <c r="L870">
        <v>-1</v>
      </c>
    </row>
    <row r="871" spans="1:12">
      <c r="A871">
        <v>116</v>
      </c>
      <c r="B871" t="s">
        <v>3500</v>
      </c>
      <c r="C871" s="96">
        <v>1001722000123</v>
      </c>
      <c r="D871" t="s">
        <v>3501</v>
      </c>
      <c r="E871" s="96" t="s">
        <v>1467</v>
      </c>
      <c r="H871" t="s">
        <v>361</v>
      </c>
      <c r="I871">
        <f>VLOOKUP(H871,Listas!$B$2:$C$20,2,FALSE)</f>
        <v>500001</v>
      </c>
      <c r="J871" t="s">
        <v>73</v>
      </c>
      <c r="K871">
        <f>VLOOKUP(J871,Listas!$B$21:$C$50,2,FALSE)</f>
        <v>600017</v>
      </c>
      <c r="L871">
        <v>-1</v>
      </c>
    </row>
    <row r="872" spans="1:12">
      <c r="A872">
        <v>116</v>
      </c>
      <c r="B872" t="s">
        <v>3502</v>
      </c>
      <c r="C872" s="96">
        <v>854137000103</v>
      </c>
      <c r="D872" t="s">
        <v>3503</v>
      </c>
      <c r="E872" s="96" t="s">
        <v>1467</v>
      </c>
      <c r="H872" t="s">
        <v>361</v>
      </c>
      <c r="I872">
        <f>VLOOKUP(H872,Listas!$B$2:$C$20,2,FALSE)</f>
        <v>500001</v>
      </c>
      <c r="J872" t="s">
        <v>73</v>
      </c>
      <c r="K872">
        <f>VLOOKUP(J872,Listas!$B$21:$C$50,2,FALSE)</f>
        <v>600017</v>
      </c>
      <c r="L872">
        <v>-1</v>
      </c>
    </row>
    <row r="873" spans="1:12">
      <c r="A873">
        <v>116</v>
      </c>
      <c r="B873" t="s">
        <v>3504</v>
      </c>
      <c r="C873" s="96">
        <v>2799288000131</v>
      </c>
      <c r="D873" t="s">
        <v>3505</v>
      </c>
      <c r="E873" s="96" t="s">
        <v>1467</v>
      </c>
      <c r="H873" t="s">
        <v>361</v>
      </c>
      <c r="I873">
        <f>VLOOKUP(H873,Listas!$B$2:$C$20,2,FALSE)</f>
        <v>500001</v>
      </c>
      <c r="J873" t="s">
        <v>73</v>
      </c>
      <c r="K873">
        <f>VLOOKUP(J873,Listas!$B$21:$C$50,2,FALSE)</f>
        <v>600017</v>
      </c>
      <c r="L873">
        <v>-1</v>
      </c>
    </row>
    <row r="874" spans="1:12">
      <c r="A874">
        <v>116</v>
      </c>
      <c r="B874" t="s">
        <v>745</v>
      </c>
      <c r="C874" s="96">
        <v>5555382000133</v>
      </c>
      <c r="D874" t="s">
        <v>746</v>
      </c>
      <c r="E874" s="96" t="s">
        <v>1467</v>
      </c>
      <c r="H874" t="s">
        <v>361</v>
      </c>
      <c r="I874">
        <f>VLOOKUP(H874,Listas!$B$2:$C$20,2,FALSE)</f>
        <v>500001</v>
      </c>
      <c r="J874" t="s">
        <v>73</v>
      </c>
      <c r="K874">
        <f>VLOOKUP(J874,Listas!$B$21:$C$50,2,FALSE)</f>
        <v>600017</v>
      </c>
      <c r="L874">
        <v>-1</v>
      </c>
    </row>
    <row r="875" spans="1:12">
      <c r="A875">
        <v>116</v>
      </c>
      <c r="B875" t="s">
        <v>3506</v>
      </c>
      <c r="C875" s="96">
        <v>6166645000185</v>
      </c>
      <c r="D875" t="s">
        <v>3507</v>
      </c>
      <c r="E875" s="96" t="s">
        <v>1467</v>
      </c>
      <c r="H875" t="s">
        <v>361</v>
      </c>
      <c r="I875">
        <f>VLOOKUP(H875,Listas!$B$2:$C$20,2,FALSE)</f>
        <v>500001</v>
      </c>
      <c r="J875" t="s">
        <v>73</v>
      </c>
      <c r="K875">
        <f>VLOOKUP(J875,Listas!$B$21:$C$50,2,FALSE)</f>
        <v>600017</v>
      </c>
      <c r="L875">
        <v>-1</v>
      </c>
    </row>
    <row r="876" spans="1:12">
      <c r="A876">
        <v>116</v>
      </c>
      <c r="B876" t="s">
        <v>3508</v>
      </c>
      <c r="C876" s="96">
        <v>51109130000106</v>
      </c>
      <c r="D876" t="s">
        <v>3509</v>
      </c>
      <c r="E876" s="96" t="s">
        <v>1467</v>
      </c>
      <c r="H876" t="s">
        <v>361</v>
      </c>
      <c r="I876">
        <f>VLOOKUP(H876,Listas!$B$2:$C$20,2,FALSE)</f>
        <v>500001</v>
      </c>
      <c r="J876" t="s">
        <v>73</v>
      </c>
      <c r="K876">
        <f>VLOOKUP(J876,Listas!$B$21:$C$50,2,FALSE)</f>
        <v>600017</v>
      </c>
      <c r="L876">
        <v>-1</v>
      </c>
    </row>
    <row r="877" spans="1:12">
      <c r="A877">
        <v>116</v>
      </c>
      <c r="B877" t="s">
        <v>3510</v>
      </c>
      <c r="C877" s="96">
        <v>8518872000158</v>
      </c>
      <c r="D877" t="s">
        <v>3511</v>
      </c>
      <c r="E877" s="96" t="s">
        <v>1467</v>
      </c>
      <c r="H877" t="s">
        <v>361</v>
      </c>
      <c r="I877">
        <f>VLOOKUP(H877,Listas!$B$2:$C$20,2,FALSE)</f>
        <v>500001</v>
      </c>
      <c r="J877" t="s">
        <v>73</v>
      </c>
      <c r="K877">
        <f>VLOOKUP(J877,Listas!$B$21:$C$50,2,FALSE)</f>
        <v>600017</v>
      </c>
      <c r="L877">
        <v>-1</v>
      </c>
    </row>
    <row r="878" spans="1:12">
      <c r="A878">
        <v>116</v>
      </c>
      <c r="B878" t="s">
        <v>3512</v>
      </c>
      <c r="C878" s="96">
        <v>14885757000114</v>
      </c>
      <c r="D878" t="s">
        <v>3513</v>
      </c>
      <c r="E878" s="96" t="s">
        <v>1467</v>
      </c>
      <c r="H878" t="s">
        <v>361</v>
      </c>
      <c r="I878">
        <f>VLOOKUP(H878,Listas!$B$2:$C$20,2,FALSE)</f>
        <v>500001</v>
      </c>
      <c r="J878" t="s">
        <v>73</v>
      </c>
      <c r="K878">
        <f>VLOOKUP(J878,Listas!$B$21:$C$50,2,FALSE)</f>
        <v>600017</v>
      </c>
      <c r="L878">
        <v>-1</v>
      </c>
    </row>
    <row r="879" spans="1:12">
      <c r="A879">
        <v>116</v>
      </c>
      <c r="B879" t="s">
        <v>3514</v>
      </c>
      <c r="C879" s="96">
        <v>2922874000121</v>
      </c>
      <c r="D879" t="s">
        <v>3515</v>
      </c>
      <c r="E879" s="96" t="s">
        <v>1467</v>
      </c>
      <c r="H879" t="s">
        <v>361</v>
      </c>
      <c r="I879">
        <f>VLOOKUP(H879,Listas!$B$2:$C$20,2,FALSE)</f>
        <v>500001</v>
      </c>
      <c r="J879" t="s">
        <v>73</v>
      </c>
      <c r="K879">
        <f>VLOOKUP(J879,Listas!$B$21:$C$50,2,FALSE)</f>
        <v>600017</v>
      </c>
      <c r="L879">
        <v>-1</v>
      </c>
    </row>
    <row r="880" spans="1:12">
      <c r="A880">
        <v>116</v>
      </c>
      <c r="B880" t="s">
        <v>3516</v>
      </c>
      <c r="C880" s="96">
        <v>12538037000157</v>
      </c>
      <c r="D880" t="s">
        <v>3517</v>
      </c>
      <c r="E880" s="96" t="s">
        <v>1467</v>
      </c>
      <c r="H880" t="s">
        <v>361</v>
      </c>
      <c r="I880">
        <f>VLOOKUP(H880,Listas!$B$2:$C$20,2,FALSE)</f>
        <v>500001</v>
      </c>
      <c r="J880" t="s">
        <v>73</v>
      </c>
      <c r="K880">
        <f>VLOOKUP(J880,Listas!$B$21:$C$50,2,FALSE)</f>
        <v>600017</v>
      </c>
      <c r="L880">
        <v>-1</v>
      </c>
    </row>
    <row r="881" spans="1:12">
      <c r="A881">
        <v>116</v>
      </c>
      <c r="B881" t="s">
        <v>3518</v>
      </c>
      <c r="C881" s="96">
        <v>4001949000167</v>
      </c>
      <c r="D881" t="s">
        <v>3519</v>
      </c>
      <c r="E881" s="96" t="s">
        <v>1467</v>
      </c>
      <c r="H881" t="s">
        <v>361</v>
      </c>
      <c r="I881">
        <f>VLOOKUP(H881,Listas!$B$2:$C$20,2,FALSE)</f>
        <v>500001</v>
      </c>
      <c r="J881" t="s">
        <v>73</v>
      </c>
      <c r="K881">
        <f>VLOOKUP(J881,Listas!$B$21:$C$50,2,FALSE)</f>
        <v>600017</v>
      </c>
      <c r="L881">
        <v>-1</v>
      </c>
    </row>
    <row r="882" spans="1:12">
      <c r="A882">
        <v>116</v>
      </c>
      <c r="B882" t="s">
        <v>3520</v>
      </c>
      <c r="C882" s="96">
        <v>22939871000108</v>
      </c>
      <c r="D882" t="s">
        <v>3521</v>
      </c>
      <c r="E882" s="96" t="s">
        <v>1467</v>
      </c>
      <c r="H882" t="s">
        <v>361</v>
      </c>
      <c r="I882">
        <f>VLOOKUP(H882,Listas!$B$2:$C$20,2,FALSE)</f>
        <v>500001</v>
      </c>
      <c r="J882" t="s">
        <v>73</v>
      </c>
      <c r="K882">
        <f>VLOOKUP(J882,Listas!$B$21:$C$50,2,FALSE)</f>
        <v>600017</v>
      </c>
      <c r="L882">
        <v>-1</v>
      </c>
    </row>
    <row r="883" spans="1:12">
      <c r="A883">
        <v>116</v>
      </c>
      <c r="B883" t="s">
        <v>3522</v>
      </c>
      <c r="C883" s="96">
        <v>10378823000109</v>
      </c>
      <c r="D883" t="s">
        <v>3523</v>
      </c>
      <c r="E883" s="96" t="s">
        <v>1467</v>
      </c>
      <c r="H883" t="s">
        <v>361</v>
      </c>
      <c r="I883">
        <f>VLOOKUP(H883,Listas!$B$2:$C$20,2,FALSE)</f>
        <v>500001</v>
      </c>
      <c r="J883" t="s">
        <v>73</v>
      </c>
      <c r="K883">
        <f>VLOOKUP(J883,Listas!$B$21:$C$50,2,FALSE)</f>
        <v>600017</v>
      </c>
      <c r="L883">
        <v>-1</v>
      </c>
    </row>
    <row r="884" spans="1:12">
      <c r="A884">
        <v>116</v>
      </c>
      <c r="B884" t="s">
        <v>3524</v>
      </c>
      <c r="C884" s="96">
        <v>875135000109</v>
      </c>
      <c r="D884" t="s">
        <v>3525</v>
      </c>
      <c r="E884" s="96" t="s">
        <v>1467</v>
      </c>
      <c r="H884" t="s">
        <v>361</v>
      </c>
      <c r="I884">
        <f>VLOOKUP(H884,Listas!$B$2:$C$20,2,FALSE)</f>
        <v>500001</v>
      </c>
      <c r="J884" t="s">
        <v>73</v>
      </c>
      <c r="K884">
        <f>VLOOKUP(J884,Listas!$B$21:$C$50,2,FALSE)</f>
        <v>600017</v>
      </c>
      <c r="L884">
        <v>-1</v>
      </c>
    </row>
    <row r="885" spans="1:12">
      <c r="A885">
        <v>116</v>
      </c>
      <c r="B885" t="s">
        <v>3526</v>
      </c>
      <c r="C885" s="96">
        <v>7491336000143</v>
      </c>
      <c r="D885" t="s">
        <v>3527</v>
      </c>
      <c r="E885" s="96" t="s">
        <v>1467</v>
      </c>
      <c r="H885" t="s">
        <v>361</v>
      </c>
      <c r="I885">
        <f>VLOOKUP(H885,Listas!$B$2:$C$20,2,FALSE)</f>
        <v>500001</v>
      </c>
      <c r="J885" t="s">
        <v>73</v>
      </c>
      <c r="K885">
        <f>VLOOKUP(J885,Listas!$B$21:$C$50,2,FALSE)</f>
        <v>600017</v>
      </c>
      <c r="L885">
        <v>-1</v>
      </c>
    </row>
    <row r="886" spans="1:12">
      <c r="A886">
        <v>116</v>
      </c>
      <c r="B886" t="s">
        <v>3528</v>
      </c>
      <c r="C886" s="96">
        <v>4298309000756</v>
      </c>
      <c r="D886" t="s">
        <v>3529</v>
      </c>
      <c r="E886" s="96" t="s">
        <v>1467</v>
      </c>
      <c r="H886" t="s">
        <v>361</v>
      </c>
      <c r="I886">
        <f>VLOOKUP(H886,Listas!$B$2:$C$20,2,FALSE)</f>
        <v>500001</v>
      </c>
      <c r="J886" t="s">
        <v>73</v>
      </c>
      <c r="K886">
        <f>VLOOKUP(J886,Listas!$B$21:$C$50,2,FALSE)</f>
        <v>600017</v>
      </c>
      <c r="L886">
        <v>-1</v>
      </c>
    </row>
    <row r="887" spans="1:12">
      <c r="A887">
        <v>116</v>
      </c>
      <c r="B887" t="s">
        <v>3530</v>
      </c>
      <c r="C887" s="96">
        <v>12482786000100</v>
      </c>
      <c r="D887" t="s">
        <v>3531</v>
      </c>
      <c r="E887" s="96" t="s">
        <v>1467</v>
      </c>
      <c r="H887" t="s">
        <v>361</v>
      </c>
      <c r="I887">
        <f>VLOOKUP(H887,Listas!$B$2:$C$20,2,FALSE)</f>
        <v>500001</v>
      </c>
      <c r="J887" t="s">
        <v>73</v>
      </c>
      <c r="K887">
        <f>VLOOKUP(J887,Listas!$B$21:$C$50,2,FALSE)</f>
        <v>600017</v>
      </c>
      <c r="L887">
        <v>-1</v>
      </c>
    </row>
    <row r="888" spans="1:12">
      <c r="A888">
        <v>116</v>
      </c>
      <c r="B888" t="s">
        <v>3532</v>
      </c>
      <c r="C888" s="96">
        <v>26464902000172</v>
      </c>
      <c r="D888" t="s">
        <v>3533</v>
      </c>
      <c r="E888" s="96" t="s">
        <v>1467</v>
      </c>
      <c r="H888" t="s">
        <v>361</v>
      </c>
      <c r="I888">
        <f>VLOOKUP(H888,Listas!$B$2:$C$20,2,FALSE)</f>
        <v>500001</v>
      </c>
      <c r="J888" t="s">
        <v>73</v>
      </c>
      <c r="K888">
        <f>VLOOKUP(J888,Listas!$B$21:$C$50,2,FALSE)</f>
        <v>600017</v>
      </c>
      <c r="L888">
        <v>-1</v>
      </c>
    </row>
    <row r="889" spans="1:12">
      <c r="A889">
        <v>116</v>
      </c>
      <c r="B889" t="s">
        <v>3534</v>
      </c>
      <c r="C889" s="96">
        <v>18522913000133</v>
      </c>
      <c r="D889" t="s">
        <v>3535</v>
      </c>
      <c r="E889" s="96" t="s">
        <v>1467</v>
      </c>
      <c r="H889" t="s">
        <v>361</v>
      </c>
      <c r="I889">
        <f>VLOOKUP(H889,Listas!$B$2:$C$20,2,FALSE)</f>
        <v>500001</v>
      </c>
      <c r="J889" t="s">
        <v>73</v>
      </c>
      <c r="K889">
        <f>VLOOKUP(J889,Listas!$B$21:$C$50,2,FALSE)</f>
        <v>600017</v>
      </c>
      <c r="L889">
        <v>-1</v>
      </c>
    </row>
    <row r="890" spans="1:12">
      <c r="A890">
        <v>116</v>
      </c>
      <c r="B890" t="s">
        <v>3536</v>
      </c>
      <c r="C890" s="96">
        <v>14129133000177</v>
      </c>
      <c r="D890" t="s">
        <v>3537</v>
      </c>
      <c r="E890" s="96" t="s">
        <v>1467</v>
      </c>
      <c r="H890" t="s">
        <v>361</v>
      </c>
      <c r="I890">
        <f>VLOOKUP(H890,Listas!$B$2:$C$20,2,FALSE)</f>
        <v>500001</v>
      </c>
      <c r="J890" t="s">
        <v>73</v>
      </c>
      <c r="K890">
        <f>VLOOKUP(J890,Listas!$B$21:$C$50,2,FALSE)</f>
        <v>600017</v>
      </c>
      <c r="L890">
        <v>-1</v>
      </c>
    </row>
    <row r="891" spans="1:12">
      <c r="A891">
        <v>116</v>
      </c>
      <c r="B891" t="s">
        <v>3538</v>
      </c>
      <c r="C891" s="96">
        <v>82581406000170</v>
      </c>
      <c r="D891" t="s">
        <v>3539</v>
      </c>
      <c r="E891" s="96" t="s">
        <v>1467</v>
      </c>
      <c r="H891" t="s">
        <v>361</v>
      </c>
      <c r="I891">
        <f>VLOOKUP(H891,Listas!$B$2:$C$20,2,FALSE)</f>
        <v>500001</v>
      </c>
      <c r="J891" t="s">
        <v>73</v>
      </c>
      <c r="K891">
        <f>VLOOKUP(J891,Listas!$B$21:$C$50,2,FALSE)</f>
        <v>600017</v>
      </c>
      <c r="L891">
        <v>-1</v>
      </c>
    </row>
    <row r="892" spans="1:12">
      <c r="A892">
        <v>116</v>
      </c>
      <c r="B892" t="s">
        <v>747</v>
      </c>
      <c r="C892" s="96">
        <v>3200400001</v>
      </c>
      <c r="D892" t="s">
        <v>748</v>
      </c>
      <c r="E892" s="96" t="s">
        <v>1467</v>
      </c>
      <c r="H892" t="s">
        <v>361</v>
      </c>
      <c r="I892">
        <f>VLOOKUP(H892,Listas!$B$2:$C$20,2,FALSE)</f>
        <v>500001</v>
      </c>
      <c r="J892" t="s">
        <v>73</v>
      </c>
      <c r="K892">
        <f>VLOOKUP(J892,Listas!$B$21:$C$50,2,FALSE)</f>
        <v>600017</v>
      </c>
      <c r="L892">
        <v>-1</v>
      </c>
    </row>
    <row r="893" spans="1:12">
      <c r="A893">
        <v>116</v>
      </c>
      <c r="B893" t="s">
        <v>3540</v>
      </c>
      <c r="C893" s="96">
        <v>11543346000152</v>
      </c>
      <c r="D893" t="s">
        <v>3541</v>
      </c>
      <c r="E893" s="96" t="s">
        <v>1467</v>
      </c>
      <c r="H893" t="s">
        <v>361</v>
      </c>
      <c r="I893">
        <f>VLOOKUP(H893,Listas!$B$2:$C$20,2,FALSE)</f>
        <v>500001</v>
      </c>
      <c r="J893" t="s">
        <v>73</v>
      </c>
      <c r="K893">
        <f>VLOOKUP(J893,Listas!$B$21:$C$50,2,FALSE)</f>
        <v>600017</v>
      </c>
      <c r="L893">
        <v>-1</v>
      </c>
    </row>
    <row r="894" spans="1:12">
      <c r="A894">
        <v>116</v>
      </c>
      <c r="B894" t="s">
        <v>3542</v>
      </c>
      <c r="C894" s="96">
        <v>8582483000191</v>
      </c>
      <c r="D894" t="s">
        <v>3543</v>
      </c>
      <c r="E894" s="96" t="s">
        <v>1467</v>
      </c>
      <c r="H894" t="s">
        <v>361</v>
      </c>
      <c r="I894">
        <f>VLOOKUP(H894,Listas!$B$2:$C$20,2,FALSE)</f>
        <v>500001</v>
      </c>
      <c r="J894" t="s">
        <v>73</v>
      </c>
      <c r="K894">
        <f>VLOOKUP(J894,Listas!$B$21:$C$50,2,FALSE)</f>
        <v>600017</v>
      </c>
      <c r="L894">
        <v>-1</v>
      </c>
    </row>
    <row r="895" spans="1:12">
      <c r="A895">
        <v>116</v>
      </c>
      <c r="B895" t="s">
        <v>3544</v>
      </c>
      <c r="C895" s="96">
        <v>8254940000119</v>
      </c>
      <c r="D895" t="s">
        <v>3545</v>
      </c>
      <c r="E895" s="96" t="s">
        <v>1467</v>
      </c>
      <c r="H895" t="s">
        <v>361</v>
      </c>
      <c r="I895">
        <f>VLOOKUP(H895,Listas!$B$2:$C$20,2,FALSE)</f>
        <v>500001</v>
      </c>
      <c r="J895" t="s">
        <v>73</v>
      </c>
      <c r="K895">
        <f>VLOOKUP(J895,Listas!$B$21:$C$50,2,FALSE)</f>
        <v>600017</v>
      </c>
      <c r="L895">
        <v>-1</v>
      </c>
    </row>
    <row r="896" spans="1:12">
      <c r="A896">
        <v>116</v>
      </c>
      <c r="B896" t="s">
        <v>3546</v>
      </c>
      <c r="C896" s="96">
        <v>19268267000192</v>
      </c>
      <c r="D896" t="s">
        <v>3547</v>
      </c>
      <c r="E896" s="96" t="s">
        <v>1467</v>
      </c>
      <c r="H896" t="s">
        <v>361</v>
      </c>
      <c r="I896">
        <f>VLOOKUP(H896,Listas!$B$2:$C$20,2,FALSE)</f>
        <v>500001</v>
      </c>
      <c r="J896" t="s">
        <v>73</v>
      </c>
      <c r="K896">
        <f>VLOOKUP(J896,Listas!$B$21:$C$50,2,FALSE)</f>
        <v>600017</v>
      </c>
      <c r="L896">
        <v>-1</v>
      </c>
    </row>
    <row r="897" spans="1:12">
      <c r="A897">
        <v>116</v>
      </c>
      <c r="B897" t="s">
        <v>3548</v>
      </c>
      <c r="C897" s="96">
        <v>2402497000108</v>
      </c>
      <c r="D897" t="s">
        <v>3549</v>
      </c>
      <c r="E897" s="96" t="s">
        <v>1467</v>
      </c>
      <c r="H897" t="s">
        <v>361</v>
      </c>
      <c r="I897">
        <f>VLOOKUP(H897,Listas!$B$2:$C$20,2,FALSE)</f>
        <v>500001</v>
      </c>
      <c r="J897" t="s">
        <v>73</v>
      </c>
      <c r="K897">
        <f>VLOOKUP(J897,Listas!$B$21:$C$50,2,FALSE)</f>
        <v>600017</v>
      </c>
      <c r="L897">
        <v>-1</v>
      </c>
    </row>
    <row r="898" spans="1:12">
      <c r="A898">
        <v>116</v>
      </c>
      <c r="B898" t="s">
        <v>3550</v>
      </c>
      <c r="C898" s="96">
        <v>12270578000147</v>
      </c>
      <c r="D898" t="s">
        <v>3551</v>
      </c>
      <c r="E898" s="96" t="s">
        <v>1467</v>
      </c>
      <c r="H898" t="s">
        <v>361</v>
      </c>
      <c r="I898">
        <f>VLOOKUP(H898,Listas!$B$2:$C$20,2,FALSE)</f>
        <v>500001</v>
      </c>
      <c r="J898" t="s">
        <v>73</v>
      </c>
      <c r="K898">
        <f>VLOOKUP(J898,Listas!$B$21:$C$50,2,FALSE)</f>
        <v>600017</v>
      </c>
      <c r="L898">
        <v>-1</v>
      </c>
    </row>
    <row r="899" spans="1:12">
      <c r="A899">
        <v>116</v>
      </c>
      <c r="B899" t="s">
        <v>3552</v>
      </c>
      <c r="C899" s="96">
        <v>1437165800014</v>
      </c>
      <c r="D899" t="s">
        <v>3553</v>
      </c>
      <c r="E899" s="96" t="s">
        <v>1467</v>
      </c>
      <c r="H899" t="s">
        <v>361</v>
      </c>
      <c r="I899">
        <f>VLOOKUP(H899,Listas!$B$2:$C$20,2,FALSE)</f>
        <v>500001</v>
      </c>
      <c r="J899" t="s">
        <v>73</v>
      </c>
      <c r="K899">
        <f>VLOOKUP(J899,Listas!$B$21:$C$50,2,FALSE)</f>
        <v>600017</v>
      </c>
      <c r="L899">
        <v>-1</v>
      </c>
    </row>
    <row r="900" spans="1:12">
      <c r="A900">
        <v>116</v>
      </c>
      <c r="B900" t="s">
        <v>3554</v>
      </c>
      <c r="C900" s="96">
        <v>22233581000144</v>
      </c>
      <c r="D900" t="s">
        <v>3555</v>
      </c>
      <c r="E900" s="96" t="s">
        <v>1467</v>
      </c>
      <c r="H900" t="s">
        <v>361</v>
      </c>
      <c r="I900">
        <f>VLOOKUP(H900,Listas!$B$2:$C$20,2,FALSE)</f>
        <v>500001</v>
      </c>
      <c r="J900" t="s">
        <v>73</v>
      </c>
      <c r="K900">
        <f>VLOOKUP(J900,Listas!$B$21:$C$50,2,FALSE)</f>
        <v>600017</v>
      </c>
      <c r="L900">
        <v>-1</v>
      </c>
    </row>
    <row r="901" spans="1:12">
      <c r="A901">
        <v>116</v>
      </c>
      <c r="B901" t="s">
        <v>3556</v>
      </c>
      <c r="C901" s="96">
        <v>307049000191</v>
      </c>
      <c r="D901" t="s">
        <v>3557</v>
      </c>
      <c r="E901" s="96" t="s">
        <v>1467</v>
      </c>
      <c r="H901" t="s">
        <v>361</v>
      </c>
      <c r="I901">
        <f>VLOOKUP(H901,Listas!$B$2:$C$20,2,FALSE)</f>
        <v>500001</v>
      </c>
      <c r="J901" t="s">
        <v>73</v>
      </c>
      <c r="K901">
        <f>VLOOKUP(J901,Listas!$B$21:$C$50,2,FALSE)</f>
        <v>600017</v>
      </c>
      <c r="L901">
        <v>-1</v>
      </c>
    </row>
    <row r="902" spans="1:12">
      <c r="A902">
        <v>116</v>
      </c>
      <c r="B902" t="s">
        <v>3558</v>
      </c>
      <c r="C902" s="96">
        <v>6942472000140</v>
      </c>
      <c r="D902" t="s">
        <v>3559</v>
      </c>
      <c r="E902" s="96" t="s">
        <v>1467</v>
      </c>
      <c r="H902" t="s">
        <v>361</v>
      </c>
      <c r="I902">
        <f>VLOOKUP(H902,Listas!$B$2:$C$20,2,FALSE)</f>
        <v>500001</v>
      </c>
      <c r="J902" t="s">
        <v>73</v>
      </c>
      <c r="K902">
        <f>VLOOKUP(J902,Listas!$B$21:$C$50,2,FALSE)</f>
        <v>600017</v>
      </c>
      <c r="L902">
        <v>-1</v>
      </c>
    </row>
    <row r="903" spans="1:12">
      <c r="A903">
        <v>116</v>
      </c>
      <c r="B903" t="s">
        <v>3560</v>
      </c>
      <c r="C903" s="96">
        <v>2114694</v>
      </c>
      <c r="D903" t="s">
        <v>3561</v>
      </c>
      <c r="E903" s="96" t="s">
        <v>1467</v>
      </c>
      <c r="H903" t="s">
        <v>361</v>
      </c>
      <c r="I903">
        <f>VLOOKUP(H903,Listas!$B$2:$C$20,2,FALSE)</f>
        <v>500001</v>
      </c>
      <c r="J903" t="s">
        <v>73</v>
      </c>
      <c r="K903">
        <f>VLOOKUP(J903,Listas!$B$21:$C$50,2,FALSE)</f>
        <v>600017</v>
      </c>
      <c r="L903">
        <v>-1</v>
      </c>
    </row>
    <row r="904" spans="1:12">
      <c r="A904">
        <v>116</v>
      </c>
      <c r="B904" t="s">
        <v>3562</v>
      </c>
      <c r="C904" s="96">
        <v>81708497000107</v>
      </c>
      <c r="D904" t="s">
        <v>3563</v>
      </c>
      <c r="E904" s="96" t="s">
        <v>1467</v>
      </c>
      <c r="H904" t="s">
        <v>361</v>
      </c>
      <c r="I904">
        <f>VLOOKUP(H904,Listas!$B$2:$C$20,2,FALSE)</f>
        <v>500001</v>
      </c>
      <c r="J904" t="s">
        <v>73</v>
      </c>
      <c r="K904">
        <f>VLOOKUP(J904,Listas!$B$21:$C$50,2,FALSE)</f>
        <v>600017</v>
      </c>
      <c r="L904">
        <v>-1</v>
      </c>
    </row>
    <row r="905" spans="1:12">
      <c r="A905">
        <v>116</v>
      </c>
      <c r="B905" t="s">
        <v>3564</v>
      </c>
      <c r="C905" s="96">
        <v>35794064000196</v>
      </c>
      <c r="D905" t="s">
        <v>3565</v>
      </c>
      <c r="E905" s="96" t="s">
        <v>1467</v>
      </c>
      <c r="H905" t="s">
        <v>361</v>
      </c>
      <c r="I905">
        <f>VLOOKUP(H905,Listas!$B$2:$C$20,2,FALSE)</f>
        <v>500001</v>
      </c>
      <c r="J905" t="s">
        <v>73</v>
      </c>
      <c r="K905">
        <f>VLOOKUP(J905,Listas!$B$21:$C$50,2,FALSE)</f>
        <v>600017</v>
      </c>
      <c r="L905">
        <v>-1</v>
      </c>
    </row>
    <row r="906" spans="1:12">
      <c r="A906">
        <v>116</v>
      </c>
      <c r="B906" t="s">
        <v>3566</v>
      </c>
      <c r="C906" s="96">
        <v>24695880000126</v>
      </c>
      <c r="D906" t="s">
        <v>3567</v>
      </c>
      <c r="E906" s="96" t="s">
        <v>1467</v>
      </c>
      <c r="H906" t="s">
        <v>361</v>
      </c>
      <c r="I906">
        <f>VLOOKUP(H906,Listas!$B$2:$C$20,2,FALSE)</f>
        <v>500001</v>
      </c>
      <c r="J906" t="s">
        <v>73</v>
      </c>
      <c r="K906">
        <f>VLOOKUP(J906,Listas!$B$21:$C$50,2,FALSE)</f>
        <v>600017</v>
      </c>
      <c r="L906">
        <v>-1</v>
      </c>
    </row>
    <row r="907" spans="1:12">
      <c r="A907">
        <v>116</v>
      </c>
      <c r="B907" t="s">
        <v>3568</v>
      </c>
      <c r="C907" s="96">
        <v>8432362000163</v>
      </c>
      <c r="D907" t="s">
        <v>3569</v>
      </c>
      <c r="E907" s="96" t="s">
        <v>1467</v>
      </c>
      <c r="H907" t="s">
        <v>361</v>
      </c>
      <c r="I907">
        <f>VLOOKUP(H907,Listas!$B$2:$C$20,2,FALSE)</f>
        <v>500001</v>
      </c>
      <c r="J907" t="s">
        <v>73</v>
      </c>
      <c r="K907">
        <f>VLOOKUP(J907,Listas!$B$21:$C$50,2,FALSE)</f>
        <v>600017</v>
      </c>
      <c r="L907">
        <v>-1</v>
      </c>
    </row>
    <row r="908" spans="1:12">
      <c r="A908">
        <v>116</v>
      </c>
      <c r="B908" t="s">
        <v>3570</v>
      </c>
      <c r="C908" s="96">
        <v>14337022000155</v>
      </c>
      <c r="D908" t="s">
        <v>3571</v>
      </c>
      <c r="E908" s="96" t="s">
        <v>1467</v>
      </c>
      <c r="H908" t="s">
        <v>361</v>
      </c>
      <c r="I908">
        <f>VLOOKUP(H908,Listas!$B$2:$C$20,2,FALSE)</f>
        <v>500001</v>
      </c>
      <c r="J908" t="s">
        <v>73</v>
      </c>
      <c r="K908">
        <f>VLOOKUP(J908,Listas!$B$21:$C$50,2,FALSE)</f>
        <v>600017</v>
      </c>
      <c r="L908">
        <v>-1</v>
      </c>
    </row>
    <row r="909" spans="1:12">
      <c r="A909">
        <v>116</v>
      </c>
      <c r="B909" t="s">
        <v>3572</v>
      </c>
      <c r="C909" s="96">
        <v>32039927000121</v>
      </c>
      <c r="D909" t="s">
        <v>3573</v>
      </c>
      <c r="E909" s="96" t="s">
        <v>1467</v>
      </c>
      <c r="H909" t="s">
        <v>361</v>
      </c>
      <c r="I909">
        <f>VLOOKUP(H909,Listas!$B$2:$C$20,2,FALSE)</f>
        <v>500001</v>
      </c>
      <c r="J909" t="s">
        <v>73</v>
      </c>
      <c r="K909">
        <f>VLOOKUP(J909,Listas!$B$21:$C$50,2,FALSE)</f>
        <v>600017</v>
      </c>
      <c r="L909">
        <v>-1</v>
      </c>
    </row>
    <row r="910" spans="1:12">
      <c r="A910">
        <v>116</v>
      </c>
      <c r="B910" t="s">
        <v>3574</v>
      </c>
      <c r="C910" s="96">
        <v>8022646000181</v>
      </c>
      <c r="D910" t="s">
        <v>3575</v>
      </c>
      <c r="E910" s="96" t="s">
        <v>1467</v>
      </c>
      <c r="H910" t="s">
        <v>361</v>
      </c>
      <c r="I910">
        <f>VLOOKUP(H910,Listas!$B$2:$C$20,2,FALSE)</f>
        <v>500001</v>
      </c>
      <c r="J910" t="s">
        <v>73</v>
      </c>
      <c r="K910">
        <f>VLOOKUP(J910,Listas!$B$21:$C$50,2,FALSE)</f>
        <v>600017</v>
      </c>
      <c r="L910">
        <v>-1</v>
      </c>
    </row>
    <row r="911" spans="1:12">
      <c r="A911">
        <v>116</v>
      </c>
      <c r="B911" t="s">
        <v>3576</v>
      </c>
      <c r="C911" s="96">
        <v>13918884000100</v>
      </c>
      <c r="D911" t="s">
        <v>3577</v>
      </c>
      <c r="E911" s="96" t="s">
        <v>1467</v>
      </c>
      <c r="H911" t="s">
        <v>361</v>
      </c>
      <c r="I911">
        <f>VLOOKUP(H911,Listas!$B$2:$C$20,2,FALSE)</f>
        <v>500001</v>
      </c>
      <c r="J911" t="s">
        <v>73</v>
      </c>
      <c r="K911">
        <f>VLOOKUP(J911,Listas!$B$21:$C$50,2,FALSE)</f>
        <v>600017</v>
      </c>
      <c r="L911">
        <v>-1</v>
      </c>
    </row>
    <row r="912" spans="1:12">
      <c r="A912">
        <v>116</v>
      </c>
      <c r="B912" t="s">
        <v>3578</v>
      </c>
      <c r="C912" s="96">
        <v>67632216000140</v>
      </c>
      <c r="D912" t="s">
        <v>3579</v>
      </c>
      <c r="E912" s="96" t="s">
        <v>1467</v>
      </c>
      <c r="H912" t="s">
        <v>361</v>
      </c>
      <c r="I912">
        <f>VLOOKUP(H912,Listas!$B$2:$C$20,2,FALSE)</f>
        <v>500001</v>
      </c>
      <c r="J912" t="s">
        <v>73</v>
      </c>
      <c r="K912">
        <f>VLOOKUP(J912,Listas!$B$21:$C$50,2,FALSE)</f>
        <v>600017</v>
      </c>
      <c r="L912">
        <v>-1</v>
      </c>
    </row>
    <row r="913" spans="1:12">
      <c r="A913">
        <v>116</v>
      </c>
      <c r="B913" t="s">
        <v>3580</v>
      </c>
      <c r="C913" s="96">
        <v>5761748000120</v>
      </c>
      <c r="D913" t="s">
        <v>3581</v>
      </c>
      <c r="E913" s="96" t="s">
        <v>1467</v>
      </c>
      <c r="H913" t="s">
        <v>361</v>
      </c>
      <c r="I913">
        <f>VLOOKUP(H913,Listas!$B$2:$C$20,2,FALSE)</f>
        <v>500001</v>
      </c>
      <c r="J913" t="s">
        <v>73</v>
      </c>
      <c r="K913">
        <f>VLOOKUP(J913,Listas!$B$21:$C$50,2,FALSE)</f>
        <v>600017</v>
      </c>
      <c r="L913">
        <v>-1</v>
      </c>
    </row>
    <row r="914" spans="1:12">
      <c r="A914">
        <v>116</v>
      </c>
      <c r="B914" t="s">
        <v>3582</v>
      </c>
      <c r="C914" s="96">
        <v>24120157000119</v>
      </c>
      <c r="D914" t="s">
        <v>3583</v>
      </c>
      <c r="E914" s="96" t="s">
        <v>1467</v>
      </c>
      <c r="H914" t="s">
        <v>361</v>
      </c>
      <c r="I914">
        <f>VLOOKUP(H914,Listas!$B$2:$C$20,2,FALSE)</f>
        <v>500001</v>
      </c>
      <c r="J914" t="s">
        <v>73</v>
      </c>
      <c r="K914">
        <f>VLOOKUP(J914,Listas!$B$21:$C$50,2,FALSE)</f>
        <v>600017</v>
      </c>
      <c r="L914">
        <v>-1</v>
      </c>
    </row>
    <row r="915" spans="1:12">
      <c r="A915">
        <v>116</v>
      </c>
      <c r="B915" t="s">
        <v>3584</v>
      </c>
      <c r="C915" s="96">
        <v>28101417000160</v>
      </c>
      <c r="D915" t="s">
        <v>3585</v>
      </c>
      <c r="E915" s="96" t="s">
        <v>1467</v>
      </c>
      <c r="H915" t="s">
        <v>361</v>
      </c>
      <c r="I915">
        <f>VLOOKUP(H915,Listas!$B$2:$C$20,2,FALSE)</f>
        <v>500001</v>
      </c>
      <c r="J915" t="s">
        <v>73</v>
      </c>
      <c r="K915">
        <f>VLOOKUP(J915,Listas!$B$21:$C$50,2,FALSE)</f>
        <v>600017</v>
      </c>
      <c r="L915">
        <v>-1</v>
      </c>
    </row>
    <row r="916" spans="1:12">
      <c r="A916">
        <v>116</v>
      </c>
      <c r="B916" t="s">
        <v>3586</v>
      </c>
      <c r="C916" s="96">
        <v>27869148000113</v>
      </c>
      <c r="D916" t="s">
        <v>3587</v>
      </c>
      <c r="E916" s="96" t="s">
        <v>1467</v>
      </c>
      <c r="H916" t="s">
        <v>361</v>
      </c>
      <c r="I916">
        <f>VLOOKUP(H916,Listas!$B$2:$C$20,2,FALSE)</f>
        <v>500001</v>
      </c>
      <c r="J916" t="s">
        <v>73</v>
      </c>
      <c r="K916">
        <f>VLOOKUP(J916,Listas!$B$21:$C$50,2,FALSE)</f>
        <v>600017</v>
      </c>
      <c r="L916">
        <v>-1</v>
      </c>
    </row>
    <row r="917" spans="1:12">
      <c r="A917">
        <v>116</v>
      </c>
      <c r="B917" t="s">
        <v>3588</v>
      </c>
      <c r="C917" s="96" t="s">
        <v>3589</v>
      </c>
      <c r="D917" t="s">
        <v>3590</v>
      </c>
      <c r="E917" s="96" t="s">
        <v>1467</v>
      </c>
      <c r="H917" t="s">
        <v>361</v>
      </c>
      <c r="I917">
        <f>VLOOKUP(H917,Listas!$B$2:$C$20,2,FALSE)</f>
        <v>500001</v>
      </c>
      <c r="J917" t="s">
        <v>73</v>
      </c>
      <c r="K917">
        <f>VLOOKUP(J917,Listas!$B$21:$C$50,2,FALSE)</f>
        <v>600017</v>
      </c>
      <c r="L917">
        <v>-1</v>
      </c>
    </row>
    <row r="918" spans="1:12">
      <c r="A918">
        <v>116</v>
      </c>
      <c r="B918" t="s">
        <v>3591</v>
      </c>
      <c r="C918" s="96">
        <v>10742589000157</v>
      </c>
      <c r="D918" t="s">
        <v>3592</v>
      </c>
      <c r="E918" s="96" t="s">
        <v>1467</v>
      </c>
      <c r="H918" t="s">
        <v>361</v>
      </c>
      <c r="I918">
        <f>VLOOKUP(H918,Listas!$B$2:$C$20,2,FALSE)</f>
        <v>500001</v>
      </c>
      <c r="J918" t="s">
        <v>73</v>
      </c>
      <c r="K918">
        <f>VLOOKUP(J918,Listas!$B$21:$C$50,2,FALSE)</f>
        <v>600017</v>
      </c>
      <c r="L918">
        <v>-1</v>
      </c>
    </row>
    <row r="919" spans="1:12">
      <c r="A919">
        <v>116</v>
      </c>
      <c r="B919" t="s">
        <v>3593</v>
      </c>
      <c r="C919" s="96">
        <v>30024640000100</v>
      </c>
      <c r="D919" t="s">
        <v>3594</v>
      </c>
      <c r="E919" s="96" t="s">
        <v>1467</v>
      </c>
      <c r="H919" t="s">
        <v>361</v>
      </c>
      <c r="I919">
        <f>VLOOKUP(H919,Listas!$B$2:$C$20,2,FALSE)</f>
        <v>500001</v>
      </c>
      <c r="J919" t="s">
        <v>73</v>
      </c>
      <c r="K919">
        <f>VLOOKUP(J919,Listas!$B$21:$C$50,2,FALSE)</f>
        <v>600017</v>
      </c>
      <c r="L919">
        <v>-1</v>
      </c>
    </row>
    <row r="920" spans="1:12">
      <c r="A920">
        <v>116</v>
      </c>
      <c r="B920" t="s">
        <v>3595</v>
      </c>
      <c r="C920" s="96">
        <v>30735771000198</v>
      </c>
      <c r="D920" t="s">
        <v>3596</v>
      </c>
      <c r="E920" s="96" t="s">
        <v>1467</v>
      </c>
      <c r="H920" t="s">
        <v>361</v>
      </c>
      <c r="I920">
        <f>VLOOKUP(H920,Listas!$B$2:$C$20,2,FALSE)</f>
        <v>500001</v>
      </c>
      <c r="J920" t="s">
        <v>73</v>
      </c>
      <c r="K920">
        <f>VLOOKUP(J920,Listas!$B$21:$C$50,2,FALSE)</f>
        <v>600017</v>
      </c>
      <c r="L920">
        <v>-1</v>
      </c>
    </row>
    <row r="921" spans="1:12">
      <c r="A921">
        <v>116</v>
      </c>
      <c r="B921" t="s">
        <v>3597</v>
      </c>
      <c r="C921" s="96">
        <v>2247352000171</v>
      </c>
      <c r="D921" t="s">
        <v>3598</v>
      </c>
      <c r="E921" s="96" t="s">
        <v>1467</v>
      </c>
      <c r="H921" t="s">
        <v>361</v>
      </c>
      <c r="I921">
        <f>VLOOKUP(H921,Listas!$B$2:$C$20,2,FALSE)</f>
        <v>500001</v>
      </c>
      <c r="J921" t="s">
        <v>73</v>
      </c>
      <c r="K921">
        <f>VLOOKUP(J921,Listas!$B$21:$C$50,2,FALSE)</f>
        <v>600017</v>
      </c>
      <c r="L921">
        <v>-1</v>
      </c>
    </row>
    <row r="922" spans="1:12">
      <c r="A922">
        <v>116</v>
      </c>
      <c r="B922" t="s">
        <v>3599</v>
      </c>
      <c r="C922" s="96">
        <v>3556998000101</v>
      </c>
      <c r="D922" t="s">
        <v>3600</v>
      </c>
      <c r="E922" s="96" t="s">
        <v>1467</v>
      </c>
      <c r="H922" t="s">
        <v>361</v>
      </c>
      <c r="I922">
        <f>VLOOKUP(H922,Listas!$B$2:$C$20,2,FALSE)</f>
        <v>500001</v>
      </c>
      <c r="J922" t="s">
        <v>73</v>
      </c>
      <c r="K922">
        <f>VLOOKUP(J922,Listas!$B$21:$C$50,2,FALSE)</f>
        <v>600017</v>
      </c>
      <c r="L922">
        <v>-1</v>
      </c>
    </row>
    <row r="923" spans="1:12">
      <c r="A923">
        <v>116</v>
      </c>
      <c r="B923" t="s">
        <v>3601</v>
      </c>
      <c r="C923" s="96">
        <v>23327378000108</v>
      </c>
      <c r="D923" t="s">
        <v>3602</v>
      </c>
      <c r="E923" s="96" t="s">
        <v>1467</v>
      </c>
      <c r="H923" t="s">
        <v>361</v>
      </c>
      <c r="I923">
        <f>VLOOKUP(H923,Listas!$B$2:$C$20,2,FALSE)</f>
        <v>500001</v>
      </c>
      <c r="J923" t="s">
        <v>73</v>
      </c>
      <c r="K923">
        <f>VLOOKUP(J923,Listas!$B$21:$C$50,2,FALSE)</f>
        <v>600017</v>
      </c>
      <c r="L923">
        <v>-1</v>
      </c>
    </row>
    <row r="924" spans="1:12">
      <c r="A924">
        <v>116</v>
      </c>
      <c r="B924" t="s">
        <v>3603</v>
      </c>
      <c r="C924" s="96">
        <v>20593807000192</v>
      </c>
      <c r="D924" t="s">
        <v>3604</v>
      </c>
      <c r="E924" s="96" t="s">
        <v>1467</v>
      </c>
      <c r="H924" t="s">
        <v>361</v>
      </c>
      <c r="I924">
        <f>VLOOKUP(H924,Listas!$B$2:$C$20,2,FALSE)</f>
        <v>500001</v>
      </c>
      <c r="J924" t="s">
        <v>73</v>
      </c>
      <c r="K924">
        <f>VLOOKUP(J924,Listas!$B$21:$C$50,2,FALSE)</f>
        <v>600017</v>
      </c>
      <c r="L924">
        <v>-1</v>
      </c>
    </row>
    <row r="925" spans="1:12">
      <c r="A925">
        <v>116</v>
      </c>
      <c r="B925" t="s">
        <v>3605</v>
      </c>
      <c r="C925" s="96">
        <v>14683228000138</v>
      </c>
      <c r="D925" t="s">
        <v>3606</v>
      </c>
      <c r="E925" s="96" t="s">
        <v>1467</v>
      </c>
      <c r="H925" t="s">
        <v>361</v>
      </c>
      <c r="I925">
        <f>VLOOKUP(H925,Listas!$B$2:$C$20,2,FALSE)</f>
        <v>500001</v>
      </c>
      <c r="J925" t="s">
        <v>73</v>
      </c>
      <c r="K925">
        <f>VLOOKUP(J925,Listas!$B$21:$C$50,2,FALSE)</f>
        <v>600017</v>
      </c>
      <c r="L925">
        <v>-1</v>
      </c>
    </row>
    <row r="926" spans="1:12">
      <c r="A926">
        <v>116</v>
      </c>
      <c r="B926" t="s">
        <v>3607</v>
      </c>
      <c r="C926" s="96">
        <v>32088205000167</v>
      </c>
      <c r="D926" t="s">
        <v>3608</v>
      </c>
      <c r="E926" s="96" t="s">
        <v>1467</v>
      </c>
      <c r="H926" t="s">
        <v>361</v>
      </c>
      <c r="I926">
        <f>VLOOKUP(H926,Listas!$B$2:$C$20,2,FALSE)</f>
        <v>500001</v>
      </c>
      <c r="J926" t="s">
        <v>73</v>
      </c>
      <c r="K926">
        <f>VLOOKUP(J926,Listas!$B$21:$C$50,2,FALSE)</f>
        <v>600017</v>
      </c>
      <c r="L926">
        <v>-1</v>
      </c>
    </row>
    <row r="927" spans="1:12">
      <c r="A927">
        <v>116</v>
      </c>
      <c r="B927" t="s">
        <v>3609</v>
      </c>
      <c r="C927" s="96">
        <v>49738636000124</v>
      </c>
      <c r="D927" t="s">
        <v>3610</v>
      </c>
      <c r="E927" s="96" t="s">
        <v>1467</v>
      </c>
      <c r="H927" t="s">
        <v>361</v>
      </c>
      <c r="I927">
        <f>VLOOKUP(H927,Listas!$B$2:$C$20,2,FALSE)</f>
        <v>500001</v>
      </c>
      <c r="J927" t="s">
        <v>73</v>
      </c>
      <c r="K927">
        <f>VLOOKUP(J927,Listas!$B$21:$C$50,2,FALSE)</f>
        <v>600017</v>
      </c>
      <c r="L927">
        <v>-1</v>
      </c>
    </row>
    <row r="928" spans="1:12">
      <c r="A928">
        <v>116</v>
      </c>
      <c r="B928" t="s">
        <v>3611</v>
      </c>
      <c r="C928" s="96">
        <v>78954286000131</v>
      </c>
      <c r="D928" t="s">
        <v>3612</v>
      </c>
      <c r="E928" s="96" t="s">
        <v>1467</v>
      </c>
      <c r="H928" t="s">
        <v>361</v>
      </c>
      <c r="I928">
        <f>VLOOKUP(H928,Listas!$B$2:$C$20,2,FALSE)</f>
        <v>500001</v>
      </c>
      <c r="J928" t="s">
        <v>73</v>
      </c>
      <c r="K928">
        <f>VLOOKUP(J928,Listas!$B$21:$C$50,2,FALSE)</f>
        <v>600017</v>
      </c>
      <c r="L928">
        <v>-1</v>
      </c>
    </row>
    <row r="929" spans="1:12">
      <c r="A929">
        <v>116</v>
      </c>
      <c r="B929" t="s">
        <v>3613</v>
      </c>
      <c r="C929" s="96">
        <v>8418174000180</v>
      </c>
      <c r="D929" t="s">
        <v>3614</v>
      </c>
      <c r="E929" s="96" t="s">
        <v>1467</v>
      </c>
      <c r="H929" t="s">
        <v>361</v>
      </c>
      <c r="I929">
        <f>VLOOKUP(H929,Listas!$B$2:$C$20,2,FALSE)</f>
        <v>500001</v>
      </c>
      <c r="J929" t="s">
        <v>73</v>
      </c>
      <c r="K929">
        <f>VLOOKUP(J929,Listas!$B$21:$C$50,2,FALSE)</f>
        <v>600017</v>
      </c>
      <c r="L929">
        <v>-1</v>
      </c>
    </row>
    <row r="930" spans="1:12">
      <c r="A930">
        <v>116</v>
      </c>
      <c r="B930" t="s">
        <v>3615</v>
      </c>
      <c r="C930" s="96">
        <v>31206521000123</v>
      </c>
      <c r="D930" t="s">
        <v>3616</v>
      </c>
      <c r="E930" s="96" t="s">
        <v>1467</v>
      </c>
      <c r="H930" t="s">
        <v>361</v>
      </c>
      <c r="I930">
        <f>VLOOKUP(H930,Listas!$B$2:$C$20,2,FALSE)</f>
        <v>500001</v>
      </c>
      <c r="J930" t="s">
        <v>73</v>
      </c>
      <c r="K930">
        <f>VLOOKUP(J930,Listas!$B$21:$C$50,2,FALSE)</f>
        <v>600017</v>
      </c>
      <c r="L930">
        <v>-1</v>
      </c>
    </row>
    <row r="931" spans="1:12">
      <c r="A931">
        <v>116</v>
      </c>
      <c r="B931" t="s">
        <v>3617</v>
      </c>
      <c r="C931" s="96">
        <v>27214907000100</v>
      </c>
      <c r="D931" t="s">
        <v>3618</v>
      </c>
      <c r="E931" s="96" t="s">
        <v>1467</v>
      </c>
      <c r="H931" t="s">
        <v>361</v>
      </c>
      <c r="I931">
        <f>VLOOKUP(H931,Listas!$B$2:$C$20,2,FALSE)</f>
        <v>500001</v>
      </c>
      <c r="J931" t="s">
        <v>73</v>
      </c>
      <c r="K931">
        <f>VLOOKUP(J931,Listas!$B$21:$C$50,2,FALSE)</f>
        <v>600017</v>
      </c>
      <c r="L931">
        <v>-1</v>
      </c>
    </row>
    <row r="932" spans="1:12">
      <c r="A932">
        <v>116</v>
      </c>
      <c r="B932" t="s">
        <v>3619</v>
      </c>
      <c r="C932" s="96">
        <v>11168199000188</v>
      </c>
      <c r="D932" t="s">
        <v>3620</v>
      </c>
      <c r="E932" s="96" t="s">
        <v>1467</v>
      </c>
      <c r="H932" t="s">
        <v>361</v>
      </c>
      <c r="I932">
        <f>VLOOKUP(H932,Listas!$B$2:$C$20,2,FALSE)</f>
        <v>500001</v>
      </c>
      <c r="J932" t="s">
        <v>73</v>
      </c>
      <c r="K932">
        <f>VLOOKUP(J932,Listas!$B$21:$C$50,2,FALSE)</f>
        <v>600017</v>
      </c>
      <c r="L932">
        <v>-1</v>
      </c>
    </row>
    <row r="933" spans="1:12">
      <c r="A933">
        <v>116</v>
      </c>
      <c r="B933" t="s">
        <v>3621</v>
      </c>
      <c r="C933" s="96">
        <v>9967852019308</v>
      </c>
      <c r="D933" t="s">
        <v>3622</v>
      </c>
      <c r="E933" s="96" t="s">
        <v>1467</v>
      </c>
      <c r="H933" t="s">
        <v>361</v>
      </c>
      <c r="I933">
        <f>VLOOKUP(H933,Listas!$B$2:$C$20,2,FALSE)</f>
        <v>500001</v>
      </c>
      <c r="J933" t="s">
        <v>73</v>
      </c>
      <c r="K933">
        <f>VLOOKUP(J933,Listas!$B$21:$C$50,2,FALSE)</f>
        <v>600017</v>
      </c>
      <c r="L933">
        <v>-1</v>
      </c>
    </row>
    <row r="934" spans="1:12">
      <c r="A934">
        <v>116</v>
      </c>
      <c r="B934" t="s">
        <v>3623</v>
      </c>
      <c r="C934" s="96">
        <v>24158718000179</v>
      </c>
      <c r="D934" t="s">
        <v>3624</v>
      </c>
      <c r="E934" s="96" t="s">
        <v>1467</v>
      </c>
      <c r="H934" t="s">
        <v>361</v>
      </c>
      <c r="I934">
        <f>VLOOKUP(H934,Listas!$B$2:$C$20,2,FALSE)</f>
        <v>500001</v>
      </c>
      <c r="J934" t="s">
        <v>73</v>
      </c>
      <c r="K934">
        <f>VLOOKUP(J934,Listas!$B$21:$C$50,2,FALSE)</f>
        <v>600017</v>
      </c>
      <c r="L934">
        <v>-1</v>
      </c>
    </row>
    <row r="935" spans="1:12">
      <c r="A935">
        <v>116</v>
      </c>
      <c r="B935" t="s">
        <v>3625</v>
      </c>
      <c r="C935" s="96">
        <v>9656613000156</v>
      </c>
      <c r="D935" t="s">
        <v>3626</v>
      </c>
      <c r="E935" s="96" t="s">
        <v>1467</v>
      </c>
      <c r="H935" t="s">
        <v>361</v>
      </c>
      <c r="I935">
        <f>VLOOKUP(H935,Listas!$B$2:$C$20,2,FALSE)</f>
        <v>500001</v>
      </c>
      <c r="J935" t="s">
        <v>73</v>
      </c>
      <c r="K935">
        <f>VLOOKUP(J935,Listas!$B$21:$C$50,2,FALSE)</f>
        <v>600017</v>
      </c>
      <c r="L935">
        <v>-1</v>
      </c>
    </row>
    <row r="936" spans="1:12">
      <c r="A936">
        <v>116</v>
      </c>
      <c r="B936" t="s">
        <v>3627</v>
      </c>
      <c r="C936" s="96">
        <v>7868103000117</v>
      </c>
      <c r="D936" t="s">
        <v>3628</v>
      </c>
      <c r="E936" s="96" t="s">
        <v>1467</v>
      </c>
      <c r="H936" t="s">
        <v>361</v>
      </c>
      <c r="I936">
        <f>VLOOKUP(H936,Listas!$B$2:$C$20,2,FALSE)</f>
        <v>500001</v>
      </c>
      <c r="J936" t="s">
        <v>73</v>
      </c>
      <c r="K936">
        <f>VLOOKUP(J936,Listas!$B$21:$C$50,2,FALSE)</f>
        <v>600017</v>
      </c>
      <c r="L936">
        <v>-1</v>
      </c>
    </row>
    <row r="937" spans="1:12">
      <c r="A937">
        <v>116</v>
      </c>
      <c r="B937" t="s">
        <v>3629</v>
      </c>
      <c r="C937" s="96">
        <v>8763638000196</v>
      </c>
      <c r="D937" t="s">
        <v>3630</v>
      </c>
      <c r="E937" s="96" t="s">
        <v>1467</v>
      </c>
      <c r="H937" t="s">
        <v>361</v>
      </c>
      <c r="I937">
        <f>VLOOKUP(H937,Listas!$B$2:$C$20,2,FALSE)</f>
        <v>500001</v>
      </c>
      <c r="J937" t="s">
        <v>73</v>
      </c>
      <c r="K937">
        <f>VLOOKUP(J937,Listas!$B$21:$C$50,2,FALSE)</f>
        <v>600017</v>
      </c>
      <c r="L937">
        <v>-1</v>
      </c>
    </row>
    <row r="938" spans="1:12">
      <c r="A938">
        <v>116</v>
      </c>
      <c r="B938" t="s">
        <v>3631</v>
      </c>
      <c r="C938" s="96">
        <v>776574001390</v>
      </c>
      <c r="D938" t="s">
        <v>3632</v>
      </c>
      <c r="E938" s="96" t="s">
        <v>1467</v>
      </c>
      <c r="H938" t="s">
        <v>361</v>
      </c>
      <c r="I938">
        <f>VLOOKUP(H938,Listas!$B$2:$C$20,2,FALSE)</f>
        <v>500001</v>
      </c>
      <c r="J938" t="s">
        <v>73</v>
      </c>
      <c r="K938">
        <f>VLOOKUP(J938,Listas!$B$21:$C$50,2,FALSE)</f>
        <v>600017</v>
      </c>
      <c r="L938">
        <v>-1</v>
      </c>
    </row>
    <row r="939" spans="1:12">
      <c r="A939">
        <v>116</v>
      </c>
      <c r="B939" t="s">
        <v>3633</v>
      </c>
      <c r="C939" s="96">
        <v>3989368000236</v>
      </c>
      <c r="D939" t="s">
        <v>3634</v>
      </c>
      <c r="E939" s="96" t="s">
        <v>1467</v>
      </c>
      <c r="H939" t="s">
        <v>361</v>
      </c>
      <c r="I939">
        <f>VLOOKUP(H939,Listas!$B$2:$C$20,2,FALSE)</f>
        <v>500001</v>
      </c>
      <c r="J939" t="s">
        <v>73</v>
      </c>
      <c r="K939">
        <f>VLOOKUP(J939,Listas!$B$21:$C$50,2,FALSE)</f>
        <v>600017</v>
      </c>
      <c r="L939">
        <v>-1</v>
      </c>
    </row>
    <row r="940" spans="1:12">
      <c r="A940">
        <v>116</v>
      </c>
      <c r="B940" t="s">
        <v>3635</v>
      </c>
      <c r="C940" s="96">
        <v>5809981000136</v>
      </c>
      <c r="D940" t="s">
        <v>3636</v>
      </c>
      <c r="E940" s="96" t="s">
        <v>1467</v>
      </c>
      <c r="H940" t="s">
        <v>361</v>
      </c>
      <c r="I940">
        <f>VLOOKUP(H940,Listas!$B$2:$C$20,2,FALSE)</f>
        <v>500001</v>
      </c>
      <c r="J940" t="s">
        <v>73</v>
      </c>
      <c r="K940">
        <f>VLOOKUP(J940,Listas!$B$21:$C$50,2,FALSE)</f>
        <v>600017</v>
      </c>
      <c r="L940">
        <v>-1</v>
      </c>
    </row>
    <row r="941" spans="1:12">
      <c r="A941">
        <v>116</v>
      </c>
      <c r="B941" t="s">
        <v>3637</v>
      </c>
      <c r="C941" s="96">
        <v>8752567000126</v>
      </c>
      <c r="D941" t="s">
        <v>3638</v>
      </c>
      <c r="E941" s="96" t="s">
        <v>1467</v>
      </c>
      <c r="H941" t="s">
        <v>361</v>
      </c>
      <c r="I941">
        <f>VLOOKUP(H941,Listas!$B$2:$C$20,2,FALSE)</f>
        <v>500001</v>
      </c>
      <c r="J941" t="s">
        <v>73</v>
      </c>
      <c r="K941">
        <f>VLOOKUP(J941,Listas!$B$21:$C$50,2,FALSE)</f>
        <v>600017</v>
      </c>
      <c r="L941">
        <v>-1</v>
      </c>
    </row>
    <row r="942" spans="1:12">
      <c r="A942">
        <v>116</v>
      </c>
      <c r="B942" t="s">
        <v>3639</v>
      </c>
      <c r="C942" s="96">
        <v>79942645000101</v>
      </c>
      <c r="D942" t="s">
        <v>3640</v>
      </c>
      <c r="E942" s="96" t="s">
        <v>1467</v>
      </c>
      <c r="H942" t="s">
        <v>361</v>
      </c>
      <c r="I942">
        <f>VLOOKUP(H942,Listas!$B$2:$C$20,2,FALSE)</f>
        <v>500001</v>
      </c>
      <c r="J942" t="s">
        <v>73</v>
      </c>
      <c r="K942">
        <f>VLOOKUP(J942,Listas!$B$21:$C$50,2,FALSE)</f>
        <v>600017</v>
      </c>
      <c r="L942">
        <v>-1</v>
      </c>
    </row>
    <row r="943" spans="1:12">
      <c r="A943">
        <v>116</v>
      </c>
      <c r="B943" t="s">
        <v>3641</v>
      </c>
      <c r="C943" s="96">
        <v>42356782000146</v>
      </c>
      <c r="D943" t="s">
        <v>3642</v>
      </c>
      <c r="E943" s="96" t="s">
        <v>1467</v>
      </c>
      <c r="H943" t="s">
        <v>361</v>
      </c>
      <c r="I943">
        <f>VLOOKUP(H943,Listas!$B$2:$C$20,2,FALSE)</f>
        <v>500001</v>
      </c>
      <c r="J943" t="s">
        <v>73</v>
      </c>
      <c r="K943">
        <f>VLOOKUP(J943,Listas!$B$21:$C$50,2,FALSE)</f>
        <v>600017</v>
      </c>
      <c r="L943">
        <v>-1</v>
      </c>
    </row>
    <row r="944" spans="1:12">
      <c r="A944">
        <v>116</v>
      </c>
      <c r="B944" t="s">
        <v>3643</v>
      </c>
      <c r="C944" s="96">
        <v>19238116000191</v>
      </c>
      <c r="D944" t="s">
        <v>3644</v>
      </c>
      <c r="E944" s="96" t="s">
        <v>1467</v>
      </c>
      <c r="H944" t="s">
        <v>361</v>
      </c>
      <c r="I944">
        <f>VLOOKUP(H944,Listas!$B$2:$C$20,2,FALSE)</f>
        <v>500001</v>
      </c>
      <c r="J944" t="s">
        <v>73</v>
      </c>
      <c r="K944">
        <f>VLOOKUP(J944,Listas!$B$21:$C$50,2,FALSE)</f>
        <v>600017</v>
      </c>
      <c r="L944">
        <v>-1</v>
      </c>
    </row>
    <row r="945" spans="1:12">
      <c r="A945">
        <v>116</v>
      </c>
      <c r="B945" t="s">
        <v>3645</v>
      </c>
      <c r="C945" s="96">
        <v>30636928000128</v>
      </c>
      <c r="D945" t="s">
        <v>3646</v>
      </c>
      <c r="E945" s="96" t="s">
        <v>1467</v>
      </c>
      <c r="H945" t="s">
        <v>361</v>
      </c>
      <c r="I945">
        <f>VLOOKUP(H945,Listas!$B$2:$C$20,2,FALSE)</f>
        <v>500001</v>
      </c>
      <c r="J945" t="s">
        <v>73</v>
      </c>
      <c r="K945">
        <f>VLOOKUP(J945,Listas!$B$21:$C$50,2,FALSE)</f>
        <v>600017</v>
      </c>
      <c r="L945">
        <v>-1</v>
      </c>
    </row>
    <row r="946" spans="1:12">
      <c r="A946">
        <v>116</v>
      </c>
      <c r="B946" t="s">
        <v>3647</v>
      </c>
      <c r="C946" s="96">
        <v>14186328000159</v>
      </c>
      <c r="D946" t="s">
        <v>3648</v>
      </c>
      <c r="E946" s="96" t="s">
        <v>1467</v>
      </c>
      <c r="H946" t="s">
        <v>361</v>
      </c>
      <c r="I946">
        <f>VLOOKUP(H946,Listas!$B$2:$C$20,2,FALSE)</f>
        <v>500001</v>
      </c>
      <c r="J946" t="s">
        <v>73</v>
      </c>
      <c r="K946">
        <f>VLOOKUP(J946,Listas!$B$21:$C$50,2,FALSE)</f>
        <v>600017</v>
      </c>
      <c r="L946">
        <v>-1</v>
      </c>
    </row>
    <row r="947" spans="1:12">
      <c r="A947">
        <v>116</v>
      </c>
      <c r="B947" t="s">
        <v>3649</v>
      </c>
      <c r="C947" s="96">
        <v>24875181000168</v>
      </c>
      <c r="D947" t="s">
        <v>3650</v>
      </c>
      <c r="E947" s="96" t="s">
        <v>1467</v>
      </c>
      <c r="H947" t="s">
        <v>361</v>
      </c>
      <c r="I947">
        <f>VLOOKUP(H947,Listas!$B$2:$C$20,2,FALSE)</f>
        <v>500001</v>
      </c>
      <c r="J947" t="s">
        <v>73</v>
      </c>
      <c r="K947">
        <f>VLOOKUP(J947,Listas!$B$21:$C$50,2,FALSE)</f>
        <v>600017</v>
      </c>
      <c r="L947">
        <v>-1</v>
      </c>
    </row>
    <row r="948" spans="1:12">
      <c r="A948">
        <v>116</v>
      </c>
      <c r="B948" t="s">
        <v>3651</v>
      </c>
      <c r="C948" s="96">
        <v>12929258000156</v>
      </c>
      <c r="D948" t="s">
        <v>3652</v>
      </c>
      <c r="E948" s="96" t="s">
        <v>1467</v>
      </c>
      <c r="H948" t="s">
        <v>361</v>
      </c>
      <c r="I948">
        <f>VLOOKUP(H948,Listas!$B$2:$C$20,2,FALSE)</f>
        <v>500001</v>
      </c>
      <c r="J948" t="s">
        <v>73</v>
      </c>
      <c r="K948">
        <f>VLOOKUP(J948,Listas!$B$21:$C$50,2,FALSE)</f>
        <v>600017</v>
      </c>
      <c r="L948">
        <v>-1</v>
      </c>
    </row>
    <row r="949" spans="1:12">
      <c r="A949">
        <v>116</v>
      </c>
      <c r="B949" t="s">
        <v>3653</v>
      </c>
      <c r="C949" s="96">
        <v>26986552000104</v>
      </c>
      <c r="D949" t="s">
        <v>3654</v>
      </c>
      <c r="E949" s="96" t="s">
        <v>1467</v>
      </c>
      <c r="H949" t="s">
        <v>361</v>
      </c>
      <c r="I949">
        <f>VLOOKUP(H949,Listas!$B$2:$C$20,2,FALSE)</f>
        <v>500001</v>
      </c>
      <c r="J949" t="s">
        <v>73</v>
      </c>
      <c r="K949">
        <f>VLOOKUP(J949,Listas!$B$21:$C$50,2,FALSE)</f>
        <v>600017</v>
      </c>
      <c r="L949">
        <v>-1</v>
      </c>
    </row>
    <row r="950" spans="1:12">
      <c r="A950">
        <v>116</v>
      </c>
      <c r="B950" t="s">
        <v>3655</v>
      </c>
      <c r="C950" s="96">
        <v>57988867000700</v>
      </c>
      <c r="D950" t="s">
        <v>3656</v>
      </c>
      <c r="E950" s="96" t="s">
        <v>1467</v>
      </c>
      <c r="H950" t="s">
        <v>361</v>
      </c>
      <c r="I950">
        <f>VLOOKUP(H950,Listas!$B$2:$C$20,2,FALSE)</f>
        <v>500001</v>
      </c>
      <c r="J950" t="s">
        <v>73</v>
      </c>
      <c r="K950">
        <f>VLOOKUP(J950,Listas!$B$21:$C$50,2,FALSE)</f>
        <v>600017</v>
      </c>
      <c r="L950">
        <v>-1</v>
      </c>
    </row>
    <row r="951" spans="1:12">
      <c r="A951">
        <v>116</v>
      </c>
      <c r="B951" t="s">
        <v>3657</v>
      </c>
      <c r="C951" s="96">
        <v>2421421000111</v>
      </c>
      <c r="D951" t="s">
        <v>3658</v>
      </c>
      <c r="E951" s="96" t="s">
        <v>1467</v>
      </c>
      <c r="H951" t="s">
        <v>361</v>
      </c>
      <c r="I951">
        <f>VLOOKUP(H951,Listas!$B$2:$C$20,2,FALSE)</f>
        <v>500001</v>
      </c>
      <c r="J951" t="s">
        <v>73</v>
      </c>
      <c r="K951">
        <f>VLOOKUP(J951,Listas!$B$21:$C$50,2,FALSE)</f>
        <v>600017</v>
      </c>
      <c r="L951">
        <v>-1</v>
      </c>
    </row>
    <row r="952" spans="1:12">
      <c r="A952">
        <v>116</v>
      </c>
      <c r="B952" t="s">
        <v>3659</v>
      </c>
      <c r="C952" s="96">
        <v>4524235000133</v>
      </c>
      <c r="D952" t="s">
        <v>3660</v>
      </c>
      <c r="E952" s="96" t="s">
        <v>1467</v>
      </c>
      <c r="H952" t="s">
        <v>361</v>
      </c>
      <c r="I952">
        <f>VLOOKUP(H952,Listas!$B$2:$C$20,2,FALSE)</f>
        <v>500001</v>
      </c>
      <c r="J952" t="s">
        <v>73</v>
      </c>
      <c r="K952">
        <f>VLOOKUP(J952,Listas!$B$21:$C$50,2,FALSE)</f>
        <v>600017</v>
      </c>
      <c r="L952">
        <v>-1</v>
      </c>
    </row>
    <row r="953" spans="1:12">
      <c r="A953">
        <v>116</v>
      </c>
      <c r="B953" t="s">
        <v>749</v>
      </c>
      <c r="C953" s="96">
        <v>10348318000111</v>
      </c>
      <c r="D953" t="s">
        <v>750</v>
      </c>
      <c r="E953" s="96" t="s">
        <v>1467</v>
      </c>
      <c r="H953" t="s">
        <v>361</v>
      </c>
      <c r="I953">
        <f>VLOOKUP(H953,Listas!$B$2:$C$20,2,FALSE)</f>
        <v>500001</v>
      </c>
      <c r="J953" t="s">
        <v>73</v>
      </c>
      <c r="K953">
        <f>VLOOKUP(J953,Listas!$B$21:$C$50,2,FALSE)</f>
        <v>600017</v>
      </c>
      <c r="L953">
        <v>-1</v>
      </c>
    </row>
    <row r="954" spans="1:12">
      <c r="A954">
        <v>116</v>
      </c>
      <c r="B954" t="s">
        <v>3661</v>
      </c>
      <c r="C954" s="96">
        <v>3498013000120</v>
      </c>
      <c r="D954" t="s">
        <v>3662</v>
      </c>
      <c r="E954" s="96" t="s">
        <v>1467</v>
      </c>
      <c r="H954" t="s">
        <v>361</v>
      </c>
      <c r="I954">
        <f>VLOOKUP(H954,Listas!$B$2:$C$20,2,FALSE)</f>
        <v>500001</v>
      </c>
      <c r="J954" t="s">
        <v>73</v>
      </c>
      <c r="K954">
        <f>VLOOKUP(J954,Listas!$B$21:$C$50,2,FALSE)</f>
        <v>600017</v>
      </c>
      <c r="L954">
        <v>-1</v>
      </c>
    </row>
    <row r="955" spans="1:12">
      <c r="A955">
        <v>116</v>
      </c>
      <c r="B955" t="s">
        <v>3663</v>
      </c>
      <c r="C955" s="96">
        <v>7731741000128</v>
      </c>
      <c r="D955" t="s">
        <v>3664</v>
      </c>
      <c r="E955" s="96" t="s">
        <v>1467</v>
      </c>
      <c r="H955" t="s">
        <v>361</v>
      </c>
      <c r="I955">
        <f>VLOOKUP(H955,Listas!$B$2:$C$20,2,FALSE)</f>
        <v>500001</v>
      </c>
      <c r="J955" t="s">
        <v>73</v>
      </c>
      <c r="K955">
        <f>VLOOKUP(J955,Listas!$B$21:$C$50,2,FALSE)</f>
        <v>600017</v>
      </c>
      <c r="L955">
        <v>-1</v>
      </c>
    </row>
    <row r="956" spans="1:12">
      <c r="A956">
        <v>116</v>
      </c>
      <c r="B956" t="s">
        <v>3665</v>
      </c>
      <c r="C956" s="96">
        <v>11749674000100</v>
      </c>
      <c r="D956" t="s">
        <v>3666</v>
      </c>
      <c r="E956" s="96" t="s">
        <v>1467</v>
      </c>
      <c r="H956" t="s">
        <v>361</v>
      </c>
      <c r="I956">
        <f>VLOOKUP(H956,Listas!$B$2:$C$20,2,FALSE)</f>
        <v>500001</v>
      </c>
      <c r="J956" t="s">
        <v>73</v>
      </c>
      <c r="K956">
        <f>VLOOKUP(J956,Listas!$B$21:$C$50,2,FALSE)</f>
        <v>600017</v>
      </c>
      <c r="L956">
        <v>-1</v>
      </c>
    </row>
    <row r="957" spans="1:12">
      <c r="A957">
        <v>116</v>
      </c>
      <c r="B957" t="s">
        <v>751</v>
      </c>
      <c r="C957" s="96">
        <v>16457791000113</v>
      </c>
      <c r="D957" t="s">
        <v>752</v>
      </c>
      <c r="E957" s="96" t="s">
        <v>1467</v>
      </c>
      <c r="H957" t="s">
        <v>361</v>
      </c>
      <c r="I957">
        <f>VLOOKUP(H957,Listas!$B$2:$C$20,2,FALSE)</f>
        <v>500001</v>
      </c>
      <c r="J957" t="s">
        <v>73</v>
      </c>
      <c r="K957">
        <f>VLOOKUP(J957,Listas!$B$21:$C$50,2,FALSE)</f>
        <v>600017</v>
      </c>
      <c r="L957">
        <v>-1</v>
      </c>
    </row>
    <row r="958" spans="1:12">
      <c r="A958">
        <v>116</v>
      </c>
      <c r="B958" t="s">
        <v>3667</v>
      </c>
      <c r="C958" s="96">
        <v>12390967000106</v>
      </c>
      <c r="D958" t="s">
        <v>3668</v>
      </c>
      <c r="E958" s="96" t="s">
        <v>1467</v>
      </c>
      <c r="H958" t="s">
        <v>361</v>
      </c>
      <c r="I958">
        <f>VLOOKUP(H958,Listas!$B$2:$C$20,2,FALSE)</f>
        <v>500001</v>
      </c>
      <c r="J958" t="s">
        <v>73</v>
      </c>
      <c r="K958">
        <f>VLOOKUP(J958,Listas!$B$21:$C$50,2,FALSE)</f>
        <v>600017</v>
      </c>
      <c r="L958">
        <v>-1</v>
      </c>
    </row>
    <row r="959" spans="1:12">
      <c r="A959">
        <v>116</v>
      </c>
      <c r="B959" t="s">
        <v>3669</v>
      </c>
      <c r="C959" s="96">
        <v>7802996000106</v>
      </c>
      <c r="D959" t="s">
        <v>3670</v>
      </c>
      <c r="E959" s="96" t="s">
        <v>1467</v>
      </c>
      <c r="H959" t="s">
        <v>361</v>
      </c>
      <c r="I959">
        <f>VLOOKUP(H959,Listas!$B$2:$C$20,2,FALSE)</f>
        <v>500001</v>
      </c>
      <c r="J959" t="s">
        <v>73</v>
      </c>
      <c r="K959">
        <f>VLOOKUP(J959,Listas!$B$21:$C$50,2,FALSE)</f>
        <v>600017</v>
      </c>
      <c r="L959">
        <v>-1</v>
      </c>
    </row>
    <row r="960" spans="1:12">
      <c r="A960">
        <v>116</v>
      </c>
      <c r="B960" t="s">
        <v>3671</v>
      </c>
      <c r="C960" s="96">
        <v>8896745000192</v>
      </c>
      <c r="D960" t="s">
        <v>3672</v>
      </c>
      <c r="E960" s="96" t="s">
        <v>1467</v>
      </c>
      <c r="H960" t="s">
        <v>361</v>
      </c>
      <c r="I960">
        <f>VLOOKUP(H960,Listas!$B$2:$C$20,2,FALSE)</f>
        <v>500001</v>
      </c>
      <c r="J960" t="s">
        <v>73</v>
      </c>
      <c r="K960">
        <f>VLOOKUP(J960,Listas!$B$21:$C$50,2,FALSE)</f>
        <v>600017</v>
      </c>
      <c r="L960">
        <v>-1</v>
      </c>
    </row>
    <row r="961" spans="1:12">
      <c r="A961">
        <v>116</v>
      </c>
      <c r="B961" t="s">
        <v>3673</v>
      </c>
      <c r="C961" s="96">
        <v>43942358000146</v>
      </c>
      <c r="D961" t="s">
        <v>3674</v>
      </c>
      <c r="E961" s="96" t="s">
        <v>1467</v>
      </c>
      <c r="H961" t="s">
        <v>361</v>
      </c>
      <c r="I961">
        <f>VLOOKUP(H961,Listas!$B$2:$C$20,2,FALSE)</f>
        <v>500001</v>
      </c>
      <c r="J961" t="s">
        <v>73</v>
      </c>
      <c r="K961">
        <f>VLOOKUP(J961,Listas!$B$21:$C$50,2,FALSE)</f>
        <v>600017</v>
      </c>
      <c r="L961">
        <v>-1</v>
      </c>
    </row>
    <row r="962" spans="1:12">
      <c r="A962">
        <v>116</v>
      </c>
      <c r="B962" t="s">
        <v>3675</v>
      </c>
      <c r="C962" s="96">
        <v>28542017000190</v>
      </c>
      <c r="D962" t="s">
        <v>3676</v>
      </c>
      <c r="E962" s="96" t="s">
        <v>1467</v>
      </c>
      <c r="H962" t="s">
        <v>361</v>
      </c>
      <c r="I962">
        <f>VLOOKUP(H962,Listas!$B$2:$C$20,2,FALSE)</f>
        <v>500001</v>
      </c>
      <c r="J962" t="s">
        <v>73</v>
      </c>
      <c r="K962">
        <f>VLOOKUP(J962,Listas!$B$21:$C$50,2,FALSE)</f>
        <v>600017</v>
      </c>
      <c r="L962">
        <v>-1</v>
      </c>
    </row>
    <row r="963" spans="1:12">
      <c r="A963">
        <v>116</v>
      </c>
      <c r="B963" t="s">
        <v>3677</v>
      </c>
      <c r="C963" s="96">
        <v>3282066000100</v>
      </c>
      <c r="D963" t="s">
        <v>3678</v>
      </c>
      <c r="E963" s="96" t="s">
        <v>1467</v>
      </c>
      <c r="H963" t="s">
        <v>361</v>
      </c>
      <c r="I963">
        <f>VLOOKUP(H963,Listas!$B$2:$C$20,2,FALSE)</f>
        <v>500001</v>
      </c>
      <c r="J963" t="s">
        <v>73</v>
      </c>
      <c r="K963">
        <f>VLOOKUP(J963,Listas!$B$21:$C$50,2,FALSE)</f>
        <v>600017</v>
      </c>
      <c r="L963">
        <v>-1</v>
      </c>
    </row>
    <row r="964" spans="1:12">
      <c r="A964">
        <v>116</v>
      </c>
      <c r="B964" t="s">
        <v>3679</v>
      </c>
      <c r="C964" s="96">
        <v>2114755</v>
      </c>
      <c r="D964" t="s">
        <v>3680</v>
      </c>
      <c r="E964" s="96" t="s">
        <v>1467</v>
      </c>
      <c r="H964" t="s">
        <v>361</v>
      </c>
      <c r="I964">
        <f>VLOOKUP(H964,Listas!$B$2:$C$20,2,FALSE)</f>
        <v>500001</v>
      </c>
      <c r="J964" t="s">
        <v>73</v>
      </c>
      <c r="K964">
        <f>VLOOKUP(J964,Listas!$B$21:$C$50,2,FALSE)</f>
        <v>600017</v>
      </c>
      <c r="L964">
        <v>-1</v>
      </c>
    </row>
    <row r="965" spans="1:12">
      <c r="A965">
        <v>116</v>
      </c>
      <c r="B965" t="s">
        <v>3681</v>
      </c>
      <c r="C965" s="96">
        <v>2114756</v>
      </c>
      <c r="D965" t="s">
        <v>3682</v>
      </c>
      <c r="E965" s="96" t="s">
        <v>1467</v>
      </c>
      <c r="H965" t="s">
        <v>361</v>
      </c>
      <c r="I965">
        <f>VLOOKUP(H965,Listas!$B$2:$C$20,2,FALSE)</f>
        <v>500001</v>
      </c>
      <c r="J965" t="s">
        <v>73</v>
      </c>
      <c r="K965">
        <f>VLOOKUP(J965,Listas!$B$21:$C$50,2,FALSE)</f>
        <v>600017</v>
      </c>
      <c r="L965">
        <v>-1</v>
      </c>
    </row>
    <row r="966" spans="1:12">
      <c r="A966">
        <v>116</v>
      </c>
      <c r="B966" t="s">
        <v>3683</v>
      </c>
      <c r="C966" s="96">
        <v>2114757</v>
      </c>
      <c r="D966" t="s">
        <v>3684</v>
      </c>
      <c r="E966" s="96" t="s">
        <v>1467</v>
      </c>
      <c r="H966" t="s">
        <v>361</v>
      </c>
      <c r="I966">
        <f>VLOOKUP(H966,Listas!$B$2:$C$20,2,FALSE)</f>
        <v>500001</v>
      </c>
      <c r="J966" t="s">
        <v>73</v>
      </c>
      <c r="K966">
        <f>VLOOKUP(J966,Listas!$B$21:$C$50,2,FALSE)</f>
        <v>600017</v>
      </c>
      <c r="L966">
        <v>-1</v>
      </c>
    </row>
    <row r="967" spans="1:12">
      <c r="A967">
        <v>116</v>
      </c>
      <c r="B967" t="s">
        <v>3685</v>
      </c>
      <c r="C967" s="96">
        <v>22891456000121</v>
      </c>
      <c r="D967" t="s">
        <v>3686</v>
      </c>
      <c r="E967" s="96" t="s">
        <v>1467</v>
      </c>
      <c r="H967" t="s">
        <v>361</v>
      </c>
      <c r="I967">
        <f>VLOOKUP(H967,Listas!$B$2:$C$20,2,FALSE)</f>
        <v>500001</v>
      </c>
      <c r="J967" t="s">
        <v>73</v>
      </c>
      <c r="K967">
        <f>VLOOKUP(J967,Listas!$B$21:$C$50,2,FALSE)</f>
        <v>600017</v>
      </c>
      <c r="L967">
        <v>-1</v>
      </c>
    </row>
    <row r="968" spans="1:12">
      <c r="A968">
        <v>116</v>
      </c>
      <c r="B968" t="s">
        <v>3687</v>
      </c>
      <c r="C968" s="96">
        <v>3589089000161</v>
      </c>
      <c r="D968" t="s">
        <v>3688</v>
      </c>
      <c r="E968" s="96" t="s">
        <v>1467</v>
      </c>
      <c r="H968" t="s">
        <v>361</v>
      </c>
      <c r="I968">
        <f>VLOOKUP(H968,Listas!$B$2:$C$20,2,FALSE)</f>
        <v>500001</v>
      </c>
      <c r="J968" t="s">
        <v>73</v>
      </c>
      <c r="K968">
        <f>VLOOKUP(J968,Listas!$B$21:$C$50,2,FALSE)</f>
        <v>600017</v>
      </c>
      <c r="L968">
        <v>-1</v>
      </c>
    </row>
    <row r="969" spans="1:12">
      <c r="A969">
        <v>116</v>
      </c>
      <c r="B969" t="s">
        <v>3689</v>
      </c>
      <c r="C969" s="96">
        <v>13398976000106</v>
      </c>
      <c r="D969" t="s">
        <v>3690</v>
      </c>
      <c r="E969" s="96" t="s">
        <v>1467</v>
      </c>
      <c r="H969" t="s">
        <v>361</v>
      </c>
      <c r="I969">
        <f>VLOOKUP(H969,Listas!$B$2:$C$20,2,FALSE)</f>
        <v>500001</v>
      </c>
      <c r="J969" t="s">
        <v>73</v>
      </c>
      <c r="K969">
        <f>VLOOKUP(J969,Listas!$B$21:$C$50,2,FALSE)</f>
        <v>600017</v>
      </c>
      <c r="L969">
        <v>-1</v>
      </c>
    </row>
    <row r="970" spans="1:12">
      <c r="A970">
        <v>116</v>
      </c>
      <c r="B970" t="s">
        <v>753</v>
      </c>
      <c r="C970" s="96">
        <v>23458515000135</v>
      </c>
      <c r="D970" t="s">
        <v>754</v>
      </c>
      <c r="E970" s="96" t="s">
        <v>1467</v>
      </c>
      <c r="H970" t="s">
        <v>361</v>
      </c>
      <c r="I970">
        <f>VLOOKUP(H970,Listas!$B$2:$C$20,2,FALSE)</f>
        <v>500001</v>
      </c>
      <c r="J970" t="s">
        <v>73</v>
      </c>
      <c r="K970">
        <f>VLOOKUP(J970,Listas!$B$21:$C$50,2,FALSE)</f>
        <v>600017</v>
      </c>
      <c r="L970">
        <v>-1</v>
      </c>
    </row>
    <row r="971" spans="1:12">
      <c r="A971">
        <v>116</v>
      </c>
      <c r="B971" t="s">
        <v>3691</v>
      </c>
      <c r="C971" s="96">
        <v>5888814000128</v>
      </c>
      <c r="D971" t="s">
        <v>3692</v>
      </c>
      <c r="E971" s="96" t="s">
        <v>1467</v>
      </c>
      <c r="H971" t="s">
        <v>361</v>
      </c>
      <c r="I971">
        <f>VLOOKUP(H971,Listas!$B$2:$C$20,2,FALSE)</f>
        <v>500001</v>
      </c>
      <c r="J971" t="s">
        <v>73</v>
      </c>
      <c r="K971">
        <f>VLOOKUP(J971,Listas!$B$21:$C$50,2,FALSE)</f>
        <v>600017</v>
      </c>
      <c r="L971">
        <v>-1</v>
      </c>
    </row>
    <row r="972" spans="1:12">
      <c r="A972">
        <v>116</v>
      </c>
      <c r="B972" t="s">
        <v>3693</v>
      </c>
      <c r="C972" s="96">
        <v>3659166000102</v>
      </c>
      <c r="D972" t="s">
        <v>3694</v>
      </c>
      <c r="E972" s="96" t="s">
        <v>1467</v>
      </c>
      <c r="H972" t="s">
        <v>361</v>
      </c>
      <c r="I972">
        <f>VLOOKUP(H972,Listas!$B$2:$C$20,2,FALSE)</f>
        <v>500001</v>
      </c>
      <c r="J972" t="s">
        <v>73</v>
      </c>
      <c r="K972">
        <f>VLOOKUP(J972,Listas!$B$21:$C$50,2,FALSE)</f>
        <v>600017</v>
      </c>
      <c r="L972">
        <v>-1</v>
      </c>
    </row>
    <row r="973" spans="1:12">
      <c r="A973">
        <v>116</v>
      </c>
      <c r="B973" t="s">
        <v>3695</v>
      </c>
      <c r="C973" s="96">
        <v>10939406000198</v>
      </c>
      <c r="D973" t="s">
        <v>3696</v>
      </c>
      <c r="E973" s="96" t="s">
        <v>1467</v>
      </c>
      <c r="H973" t="s">
        <v>361</v>
      </c>
      <c r="I973">
        <f>VLOOKUP(H973,Listas!$B$2:$C$20,2,FALSE)</f>
        <v>500001</v>
      </c>
      <c r="J973" t="s">
        <v>73</v>
      </c>
      <c r="K973">
        <f>VLOOKUP(J973,Listas!$B$21:$C$50,2,FALSE)</f>
        <v>600017</v>
      </c>
      <c r="L973">
        <v>-1</v>
      </c>
    </row>
    <row r="974" spans="1:12">
      <c r="A974">
        <v>116</v>
      </c>
      <c r="B974" t="s">
        <v>3697</v>
      </c>
      <c r="C974" s="96">
        <v>89237911000140</v>
      </c>
      <c r="D974" t="s">
        <v>3698</v>
      </c>
      <c r="E974" s="96" t="s">
        <v>1467</v>
      </c>
      <c r="H974" t="s">
        <v>361</v>
      </c>
      <c r="I974">
        <f>VLOOKUP(H974,Listas!$B$2:$C$20,2,FALSE)</f>
        <v>500001</v>
      </c>
      <c r="J974" t="s">
        <v>73</v>
      </c>
      <c r="K974">
        <f>VLOOKUP(J974,Listas!$B$21:$C$50,2,FALSE)</f>
        <v>600017</v>
      </c>
      <c r="L974">
        <v>-1</v>
      </c>
    </row>
    <row r="975" spans="1:12">
      <c r="A975">
        <v>116</v>
      </c>
      <c r="B975" t="s">
        <v>3699</v>
      </c>
      <c r="C975" s="96">
        <v>11311279000140</v>
      </c>
      <c r="D975" t="s">
        <v>3700</v>
      </c>
      <c r="E975" s="96" t="s">
        <v>1467</v>
      </c>
      <c r="H975" t="s">
        <v>361</v>
      </c>
      <c r="I975">
        <f>VLOOKUP(H975,Listas!$B$2:$C$20,2,FALSE)</f>
        <v>500001</v>
      </c>
      <c r="J975" t="s">
        <v>73</v>
      </c>
      <c r="K975">
        <f>VLOOKUP(J975,Listas!$B$21:$C$50,2,FALSE)</f>
        <v>600017</v>
      </c>
      <c r="L975">
        <v>-1</v>
      </c>
    </row>
    <row r="976" spans="1:12">
      <c r="A976">
        <v>116</v>
      </c>
      <c r="B976" t="s">
        <v>3701</v>
      </c>
      <c r="C976" s="96">
        <v>18704019000184</v>
      </c>
      <c r="D976" t="s">
        <v>3702</v>
      </c>
      <c r="E976" s="96" t="s">
        <v>1467</v>
      </c>
      <c r="H976" t="s">
        <v>361</v>
      </c>
      <c r="I976">
        <f>VLOOKUP(H976,Listas!$B$2:$C$20,2,FALSE)</f>
        <v>500001</v>
      </c>
      <c r="J976" t="s">
        <v>73</v>
      </c>
      <c r="K976">
        <f>VLOOKUP(J976,Listas!$B$21:$C$50,2,FALSE)</f>
        <v>600017</v>
      </c>
      <c r="L976">
        <v>-1</v>
      </c>
    </row>
    <row r="977" spans="1:12">
      <c r="A977">
        <v>116</v>
      </c>
      <c r="B977" t="s">
        <v>3703</v>
      </c>
      <c r="C977" s="96">
        <v>1590728000264</v>
      </c>
      <c r="D977" t="s">
        <v>3704</v>
      </c>
      <c r="E977" s="96" t="s">
        <v>1467</v>
      </c>
      <c r="H977" t="s">
        <v>361</v>
      </c>
      <c r="I977">
        <f>VLOOKUP(H977,Listas!$B$2:$C$20,2,FALSE)</f>
        <v>500001</v>
      </c>
      <c r="J977" t="s">
        <v>73</v>
      </c>
      <c r="K977">
        <f>VLOOKUP(J977,Listas!$B$21:$C$50,2,FALSE)</f>
        <v>600017</v>
      </c>
      <c r="L977">
        <v>-1</v>
      </c>
    </row>
    <row r="978" spans="1:12">
      <c r="A978">
        <v>116</v>
      </c>
      <c r="B978" t="s">
        <v>3705</v>
      </c>
      <c r="C978" s="96">
        <v>4602789000101</v>
      </c>
      <c r="D978" t="s">
        <v>3706</v>
      </c>
      <c r="E978" s="96" t="s">
        <v>1467</v>
      </c>
      <c r="H978" t="s">
        <v>361</v>
      </c>
      <c r="I978">
        <f>VLOOKUP(H978,Listas!$B$2:$C$20,2,FALSE)</f>
        <v>500001</v>
      </c>
      <c r="J978" t="s">
        <v>73</v>
      </c>
      <c r="K978">
        <f>VLOOKUP(J978,Listas!$B$21:$C$50,2,FALSE)</f>
        <v>600017</v>
      </c>
      <c r="L978">
        <v>-1</v>
      </c>
    </row>
    <row r="979" spans="1:12">
      <c r="A979">
        <v>116</v>
      </c>
      <c r="B979" t="s">
        <v>3707</v>
      </c>
      <c r="C979" s="96">
        <v>8139874000136</v>
      </c>
      <c r="D979" t="s">
        <v>3708</v>
      </c>
      <c r="E979" s="96" t="s">
        <v>1467</v>
      </c>
      <c r="H979" t="s">
        <v>361</v>
      </c>
      <c r="I979">
        <f>VLOOKUP(H979,Listas!$B$2:$C$20,2,FALSE)</f>
        <v>500001</v>
      </c>
      <c r="J979" t="s">
        <v>73</v>
      </c>
      <c r="K979">
        <f>VLOOKUP(J979,Listas!$B$21:$C$50,2,FALSE)</f>
        <v>600017</v>
      </c>
      <c r="L979">
        <v>-1</v>
      </c>
    </row>
    <row r="980" spans="1:12">
      <c r="A980">
        <v>116</v>
      </c>
      <c r="B980" t="s">
        <v>3709</v>
      </c>
      <c r="C980" s="96">
        <v>779548000181</v>
      </c>
      <c r="D980" t="s">
        <v>3710</v>
      </c>
      <c r="E980" s="96" t="s">
        <v>1467</v>
      </c>
      <c r="H980" t="s">
        <v>361</v>
      </c>
      <c r="I980">
        <f>VLOOKUP(H980,Listas!$B$2:$C$20,2,FALSE)</f>
        <v>500001</v>
      </c>
      <c r="J980" t="s">
        <v>73</v>
      </c>
      <c r="K980">
        <f>VLOOKUP(J980,Listas!$B$21:$C$50,2,FALSE)</f>
        <v>600017</v>
      </c>
      <c r="L980">
        <v>-1</v>
      </c>
    </row>
    <row r="981" spans="1:12">
      <c r="A981">
        <v>116</v>
      </c>
      <c r="B981" t="s">
        <v>3711</v>
      </c>
      <c r="C981" s="96">
        <v>9364566000177</v>
      </c>
      <c r="D981" t="s">
        <v>3712</v>
      </c>
      <c r="E981" s="96" t="s">
        <v>1467</v>
      </c>
      <c r="H981" t="s">
        <v>361</v>
      </c>
      <c r="I981">
        <f>VLOOKUP(H981,Listas!$B$2:$C$20,2,FALSE)</f>
        <v>500001</v>
      </c>
      <c r="J981" t="s">
        <v>73</v>
      </c>
      <c r="K981">
        <f>VLOOKUP(J981,Listas!$B$21:$C$50,2,FALSE)</f>
        <v>600017</v>
      </c>
      <c r="L981">
        <v>-1</v>
      </c>
    </row>
    <row r="982" spans="1:12">
      <c r="A982">
        <v>116</v>
      </c>
      <c r="B982" t="s">
        <v>3713</v>
      </c>
      <c r="C982" s="96">
        <v>22108379000190</v>
      </c>
      <c r="D982" t="s">
        <v>3714</v>
      </c>
      <c r="E982" s="96" t="s">
        <v>1467</v>
      </c>
      <c r="H982" t="s">
        <v>361</v>
      </c>
      <c r="I982">
        <f>VLOOKUP(H982,Listas!$B$2:$C$20,2,FALSE)</f>
        <v>500001</v>
      </c>
      <c r="J982" t="s">
        <v>73</v>
      </c>
      <c r="K982">
        <f>VLOOKUP(J982,Listas!$B$21:$C$50,2,FALSE)</f>
        <v>600017</v>
      </c>
      <c r="L982">
        <v>-1</v>
      </c>
    </row>
    <row r="983" spans="1:12">
      <c r="A983">
        <v>116</v>
      </c>
      <c r="B983" t="s">
        <v>3715</v>
      </c>
      <c r="C983" s="96">
        <v>31328282000184</v>
      </c>
      <c r="D983" t="s">
        <v>3716</v>
      </c>
      <c r="E983" s="96" t="s">
        <v>1467</v>
      </c>
      <c r="H983" t="s">
        <v>361</v>
      </c>
      <c r="I983">
        <f>VLOOKUP(H983,Listas!$B$2:$C$20,2,FALSE)</f>
        <v>500001</v>
      </c>
      <c r="J983" t="s">
        <v>73</v>
      </c>
      <c r="K983">
        <f>VLOOKUP(J983,Listas!$B$21:$C$50,2,FALSE)</f>
        <v>600017</v>
      </c>
      <c r="L983">
        <v>-1</v>
      </c>
    </row>
    <row r="984" spans="1:12">
      <c r="A984">
        <v>116</v>
      </c>
      <c r="B984" t="s">
        <v>3717</v>
      </c>
      <c r="C984" s="96">
        <v>21823206000191</v>
      </c>
      <c r="D984" t="s">
        <v>3718</v>
      </c>
      <c r="E984" s="96" t="s">
        <v>1467</v>
      </c>
      <c r="H984" t="s">
        <v>361</v>
      </c>
      <c r="I984">
        <f>VLOOKUP(H984,Listas!$B$2:$C$20,2,FALSE)</f>
        <v>500001</v>
      </c>
      <c r="J984" t="s">
        <v>73</v>
      </c>
      <c r="K984">
        <f>VLOOKUP(J984,Listas!$B$21:$C$50,2,FALSE)</f>
        <v>600017</v>
      </c>
      <c r="L984">
        <v>-1</v>
      </c>
    </row>
    <row r="985" spans="1:12">
      <c r="A985">
        <v>116</v>
      </c>
      <c r="B985" t="s">
        <v>3719</v>
      </c>
      <c r="C985" s="96">
        <v>5953553000182</v>
      </c>
      <c r="D985" t="s">
        <v>3720</v>
      </c>
      <c r="E985" s="96" t="s">
        <v>1467</v>
      </c>
      <c r="H985" t="s">
        <v>361</v>
      </c>
      <c r="I985">
        <f>VLOOKUP(H985,Listas!$B$2:$C$20,2,FALSE)</f>
        <v>500001</v>
      </c>
      <c r="J985" t="s">
        <v>73</v>
      </c>
      <c r="K985">
        <f>VLOOKUP(J985,Listas!$B$21:$C$50,2,FALSE)</f>
        <v>600017</v>
      </c>
      <c r="L985">
        <v>-1</v>
      </c>
    </row>
    <row r="986" spans="1:12">
      <c r="A986">
        <v>116</v>
      </c>
      <c r="B986" t="s">
        <v>755</v>
      </c>
      <c r="C986" s="96">
        <v>52618139003031</v>
      </c>
      <c r="D986" t="s">
        <v>756</v>
      </c>
      <c r="E986" s="96" t="s">
        <v>1467</v>
      </c>
      <c r="H986" t="s">
        <v>361</v>
      </c>
      <c r="I986">
        <f>VLOOKUP(H986,Listas!$B$2:$C$20,2,FALSE)</f>
        <v>500001</v>
      </c>
      <c r="J986" t="s">
        <v>73</v>
      </c>
      <c r="K986">
        <f>VLOOKUP(J986,Listas!$B$21:$C$50,2,FALSE)</f>
        <v>600017</v>
      </c>
      <c r="L986">
        <v>-1</v>
      </c>
    </row>
    <row r="987" spans="1:12">
      <c r="A987">
        <v>116</v>
      </c>
      <c r="B987" t="s">
        <v>3721</v>
      </c>
      <c r="C987" s="96">
        <v>61665212000182</v>
      </c>
      <c r="D987" t="s">
        <v>3722</v>
      </c>
      <c r="E987" s="96" t="s">
        <v>1467</v>
      </c>
      <c r="H987" t="s">
        <v>361</v>
      </c>
      <c r="I987">
        <f>VLOOKUP(H987,Listas!$B$2:$C$20,2,FALSE)</f>
        <v>500001</v>
      </c>
      <c r="J987" t="s">
        <v>73</v>
      </c>
      <c r="K987">
        <f>VLOOKUP(J987,Listas!$B$21:$C$50,2,FALSE)</f>
        <v>600017</v>
      </c>
      <c r="L987">
        <v>-1</v>
      </c>
    </row>
    <row r="988" spans="1:12">
      <c r="A988">
        <v>116</v>
      </c>
      <c r="B988" t="s">
        <v>3723</v>
      </c>
      <c r="C988" s="96">
        <v>62328984000191</v>
      </c>
      <c r="D988" t="s">
        <v>3724</v>
      </c>
      <c r="E988" s="96" t="s">
        <v>1467</v>
      </c>
      <c r="H988" t="s">
        <v>361</v>
      </c>
      <c r="I988">
        <f>VLOOKUP(H988,Listas!$B$2:$C$20,2,FALSE)</f>
        <v>500001</v>
      </c>
      <c r="J988" t="s">
        <v>73</v>
      </c>
      <c r="K988">
        <f>VLOOKUP(J988,Listas!$B$21:$C$50,2,FALSE)</f>
        <v>600017</v>
      </c>
      <c r="L988">
        <v>-1</v>
      </c>
    </row>
    <row r="989" spans="1:12">
      <c r="A989">
        <v>116</v>
      </c>
      <c r="B989" t="s">
        <v>3725</v>
      </c>
      <c r="C989" s="96">
        <v>33402892000106</v>
      </c>
      <c r="D989" t="s">
        <v>3726</v>
      </c>
      <c r="E989" s="96" t="s">
        <v>1467</v>
      </c>
      <c r="H989" t="s">
        <v>361</v>
      </c>
      <c r="I989">
        <f>VLOOKUP(H989,Listas!$B$2:$C$20,2,FALSE)</f>
        <v>500001</v>
      </c>
      <c r="J989" t="s">
        <v>73</v>
      </c>
      <c r="K989">
        <f>VLOOKUP(J989,Listas!$B$21:$C$50,2,FALSE)</f>
        <v>600017</v>
      </c>
      <c r="L989">
        <v>-1</v>
      </c>
    </row>
    <row r="990" spans="1:12">
      <c r="A990">
        <v>116</v>
      </c>
      <c r="B990" t="s">
        <v>757</v>
      </c>
      <c r="C990" s="96">
        <v>2593165000140</v>
      </c>
      <c r="D990" t="s">
        <v>758</v>
      </c>
      <c r="E990" s="96" t="s">
        <v>1467</v>
      </c>
      <c r="H990" t="s">
        <v>361</v>
      </c>
      <c r="I990">
        <f>VLOOKUP(H990,Listas!$B$2:$C$20,2,FALSE)</f>
        <v>500001</v>
      </c>
      <c r="J990" t="s">
        <v>73</v>
      </c>
      <c r="K990">
        <f>VLOOKUP(J990,Listas!$B$21:$C$50,2,FALSE)</f>
        <v>600017</v>
      </c>
      <c r="L990">
        <v>-1</v>
      </c>
    </row>
    <row r="991" spans="1:12">
      <c r="A991">
        <v>116</v>
      </c>
      <c r="B991" t="s">
        <v>3727</v>
      </c>
      <c r="C991" s="96">
        <v>11662810000120</v>
      </c>
      <c r="D991" t="s">
        <v>3728</v>
      </c>
      <c r="E991" s="96" t="s">
        <v>1467</v>
      </c>
      <c r="H991" t="s">
        <v>361</v>
      </c>
      <c r="I991">
        <f>VLOOKUP(H991,Listas!$B$2:$C$20,2,FALSE)</f>
        <v>500001</v>
      </c>
      <c r="J991" t="s">
        <v>73</v>
      </c>
      <c r="K991">
        <f>VLOOKUP(J991,Listas!$B$21:$C$50,2,FALSE)</f>
        <v>600017</v>
      </c>
      <c r="L991">
        <v>-1</v>
      </c>
    </row>
    <row r="992" spans="1:12">
      <c r="A992">
        <v>116</v>
      </c>
      <c r="B992" t="s">
        <v>3729</v>
      </c>
      <c r="C992" s="96">
        <v>14350699000124</v>
      </c>
      <c r="D992" t="s">
        <v>3730</v>
      </c>
      <c r="E992" s="96" t="s">
        <v>1467</v>
      </c>
      <c r="H992" t="s">
        <v>361</v>
      </c>
      <c r="I992">
        <f>VLOOKUP(H992,Listas!$B$2:$C$20,2,FALSE)</f>
        <v>500001</v>
      </c>
      <c r="J992" t="s">
        <v>73</v>
      </c>
      <c r="K992">
        <f>VLOOKUP(J992,Listas!$B$21:$C$50,2,FALSE)</f>
        <v>600017</v>
      </c>
      <c r="L992">
        <v>-1</v>
      </c>
    </row>
    <row r="993" spans="1:12">
      <c r="A993">
        <v>116</v>
      </c>
      <c r="B993" t="s">
        <v>3731</v>
      </c>
      <c r="C993" s="96">
        <v>52168481000142</v>
      </c>
      <c r="D993" t="s">
        <v>3732</v>
      </c>
      <c r="E993" s="96" t="s">
        <v>1467</v>
      </c>
      <c r="H993" t="s">
        <v>361</v>
      </c>
      <c r="I993">
        <f>VLOOKUP(H993,Listas!$B$2:$C$20,2,FALSE)</f>
        <v>500001</v>
      </c>
      <c r="J993" t="s">
        <v>73</v>
      </c>
      <c r="K993">
        <f>VLOOKUP(J993,Listas!$B$21:$C$50,2,FALSE)</f>
        <v>600017</v>
      </c>
      <c r="L993">
        <v>-1</v>
      </c>
    </row>
    <row r="994" spans="1:12">
      <c r="A994">
        <v>116</v>
      </c>
      <c r="B994" t="s">
        <v>3733</v>
      </c>
      <c r="C994" s="96">
        <v>4999511000110</v>
      </c>
      <c r="D994" t="s">
        <v>3734</v>
      </c>
      <c r="E994" s="96" t="s">
        <v>1467</v>
      </c>
      <c r="H994" t="s">
        <v>361</v>
      </c>
      <c r="I994">
        <f>VLOOKUP(H994,Listas!$B$2:$C$20,2,FALSE)</f>
        <v>500001</v>
      </c>
      <c r="J994" t="s">
        <v>73</v>
      </c>
      <c r="K994">
        <f>VLOOKUP(J994,Listas!$B$21:$C$50,2,FALSE)</f>
        <v>600017</v>
      </c>
      <c r="L994">
        <v>-1</v>
      </c>
    </row>
    <row r="995" spans="1:12">
      <c r="A995">
        <v>116</v>
      </c>
      <c r="B995" t="s">
        <v>3735</v>
      </c>
      <c r="C995" s="96">
        <v>8821745000123</v>
      </c>
      <c r="D995" t="s">
        <v>3736</v>
      </c>
      <c r="E995" s="96" t="s">
        <v>1467</v>
      </c>
      <c r="H995" t="s">
        <v>361</v>
      </c>
      <c r="I995">
        <f>VLOOKUP(H995,Listas!$B$2:$C$20,2,FALSE)</f>
        <v>500001</v>
      </c>
      <c r="J995" t="s">
        <v>73</v>
      </c>
      <c r="K995">
        <f>VLOOKUP(J995,Listas!$B$21:$C$50,2,FALSE)</f>
        <v>600017</v>
      </c>
      <c r="L995">
        <v>-1</v>
      </c>
    </row>
    <row r="996" spans="1:12">
      <c r="A996">
        <v>116</v>
      </c>
      <c r="B996" t="s">
        <v>3737</v>
      </c>
      <c r="C996" s="96">
        <v>62044151000107</v>
      </c>
      <c r="D996" t="s">
        <v>3738</v>
      </c>
      <c r="E996" s="96" t="s">
        <v>1467</v>
      </c>
      <c r="H996" t="s">
        <v>361</v>
      </c>
      <c r="I996">
        <f>VLOOKUP(H996,Listas!$B$2:$C$20,2,FALSE)</f>
        <v>500001</v>
      </c>
      <c r="J996" t="s">
        <v>73</v>
      </c>
      <c r="K996">
        <f>VLOOKUP(J996,Listas!$B$21:$C$50,2,FALSE)</f>
        <v>600017</v>
      </c>
      <c r="L996">
        <v>-1</v>
      </c>
    </row>
    <row r="997" spans="1:12">
      <c r="A997">
        <v>116</v>
      </c>
      <c r="B997" t="s">
        <v>3739</v>
      </c>
      <c r="C997" s="96">
        <v>31316334000100</v>
      </c>
      <c r="D997" t="s">
        <v>3740</v>
      </c>
      <c r="E997" s="96" t="s">
        <v>1467</v>
      </c>
      <c r="H997" t="s">
        <v>361</v>
      </c>
      <c r="I997">
        <f>VLOOKUP(H997,Listas!$B$2:$C$20,2,FALSE)</f>
        <v>500001</v>
      </c>
      <c r="J997" t="s">
        <v>73</v>
      </c>
      <c r="K997">
        <f>VLOOKUP(J997,Listas!$B$21:$C$50,2,FALSE)</f>
        <v>600017</v>
      </c>
      <c r="L997">
        <v>-1</v>
      </c>
    </row>
    <row r="998" spans="1:12">
      <c r="A998">
        <v>116</v>
      </c>
      <c r="B998" t="s">
        <v>3741</v>
      </c>
      <c r="C998" s="96">
        <v>18534239000107</v>
      </c>
      <c r="D998" t="s">
        <v>3742</v>
      </c>
      <c r="E998" s="96" t="s">
        <v>1467</v>
      </c>
      <c r="H998" t="s">
        <v>361</v>
      </c>
      <c r="I998">
        <f>VLOOKUP(H998,Listas!$B$2:$C$20,2,FALSE)</f>
        <v>500001</v>
      </c>
      <c r="J998" t="s">
        <v>73</v>
      </c>
      <c r="K998">
        <f>VLOOKUP(J998,Listas!$B$21:$C$50,2,FALSE)</f>
        <v>600017</v>
      </c>
      <c r="L998">
        <v>-1</v>
      </c>
    </row>
    <row r="999" spans="1:12">
      <c r="A999">
        <v>116</v>
      </c>
      <c r="B999" t="s">
        <v>3743</v>
      </c>
      <c r="C999" s="96">
        <v>17781694000144</v>
      </c>
      <c r="D999" t="s">
        <v>3744</v>
      </c>
      <c r="E999" s="96" t="s">
        <v>1467</v>
      </c>
      <c r="H999" t="s">
        <v>361</v>
      </c>
      <c r="I999">
        <f>VLOOKUP(H999,Listas!$B$2:$C$20,2,FALSE)</f>
        <v>500001</v>
      </c>
      <c r="J999" t="s">
        <v>73</v>
      </c>
      <c r="K999">
        <f>VLOOKUP(J999,Listas!$B$21:$C$50,2,FALSE)</f>
        <v>600017</v>
      </c>
      <c r="L999">
        <v>-1</v>
      </c>
    </row>
    <row r="1000" spans="1:12">
      <c r="A1000">
        <v>116</v>
      </c>
      <c r="B1000" t="s">
        <v>3745</v>
      </c>
      <c r="C1000" s="96">
        <v>258246000168</v>
      </c>
      <c r="D1000" t="s">
        <v>3746</v>
      </c>
      <c r="E1000" s="96" t="s">
        <v>1467</v>
      </c>
      <c r="H1000" t="s">
        <v>361</v>
      </c>
      <c r="I1000">
        <f>VLOOKUP(H1000,Listas!$B$2:$C$20,2,FALSE)</f>
        <v>500001</v>
      </c>
      <c r="J1000" t="s">
        <v>73</v>
      </c>
      <c r="K1000">
        <f>VLOOKUP(J1000,Listas!$B$21:$C$50,2,FALSE)</f>
        <v>600017</v>
      </c>
      <c r="L1000">
        <v>-1</v>
      </c>
    </row>
    <row r="1001" spans="1:12">
      <c r="A1001">
        <v>116</v>
      </c>
      <c r="B1001" t="s">
        <v>3747</v>
      </c>
      <c r="C1001" s="96">
        <v>13921061000133</v>
      </c>
      <c r="D1001" t="s">
        <v>3748</v>
      </c>
      <c r="E1001" s="96" t="s">
        <v>1467</v>
      </c>
      <c r="H1001" t="s">
        <v>361</v>
      </c>
      <c r="I1001">
        <f>VLOOKUP(H1001,Listas!$B$2:$C$20,2,FALSE)</f>
        <v>500001</v>
      </c>
      <c r="J1001" t="s">
        <v>73</v>
      </c>
      <c r="K1001">
        <f>VLOOKUP(J1001,Listas!$B$21:$C$50,2,FALSE)</f>
        <v>600017</v>
      </c>
      <c r="L1001">
        <v>-1</v>
      </c>
    </row>
    <row r="1002" spans="1:12">
      <c r="A1002">
        <v>116</v>
      </c>
      <c r="B1002" t="s">
        <v>3749</v>
      </c>
      <c r="C1002" s="96">
        <v>30947559000194</v>
      </c>
      <c r="D1002" t="s">
        <v>3750</v>
      </c>
      <c r="E1002" s="96" t="s">
        <v>1467</v>
      </c>
      <c r="H1002" t="s">
        <v>361</v>
      </c>
      <c r="I1002">
        <f>VLOOKUP(H1002,Listas!$B$2:$C$20,2,FALSE)</f>
        <v>500001</v>
      </c>
      <c r="J1002" t="s">
        <v>73</v>
      </c>
      <c r="K1002">
        <f>VLOOKUP(J1002,Listas!$B$21:$C$50,2,FALSE)</f>
        <v>600017</v>
      </c>
      <c r="L1002">
        <v>-1</v>
      </c>
    </row>
    <row r="1003" spans="1:12">
      <c r="A1003">
        <v>116</v>
      </c>
      <c r="B1003" t="s">
        <v>3751</v>
      </c>
      <c r="C1003" s="96">
        <v>3598920000141</v>
      </c>
      <c r="D1003" t="s">
        <v>3752</v>
      </c>
      <c r="E1003" s="96" t="s">
        <v>1467</v>
      </c>
      <c r="H1003" t="s">
        <v>361</v>
      </c>
      <c r="I1003">
        <f>VLOOKUP(H1003,Listas!$B$2:$C$20,2,FALSE)</f>
        <v>500001</v>
      </c>
      <c r="J1003" t="s">
        <v>73</v>
      </c>
      <c r="K1003">
        <f>VLOOKUP(J1003,Listas!$B$21:$C$50,2,FALSE)</f>
        <v>600017</v>
      </c>
      <c r="L1003">
        <v>-1</v>
      </c>
    </row>
    <row r="1004" spans="1:12">
      <c r="A1004">
        <v>116</v>
      </c>
      <c r="B1004" t="s">
        <v>3753</v>
      </c>
      <c r="C1004" s="96">
        <v>62642913000169</v>
      </c>
      <c r="D1004" t="s">
        <v>3754</v>
      </c>
      <c r="E1004" s="96" t="s">
        <v>1467</v>
      </c>
      <c r="H1004" t="s">
        <v>361</v>
      </c>
      <c r="I1004">
        <f>VLOOKUP(H1004,Listas!$B$2:$C$20,2,FALSE)</f>
        <v>500001</v>
      </c>
      <c r="J1004" t="s">
        <v>73</v>
      </c>
      <c r="K1004">
        <f>VLOOKUP(J1004,Listas!$B$21:$C$50,2,FALSE)</f>
        <v>600017</v>
      </c>
      <c r="L1004">
        <v>-1</v>
      </c>
    </row>
    <row r="1005" spans="1:12">
      <c r="A1005">
        <v>116</v>
      </c>
      <c r="B1005" t="s">
        <v>3755</v>
      </c>
      <c r="C1005" s="96">
        <v>28861370000132</v>
      </c>
      <c r="D1005" t="s">
        <v>3756</v>
      </c>
      <c r="E1005" s="96" t="s">
        <v>1467</v>
      </c>
      <c r="H1005" t="s">
        <v>361</v>
      </c>
      <c r="I1005">
        <f>VLOOKUP(H1005,Listas!$B$2:$C$20,2,FALSE)</f>
        <v>500001</v>
      </c>
      <c r="J1005" t="s">
        <v>73</v>
      </c>
      <c r="K1005">
        <f>VLOOKUP(J1005,Listas!$B$21:$C$50,2,FALSE)</f>
        <v>600017</v>
      </c>
      <c r="L1005">
        <v>-1</v>
      </c>
    </row>
    <row r="1006" spans="1:12">
      <c r="A1006">
        <v>116</v>
      </c>
      <c r="B1006" t="s">
        <v>3757</v>
      </c>
      <c r="C1006" s="96">
        <v>30526748000193</v>
      </c>
      <c r="D1006" t="s">
        <v>3758</v>
      </c>
      <c r="E1006" s="96" t="s">
        <v>1467</v>
      </c>
      <c r="H1006" t="s">
        <v>361</v>
      </c>
      <c r="I1006">
        <f>VLOOKUP(H1006,Listas!$B$2:$C$20,2,FALSE)</f>
        <v>500001</v>
      </c>
      <c r="J1006" t="s">
        <v>73</v>
      </c>
      <c r="K1006">
        <f>VLOOKUP(J1006,Listas!$B$21:$C$50,2,FALSE)</f>
        <v>600017</v>
      </c>
      <c r="L1006">
        <v>-1</v>
      </c>
    </row>
    <row r="1007" spans="1:12">
      <c r="A1007">
        <v>116</v>
      </c>
      <c r="B1007" t="s">
        <v>3759</v>
      </c>
      <c r="C1007" s="96">
        <v>460831000146</v>
      </c>
      <c r="D1007" t="s">
        <v>3760</v>
      </c>
      <c r="E1007" s="96" t="s">
        <v>1467</v>
      </c>
      <c r="H1007" t="s">
        <v>361</v>
      </c>
      <c r="I1007">
        <f>VLOOKUP(H1007,Listas!$B$2:$C$20,2,FALSE)</f>
        <v>500001</v>
      </c>
      <c r="J1007" t="s">
        <v>73</v>
      </c>
      <c r="K1007">
        <f>VLOOKUP(J1007,Listas!$B$21:$C$50,2,FALSE)</f>
        <v>600017</v>
      </c>
      <c r="L1007">
        <v>-1</v>
      </c>
    </row>
    <row r="1008" spans="1:12">
      <c r="A1008">
        <v>116</v>
      </c>
      <c r="B1008" t="s">
        <v>3761</v>
      </c>
      <c r="C1008" s="96">
        <v>35794064000196</v>
      </c>
      <c r="D1008" t="s">
        <v>3762</v>
      </c>
      <c r="E1008" s="96" t="s">
        <v>1467</v>
      </c>
      <c r="H1008" t="s">
        <v>361</v>
      </c>
      <c r="I1008">
        <f>VLOOKUP(H1008,Listas!$B$2:$C$20,2,FALSE)</f>
        <v>500001</v>
      </c>
      <c r="J1008" t="s">
        <v>73</v>
      </c>
      <c r="K1008">
        <f>VLOOKUP(J1008,Listas!$B$21:$C$50,2,FALSE)</f>
        <v>600017</v>
      </c>
      <c r="L1008">
        <v>-1</v>
      </c>
    </row>
    <row r="1009" spans="1:12">
      <c r="A1009">
        <v>116</v>
      </c>
      <c r="B1009" t="s">
        <v>3763</v>
      </c>
      <c r="C1009" s="96">
        <v>5533015000139</v>
      </c>
      <c r="D1009" t="s">
        <v>3764</v>
      </c>
      <c r="E1009" s="96" t="s">
        <v>1467</v>
      </c>
      <c r="H1009" t="s">
        <v>361</v>
      </c>
      <c r="I1009">
        <f>VLOOKUP(H1009,Listas!$B$2:$C$20,2,FALSE)</f>
        <v>500001</v>
      </c>
      <c r="J1009" t="s">
        <v>73</v>
      </c>
      <c r="K1009">
        <f>VLOOKUP(J1009,Listas!$B$21:$C$50,2,FALSE)</f>
        <v>600017</v>
      </c>
      <c r="L1009">
        <v>-1</v>
      </c>
    </row>
    <row r="1010" spans="1:12">
      <c r="A1010">
        <v>116</v>
      </c>
      <c r="B1010" t="s">
        <v>3765</v>
      </c>
      <c r="C1010" s="96">
        <v>4527228000195</v>
      </c>
      <c r="D1010" t="s">
        <v>3766</v>
      </c>
      <c r="E1010" s="96" t="s">
        <v>1467</v>
      </c>
      <c r="H1010" t="s">
        <v>361</v>
      </c>
      <c r="I1010">
        <f>VLOOKUP(H1010,Listas!$B$2:$C$20,2,FALSE)</f>
        <v>500001</v>
      </c>
      <c r="J1010" t="s">
        <v>73</v>
      </c>
      <c r="K1010">
        <f>VLOOKUP(J1010,Listas!$B$21:$C$50,2,FALSE)</f>
        <v>600017</v>
      </c>
      <c r="L1010">
        <v>-1</v>
      </c>
    </row>
    <row r="1011" spans="1:12">
      <c r="A1011">
        <v>116</v>
      </c>
      <c r="B1011" t="s">
        <v>3767</v>
      </c>
      <c r="C1011" s="96">
        <v>46359865000140</v>
      </c>
      <c r="D1011" t="s">
        <v>3768</v>
      </c>
      <c r="E1011" s="96" t="s">
        <v>1467</v>
      </c>
      <c r="H1011" t="s">
        <v>361</v>
      </c>
      <c r="I1011">
        <f>VLOOKUP(H1011,Listas!$B$2:$C$20,2,FALSE)</f>
        <v>500001</v>
      </c>
      <c r="J1011" t="s">
        <v>73</v>
      </c>
      <c r="K1011">
        <f>VLOOKUP(J1011,Listas!$B$21:$C$50,2,FALSE)</f>
        <v>600017</v>
      </c>
      <c r="L1011">
        <v>-1</v>
      </c>
    </row>
    <row r="1012" spans="1:12">
      <c r="A1012">
        <v>116</v>
      </c>
      <c r="B1012" t="s">
        <v>3769</v>
      </c>
      <c r="C1012" s="96">
        <v>30980274000155</v>
      </c>
      <c r="D1012" t="s">
        <v>3770</v>
      </c>
      <c r="E1012" s="96" t="s">
        <v>1467</v>
      </c>
      <c r="H1012" t="s">
        <v>361</v>
      </c>
      <c r="I1012">
        <f>VLOOKUP(H1012,Listas!$B$2:$C$20,2,FALSE)</f>
        <v>500001</v>
      </c>
      <c r="J1012" t="s">
        <v>73</v>
      </c>
      <c r="K1012">
        <f>VLOOKUP(J1012,Listas!$B$21:$C$50,2,FALSE)</f>
        <v>600017</v>
      </c>
      <c r="L1012">
        <v>-1</v>
      </c>
    </row>
    <row r="1013" spans="1:12">
      <c r="A1013">
        <v>116</v>
      </c>
      <c r="B1013" t="s">
        <v>3771</v>
      </c>
      <c r="C1013" s="96">
        <v>13992585000115</v>
      </c>
      <c r="D1013" t="s">
        <v>3772</v>
      </c>
      <c r="E1013" s="96" t="s">
        <v>1467</v>
      </c>
      <c r="H1013" t="s">
        <v>361</v>
      </c>
      <c r="I1013">
        <f>VLOOKUP(H1013,Listas!$B$2:$C$20,2,FALSE)</f>
        <v>500001</v>
      </c>
      <c r="J1013" t="s">
        <v>73</v>
      </c>
      <c r="K1013">
        <f>VLOOKUP(J1013,Listas!$B$21:$C$50,2,FALSE)</f>
        <v>600017</v>
      </c>
      <c r="L1013">
        <v>-1</v>
      </c>
    </row>
    <row r="1014" spans="1:12">
      <c r="A1014">
        <v>116</v>
      </c>
      <c r="B1014" t="s">
        <v>3773</v>
      </c>
      <c r="C1014" s="96">
        <v>10498974000281</v>
      </c>
      <c r="D1014" t="s">
        <v>3774</v>
      </c>
      <c r="E1014" s="96" t="s">
        <v>1467</v>
      </c>
      <c r="H1014" t="s">
        <v>361</v>
      </c>
      <c r="I1014">
        <f>VLOOKUP(H1014,Listas!$B$2:$C$20,2,FALSE)</f>
        <v>500001</v>
      </c>
      <c r="J1014" t="s">
        <v>73</v>
      </c>
      <c r="K1014">
        <f>VLOOKUP(J1014,Listas!$B$21:$C$50,2,FALSE)</f>
        <v>600017</v>
      </c>
      <c r="L1014">
        <v>-1</v>
      </c>
    </row>
    <row r="1015" spans="1:12">
      <c r="A1015">
        <v>116</v>
      </c>
      <c r="B1015" t="s">
        <v>3775</v>
      </c>
      <c r="C1015" s="96">
        <v>8257348000170</v>
      </c>
      <c r="D1015" t="s">
        <v>3776</v>
      </c>
      <c r="E1015" s="96" t="s">
        <v>1467</v>
      </c>
      <c r="H1015" t="s">
        <v>361</v>
      </c>
      <c r="I1015">
        <f>VLOOKUP(H1015,Listas!$B$2:$C$20,2,FALSE)</f>
        <v>500001</v>
      </c>
      <c r="J1015" t="s">
        <v>73</v>
      </c>
      <c r="K1015">
        <f>VLOOKUP(J1015,Listas!$B$21:$C$50,2,FALSE)</f>
        <v>600017</v>
      </c>
      <c r="L1015">
        <v>-1</v>
      </c>
    </row>
    <row r="1016" spans="1:12">
      <c r="A1016">
        <v>116</v>
      </c>
      <c r="B1016" t="s">
        <v>3777</v>
      </c>
      <c r="C1016" s="96">
        <v>29508686000370</v>
      </c>
      <c r="D1016" t="s">
        <v>3778</v>
      </c>
      <c r="E1016" s="96" t="s">
        <v>1467</v>
      </c>
      <c r="H1016" t="s">
        <v>361</v>
      </c>
      <c r="I1016">
        <f>VLOOKUP(H1016,Listas!$B$2:$C$20,2,FALSE)</f>
        <v>500001</v>
      </c>
      <c r="J1016" t="s">
        <v>73</v>
      </c>
      <c r="K1016">
        <f>VLOOKUP(J1016,Listas!$B$21:$C$50,2,FALSE)</f>
        <v>600017</v>
      </c>
      <c r="L1016">
        <v>-1</v>
      </c>
    </row>
    <row r="1017" spans="1:12">
      <c r="A1017">
        <v>116</v>
      </c>
      <c r="B1017" t="s">
        <v>3779</v>
      </c>
      <c r="C1017" s="96">
        <v>29576784000182</v>
      </c>
      <c r="D1017" t="s">
        <v>3780</v>
      </c>
      <c r="E1017" s="96" t="s">
        <v>1467</v>
      </c>
      <c r="H1017" t="s">
        <v>361</v>
      </c>
      <c r="I1017">
        <f>VLOOKUP(H1017,Listas!$B$2:$C$20,2,FALSE)</f>
        <v>500001</v>
      </c>
      <c r="J1017" t="s">
        <v>73</v>
      </c>
      <c r="K1017">
        <f>VLOOKUP(J1017,Listas!$B$21:$C$50,2,FALSE)</f>
        <v>600017</v>
      </c>
      <c r="L1017">
        <v>-1</v>
      </c>
    </row>
    <row r="1018" spans="1:12">
      <c r="A1018">
        <v>116</v>
      </c>
      <c r="B1018" t="s">
        <v>3781</v>
      </c>
      <c r="C1018" s="96">
        <v>8703044000190</v>
      </c>
      <c r="D1018" t="s">
        <v>3782</v>
      </c>
      <c r="E1018" s="96" t="s">
        <v>1467</v>
      </c>
      <c r="H1018" t="s">
        <v>361</v>
      </c>
      <c r="I1018">
        <f>VLOOKUP(H1018,Listas!$B$2:$C$20,2,FALSE)</f>
        <v>500001</v>
      </c>
      <c r="J1018" t="s">
        <v>73</v>
      </c>
      <c r="K1018">
        <f>VLOOKUP(J1018,Listas!$B$21:$C$50,2,FALSE)</f>
        <v>600017</v>
      </c>
      <c r="L1018">
        <v>-1</v>
      </c>
    </row>
    <row r="1019" spans="1:12">
      <c r="A1019">
        <v>116</v>
      </c>
      <c r="B1019" t="s">
        <v>3783</v>
      </c>
      <c r="C1019" s="96">
        <v>56958000102</v>
      </c>
      <c r="D1019" t="s">
        <v>3784</v>
      </c>
      <c r="E1019" s="96" t="s">
        <v>1467</v>
      </c>
      <c r="H1019" t="s">
        <v>361</v>
      </c>
      <c r="I1019">
        <f>VLOOKUP(H1019,Listas!$B$2:$C$20,2,FALSE)</f>
        <v>500001</v>
      </c>
      <c r="J1019" t="s">
        <v>73</v>
      </c>
      <c r="K1019">
        <f>VLOOKUP(J1019,Listas!$B$21:$C$50,2,FALSE)</f>
        <v>600017</v>
      </c>
      <c r="L1019">
        <v>-1</v>
      </c>
    </row>
    <row r="1020" spans="1:12">
      <c r="A1020">
        <v>116</v>
      </c>
      <c r="B1020" t="s">
        <v>759</v>
      </c>
      <c r="C1020" s="96">
        <v>2676310000156</v>
      </c>
      <c r="D1020" t="s">
        <v>760</v>
      </c>
      <c r="E1020" s="96" t="s">
        <v>1467</v>
      </c>
      <c r="H1020" t="s">
        <v>361</v>
      </c>
      <c r="I1020">
        <f>VLOOKUP(H1020,Listas!$B$2:$C$20,2,FALSE)</f>
        <v>500001</v>
      </c>
      <c r="J1020" t="s">
        <v>73</v>
      </c>
      <c r="K1020">
        <f>VLOOKUP(J1020,Listas!$B$21:$C$50,2,FALSE)</f>
        <v>600017</v>
      </c>
      <c r="L1020">
        <v>-1</v>
      </c>
    </row>
    <row r="1021" spans="1:12">
      <c r="A1021">
        <v>116</v>
      </c>
      <c r="B1021" t="s">
        <v>3785</v>
      </c>
      <c r="C1021" s="96">
        <v>40181307000150</v>
      </c>
      <c r="D1021" t="s">
        <v>3786</v>
      </c>
      <c r="E1021" s="96" t="s">
        <v>1467</v>
      </c>
      <c r="H1021" t="s">
        <v>361</v>
      </c>
      <c r="I1021">
        <f>VLOOKUP(H1021,Listas!$B$2:$C$20,2,FALSE)</f>
        <v>500001</v>
      </c>
      <c r="J1021" t="s">
        <v>73</v>
      </c>
      <c r="K1021">
        <f>VLOOKUP(J1021,Listas!$B$21:$C$50,2,FALSE)</f>
        <v>600017</v>
      </c>
      <c r="L1021">
        <v>-1</v>
      </c>
    </row>
    <row r="1022" spans="1:12">
      <c r="A1022">
        <v>116</v>
      </c>
      <c r="B1022" t="s">
        <v>3787</v>
      </c>
      <c r="C1022" s="96">
        <v>1959083000103</v>
      </c>
      <c r="D1022" t="s">
        <v>3788</v>
      </c>
      <c r="E1022" s="96" t="s">
        <v>1467</v>
      </c>
      <c r="H1022" t="s">
        <v>361</v>
      </c>
      <c r="I1022">
        <f>VLOOKUP(H1022,Listas!$B$2:$C$20,2,FALSE)</f>
        <v>500001</v>
      </c>
      <c r="J1022" t="s">
        <v>73</v>
      </c>
      <c r="K1022">
        <f>VLOOKUP(J1022,Listas!$B$21:$C$50,2,FALSE)</f>
        <v>600017</v>
      </c>
      <c r="L1022">
        <v>-1</v>
      </c>
    </row>
    <row r="1023" spans="1:12">
      <c r="A1023">
        <v>116</v>
      </c>
      <c r="B1023" t="s">
        <v>3789</v>
      </c>
      <c r="C1023" s="96">
        <v>14291005000125</v>
      </c>
      <c r="D1023" t="s">
        <v>3790</v>
      </c>
      <c r="E1023" s="96" t="s">
        <v>1467</v>
      </c>
      <c r="H1023" t="s">
        <v>361</v>
      </c>
      <c r="I1023">
        <f>VLOOKUP(H1023,Listas!$B$2:$C$20,2,FALSE)</f>
        <v>500001</v>
      </c>
      <c r="J1023" t="s">
        <v>73</v>
      </c>
      <c r="K1023">
        <f>VLOOKUP(J1023,Listas!$B$21:$C$50,2,FALSE)</f>
        <v>600017</v>
      </c>
      <c r="L1023">
        <v>-1</v>
      </c>
    </row>
    <row r="1024" spans="1:12">
      <c r="A1024">
        <v>116</v>
      </c>
      <c r="B1024" t="s">
        <v>3791</v>
      </c>
      <c r="C1024" s="96">
        <v>10320360000124</v>
      </c>
      <c r="D1024" t="s">
        <v>3792</v>
      </c>
      <c r="E1024" s="96" t="s">
        <v>1467</v>
      </c>
      <c r="H1024" t="s">
        <v>361</v>
      </c>
      <c r="I1024">
        <f>VLOOKUP(H1024,Listas!$B$2:$C$20,2,FALSE)</f>
        <v>500001</v>
      </c>
      <c r="J1024" t="s">
        <v>73</v>
      </c>
      <c r="K1024">
        <f>VLOOKUP(J1024,Listas!$B$21:$C$50,2,FALSE)</f>
        <v>600017</v>
      </c>
      <c r="L1024">
        <v>-1</v>
      </c>
    </row>
    <row r="1025" spans="1:12">
      <c r="A1025">
        <v>116</v>
      </c>
      <c r="B1025" t="s">
        <v>3793</v>
      </c>
      <c r="C1025" s="96">
        <v>24725007000139</v>
      </c>
      <c r="D1025" t="s">
        <v>3794</v>
      </c>
      <c r="E1025" s="96" t="s">
        <v>1467</v>
      </c>
      <c r="H1025" t="s">
        <v>361</v>
      </c>
      <c r="I1025">
        <f>VLOOKUP(H1025,Listas!$B$2:$C$20,2,FALSE)</f>
        <v>500001</v>
      </c>
      <c r="J1025" t="s">
        <v>73</v>
      </c>
      <c r="K1025">
        <f>VLOOKUP(J1025,Listas!$B$21:$C$50,2,FALSE)</f>
        <v>600017</v>
      </c>
      <c r="L1025">
        <v>-1</v>
      </c>
    </row>
    <row r="1026" spans="1:12">
      <c r="A1026">
        <v>116</v>
      </c>
      <c r="B1026" t="s">
        <v>3795</v>
      </c>
      <c r="C1026" s="96">
        <v>21348170000131</v>
      </c>
      <c r="D1026" t="s">
        <v>3796</v>
      </c>
      <c r="E1026" s="96" t="s">
        <v>1467</v>
      </c>
      <c r="H1026" t="s">
        <v>361</v>
      </c>
      <c r="I1026">
        <f>VLOOKUP(H1026,Listas!$B$2:$C$20,2,FALSE)</f>
        <v>500001</v>
      </c>
      <c r="J1026" t="s">
        <v>73</v>
      </c>
      <c r="K1026">
        <f>VLOOKUP(J1026,Listas!$B$21:$C$50,2,FALSE)</f>
        <v>600017</v>
      </c>
      <c r="L1026">
        <v>-1</v>
      </c>
    </row>
    <row r="1027" spans="1:12">
      <c r="A1027">
        <v>116</v>
      </c>
      <c r="B1027" t="s">
        <v>3797</v>
      </c>
      <c r="C1027" s="96">
        <v>5025586000162</v>
      </c>
      <c r="D1027" t="s">
        <v>3798</v>
      </c>
      <c r="E1027" s="96" t="s">
        <v>1467</v>
      </c>
      <c r="H1027" t="s">
        <v>361</v>
      </c>
      <c r="I1027">
        <f>VLOOKUP(H1027,Listas!$B$2:$C$20,2,FALSE)</f>
        <v>500001</v>
      </c>
      <c r="J1027" t="s">
        <v>73</v>
      </c>
      <c r="K1027">
        <f>VLOOKUP(J1027,Listas!$B$21:$C$50,2,FALSE)</f>
        <v>600017</v>
      </c>
      <c r="L1027">
        <v>-1</v>
      </c>
    </row>
    <row r="1028" spans="1:12">
      <c r="A1028">
        <v>116</v>
      </c>
      <c r="B1028" t="s">
        <v>3799</v>
      </c>
      <c r="C1028" s="96">
        <v>29969193000175</v>
      </c>
      <c r="D1028" t="s">
        <v>3800</v>
      </c>
      <c r="E1028" s="96" t="s">
        <v>1467</v>
      </c>
      <c r="H1028" t="s">
        <v>361</v>
      </c>
      <c r="I1028">
        <f>VLOOKUP(H1028,Listas!$B$2:$C$20,2,FALSE)</f>
        <v>500001</v>
      </c>
      <c r="J1028" t="s">
        <v>73</v>
      </c>
      <c r="K1028">
        <f>VLOOKUP(J1028,Listas!$B$21:$C$50,2,FALSE)</f>
        <v>600017</v>
      </c>
      <c r="L1028">
        <v>-1</v>
      </c>
    </row>
    <row r="1029" spans="1:12">
      <c r="A1029">
        <v>116</v>
      </c>
      <c r="B1029" t="s">
        <v>3801</v>
      </c>
      <c r="C1029" s="96">
        <v>32452635000116</v>
      </c>
      <c r="D1029" t="s">
        <v>3802</v>
      </c>
      <c r="E1029" s="96" t="s">
        <v>1467</v>
      </c>
      <c r="H1029" t="s">
        <v>361</v>
      </c>
      <c r="I1029">
        <f>VLOOKUP(H1029,Listas!$B$2:$C$20,2,FALSE)</f>
        <v>500001</v>
      </c>
      <c r="J1029" t="s">
        <v>73</v>
      </c>
      <c r="K1029">
        <f>VLOOKUP(J1029,Listas!$B$21:$C$50,2,FALSE)</f>
        <v>600017</v>
      </c>
      <c r="L1029">
        <v>-1</v>
      </c>
    </row>
    <row r="1030" spans="1:12">
      <c r="A1030">
        <v>116</v>
      </c>
      <c r="B1030" t="s">
        <v>3803</v>
      </c>
      <c r="C1030" s="96">
        <v>7808205000147</v>
      </c>
      <c r="D1030" t="s">
        <v>3804</v>
      </c>
      <c r="E1030" s="96" t="s">
        <v>1467</v>
      </c>
      <c r="H1030" t="s">
        <v>361</v>
      </c>
      <c r="I1030">
        <f>VLOOKUP(H1030,Listas!$B$2:$C$20,2,FALSE)</f>
        <v>500001</v>
      </c>
      <c r="J1030" t="s">
        <v>73</v>
      </c>
      <c r="K1030">
        <f>VLOOKUP(J1030,Listas!$B$21:$C$50,2,FALSE)</f>
        <v>600017</v>
      </c>
      <c r="L1030">
        <v>-1</v>
      </c>
    </row>
    <row r="1031" spans="1:12">
      <c r="A1031">
        <v>116</v>
      </c>
      <c r="B1031" t="s">
        <v>3805</v>
      </c>
      <c r="C1031" s="96">
        <v>26644405000156</v>
      </c>
      <c r="D1031" t="s">
        <v>3806</v>
      </c>
      <c r="E1031" s="96" t="s">
        <v>1467</v>
      </c>
      <c r="H1031" t="s">
        <v>361</v>
      </c>
      <c r="I1031">
        <f>VLOOKUP(H1031,Listas!$B$2:$C$20,2,FALSE)</f>
        <v>500001</v>
      </c>
      <c r="J1031" t="s">
        <v>73</v>
      </c>
      <c r="K1031">
        <f>VLOOKUP(J1031,Listas!$B$21:$C$50,2,FALSE)</f>
        <v>600017</v>
      </c>
      <c r="L1031">
        <v>-1</v>
      </c>
    </row>
    <row r="1032" spans="1:12">
      <c r="A1032">
        <v>116</v>
      </c>
      <c r="B1032" t="s">
        <v>3807</v>
      </c>
      <c r="C1032" s="96">
        <v>14016884000187</v>
      </c>
      <c r="D1032" t="s">
        <v>3808</v>
      </c>
      <c r="E1032" s="96" t="s">
        <v>1467</v>
      </c>
      <c r="H1032" t="s">
        <v>361</v>
      </c>
      <c r="I1032">
        <f>VLOOKUP(H1032,Listas!$B$2:$C$20,2,FALSE)</f>
        <v>500001</v>
      </c>
      <c r="J1032" t="s">
        <v>73</v>
      </c>
      <c r="K1032">
        <f>VLOOKUP(J1032,Listas!$B$21:$C$50,2,FALSE)</f>
        <v>600017</v>
      </c>
      <c r="L1032">
        <v>-1</v>
      </c>
    </row>
    <row r="1033" spans="1:12">
      <c r="A1033">
        <v>116</v>
      </c>
      <c r="B1033" t="s">
        <v>3809</v>
      </c>
      <c r="C1033" s="96">
        <v>27039914000112</v>
      </c>
      <c r="D1033" t="s">
        <v>3810</v>
      </c>
      <c r="E1033" s="96" t="s">
        <v>1467</v>
      </c>
      <c r="H1033" t="s">
        <v>361</v>
      </c>
      <c r="I1033">
        <f>VLOOKUP(H1033,Listas!$B$2:$C$20,2,FALSE)</f>
        <v>500001</v>
      </c>
      <c r="J1033" t="s">
        <v>73</v>
      </c>
      <c r="K1033">
        <f>VLOOKUP(J1033,Listas!$B$21:$C$50,2,FALSE)</f>
        <v>600017</v>
      </c>
      <c r="L1033">
        <v>-1</v>
      </c>
    </row>
    <row r="1034" spans="1:12">
      <c r="A1034">
        <v>116</v>
      </c>
      <c r="B1034" t="s">
        <v>3811</v>
      </c>
      <c r="C1034" s="96">
        <v>8706548000163</v>
      </c>
      <c r="D1034" t="s">
        <v>3812</v>
      </c>
      <c r="E1034" s="96" t="s">
        <v>1467</v>
      </c>
      <c r="H1034" t="s">
        <v>361</v>
      </c>
      <c r="I1034">
        <f>VLOOKUP(H1034,Listas!$B$2:$C$20,2,FALSE)</f>
        <v>500001</v>
      </c>
      <c r="J1034" t="s">
        <v>73</v>
      </c>
      <c r="K1034">
        <f>VLOOKUP(J1034,Listas!$B$21:$C$50,2,FALSE)</f>
        <v>600017</v>
      </c>
      <c r="L1034">
        <v>-1</v>
      </c>
    </row>
    <row r="1035" spans="1:12">
      <c r="A1035">
        <v>116</v>
      </c>
      <c r="B1035" t="s">
        <v>3813</v>
      </c>
      <c r="C1035" s="96">
        <v>30040559000106</v>
      </c>
      <c r="D1035" t="s">
        <v>3814</v>
      </c>
      <c r="E1035" s="96" t="s">
        <v>1467</v>
      </c>
      <c r="H1035" t="s">
        <v>361</v>
      </c>
      <c r="I1035">
        <f>VLOOKUP(H1035,Listas!$B$2:$C$20,2,FALSE)</f>
        <v>500001</v>
      </c>
      <c r="J1035" t="s">
        <v>73</v>
      </c>
      <c r="K1035">
        <f>VLOOKUP(J1035,Listas!$B$21:$C$50,2,FALSE)</f>
        <v>600017</v>
      </c>
      <c r="L1035">
        <v>-1</v>
      </c>
    </row>
    <row r="1036" spans="1:12">
      <c r="A1036">
        <v>116</v>
      </c>
      <c r="B1036" t="s">
        <v>3815</v>
      </c>
      <c r="C1036" s="96">
        <v>30780665000126</v>
      </c>
      <c r="D1036" t="s">
        <v>3816</v>
      </c>
      <c r="E1036" s="96" t="s">
        <v>1467</v>
      </c>
      <c r="H1036" t="s">
        <v>361</v>
      </c>
      <c r="I1036">
        <f>VLOOKUP(H1036,Listas!$B$2:$C$20,2,FALSE)</f>
        <v>500001</v>
      </c>
      <c r="J1036" t="s">
        <v>73</v>
      </c>
      <c r="K1036">
        <f>VLOOKUP(J1036,Listas!$B$21:$C$50,2,FALSE)</f>
        <v>600017</v>
      </c>
      <c r="L1036">
        <v>-1</v>
      </c>
    </row>
    <row r="1037" spans="1:12">
      <c r="A1037">
        <v>116</v>
      </c>
      <c r="B1037" t="s">
        <v>3817</v>
      </c>
      <c r="C1037" s="96">
        <v>15267097000170</v>
      </c>
      <c r="D1037" t="s">
        <v>3818</v>
      </c>
      <c r="E1037" s="96" t="s">
        <v>1467</v>
      </c>
      <c r="H1037" t="s">
        <v>361</v>
      </c>
      <c r="I1037">
        <f>VLOOKUP(H1037,Listas!$B$2:$C$20,2,FALSE)</f>
        <v>500001</v>
      </c>
      <c r="J1037" t="s">
        <v>73</v>
      </c>
      <c r="K1037">
        <f>VLOOKUP(J1037,Listas!$B$21:$C$50,2,FALSE)</f>
        <v>600017</v>
      </c>
      <c r="L1037">
        <v>-1</v>
      </c>
    </row>
    <row r="1038" spans="1:12">
      <c r="A1038">
        <v>116</v>
      </c>
      <c r="B1038" t="s">
        <v>3819</v>
      </c>
      <c r="C1038" s="96">
        <v>8747227000107</v>
      </c>
      <c r="D1038" t="s">
        <v>3820</v>
      </c>
      <c r="E1038" s="96" t="s">
        <v>1467</v>
      </c>
      <c r="H1038" t="s">
        <v>361</v>
      </c>
      <c r="I1038">
        <f>VLOOKUP(H1038,Listas!$B$2:$C$20,2,FALSE)</f>
        <v>500001</v>
      </c>
      <c r="J1038" t="s">
        <v>73</v>
      </c>
      <c r="K1038">
        <f>VLOOKUP(J1038,Listas!$B$21:$C$50,2,FALSE)</f>
        <v>600017</v>
      </c>
      <c r="L1038">
        <v>-1</v>
      </c>
    </row>
    <row r="1039" spans="1:12">
      <c r="A1039">
        <v>116</v>
      </c>
      <c r="B1039" t="s">
        <v>3821</v>
      </c>
      <c r="C1039" s="96">
        <v>2939151000135</v>
      </c>
      <c r="D1039" t="s">
        <v>3822</v>
      </c>
      <c r="E1039" s="96" t="s">
        <v>1467</v>
      </c>
      <c r="H1039" t="s">
        <v>361</v>
      </c>
      <c r="I1039">
        <f>VLOOKUP(H1039,Listas!$B$2:$C$20,2,FALSE)</f>
        <v>500001</v>
      </c>
      <c r="J1039" t="s">
        <v>73</v>
      </c>
      <c r="K1039">
        <f>VLOOKUP(J1039,Listas!$B$21:$C$50,2,FALSE)</f>
        <v>600017</v>
      </c>
      <c r="L1039">
        <v>-1</v>
      </c>
    </row>
    <row r="1040" spans="1:12">
      <c r="A1040">
        <v>116</v>
      </c>
      <c r="B1040" t="s">
        <v>3823</v>
      </c>
      <c r="C1040" s="96">
        <v>9274824000124</v>
      </c>
      <c r="D1040" t="s">
        <v>3824</v>
      </c>
      <c r="E1040" s="96" t="s">
        <v>1467</v>
      </c>
      <c r="H1040" t="s">
        <v>361</v>
      </c>
      <c r="I1040">
        <f>VLOOKUP(H1040,Listas!$B$2:$C$20,2,FALSE)</f>
        <v>500001</v>
      </c>
      <c r="J1040" t="s">
        <v>73</v>
      </c>
      <c r="K1040">
        <f>VLOOKUP(J1040,Listas!$B$21:$C$50,2,FALSE)</f>
        <v>600017</v>
      </c>
      <c r="L1040">
        <v>-1</v>
      </c>
    </row>
    <row r="1041" spans="1:12">
      <c r="A1041">
        <v>116</v>
      </c>
      <c r="B1041" t="s">
        <v>3825</v>
      </c>
      <c r="C1041" s="96">
        <v>20306489000131</v>
      </c>
      <c r="D1041" t="s">
        <v>3826</v>
      </c>
      <c r="E1041" s="96" t="s">
        <v>1467</v>
      </c>
      <c r="H1041" t="s">
        <v>361</v>
      </c>
      <c r="I1041">
        <f>VLOOKUP(H1041,Listas!$B$2:$C$20,2,FALSE)</f>
        <v>500001</v>
      </c>
      <c r="J1041" t="s">
        <v>73</v>
      </c>
      <c r="K1041">
        <f>VLOOKUP(J1041,Listas!$B$21:$C$50,2,FALSE)</f>
        <v>600017</v>
      </c>
      <c r="L1041">
        <v>-1</v>
      </c>
    </row>
    <row r="1042" spans="1:12">
      <c r="A1042">
        <v>116</v>
      </c>
      <c r="B1042" t="s">
        <v>3827</v>
      </c>
      <c r="C1042" s="96">
        <v>7341418000101</v>
      </c>
      <c r="D1042" t="s">
        <v>3828</v>
      </c>
      <c r="E1042" s="96" t="s">
        <v>1467</v>
      </c>
      <c r="H1042" t="s">
        <v>361</v>
      </c>
      <c r="I1042">
        <f>VLOOKUP(H1042,Listas!$B$2:$C$20,2,FALSE)</f>
        <v>500001</v>
      </c>
      <c r="J1042" t="s">
        <v>73</v>
      </c>
      <c r="K1042">
        <f>VLOOKUP(J1042,Listas!$B$21:$C$50,2,FALSE)</f>
        <v>600017</v>
      </c>
      <c r="L1042">
        <v>-1</v>
      </c>
    </row>
    <row r="1043" spans="1:12">
      <c r="A1043">
        <v>116</v>
      </c>
      <c r="B1043" t="s">
        <v>761</v>
      </c>
      <c r="C1043" s="96">
        <v>14031054000129</v>
      </c>
      <c r="D1043" t="s">
        <v>762</v>
      </c>
      <c r="E1043" s="96" t="s">
        <v>1467</v>
      </c>
      <c r="H1043" t="s">
        <v>361</v>
      </c>
      <c r="I1043">
        <f>VLOOKUP(H1043,Listas!$B$2:$C$20,2,FALSE)</f>
        <v>500001</v>
      </c>
      <c r="J1043" t="s">
        <v>73</v>
      </c>
      <c r="K1043">
        <f>VLOOKUP(J1043,Listas!$B$21:$C$50,2,FALSE)</f>
        <v>600017</v>
      </c>
      <c r="L1043">
        <v>-1</v>
      </c>
    </row>
    <row r="1044" spans="1:12">
      <c r="A1044">
        <v>116</v>
      </c>
      <c r="B1044" t="s">
        <v>3829</v>
      </c>
      <c r="C1044" s="96">
        <v>20129563000191</v>
      </c>
      <c r="D1044" t="s">
        <v>3830</v>
      </c>
      <c r="E1044" s="96" t="s">
        <v>1467</v>
      </c>
      <c r="H1044" t="s">
        <v>361</v>
      </c>
      <c r="I1044">
        <f>VLOOKUP(H1044,Listas!$B$2:$C$20,2,FALSE)</f>
        <v>500001</v>
      </c>
      <c r="J1044" t="s">
        <v>73</v>
      </c>
      <c r="K1044">
        <f>VLOOKUP(J1044,Listas!$B$21:$C$50,2,FALSE)</f>
        <v>600017</v>
      </c>
      <c r="L1044">
        <v>-1</v>
      </c>
    </row>
    <row r="1045" spans="1:12">
      <c r="A1045">
        <v>116</v>
      </c>
      <c r="B1045" t="s">
        <v>3831</v>
      </c>
      <c r="C1045" s="96">
        <v>58932567000186</v>
      </c>
      <c r="D1045" t="s">
        <v>3832</v>
      </c>
      <c r="E1045" s="96" t="s">
        <v>1467</v>
      </c>
      <c r="H1045" t="s">
        <v>361</v>
      </c>
      <c r="I1045">
        <f>VLOOKUP(H1045,Listas!$B$2:$C$20,2,FALSE)</f>
        <v>500001</v>
      </c>
      <c r="J1045" t="s">
        <v>73</v>
      </c>
      <c r="K1045">
        <f>VLOOKUP(J1045,Listas!$B$21:$C$50,2,FALSE)</f>
        <v>600017</v>
      </c>
      <c r="L1045">
        <v>-1</v>
      </c>
    </row>
    <row r="1046" spans="1:12">
      <c r="A1046">
        <v>116</v>
      </c>
      <c r="B1046" t="s">
        <v>3833</v>
      </c>
      <c r="C1046" s="96">
        <v>35816168000154</v>
      </c>
      <c r="D1046" t="s">
        <v>3834</v>
      </c>
      <c r="E1046" s="96" t="s">
        <v>1467</v>
      </c>
      <c r="H1046" t="s">
        <v>361</v>
      </c>
      <c r="I1046">
        <f>VLOOKUP(H1046,Listas!$B$2:$C$20,2,FALSE)</f>
        <v>500001</v>
      </c>
      <c r="J1046" t="s">
        <v>73</v>
      </c>
      <c r="K1046">
        <f>VLOOKUP(J1046,Listas!$B$21:$C$50,2,FALSE)</f>
        <v>600017</v>
      </c>
      <c r="L1046">
        <v>-1</v>
      </c>
    </row>
    <row r="1047" spans="1:12">
      <c r="A1047">
        <v>116</v>
      </c>
      <c r="B1047" t="s">
        <v>3835</v>
      </c>
      <c r="C1047" s="96">
        <v>62070115000100</v>
      </c>
      <c r="D1047" t="s">
        <v>3836</v>
      </c>
      <c r="E1047" s="96" t="s">
        <v>1467</v>
      </c>
      <c r="H1047" t="s">
        <v>361</v>
      </c>
      <c r="I1047">
        <f>VLOOKUP(H1047,Listas!$B$2:$C$20,2,FALSE)</f>
        <v>500001</v>
      </c>
      <c r="J1047" t="s">
        <v>73</v>
      </c>
      <c r="K1047">
        <f>VLOOKUP(J1047,Listas!$B$21:$C$50,2,FALSE)</f>
        <v>600017</v>
      </c>
      <c r="L1047">
        <v>-1</v>
      </c>
    </row>
    <row r="1048" spans="1:12">
      <c r="A1048">
        <v>116</v>
      </c>
      <c r="B1048" t="s">
        <v>3837</v>
      </c>
      <c r="C1048" s="96">
        <v>5486290000149</v>
      </c>
      <c r="D1048" t="s">
        <v>3838</v>
      </c>
      <c r="E1048" s="96" t="s">
        <v>1467</v>
      </c>
      <c r="H1048" t="s">
        <v>361</v>
      </c>
      <c r="I1048">
        <f>VLOOKUP(H1048,Listas!$B$2:$C$20,2,FALSE)</f>
        <v>500001</v>
      </c>
      <c r="J1048" t="s">
        <v>73</v>
      </c>
      <c r="K1048">
        <f>VLOOKUP(J1048,Listas!$B$21:$C$50,2,FALSE)</f>
        <v>600017</v>
      </c>
      <c r="L1048">
        <v>-1</v>
      </c>
    </row>
    <row r="1049" spans="1:12">
      <c r="A1049">
        <v>116</v>
      </c>
      <c r="B1049" t="s">
        <v>763</v>
      </c>
      <c r="C1049" s="96">
        <v>1082331000180</v>
      </c>
      <c r="D1049" t="s">
        <v>764</v>
      </c>
      <c r="E1049" s="96" t="s">
        <v>1467</v>
      </c>
      <c r="H1049" t="s">
        <v>361</v>
      </c>
      <c r="I1049">
        <f>VLOOKUP(H1049,Listas!$B$2:$C$20,2,FALSE)</f>
        <v>500001</v>
      </c>
      <c r="J1049" t="s">
        <v>73</v>
      </c>
      <c r="K1049">
        <f>VLOOKUP(J1049,Listas!$B$21:$C$50,2,FALSE)</f>
        <v>600017</v>
      </c>
      <c r="L1049">
        <v>-1</v>
      </c>
    </row>
    <row r="1050" spans="1:12">
      <c r="A1050">
        <v>116</v>
      </c>
      <c r="B1050" t="s">
        <v>3839</v>
      </c>
      <c r="C1050" s="96">
        <v>4236619000150</v>
      </c>
      <c r="D1050" t="s">
        <v>3840</v>
      </c>
      <c r="E1050" s="96" t="s">
        <v>1467</v>
      </c>
      <c r="H1050" t="s">
        <v>361</v>
      </c>
      <c r="I1050">
        <f>VLOOKUP(H1050,Listas!$B$2:$C$20,2,FALSE)</f>
        <v>500001</v>
      </c>
      <c r="J1050" t="s">
        <v>73</v>
      </c>
      <c r="K1050">
        <f>VLOOKUP(J1050,Listas!$B$21:$C$50,2,FALSE)</f>
        <v>600017</v>
      </c>
      <c r="L1050">
        <v>-1</v>
      </c>
    </row>
    <row r="1051" spans="1:12">
      <c r="A1051">
        <v>116</v>
      </c>
      <c r="B1051" t="s">
        <v>765</v>
      </c>
      <c r="C1051" s="96">
        <v>21449300000122</v>
      </c>
      <c r="D1051" t="s">
        <v>766</v>
      </c>
      <c r="E1051" s="96" t="s">
        <v>1467</v>
      </c>
      <c r="H1051" t="s">
        <v>361</v>
      </c>
      <c r="I1051">
        <f>VLOOKUP(H1051,Listas!$B$2:$C$20,2,FALSE)</f>
        <v>500001</v>
      </c>
      <c r="J1051" t="s">
        <v>73</v>
      </c>
      <c r="K1051">
        <f>VLOOKUP(J1051,Listas!$B$21:$C$50,2,FALSE)</f>
        <v>600017</v>
      </c>
      <c r="L1051">
        <v>-1</v>
      </c>
    </row>
    <row r="1052" spans="1:12">
      <c r="A1052">
        <v>116</v>
      </c>
      <c r="B1052" t="s">
        <v>767</v>
      </c>
      <c r="C1052" s="96">
        <v>11825802000157</v>
      </c>
      <c r="D1052" t="s">
        <v>768</v>
      </c>
      <c r="E1052" s="96" t="s">
        <v>1467</v>
      </c>
      <c r="H1052" t="s">
        <v>361</v>
      </c>
      <c r="I1052">
        <f>VLOOKUP(H1052,Listas!$B$2:$C$20,2,FALSE)</f>
        <v>500001</v>
      </c>
      <c r="J1052" t="s">
        <v>73</v>
      </c>
      <c r="K1052">
        <f>VLOOKUP(J1052,Listas!$B$21:$C$50,2,FALSE)</f>
        <v>600017</v>
      </c>
      <c r="L1052">
        <v>-1</v>
      </c>
    </row>
    <row r="1053" spans="1:12">
      <c r="A1053">
        <v>116</v>
      </c>
      <c r="B1053" t="s">
        <v>769</v>
      </c>
      <c r="C1053" s="96">
        <v>14087594000124</v>
      </c>
      <c r="D1053" t="s">
        <v>770</v>
      </c>
      <c r="E1053" s="96" t="s">
        <v>1467</v>
      </c>
      <c r="H1053" t="s">
        <v>361</v>
      </c>
      <c r="I1053">
        <f>VLOOKUP(H1053,Listas!$B$2:$C$20,2,FALSE)</f>
        <v>500001</v>
      </c>
      <c r="J1053" t="s">
        <v>73</v>
      </c>
      <c r="K1053">
        <f>VLOOKUP(J1053,Listas!$B$21:$C$50,2,FALSE)</f>
        <v>600017</v>
      </c>
      <c r="L1053">
        <v>-1</v>
      </c>
    </row>
    <row r="1054" spans="1:12">
      <c r="A1054">
        <v>116</v>
      </c>
      <c r="B1054" t="s">
        <v>3841</v>
      </c>
      <c r="C1054" s="96">
        <v>23316006000178</v>
      </c>
      <c r="D1054" t="s">
        <v>3842</v>
      </c>
      <c r="E1054" s="96" t="s">
        <v>1467</v>
      </c>
      <c r="H1054" t="s">
        <v>361</v>
      </c>
      <c r="I1054">
        <f>VLOOKUP(H1054,Listas!$B$2:$C$20,2,FALSE)</f>
        <v>500001</v>
      </c>
      <c r="J1054" t="s">
        <v>73</v>
      </c>
      <c r="K1054">
        <f>VLOOKUP(J1054,Listas!$B$21:$C$50,2,FALSE)</f>
        <v>600017</v>
      </c>
      <c r="L1054">
        <v>-1</v>
      </c>
    </row>
    <row r="1055" spans="1:12">
      <c r="A1055">
        <v>116</v>
      </c>
      <c r="B1055" t="s">
        <v>3843</v>
      </c>
      <c r="C1055" s="96">
        <v>74336595000197</v>
      </c>
      <c r="D1055" t="s">
        <v>3844</v>
      </c>
      <c r="E1055" s="96" t="s">
        <v>1467</v>
      </c>
      <c r="H1055" t="s">
        <v>361</v>
      </c>
      <c r="I1055">
        <f>VLOOKUP(H1055,Listas!$B$2:$C$20,2,FALSE)</f>
        <v>500001</v>
      </c>
      <c r="J1055" t="s">
        <v>73</v>
      </c>
      <c r="K1055">
        <f>VLOOKUP(J1055,Listas!$B$21:$C$50,2,FALSE)</f>
        <v>600017</v>
      </c>
      <c r="L1055">
        <v>-1</v>
      </c>
    </row>
    <row r="1056" spans="1:12">
      <c r="A1056">
        <v>116</v>
      </c>
      <c r="B1056" t="s">
        <v>3845</v>
      </c>
      <c r="C1056" s="96">
        <v>67634022000184</v>
      </c>
      <c r="D1056" t="s">
        <v>3846</v>
      </c>
      <c r="E1056" s="96" t="s">
        <v>1467</v>
      </c>
      <c r="H1056" t="s">
        <v>361</v>
      </c>
      <c r="I1056">
        <f>VLOOKUP(H1056,Listas!$B$2:$C$20,2,FALSE)</f>
        <v>500001</v>
      </c>
      <c r="J1056" t="s">
        <v>73</v>
      </c>
      <c r="K1056">
        <f>VLOOKUP(J1056,Listas!$B$21:$C$50,2,FALSE)</f>
        <v>600017</v>
      </c>
      <c r="L1056">
        <v>-1</v>
      </c>
    </row>
    <row r="1057" spans="1:12">
      <c r="A1057">
        <v>116</v>
      </c>
      <c r="B1057" t="s">
        <v>3847</v>
      </c>
      <c r="C1057" s="96">
        <v>26410329000114</v>
      </c>
      <c r="D1057" t="s">
        <v>3848</v>
      </c>
      <c r="E1057" s="96" t="s">
        <v>1467</v>
      </c>
      <c r="H1057" t="s">
        <v>361</v>
      </c>
      <c r="I1057">
        <f>VLOOKUP(H1057,Listas!$B$2:$C$20,2,FALSE)</f>
        <v>500001</v>
      </c>
      <c r="J1057" t="s">
        <v>73</v>
      </c>
      <c r="K1057">
        <f>VLOOKUP(J1057,Listas!$B$21:$C$50,2,FALSE)</f>
        <v>600017</v>
      </c>
      <c r="L1057">
        <v>-1</v>
      </c>
    </row>
    <row r="1058" spans="1:12">
      <c r="A1058">
        <v>116</v>
      </c>
      <c r="B1058" t="s">
        <v>3849</v>
      </c>
      <c r="C1058" s="96">
        <v>10618228000101</v>
      </c>
      <c r="D1058" t="s">
        <v>3850</v>
      </c>
      <c r="E1058" s="96" t="s">
        <v>1467</v>
      </c>
      <c r="H1058" t="s">
        <v>361</v>
      </c>
      <c r="I1058">
        <f>VLOOKUP(H1058,Listas!$B$2:$C$20,2,FALSE)</f>
        <v>500001</v>
      </c>
      <c r="J1058" t="s">
        <v>73</v>
      </c>
      <c r="K1058">
        <f>VLOOKUP(J1058,Listas!$B$21:$C$50,2,FALSE)</f>
        <v>600017</v>
      </c>
      <c r="L1058">
        <v>-1</v>
      </c>
    </row>
    <row r="1059" spans="1:12">
      <c r="A1059">
        <v>116</v>
      </c>
      <c r="B1059" t="s">
        <v>3851</v>
      </c>
      <c r="C1059" s="96">
        <v>3784680000170</v>
      </c>
      <c r="D1059" t="s">
        <v>3852</v>
      </c>
      <c r="E1059" s="96" t="s">
        <v>1467</v>
      </c>
      <c r="H1059" t="s">
        <v>361</v>
      </c>
      <c r="I1059">
        <f>VLOOKUP(H1059,Listas!$B$2:$C$20,2,FALSE)</f>
        <v>500001</v>
      </c>
      <c r="J1059" t="s">
        <v>73</v>
      </c>
      <c r="K1059">
        <f>VLOOKUP(J1059,Listas!$B$21:$C$50,2,FALSE)</f>
        <v>600017</v>
      </c>
      <c r="L1059">
        <v>-1</v>
      </c>
    </row>
    <row r="1060" spans="1:12">
      <c r="A1060">
        <v>116</v>
      </c>
      <c r="B1060" t="s">
        <v>3853</v>
      </c>
      <c r="C1060" s="96">
        <v>29493477000138</v>
      </c>
      <c r="D1060" t="s">
        <v>3854</v>
      </c>
      <c r="E1060" s="96" t="s">
        <v>1467</v>
      </c>
      <c r="H1060" t="s">
        <v>361</v>
      </c>
      <c r="I1060">
        <f>VLOOKUP(H1060,Listas!$B$2:$C$20,2,FALSE)</f>
        <v>500001</v>
      </c>
      <c r="J1060" t="s">
        <v>73</v>
      </c>
      <c r="K1060">
        <f>VLOOKUP(J1060,Listas!$B$21:$C$50,2,FALSE)</f>
        <v>600017</v>
      </c>
      <c r="L1060">
        <v>-1</v>
      </c>
    </row>
    <row r="1061" spans="1:12">
      <c r="A1061">
        <v>116</v>
      </c>
      <c r="B1061" t="s">
        <v>3855</v>
      </c>
      <c r="C1061" s="96">
        <v>35851538000194</v>
      </c>
      <c r="D1061" t="s">
        <v>3856</v>
      </c>
      <c r="E1061" s="96" t="s">
        <v>1467</v>
      </c>
      <c r="H1061" t="s">
        <v>361</v>
      </c>
      <c r="I1061">
        <f>VLOOKUP(H1061,Listas!$B$2:$C$20,2,FALSE)</f>
        <v>500001</v>
      </c>
      <c r="J1061" t="s">
        <v>73</v>
      </c>
      <c r="K1061">
        <f>VLOOKUP(J1061,Listas!$B$21:$C$50,2,FALSE)</f>
        <v>600017</v>
      </c>
      <c r="L1061">
        <v>-1</v>
      </c>
    </row>
    <row r="1062" spans="1:12">
      <c r="A1062">
        <v>116</v>
      </c>
      <c r="B1062" t="s">
        <v>3857</v>
      </c>
      <c r="C1062" s="96">
        <v>8817857000100</v>
      </c>
      <c r="D1062" t="s">
        <v>3858</v>
      </c>
      <c r="E1062" s="96" t="s">
        <v>1467</v>
      </c>
      <c r="H1062" t="s">
        <v>361</v>
      </c>
      <c r="I1062">
        <f>VLOOKUP(H1062,Listas!$B$2:$C$20,2,FALSE)</f>
        <v>500001</v>
      </c>
      <c r="J1062" t="s">
        <v>73</v>
      </c>
      <c r="K1062">
        <f>VLOOKUP(J1062,Listas!$B$21:$C$50,2,FALSE)</f>
        <v>600017</v>
      </c>
      <c r="L1062">
        <v>-1</v>
      </c>
    </row>
    <row r="1063" spans="1:12">
      <c r="A1063">
        <v>116</v>
      </c>
      <c r="B1063" t="s">
        <v>3859</v>
      </c>
      <c r="C1063" s="96">
        <v>37748843000180</v>
      </c>
      <c r="D1063" t="s">
        <v>3860</v>
      </c>
      <c r="E1063" s="96" t="s">
        <v>1467</v>
      </c>
      <c r="H1063" t="s">
        <v>361</v>
      </c>
      <c r="I1063">
        <f>VLOOKUP(H1063,Listas!$B$2:$C$20,2,FALSE)</f>
        <v>500001</v>
      </c>
      <c r="J1063" t="s">
        <v>73</v>
      </c>
      <c r="K1063">
        <f>VLOOKUP(J1063,Listas!$B$21:$C$50,2,FALSE)</f>
        <v>600017</v>
      </c>
      <c r="L1063">
        <v>-1</v>
      </c>
    </row>
    <row r="1064" spans="1:12">
      <c r="A1064">
        <v>116</v>
      </c>
      <c r="B1064" t="s">
        <v>3861</v>
      </c>
      <c r="C1064" s="96">
        <v>5569970000126</v>
      </c>
      <c r="D1064" t="s">
        <v>3862</v>
      </c>
      <c r="E1064" s="96" t="s">
        <v>1467</v>
      </c>
      <c r="H1064" t="s">
        <v>361</v>
      </c>
      <c r="I1064">
        <f>VLOOKUP(H1064,Listas!$B$2:$C$20,2,FALSE)</f>
        <v>500001</v>
      </c>
      <c r="J1064" t="s">
        <v>73</v>
      </c>
      <c r="K1064">
        <f>VLOOKUP(J1064,Listas!$B$21:$C$50,2,FALSE)</f>
        <v>600017</v>
      </c>
      <c r="L1064">
        <v>-1</v>
      </c>
    </row>
    <row r="1065" spans="1:12">
      <c r="A1065">
        <v>116</v>
      </c>
      <c r="B1065" t="s">
        <v>3863</v>
      </c>
      <c r="C1065" s="96">
        <v>8865615000192</v>
      </c>
      <c r="D1065" t="s">
        <v>3864</v>
      </c>
      <c r="E1065" s="96" t="s">
        <v>1467</v>
      </c>
      <c r="H1065" t="s">
        <v>361</v>
      </c>
      <c r="I1065">
        <f>VLOOKUP(H1065,Listas!$B$2:$C$20,2,FALSE)</f>
        <v>500001</v>
      </c>
      <c r="J1065" t="s">
        <v>73</v>
      </c>
      <c r="K1065">
        <f>VLOOKUP(J1065,Listas!$B$21:$C$50,2,FALSE)</f>
        <v>600017</v>
      </c>
      <c r="L1065">
        <v>-1</v>
      </c>
    </row>
    <row r="1066" spans="1:12">
      <c r="A1066">
        <v>116</v>
      </c>
      <c r="B1066" t="s">
        <v>3865</v>
      </c>
      <c r="C1066" s="96">
        <v>7192480000189</v>
      </c>
      <c r="D1066" t="s">
        <v>3866</v>
      </c>
      <c r="E1066" s="96" t="s">
        <v>1467</v>
      </c>
      <c r="H1066" t="s">
        <v>361</v>
      </c>
      <c r="I1066">
        <f>VLOOKUP(H1066,Listas!$B$2:$C$20,2,FALSE)</f>
        <v>500001</v>
      </c>
      <c r="J1066" t="s">
        <v>73</v>
      </c>
      <c r="K1066">
        <f>VLOOKUP(J1066,Listas!$B$21:$C$50,2,FALSE)</f>
        <v>600017</v>
      </c>
      <c r="L1066">
        <v>-1</v>
      </c>
    </row>
    <row r="1067" spans="1:12">
      <c r="A1067">
        <v>116</v>
      </c>
      <c r="B1067" t="s">
        <v>3867</v>
      </c>
      <c r="C1067" s="96">
        <v>49607336000106</v>
      </c>
      <c r="D1067" t="s">
        <v>3868</v>
      </c>
      <c r="E1067" s="96" t="s">
        <v>1467</v>
      </c>
      <c r="H1067" t="s">
        <v>361</v>
      </c>
      <c r="I1067">
        <f>VLOOKUP(H1067,Listas!$B$2:$C$20,2,FALSE)</f>
        <v>500001</v>
      </c>
      <c r="J1067" t="s">
        <v>73</v>
      </c>
      <c r="K1067">
        <f>VLOOKUP(J1067,Listas!$B$21:$C$50,2,FALSE)</f>
        <v>600017</v>
      </c>
      <c r="L1067">
        <v>-1</v>
      </c>
    </row>
    <row r="1068" spans="1:12">
      <c r="A1068">
        <v>116</v>
      </c>
      <c r="B1068" t="s">
        <v>771</v>
      </c>
      <c r="C1068" s="96">
        <v>13529513000136</v>
      </c>
      <c r="D1068" t="s">
        <v>772</v>
      </c>
      <c r="E1068" s="96" t="s">
        <v>1467</v>
      </c>
      <c r="H1068" t="s">
        <v>361</v>
      </c>
      <c r="I1068">
        <f>VLOOKUP(H1068,Listas!$B$2:$C$20,2,FALSE)</f>
        <v>500001</v>
      </c>
      <c r="J1068" t="s">
        <v>73</v>
      </c>
      <c r="K1068">
        <f>VLOOKUP(J1068,Listas!$B$21:$C$50,2,FALSE)</f>
        <v>600017</v>
      </c>
      <c r="L1068">
        <v>-1</v>
      </c>
    </row>
    <row r="1069" spans="1:12">
      <c r="A1069">
        <v>116</v>
      </c>
      <c r="B1069" t="s">
        <v>3869</v>
      </c>
      <c r="C1069" s="96">
        <v>10237136000173</v>
      </c>
      <c r="D1069" t="s">
        <v>3870</v>
      </c>
      <c r="E1069" s="96" t="s">
        <v>1467</v>
      </c>
      <c r="H1069" t="s">
        <v>361</v>
      </c>
      <c r="I1069">
        <f>VLOOKUP(H1069,Listas!$B$2:$C$20,2,FALSE)</f>
        <v>500001</v>
      </c>
      <c r="J1069" t="s">
        <v>73</v>
      </c>
      <c r="K1069">
        <f>VLOOKUP(J1069,Listas!$B$21:$C$50,2,FALSE)</f>
        <v>600017</v>
      </c>
      <c r="L1069">
        <v>-1</v>
      </c>
    </row>
    <row r="1070" spans="1:12">
      <c r="A1070">
        <v>116</v>
      </c>
      <c r="B1070" t="s">
        <v>3871</v>
      </c>
      <c r="C1070" s="96">
        <v>13517609000184</v>
      </c>
      <c r="D1070" t="s">
        <v>3872</v>
      </c>
      <c r="E1070" s="96" t="s">
        <v>1467</v>
      </c>
      <c r="H1070" t="s">
        <v>361</v>
      </c>
      <c r="I1070">
        <f>VLOOKUP(H1070,Listas!$B$2:$C$20,2,FALSE)</f>
        <v>500001</v>
      </c>
      <c r="J1070" t="s">
        <v>73</v>
      </c>
      <c r="K1070">
        <f>VLOOKUP(J1070,Listas!$B$21:$C$50,2,FALSE)</f>
        <v>600017</v>
      </c>
      <c r="L1070">
        <v>-1</v>
      </c>
    </row>
    <row r="1071" spans="1:12">
      <c r="A1071">
        <v>116</v>
      </c>
      <c r="B1071" t="s">
        <v>3873</v>
      </c>
      <c r="C1071" s="96">
        <v>33175178000122</v>
      </c>
      <c r="D1071" t="s">
        <v>3874</v>
      </c>
      <c r="E1071" s="96" t="s">
        <v>1467</v>
      </c>
      <c r="H1071" t="s">
        <v>361</v>
      </c>
      <c r="I1071">
        <f>VLOOKUP(H1071,Listas!$B$2:$C$20,2,FALSE)</f>
        <v>500001</v>
      </c>
      <c r="J1071" t="s">
        <v>73</v>
      </c>
      <c r="K1071">
        <f>VLOOKUP(J1071,Listas!$B$21:$C$50,2,FALSE)</f>
        <v>600017</v>
      </c>
      <c r="L1071">
        <v>-1</v>
      </c>
    </row>
    <row r="1072" spans="1:12">
      <c r="A1072">
        <v>116</v>
      </c>
      <c r="B1072" t="s">
        <v>3875</v>
      </c>
      <c r="C1072" s="96">
        <v>24736096000119</v>
      </c>
      <c r="D1072" t="s">
        <v>3876</v>
      </c>
      <c r="E1072" s="96" t="s">
        <v>1467</v>
      </c>
      <c r="H1072" t="s">
        <v>361</v>
      </c>
      <c r="I1072">
        <f>VLOOKUP(H1072,Listas!$B$2:$C$20,2,FALSE)</f>
        <v>500001</v>
      </c>
      <c r="J1072" t="s">
        <v>73</v>
      </c>
      <c r="K1072">
        <f>VLOOKUP(J1072,Listas!$B$21:$C$50,2,FALSE)</f>
        <v>600017</v>
      </c>
      <c r="L1072">
        <v>-1</v>
      </c>
    </row>
    <row r="1073" spans="1:12">
      <c r="A1073">
        <v>116</v>
      </c>
      <c r="B1073" t="s">
        <v>3877</v>
      </c>
      <c r="C1073" s="96">
        <v>28066342000123</v>
      </c>
      <c r="D1073" t="s">
        <v>3878</v>
      </c>
      <c r="E1073" s="96" t="s">
        <v>1467</v>
      </c>
      <c r="H1073" t="s">
        <v>361</v>
      </c>
      <c r="I1073">
        <f>VLOOKUP(H1073,Listas!$B$2:$C$20,2,FALSE)</f>
        <v>500001</v>
      </c>
      <c r="J1073" t="s">
        <v>73</v>
      </c>
      <c r="K1073">
        <f>VLOOKUP(J1073,Listas!$B$21:$C$50,2,FALSE)</f>
        <v>600017</v>
      </c>
      <c r="L1073">
        <v>-1</v>
      </c>
    </row>
    <row r="1074" spans="1:12">
      <c r="A1074">
        <v>116</v>
      </c>
      <c r="B1074" t="s">
        <v>3879</v>
      </c>
      <c r="C1074" s="96">
        <v>7929380000192</v>
      </c>
      <c r="D1074" t="s">
        <v>3880</v>
      </c>
      <c r="E1074" s="96" t="s">
        <v>1467</v>
      </c>
      <c r="H1074" t="s">
        <v>361</v>
      </c>
      <c r="I1074">
        <f>VLOOKUP(H1074,Listas!$B$2:$C$20,2,FALSE)</f>
        <v>500001</v>
      </c>
      <c r="J1074" t="s">
        <v>73</v>
      </c>
      <c r="K1074">
        <f>VLOOKUP(J1074,Listas!$B$21:$C$50,2,FALSE)</f>
        <v>600017</v>
      </c>
      <c r="L1074">
        <v>-1</v>
      </c>
    </row>
    <row r="1075" spans="1:12">
      <c r="A1075">
        <v>116</v>
      </c>
      <c r="B1075" t="s">
        <v>3881</v>
      </c>
      <c r="C1075" s="96">
        <v>36984127000130</v>
      </c>
      <c r="D1075" t="s">
        <v>3882</v>
      </c>
      <c r="E1075" s="96" t="s">
        <v>1467</v>
      </c>
      <c r="H1075" t="s">
        <v>361</v>
      </c>
      <c r="I1075">
        <f>VLOOKUP(H1075,Listas!$B$2:$C$20,2,FALSE)</f>
        <v>500001</v>
      </c>
      <c r="J1075" t="s">
        <v>73</v>
      </c>
      <c r="K1075">
        <f>VLOOKUP(J1075,Listas!$B$21:$C$50,2,FALSE)</f>
        <v>600017</v>
      </c>
      <c r="L1075">
        <v>-1</v>
      </c>
    </row>
    <row r="1076" spans="1:12">
      <c r="A1076">
        <v>116</v>
      </c>
      <c r="B1076" t="s">
        <v>3883</v>
      </c>
      <c r="C1076" s="96">
        <v>32319650000190</v>
      </c>
      <c r="D1076" t="s">
        <v>3884</v>
      </c>
      <c r="E1076" s="96" t="s">
        <v>1467</v>
      </c>
      <c r="H1076" t="s">
        <v>361</v>
      </c>
      <c r="I1076">
        <f>VLOOKUP(H1076,Listas!$B$2:$C$20,2,FALSE)</f>
        <v>500001</v>
      </c>
      <c r="J1076" t="s">
        <v>73</v>
      </c>
      <c r="K1076">
        <f>VLOOKUP(J1076,Listas!$B$21:$C$50,2,FALSE)</f>
        <v>600017</v>
      </c>
      <c r="L1076">
        <v>-1</v>
      </c>
    </row>
    <row r="1077" spans="1:12">
      <c r="A1077">
        <v>116</v>
      </c>
      <c r="B1077" t="s">
        <v>3885</v>
      </c>
      <c r="C1077" s="96">
        <v>38010482000133</v>
      </c>
      <c r="D1077" t="s">
        <v>3886</v>
      </c>
      <c r="E1077" s="96" t="s">
        <v>1467</v>
      </c>
      <c r="H1077" t="s">
        <v>361</v>
      </c>
      <c r="I1077">
        <f>VLOOKUP(H1077,Listas!$B$2:$C$20,2,FALSE)</f>
        <v>500001</v>
      </c>
      <c r="J1077" t="s">
        <v>73</v>
      </c>
      <c r="K1077">
        <f>VLOOKUP(J1077,Listas!$B$21:$C$50,2,FALSE)</f>
        <v>600017</v>
      </c>
      <c r="L1077">
        <v>-1</v>
      </c>
    </row>
    <row r="1078" spans="1:12">
      <c r="A1078">
        <v>116</v>
      </c>
      <c r="B1078" t="s">
        <v>3887</v>
      </c>
      <c r="C1078" s="96">
        <v>11521976000126</v>
      </c>
      <c r="D1078" t="s">
        <v>3888</v>
      </c>
      <c r="E1078" s="96" t="s">
        <v>1467</v>
      </c>
      <c r="H1078" t="s">
        <v>361</v>
      </c>
      <c r="I1078">
        <f>VLOOKUP(H1078,Listas!$B$2:$C$20,2,FALSE)</f>
        <v>500001</v>
      </c>
      <c r="J1078" t="s">
        <v>73</v>
      </c>
      <c r="K1078">
        <f>VLOOKUP(J1078,Listas!$B$21:$C$50,2,FALSE)</f>
        <v>600017</v>
      </c>
      <c r="L1078">
        <v>-1</v>
      </c>
    </row>
    <row r="1079" spans="1:12">
      <c r="A1079">
        <v>116</v>
      </c>
      <c r="B1079" t="s">
        <v>3889</v>
      </c>
      <c r="C1079" s="96">
        <v>64909716000199</v>
      </c>
      <c r="D1079" t="s">
        <v>3890</v>
      </c>
      <c r="E1079" s="96" t="s">
        <v>1467</v>
      </c>
      <c r="H1079" t="s">
        <v>361</v>
      </c>
      <c r="I1079">
        <f>VLOOKUP(H1079,Listas!$B$2:$C$20,2,FALSE)</f>
        <v>500001</v>
      </c>
      <c r="J1079" t="s">
        <v>73</v>
      </c>
      <c r="K1079">
        <f>VLOOKUP(J1079,Listas!$B$21:$C$50,2,FALSE)</f>
        <v>600017</v>
      </c>
      <c r="L1079">
        <v>-1</v>
      </c>
    </row>
    <row r="1080" spans="1:12">
      <c r="A1080">
        <v>116</v>
      </c>
      <c r="B1080" t="s">
        <v>3891</v>
      </c>
      <c r="C1080" s="96">
        <v>35791391000194</v>
      </c>
      <c r="D1080" t="s">
        <v>3892</v>
      </c>
      <c r="E1080" s="96" t="s">
        <v>1467</v>
      </c>
      <c r="H1080" t="s">
        <v>361</v>
      </c>
      <c r="I1080">
        <f>VLOOKUP(H1080,Listas!$B$2:$C$20,2,FALSE)</f>
        <v>500001</v>
      </c>
      <c r="J1080" t="s">
        <v>73</v>
      </c>
      <c r="K1080">
        <f>VLOOKUP(J1080,Listas!$B$21:$C$50,2,FALSE)</f>
        <v>600017</v>
      </c>
      <c r="L1080">
        <v>-1</v>
      </c>
    </row>
    <row r="1081" spans="1:12">
      <c r="A1081">
        <v>116</v>
      </c>
      <c r="B1081" t="s">
        <v>773</v>
      </c>
      <c r="C1081" s="96">
        <v>15610540000164</v>
      </c>
      <c r="D1081" t="s">
        <v>774</v>
      </c>
      <c r="E1081" s="96" t="s">
        <v>1467</v>
      </c>
      <c r="H1081" t="s">
        <v>361</v>
      </c>
      <c r="I1081">
        <f>VLOOKUP(H1081,Listas!$B$2:$C$20,2,FALSE)</f>
        <v>500001</v>
      </c>
      <c r="J1081" t="s">
        <v>73</v>
      </c>
      <c r="K1081">
        <f>VLOOKUP(J1081,Listas!$B$21:$C$50,2,FALSE)</f>
        <v>600017</v>
      </c>
      <c r="L1081">
        <v>-1</v>
      </c>
    </row>
    <row r="1082" spans="1:12">
      <c r="A1082">
        <v>116</v>
      </c>
      <c r="B1082" t="s">
        <v>3893</v>
      </c>
      <c r="C1082" s="96">
        <v>11204356000163</v>
      </c>
      <c r="D1082" t="s">
        <v>3894</v>
      </c>
      <c r="E1082" s="96" t="s">
        <v>1467</v>
      </c>
      <c r="H1082" t="s">
        <v>361</v>
      </c>
      <c r="I1082">
        <f>VLOOKUP(H1082,Listas!$B$2:$C$20,2,FALSE)</f>
        <v>500001</v>
      </c>
      <c r="J1082" t="s">
        <v>73</v>
      </c>
      <c r="K1082">
        <f>VLOOKUP(J1082,Listas!$B$21:$C$50,2,FALSE)</f>
        <v>600017</v>
      </c>
      <c r="L1082">
        <v>-1</v>
      </c>
    </row>
    <row r="1083" spans="1:12">
      <c r="A1083">
        <v>116</v>
      </c>
      <c r="B1083" t="s">
        <v>3895</v>
      </c>
      <c r="C1083" s="96">
        <v>29775845000130</v>
      </c>
      <c r="D1083" t="s">
        <v>3896</v>
      </c>
      <c r="E1083" s="96" t="s">
        <v>1467</v>
      </c>
      <c r="H1083" t="s">
        <v>361</v>
      </c>
      <c r="I1083">
        <f>VLOOKUP(H1083,Listas!$B$2:$C$20,2,FALSE)</f>
        <v>500001</v>
      </c>
      <c r="J1083" t="s">
        <v>73</v>
      </c>
      <c r="K1083">
        <f>VLOOKUP(J1083,Listas!$B$21:$C$50,2,FALSE)</f>
        <v>600017</v>
      </c>
      <c r="L1083">
        <v>-1</v>
      </c>
    </row>
    <row r="1084" spans="1:12">
      <c r="A1084">
        <v>116</v>
      </c>
      <c r="B1084" t="s">
        <v>3897</v>
      </c>
      <c r="C1084" s="96">
        <v>15011202000106</v>
      </c>
      <c r="D1084" t="s">
        <v>3898</v>
      </c>
      <c r="E1084" s="96" t="s">
        <v>1467</v>
      </c>
      <c r="H1084" t="s">
        <v>361</v>
      </c>
      <c r="I1084">
        <f>VLOOKUP(H1084,Listas!$B$2:$C$20,2,FALSE)</f>
        <v>500001</v>
      </c>
      <c r="J1084" t="s">
        <v>73</v>
      </c>
      <c r="K1084">
        <f>VLOOKUP(J1084,Listas!$B$21:$C$50,2,FALSE)</f>
        <v>600017</v>
      </c>
      <c r="L1084">
        <v>-1</v>
      </c>
    </row>
    <row r="1085" spans="1:12">
      <c r="A1085">
        <v>116</v>
      </c>
      <c r="B1085" t="s">
        <v>3899</v>
      </c>
      <c r="C1085" s="96">
        <v>13157625000103</v>
      </c>
      <c r="D1085" t="s">
        <v>3900</v>
      </c>
      <c r="E1085" s="96" t="s">
        <v>1467</v>
      </c>
      <c r="H1085" t="s">
        <v>361</v>
      </c>
      <c r="I1085">
        <f>VLOOKUP(H1085,Listas!$B$2:$C$20,2,FALSE)</f>
        <v>500001</v>
      </c>
      <c r="J1085" t="s">
        <v>73</v>
      </c>
      <c r="K1085">
        <f>VLOOKUP(J1085,Listas!$B$21:$C$50,2,FALSE)</f>
        <v>600017</v>
      </c>
      <c r="L1085">
        <v>-1</v>
      </c>
    </row>
    <row r="1086" spans="1:12">
      <c r="A1086">
        <v>116</v>
      </c>
      <c r="B1086" t="s">
        <v>3901</v>
      </c>
      <c r="C1086" s="96">
        <v>2081864000100</v>
      </c>
      <c r="D1086" t="s">
        <v>3902</v>
      </c>
      <c r="E1086" s="96" t="s">
        <v>1467</v>
      </c>
      <c r="H1086" t="s">
        <v>361</v>
      </c>
      <c r="I1086">
        <f>VLOOKUP(H1086,Listas!$B$2:$C$20,2,FALSE)</f>
        <v>500001</v>
      </c>
      <c r="J1086" t="s">
        <v>73</v>
      </c>
      <c r="K1086">
        <f>VLOOKUP(J1086,Listas!$B$21:$C$50,2,FALSE)</f>
        <v>600017</v>
      </c>
      <c r="L1086">
        <v>-1</v>
      </c>
    </row>
    <row r="1087" spans="1:12">
      <c r="A1087">
        <v>116</v>
      </c>
      <c r="B1087" t="s">
        <v>3903</v>
      </c>
      <c r="C1087" s="96">
        <v>36826463000154</v>
      </c>
      <c r="D1087" t="s">
        <v>3904</v>
      </c>
      <c r="E1087" s="96" t="s">
        <v>1467</v>
      </c>
      <c r="H1087" t="s">
        <v>361</v>
      </c>
      <c r="I1087">
        <f>VLOOKUP(H1087,Listas!$B$2:$C$20,2,FALSE)</f>
        <v>500001</v>
      </c>
      <c r="J1087" t="s">
        <v>73</v>
      </c>
      <c r="K1087">
        <f>VLOOKUP(J1087,Listas!$B$21:$C$50,2,FALSE)</f>
        <v>600017</v>
      </c>
      <c r="L1087">
        <v>-1</v>
      </c>
    </row>
    <row r="1088" spans="1:12">
      <c r="A1088">
        <v>116</v>
      </c>
      <c r="B1088" t="s">
        <v>3905</v>
      </c>
      <c r="C1088" s="96">
        <v>5246000000190</v>
      </c>
      <c r="D1088" t="s">
        <v>3906</v>
      </c>
      <c r="E1088" s="96" t="s">
        <v>1467</v>
      </c>
      <c r="H1088" t="s">
        <v>361</v>
      </c>
      <c r="I1088">
        <f>VLOOKUP(H1088,Listas!$B$2:$C$20,2,FALSE)</f>
        <v>500001</v>
      </c>
      <c r="J1088" t="s">
        <v>73</v>
      </c>
      <c r="K1088">
        <f>VLOOKUP(J1088,Listas!$B$21:$C$50,2,FALSE)</f>
        <v>600017</v>
      </c>
      <c r="L1088">
        <v>-1</v>
      </c>
    </row>
    <row r="1089" spans="1:12">
      <c r="A1089">
        <v>116</v>
      </c>
      <c r="B1089" t="s">
        <v>775</v>
      </c>
      <c r="C1089" s="96">
        <v>3364275000100</v>
      </c>
      <c r="D1089" t="s">
        <v>776</v>
      </c>
      <c r="E1089" s="96" t="s">
        <v>1467</v>
      </c>
      <c r="H1089" t="s">
        <v>361</v>
      </c>
      <c r="I1089">
        <f>VLOOKUP(H1089,Listas!$B$2:$C$20,2,FALSE)</f>
        <v>500001</v>
      </c>
      <c r="J1089" t="s">
        <v>73</v>
      </c>
      <c r="K1089">
        <f>VLOOKUP(J1089,Listas!$B$21:$C$50,2,FALSE)</f>
        <v>600017</v>
      </c>
      <c r="L1089">
        <v>-1</v>
      </c>
    </row>
    <row r="1090" spans="1:12">
      <c r="A1090">
        <v>116</v>
      </c>
      <c r="B1090" t="s">
        <v>3907</v>
      </c>
      <c r="C1090" s="96">
        <v>188111000173</v>
      </c>
      <c r="D1090" t="s">
        <v>3908</v>
      </c>
      <c r="E1090" s="96" t="s">
        <v>1467</v>
      </c>
      <c r="H1090" t="s">
        <v>361</v>
      </c>
      <c r="I1090">
        <f>VLOOKUP(H1090,Listas!$B$2:$C$20,2,FALSE)</f>
        <v>500001</v>
      </c>
      <c r="J1090" t="s">
        <v>73</v>
      </c>
      <c r="K1090">
        <f>VLOOKUP(J1090,Listas!$B$21:$C$50,2,FALSE)</f>
        <v>600017</v>
      </c>
      <c r="L1090">
        <v>-1</v>
      </c>
    </row>
    <row r="1091" spans="1:12">
      <c r="A1091">
        <v>116</v>
      </c>
      <c r="B1091" t="s">
        <v>3909</v>
      </c>
      <c r="C1091" s="96">
        <v>21728334000156</v>
      </c>
      <c r="D1091" t="s">
        <v>3910</v>
      </c>
      <c r="E1091" s="96" t="s">
        <v>1467</v>
      </c>
      <c r="H1091" t="s">
        <v>361</v>
      </c>
      <c r="I1091">
        <f>VLOOKUP(H1091,Listas!$B$2:$C$20,2,FALSE)</f>
        <v>500001</v>
      </c>
      <c r="J1091" t="s">
        <v>73</v>
      </c>
      <c r="K1091">
        <f>VLOOKUP(J1091,Listas!$B$21:$C$50,2,FALSE)</f>
        <v>600017</v>
      </c>
      <c r="L1091">
        <v>-1</v>
      </c>
    </row>
    <row r="1092" spans="1:12">
      <c r="A1092">
        <v>116</v>
      </c>
      <c r="B1092" t="s">
        <v>3911</v>
      </c>
      <c r="C1092" s="96">
        <v>82429556000162</v>
      </c>
      <c r="D1092" t="s">
        <v>3912</v>
      </c>
      <c r="E1092" s="96" t="s">
        <v>1467</v>
      </c>
      <c r="H1092" t="s">
        <v>361</v>
      </c>
      <c r="I1092">
        <f>VLOOKUP(H1092,Listas!$B$2:$C$20,2,FALSE)</f>
        <v>500001</v>
      </c>
      <c r="J1092" t="s">
        <v>73</v>
      </c>
      <c r="K1092">
        <f>VLOOKUP(J1092,Listas!$B$21:$C$50,2,FALSE)</f>
        <v>600017</v>
      </c>
      <c r="L1092">
        <v>-1</v>
      </c>
    </row>
    <row r="1093" spans="1:12">
      <c r="A1093">
        <v>116</v>
      </c>
      <c r="B1093" t="s">
        <v>3913</v>
      </c>
      <c r="C1093" s="96">
        <v>3861429000161</v>
      </c>
      <c r="D1093" t="s">
        <v>3914</v>
      </c>
      <c r="E1093" s="96" t="s">
        <v>1467</v>
      </c>
      <c r="H1093" t="s">
        <v>361</v>
      </c>
      <c r="I1093">
        <f>VLOOKUP(H1093,Listas!$B$2:$C$20,2,FALSE)</f>
        <v>500001</v>
      </c>
      <c r="J1093" t="s">
        <v>73</v>
      </c>
      <c r="K1093">
        <f>VLOOKUP(J1093,Listas!$B$21:$C$50,2,FALSE)</f>
        <v>600017</v>
      </c>
      <c r="L1093">
        <v>-1</v>
      </c>
    </row>
    <row r="1094" spans="1:12">
      <c r="A1094">
        <v>116</v>
      </c>
      <c r="B1094" t="s">
        <v>777</v>
      </c>
      <c r="C1094" s="96">
        <v>7718944000148</v>
      </c>
      <c r="D1094" t="s">
        <v>778</v>
      </c>
      <c r="E1094" s="96" t="s">
        <v>1467</v>
      </c>
      <c r="H1094" t="s">
        <v>361</v>
      </c>
      <c r="I1094">
        <f>VLOOKUP(H1094,Listas!$B$2:$C$20,2,FALSE)</f>
        <v>500001</v>
      </c>
      <c r="J1094" t="s">
        <v>73</v>
      </c>
      <c r="K1094">
        <f>VLOOKUP(J1094,Listas!$B$21:$C$50,2,FALSE)</f>
        <v>600017</v>
      </c>
      <c r="L1094">
        <v>-1</v>
      </c>
    </row>
    <row r="1095" spans="1:12">
      <c r="A1095">
        <v>116</v>
      </c>
      <c r="B1095" t="s">
        <v>3915</v>
      </c>
      <c r="C1095" s="96">
        <v>9474731000143</v>
      </c>
      <c r="D1095" t="s">
        <v>3916</v>
      </c>
      <c r="E1095" s="96" t="s">
        <v>1467</v>
      </c>
      <c r="H1095" t="s">
        <v>361</v>
      </c>
      <c r="I1095">
        <f>VLOOKUP(H1095,Listas!$B$2:$C$20,2,FALSE)</f>
        <v>500001</v>
      </c>
      <c r="J1095" t="s">
        <v>73</v>
      </c>
      <c r="K1095">
        <f>VLOOKUP(J1095,Listas!$B$21:$C$50,2,FALSE)</f>
        <v>600017</v>
      </c>
      <c r="L1095">
        <v>-1</v>
      </c>
    </row>
    <row r="1096" spans="1:12">
      <c r="A1096">
        <v>116</v>
      </c>
      <c r="B1096" t="s">
        <v>3917</v>
      </c>
      <c r="C1096" s="96">
        <v>6923780000128</v>
      </c>
      <c r="D1096" t="s">
        <v>3918</v>
      </c>
      <c r="E1096" s="96" t="s">
        <v>1467</v>
      </c>
      <c r="H1096" t="s">
        <v>361</v>
      </c>
      <c r="I1096">
        <f>VLOOKUP(H1096,Listas!$B$2:$C$20,2,FALSE)</f>
        <v>500001</v>
      </c>
      <c r="J1096" t="s">
        <v>73</v>
      </c>
      <c r="K1096">
        <f>VLOOKUP(J1096,Listas!$B$21:$C$50,2,FALSE)</f>
        <v>600017</v>
      </c>
      <c r="L1096">
        <v>-1</v>
      </c>
    </row>
    <row r="1097" spans="1:12">
      <c r="A1097">
        <v>116</v>
      </c>
      <c r="B1097" t="s">
        <v>3919</v>
      </c>
      <c r="C1097" s="96">
        <v>20666918000181</v>
      </c>
      <c r="D1097" t="s">
        <v>3920</v>
      </c>
      <c r="E1097" s="96" t="s">
        <v>1467</v>
      </c>
      <c r="H1097" t="s">
        <v>361</v>
      </c>
      <c r="I1097">
        <f>VLOOKUP(H1097,Listas!$B$2:$C$20,2,FALSE)</f>
        <v>500001</v>
      </c>
      <c r="J1097" t="s">
        <v>73</v>
      </c>
      <c r="K1097">
        <f>VLOOKUP(J1097,Listas!$B$21:$C$50,2,FALSE)</f>
        <v>600017</v>
      </c>
      <c r="L1097">
        <v>-1</v>
      </c>
    </row>
    <row r="1098" spans="1:12">
      <c r="A1098">
        <v>116</v>
      </c>
      <c r="B1098" t="s">
        <v>3921</v>
      </c>
      <c r="C1098" s="96">
        <v>42521088000137</v>
      </c>
      <c r="D1098" t="s">
        <v>3922</v>
      </c>
      <c r="E1098" s="96" t="s">
        <v>1467</v>
      </c>
      <c r="H1098" t="s">
        <v>361</v>
      </c>
      <c r="I1098">
        <f>VLOOKUP(H1098,Listas!$B$2:$C$20,2,FALSE)</f>
        <v>500001</v>
      </c>
      <c r="J1098" t="s">
        <v>73</v>
      </c>
      <c r="K1098">
        <f>VLOOKUP(J1098,Listas!$B$21:$C$50,2,FALSE)</f>
        <v>600017</v>
      </c>
      <c r="L1098">
        <v>-1</v>
      </c>
    </row>
    <row r="1099" spans="1:12">
      <c r="A1099">
        <v>116</v>
      </c>
      <c r="B1099" t="s">
        <v>3923</v>
      </c>
      <c r="C1099" s="96">
        <v>18133018000127</v>
      </c>
      <c r="D1099" t="s">
        <v>3924</v>
      </c>
      <c r="E1099" s="96" t="s">
        <v>1467</v>
      </c>
      <c r="H1099" t="s">
        <v>361</v>
      </c>
      <c r="I1099">
        <f>VLOOKUP(H1099,Listas!$B$2:$C$20,2,FALSE)</f>
        <v>500001</v>
      </c>
      <c r="J1099" t="s">
        <v>73</v>
      </c>
      <c r="K1099">
        <f>VLOOKUP(J1099,Listas!$B$21:$C$50,2,FALSE)</f>
        <v>600017</v>
      </c>
      <c r="L1099">
        <v>-1</v>
      </c>
    </row>
    <row r="1100" spans="1:12">
      <c r="A1100">
        <v>116</v>
      </c>
      <c r="B1100" t="s">
        <v>779</v>
      </c>
      <c r="C1100" s="96">
        <v>9079572000182</v>
      </c>
      <c r="D1100" t="s">
        <v>780</v>
      </c>
      <c r="E1100" s="96" t="s">
        <v>1467</v>
      </c>
      <c r="H1100" t="s">
        <v>361</v>
      </c>
      <c r="I1100">
        <f>VLOOKUP(H1100,Listas!$B$2:$C$20,2,FALSE)</f>
        <v>500001</v>
      </c>
      <c r="J1100" t="s">
        <v>73</v>
      </c>
      <c r="K1100">
        <f>VLOOKUP(J1100,Listas!$B$21:$C$50,2,FALSE)</f>
        <v>600017</v>
      </c>
      <c r="L1100">
        <v>-1</v>
      </c>
    </row>
    <row r="1101" spans="1:12">
      <c r="A1101">
        <v>116</v>
      </c>
      <c r="B1101" t="s">
        <v>3925</v>
      </c>
      <c r="C1101" s="96">
        <v>23880630000101</v>
      </c>
      <c r="D1101" t="s">
        <v>3926</v>
      </c>
      <c r="E1101" s="96" t="s">
        <v>1467</v>
      </c>
      <c r="H1101" t="s">
        <v>361</v>
      </c>
      <c r="I1101">
        <f>VLOOKUP(H1101,Listas!$B$2:$C$20,2,FALSE)</f>
        <v>500001</v>
      </c>
      <c r="J1101" t="s">
        <v>73</v>
      </c>
      <c r="K1101">
        <f>VLOOKUP(J1101,Listas!$B$21:$C$50,2,FALSE)</f>
        <v>600017</v>
      </c>
      <c r="L1101">
        <v>-1</v>
      </c>
    </row>
    <row r="1102" spans="1:12">
      <c r="A1102">
        <v>116</v>
      </c>
      <c r="B1102" t="s">
        <v>3927</v>
      </c>
      <c r="C1102" s="96">
        <v>15394685000175</v>
      </c>
      <c r="D1102" t="s">
        <v>3928</v>
      </c>
      <c r="E1102" s="96" t="s">
        <v>1467</v>
      </c>
      <c r="H1102" t="s">
        <v>361</v>
      </c>
      <c r="I1102">
        <f>VLOOKUP(H1102,Listas!$B$2:$C$20,2,FALSE)</f>
        <v>500001</v>
      </c>
      <c r="J1102" t="s">
        <v>73</v>
      </c>
      <c r="K1102">
        <f>VLOOKUP(J1102,Listas!$B$21:$C$50,2,FALSE)</f>
        <v>600017</v>
      </c>
      <c r="L1102">
        <v>-1</v>
      </c>
    </row>
    <row r="1103" spans="1:12">
      <c r="A1103">
        <v>116</v>
      </c>
      <c r="B1103" t="s">
        <v>3929</v>
      </c>
      <c r="C1103" s="96">
        <v>6070152000147</v>
      </c>
      <c r="D1103" t="s">
        <v>3930</v>
      </c>
      <c r="E1103" s="96" t="s">
        <v>1467</v>
      </c>
      <c r="H1103" t="s">
        <v>361</v>
      </c>
      <c r="I1103">
        <f>VLOOKUP(H1103,Listas!$B$2:$C$20,2,FALSE)</f>
        <v>500001</v>
      </c>
      <c r="J1103" t="s">
        <v>73</v>
      </c>
      <c r="K1103">
        <f>VLOOKUP(J1103,Listas!$B$21:$C$50,2,FALSE)</f>
        <v>600017</v>
      </c>
      <c r="L1103">
        <v>-1</v>
      </c>
    </row>
    <row r="1104" spans="1:12">
      <c r="A1104">
        <v>116</v>
      </c>
      <c r="B1104" t="s">
        <v>3931</v>
      </c>
      <c r="C1104" s="96">
        <v>6097867000193</v>
      </c>
      <c r="D1104" t="s">
        <v>3932</v>
      </c>
      <c r="E1104" s="96" t="s">
        <v>1467</v>
      </c>
      <c r="H1104" t="s">
        <v>361</v>
      </c>
      <c r="I1104">
        <f>VLOOKUP(H1104,Listas!$B$2:$C$20,2,FALSE)</f>
        <v>500001</v>
      </c>
      <c r="J1104" t="s">
        <v>73</v>
      </c>
      <c r="K1104">
        <f>VLOOKUP(J1104,Listas!$B$21:$C$50,2,FALSE)</f>
        <v>600017</v>
      </c>
      <c r="L1104">
        <v>-1</v>
      </c>
    </row>
    <row r="1105" spans="1:12">
      <c r="A1105">
        <v>116</v>
      </c>
      <c r="B1105" t="s">
        <v>781</v>
      </c>
      <c r="C1105" s="96">
        <v>54207659000142</v>
      </c>
      <c r="D1105" t="s">
        <v>782</v>
      </c>
      <c r="E1105" s="96" t="s">
        <v>1467</v>
      </c>
      <c r="H1105" t="s">
        <v>361</v>
      </c>
      <c r="I1105">
        <f>VLOOKUP(H1105,Listas!$B$2:$C$20,2,FALSE)</f>
        <v>500001</v>
      </c>
      <c r="J1105" t="s">
        <v>73</v>
      </c>
      <c r="K1105">
        <f>VLOOKUP(J1105,Listas!$B$21:$C$50,2,FALSE)</f>
        <v>600017</v>
      </c>
      <c r="L1105">
        <v>-1</v>
      </c>
    </row>
    <row r="1106" spans="1:12">
      <c r="A1106">
        <v>116</v>
      </c>
      <c r="B1106" t="s">
        <v>3933</v>
      </c>
      <c r="C1106" s="96">
        <v>8537926000122</v>
      </c>
      <c r="D1106" t="s">
        <v>3934</v>
      </c>
      <c r="E1106" s="96" t="s">
        <v>1467</v>
      </c>
      <c r="H1106" t="s">
        <v>361</v>
      </c>
      <c r="I1106">
        <f>VLOOKUP(H1106,Listas!$B$2:$C$20,2,FALSE)</f>
        <v>500001</v>
      </c>
      <c r="J1106" t="s">
        <v>73</v>
      </c>
      <c r="K1106">
        <f>VLOOKUP(J1106,Listas!$B$21:$C$50,2,FALSE)</f>
        <v>600017</v>
      </c>
      <c r="L1106">
        <v>-1</v>
      </c>
    </row>
    <row r="1107" spans="1:12">
      <c r="A1107">
        <v>116</v>
      </c>
      <c r="B1107" t="s">
        <v>3935</v>
      </c>
      <c r="C1107" s="96">
        <v>38405087000150</v>
      </c>
      <c r="D1107" t="s">
        <v>3936</v>
      </c>
      <c r="E1107" s="96" t="s">
        <v>1467</v>
      </c>
      <c r="H1107" t="s">
        <v>361</v>
      </c>
      <c r="I1107">
        <f>VLOOKUP(H1107,Listas!$B$2:$C$20,2,FALSE)</f>
        <v>500001</v>
      </c>
      <c r="J1107" t="s">
        <v>73</v>
      </c>
      <c r="K1107">
        <f>VLOOKUP(J1107,Listas!$B$21:$C$50,2,FALSE)</f>
        <v>600017</v>
      </c>
      <c r="L1107">
        <v>-1</v>
      </c>
    </row>
    <row r="1108" spans="1:12">
      <c r="A1108">
        <v>116</v>
      </c>
      <c r="B1108" t="s">
        <v>3937</v>
      </c>
      <c r="C1108" s="96">
        <v>39545634000165</v>
      </c>
      <c r="D1108" t="s">
        <v>3938</v>
      </c>
      <c r="E1108" s="96" t="s">
        <v>1467</v>
      </c>
      <c r="H1108" t="s">
        <v>361</v>
      </c>
      <c r="I1108">
        <f>VLOOKUP(H1108,Listas!$B$2:$C$20,2,FALSE)</f>
        <v>500001</v>
      </c>
      <c r="J1108" t="s">
        <v>73</v>
      </c>
      <c r="K1108">
        <f>VLOOKUP(J1108,Listas!$B$21:$C$50,2,FALSE)</f>
        <v>600017</v>
      </c>
      <c r="L1108">
        <v>-1</v>
      </c>
    </row>
    <row r="1109" spans="1:12">
      <c r="A1109">
        <v>116</v>
      </c>
      <c r="B1109" t="s">
        <v>783</v>
      </c>
      <c r="C1109" s="96">
        <v>19088605000104</v>
      </c>
      <c r="D1109" t="s">
        <v>784</v>
      </c>
      <c r="E1109" s="96" t="s">
        <v>1467</v>
      </c>
      <c r="H1109" t="s">
        <v>361</v>
      </c>
      <c r="I1109">
        <f>VLOOKUP(H1109,Listas!$B$2:$C$20,2,FALSE)</f>
        <v>500001</v>
      </c>
      <c r="J1109" t="s">
        <v>73</v>
      </c>
      <c r="K1109">
        <f>VLOOKUP(J1109,Listas!$B$21:$C$50,2,FALSE)</f>
        <v>600017</v>
      </c>
      <c r="L1109">
        <v>-1</v>
      </c>
    </row>
    <row r="1110" spans="1:12">
      <c r="A1110">
        <v>116</v>
      </c>
      <c r="B1110" t="s">
        <v>3939</v>
      </c>
      <c r="C1110" s="96">
        <v>23392021000103</v>
      </c>
      <c r="D1110" t="s">
        <v>3940</v>
      </c>
      <c r="E1110" s="96" t="s">
        <v>1467</v>
      </c>
      <c r="H1110" t="s">
        <v>361</v>
      </c>
      <c r="I1110">
        <f>VLOOKUP(H1110,Listas!$B$2:$C$20,2,FALSE)</f>
        <v>500001</v>
      </c>
      <c r="J1110" t="s">
        <v>73</v>
      </c>
      <c r="K1110">
        <f>VLOOKUP(J1110,Listas!$B$21:$C$50,2,FALSE)</f>
        <v>600017</v>
      </c>
      <c r="L1110">
        <v>-1</v>
      </c>
    </row>
    <row r="1111" spans="1:12">
      <c r="A1111">
        <v>116</v>
      </c>
      <c r="B1111" t="s">
        <v>3941</v>
      </c>
      <c r="C1111" s="96">
        <v>31455659000166</v>
      </c>
      <c r="D1111" t="s">
        <v>3942</v>
      </c>
      <c r="E1111" s="96" t="s">
        <v>1467</v>
      </c>
      <c r="H1111" t="s">
        <v>361</v>
      </c>
      <c r="I1111">
        <f>VLOOKUP(H1111,Listas!$B$2:$C$20,2,FALSE)</f>
        <v>500001</v>
      </c>
      <c r="J1111" t="s">
        <v>73</v>
      </c>
      <c r="K1111">
        <f>VLOOKUP(J1111,Listas!$B$21:$C$50,2,FALSE)</f>
        <v>600017</v>
      </c>
      <c r="L1111">
        <v>-1</v>
      </c>
    </row>
    <row r="1112" spans="1:12">
      <c r="A1112">
        <v>116</v>
      </c>
      <c r="B1112" t="s">
        <v>3943</v>
      </c>
      <c r="C1112" s="96">
        <v>398099000121</v>
      </c>
      <c r="D1112" t="s">
        <v>3944</v>
      </c>
      <c r="E1112" s="96" t="s">
        <v>1467</v>
      </c>
      <c r="H1112" t="s">
        <v>361</v>
      </c>
      <c r="I1112">
        <f>VLOOKUP(H1112,Listas!$B$2:$C$20,2,FALSE)</f>
        <v>500001</v>
      </c>
      <c r="J1112" t="s">
        <v>73</v>
      </c>
      <c r="K1112">
        <f>VLOOKUP(J1112,Listas!$B$21:$C$50,2,FALSE)</f>
        <v>600017</v>
      </c>
      <c r="L1112">
        <v>-1</v>
      </c>
    </row>
    <row r="1113" spans="1:12">
      <c r="A1113">
        <v>116</v>
      </c>
      <c r="B1113" t="s">
        <v>3945</v>
      </c>
      <c r="C1113" s="96">
        <v>10242721000161</v>
      </c>
      <c r="D1113" t="s">
        <v>3946</v>
      </c>
      <c r="E1113" s="96" t="s">
        <v>1467</v>
      </c>
      <c r="H1113" t="s">
        <v>361</v>
      </c>
      <c r="I1113">
        <f>VLOOKUP(H1113,Listas!$B$2:$C$20,2,FALSE)</f>
        <v>500001</v>
      </c>
      <c r="J1113" t="s">
        <v>73</v>
      </c>
      <c r="K1113">
        <f>VLOOKUP(J1113,Listas!$B$21:$C$50,2,FALSE)</f>
        <v>600017</v>
      </c>
      <c r="L1113">
        <v>-1</v>
      </c>
    </row>
    <row r="1114" spans="1:12">
      <c r="A1114">
        <v>116</v>
      </c>
      <c r="B1114" t="s">
        <v>785</v>
      </c>
      <c r="C1114" s="96">
        <v>34036212000140</v>
      </c>
      <c r="D1114" t="s">
        <v>786</v>
      </c>
      <c r="E1114" s="96" t="s">
        <v>1467</v>
      </c>
      <c r="H1114" t="s">
        <v>361</v>
      </c>
      <c r="I1114">
        <f>VLOOKUP(H1114,Listas!$B$2:$C$20,2,FALSE)</f>
        <v>500001</v>
      </c>
      <c r="J1114" t="s">
        <v>73</v>
      </c>
      <c r="K1114">
        <f>VLOOKUP(J1114,Listas!$B$21:$C$50,2,FALSE)</f>
        <v>600017</v>
      </c>
      <c r="L1114">
        <v>-1</v>
      </c>
    </row>
    <row r="1115" spans="1:12">
      <c r="A1115">
        <v>116</v>
      </c>
      <c r="B1115" t="s">
        <v>787</v>
      </c>
      <c r="C1115" s="96">
        <v>36813552000166</v>
      </c>
      <c r="D1115" t="s">
        <v>788</v>
      </c>
      <c r="E1115" s="96" t="s">
        <v>1467</v>
      </c>
      <c r="H1115" t="s">
        <v>361</v>
      </c>
      <c r="I1115">
        <f>VLOOKUP(H1115,Listas!$B$2:$C$20,2,FALSE)</f>
        <v>500001</v>
      </c>
      <c r="J1115" t="s">
        <v>73</v>
      </c>
      <c r="K1115">
        <f>VLOOKUP(J1115,Listas!$B$21:$C$50,2,FALSE)</f>
        <v>600017</v>
      </c>
      <c r="L1115">
        <v>-1</v>
      </c>
    </row>
    <row r="1116" spans="1:12">
      <c r="A1116">
        <v>116</v>
      </c>
      <c r="B1116" t="s">
        <v>3947</v>
      </c>
      <c r="C1116" s="96">
        <v>29500349000174</v>
      </c>
      <c r="D1116" t="s">
        <v>3948</v>
      </c>
      <c r="E1116" s="96" t="s">
        <v>1467</v>
      </c>
      <c r="H1116" t="s">
        <v>361</v>
      </c>
      <c r="I1116">
        <f>VLOOKUP(H1116,Listas!$B$2:$C$20,2,FALSE)</f>
        <v>500001</v>
      </c>
      <c r="J1116" t="s">
        <v>73</v>
      </c>
      <c r="K1116">
        <f>VLOOKUP(J1116,Listas!$B$21:$C$50,2,FALSE)</f>
        <v>600017</v>
      </c>
      <c r="L1116">
        <v>-1</v>
      </c>
    </row>
    <row r="1117" spans="1:12">
      <c r="A1117">
        <v>116</v>
      </c>
      <c r="B1117" t="s">
        <v>3949</v>
      </c>
      <c r="C1117" s="96">
        <v>8984705000100</v>
      </c>
      <c r="D1117" t="s">
        <v>3950</v>
      </c>
      <c r="E1117" s="96" t="s">
        <v>1467</v>
      </c>
      <c r="H1117" t="s">
        <v>361</v>
      </c>
      <c r="I1117">
        <f>VLOOKUP(H1117,Listas!$B$2:$C$20,2,FALSE)</f>
        <v>500001</v>
      </c>
      <c r="J1117" t="s">
        <v>73</v>
      </c>
      <c r="K1117">
        <f>VLOOKUP(J1117,Listas!$B$21:$C$50,2,FALSE)</f>
        <v>600017</v>
      </c>
      <c r="L1117">
        <v>-1</v>
      </c>
    </row>
    <row r="1118" spans="1:12">
      <c r="A1118">
        <v>116</v>
      </c>
      <c r="B1118" t="s">
        <v>3951</v>
      </c>
      <c r="C1118" s="96">
        <v>34746240000151</v>
      </c>
      <c r="D1118" t="s">
        <v>3952</v>
      </c>
      <c r="E1118" s="96" t="s">
        <v>1467</v>
      </c>
      <c r="H1118" t="s">
        <v>361</v>
      </c>
      <c r="I1118">
        <f>VLOOKUP(H1118,Listas!$B$2:$C$20,2,FALSE)</f>
        <v>500001</v>
      </c>
      <c r="J1118" t="s">
        <v>73</v>
      </c>
      <c r="K1118">
        <f>VLOOKUP(J1118,Listas!$B$21:$C$50,2,FALSE)</f>
        <v>600017</v>
      </c>
      <c r="L1118">
        <v>-1</v>
      </c>
    </row>
    <row r="1119" spans="1:12">
      <c r="A1119">
        <v>116</v>
      </c>
      <c r="B1119" t="s">
        <v>789</v>
      </c>
      <c r="C1119" s="96">
        <v>191476500108</v>
      </c>
      <c r="D1119" t="s">
        <v>790</v>
      </c>
      <c r="E1119" s="96" t="s">
        <v>1467</v>
      </c>
      <c r="H1119" t="s">
        <v>361</v>
      </c>
      <c r="I1119">
        <f>VLOOKUP(H1119,Listas!$B$2:$C$20,2,FALSE)</f>
        <v>500001</v>
      </c>
      <c r="J1119" t="s">
        <v>73</v>
      </c>
      <c r="K1119">
        <f>VLOOKUP(J1119,Listas!$B$21:$C$50,2,FALSE)</f>
        <v>600017</v>
      </c>
      <c r="L1119">
        <v>-1</v>
      </c>
    </row>
    <row r="1120" spans="1:12">
      <c r="A1120">
        <v>116</v>
      </c>
      <c r="B1120" t="s">
        <v>3953</v>
      </c>
      <c r="C1120" s="96">
        <v>127155400196</v>
      </c>
      <c r="D1120" t="s">
        <v>3954</v>
      </c>
      <c r="E1120" s="96" t="s">
        <v>1467</v>
      </c>
      <c r="H1120" t="s">
        <v>361</v>
      </c>
      <c r="I1120">
        <f>VLOOKUP(H1120,Listas!$B$2:$C$20,2,FALSE)</f>
        <v>500001</v>
      </c>
      <c r="J1120" t="s">
        <v>73</v>
      </c>
      <c r="K1120">
        <f>VLOOKUP(J1120,Listas!$B$21:$C$50,2,FALSE)</f>
        <v>600017</v>
      </c>
      <c r="L1120">
        <v>-1</v>
      </c>
    </row>
    <row r="1121" spans="1:12">
      <c r="A1121">
        <v>116</v>
      </c>
      <c r="B1121" t="s">
        <v>3955</v>
      </c>
      <c r="C1121" s="96">
        <v>8294685000138</v>
      </c>
      <c r="D1121" t="s">
        <v>3956</v>
      </c>
      <c r="E1121" s="96" t="s">
        <v>1467</v>
      </c>
      <c r="H1121" t="s">
        <v>361</v>
      </c>
      <c r="I1121">
        <f>VLOOKUP(H1121,Listas!$B$2:$C$20,2,FALSE)</f>
        <v>500001</v>
      </c>
      <c r="J1121" t="s">
        <v>73</v>
      </c>
      <c r="K1121">
        <f>VLOOKUP(J1121,Listas!$B$21:$C$50,2,FALSE)</f>
        <v>600017</v>
      </c>
      <c r="L1121">
        <v>-1</v>
      </c>
    </row>
    <row r="1122" spans="1:12">
      <c r="A1122">
        <v>116</v>
      </c>
      <c r="B1122" t="s">
        <v>3957</v>
      </c>
      <c r="C1122" s="96">
        <v>2971571000107</v>
      </c>
      <c r="D1122" t="s">
        <v>3958</v>
      </c>
      <c r="E1122" s="96" t="s">
        <v>1467</v>
      </c>
      <c r="H1122" t="s">
        <v>361</v>
      </c>
      <c r="I1122">
        <f>VLOOKUP(H1122,Listas!$B$2:$C$20,2,FALSE)</f>
        <v>500001</v>
      </c>
      <c r="J1122" t="s">
        <v>73</v>
      </c>
      <c r="K1122">
        <f>VLOOKUP(J1122,Listas!$B$21:$C$50,2,FALSE)</f>
        <v>600017</v>
      </c>
      <c r="L1122">
        <v>-1</v>
      </c>
    </row>
    <row r="1123" spans="1:12">
      <c r="A1123">
        <v>116</v>
      </c>
      <c r="B1123" t="s">
        <v>3959</v>
      </c>
      <c r="C1123" s="96">
        <v>5045195000100</v>
      </c>
      <c r="D1123" t="s">
        <v>3960</v>
      </c>
      <c r="E1123" s="96" t="s">
        <v>1467</v>
      </c>
      <c r="H1123" t="s">
        <v>361</v>
      </c>
      <c r="I1123">
        <f>VLOOKUP(H1123,Listas!$B$2:$C$20,2,FALSE)</f>
        <v>500001</v>
      </c>
      <c r="J1123" t="s">
        <v>73</v>
      </c>
      <c r="K1123">
        <f>VLOOKUP(J1123,Listas!$B$21:$C$50,2,FALSE)</f>
        <v>600017</v>
      </c>
      <c r="L1123">
        <v>-1</v>
      </c>
    </row>
    <row r="1124" spans="1:12">
      <c r="A1124">
        <v>116</v>
      </c>
      <c r="B1124" t="s">
        <v>3961</v>
      </c>
      <c r="C1124" s="96">
        <v>9187216795</v>
      </c>
      <c r="D1124" t="s">
        <v>3962</v>
      </c>
      <c r="E1124" s="96" t="s">
        <v>1467</v>
      </c>
      <c r="H1124" t="s">
        <v>361</v>
      </c>
      <c r="I1124">
        <f>VLOOKUP(H1124,Listas!$B$2:$C$20,2,FALSE)</f>
        <v>500001</v>
      </c>
      <c r="J1124" t="s">
        <v>73</v>
      </c>
      <c r="K1124">
        <f>VLOOKUP(J1124,Listas!$B$21:$C$50,2,FALSE)</f>
        <v>600017</v>
      </c>
      <c r="L1124">
        <v>-1</v>
      </c>
    </row>
    <row r="1125" spans="1:12">
      <c r="A1125">
        <v>116</v>
      </c>
      <c r="B1125" t="s">
        <v>3963</v>
      </c>
      <c r="C1125" s="96">
        <v>16586641000100</v>
      </c>
      <c r="D1125" t="s">
        <v>3964</v>
      </c>
      <c r="E1125" s="96" t="s">
        <v>1467</v>
      </c>
      <c r="H1125" t="s">
        <v>361</v>
      </c>
      <c r="I1125">
        <f>VLOOKUP(H1125,Listas!$B$2:$C$20,2,FALSE)</f>
        <v>500001</v>
      </c>
      <c r="J1125" t="s">
        <v>73</v>
      </c>
      <c r="K1125">
        <f>VLOOKUP(J1125,Listas!$B$21:$C$50,2,FALSE)</f>
        <v>600017</v>
      </c>
      <c r="L1125">
        <v>-1</v>
      </c>
    </row>
    <row r="1126" spans="1:12">
      <c r="A1126">
        <v>116</v>
      </c>
      <c r="B1126" t="s">
        <v>3965</v>
      </c>
      <c r="C1126" s="96">
        <v>5506560000136</v>
      </c>
      <c r="D1126" t="s">
        <v>3966</v>
      </c>
      <c r="E1126" s="96" t="s">
        <v>1467</v>
      </c>
      <c r="H1126" t="s">
        <v>361</v>
      </c>
      <c r="I1126">
        <f>VLOOKUP(H1126,Listas!$B$2:$C$20,2,FALSE)</f>
        <v>500001</v>
      </c>
      <c r="J1126" t="s">
        <v>73</v>
      </c>
      <c r="K1126">
        <f>VLOOKUP(J1126,Listas!$B$21:$C$50,2,FALSE)</f>
        <v>600017</v>
      </c>
      <c r="L1126">
        <v>-1</v>
      </c>
    </row>
    <row r="1127" spans="1:12">
      <c r="A1127">
        <v>116</v>
      </c>
      <c r="B1127" t="s">
        <v>3967</v>
      </c>
      <c r="C1127" s="96">
        <v>11772392000123</v>
      </c>
      <c r="D1127" t="s">
        <v>3968</v>
      </c>
      <c r="E1127" s="96" t="s">
        <v>1467</v>
      </c>
      <c r="H1127" t="s">
        <v>361</v>
      </c>
      <c r="I1127">
        <f>VLOOKUP(H1127,Listas!$B$2:$C$20,2,FALSE)</f>
        <v>500001</v>
      </c>
      <c r="J1127" t="s">
        <v>73</v>
      </c>
      <c r="K1127">
        <f>VLOOKUP(J1127,Listas!$B$21:$C$50,2,FALSE)</f>
        <v>600017</v>
      </c>
      <c r="L1127">
        <v>-1</v>
      </c>
    </row>
    <row r="1128" spans="1:12">
      <c r="A1128">
        <v>116</v>
      </c>
      <c r="B1128" t="s">
        <v>3969</v>
      </c>
      <c r="C1128" s="96">
        <v>3657354000100</v>
      </c>
      <c r="D1128" t="s">
        <v>3970</v>
      </c>
      <c r="E1128" s="96" t="s">
        <v>1467</v>
      </c>
      <c r="H1128" t="s">
        <v>361</v>
      </c>
      <c r="I1128">
        <f>VLOOKUP(H1128,Listas!$B$2:$C$20,2,FALSE)</f>
        <v>500001</v>
      </c>
      <c r="J1128" t="s">
        <v>73</v>
      </c>
      <c r="K1128">
        <f>VLOOKUP(J1128,Listas!$B$21:$C$50,2,FALSE)</f>
        <v>600017</v>
      </c>
      <c r="L1128">
        <v>-1</v>
      </c>
    </row>
    <row r="1129" spans="1:12">
      <c r="A1129">
        <v>116</v>
      </c>
      <c r="B1129" t="s">
        <v>3971</v>
      </c>
      <c r="C1129" s="96" t="s">
        <v>3972</v>
      </c>
      <c r="D1129" t="s">
        <v>3973</v>
      </c>
      <c r="E1129" s="96" t="s">
        <v>1467</v>
      </c>
      <c r="H1129" t="s">
        <v>361</v>
      </c>
      <c r="I1129">
        <f>VLOOKUP(H1129,Listas!$B$2:$C$20,2,FALSE)</f>
        <v>500001</v>
      </c>
      <c r="J1129" t="s">
        <v>73</v>
      </c>
      <c r="K1129">
        <f>VLOOKUP(J1129,Listas!$B$21:$C$50,2,FALSE)</f>
        <v>600017</v>
      </c>
      <c r="L1129">
        <v>-1</v>
      </c>
    </row>
    <row r="1130" spans="1:12">
      <c r="A1130">
        <v>116</v>
      </c>
      <c r="B1130" t="s">
        <v>3974</v>
      </c>
      <c r="C1130" s="96">
        <v>39271413000146</v>
      </c>
      <c r="D1130" t="s">
        <v>3975</v>
      </c>
      <c r="E1130" s="96" t="s">
        <v>1467</v>
      </c>
      <c r="H1130" t="s">
        <v>361</v>
      </c>
      <c r="I1130">
        <f>VLOOKUP(H1130,Listas!$B$2:$C$20,2,FALSE)</f>
        <v>500001</v>
      </c>
      <c r="J1130" t="s">
        <v>73</v>
      </c>
      <c r="K1130">
        <f>VLOOKUP(J1130,Listas!$B$21:$C$50,2,FALSE)</f>
        <v>600017</v>
      </c>
      <c r="L1130">
        <v>-1</v>
      </c>
    </row>
    <row r="1131" spans="1:12">
      <c r="A1131">
        <v>116</v>
      </c>
      <c r="B1131" t="s">
        <v>3976</v>
      </c>
      <c r="C1131" s="96">
        <v>36692255000100</v>
      </c>
      <c r="D1131" t="s">
        <v>3977</v>
      </c>
      <c r="E1131" s="96" t="s">
        <v>1467</v>
      </c>
      <c r="H1131" t="s">
        <v>361</v>
      </c>
      <c r="I1131">
        <f>VLOOKUP(H1131,Listas!$B$2:$C$20,2,FALSE)</f>
        <v>500001</v>
      </c>
      <c r="J1131" t="s">
        <v>73</v>
      </c>
      <c r="K1131">
        <f>VLOOKUP(J1131,Listas!$B$21:$C$50,2,FALSE)</f>
        <v>600017</v>
      </c>
      <c r="L1131">
        <v>-1</v>
      </c>
    </row>
    <row r="1132" spans="1:12">
      <c r="A1132">
        <v>116</v>
      </c>
      <c r="B1132" t="s">
        <v>3978</v>
      </c>
      <c r="C1132" s="96">
        <v>33736290000195</v>
      </c>
      <c r="D1132" t="s">
        <v>3979</v>
      </c>
      <c r="E1132" s="96" t="s">
        <v>1467</v>
      </c>
      <c r="H1132" t="s">
        <v>361</v>
      </c>
      <c r="I1132">
        <f>VLOOKUP(H1132,Listas!$B$2:$C$20,2,FALSE)</f>
        <v>500001</v>
      </c>
      <c r="J1132" t="s">
        <v>73</v>
      </c>
      <c r="K1132">
        <f>VLOOKUP(J1132,Listas!$B$21:$C$50,2,FALSE)</f>
        <v>600017</v>
      </c>
      <c r="L1132">
        <v>-1</v>
      </c>
    </row>
    <row r="1133" spans="1:12">
      <c r="A1133">
        <v>116</v>
      </c>
      <c r="B1133" t="s">
        <v>791</v>
      </c>
      <c r="C1133" s="96">
        <v>34977883000106</v>
      </c>
      <c r="D1133" t="s">
        <v>792</v>
      </c>
      <c r="E1133" s="96" t="s">
        <v>1467</v>
      </c>
      <c r="H1133" t="s">
        <v>361</v>
      </c>
      <c r="I1133">
        <f>VLOOKUP(H1133,Listas!$B$2:$C$20,2,FALSE)</f>
        <v>500001</v>
      </c>
      <c r="J1133" t="s">
        <v>73</v>
      </c>
      <c r="K1133">
        <f>VLOOKUP(J1133,Listas!$B$21:$C$50,2,FALSE)</f>
        <v>600017</v>
      </c>
      <c r="L1133">
        <v>-1</v>
      </c>
    </row>
    <row r="1134" spans="1:12">
      <c r="A1134">
        <v>116</v>
      </c>
      <c r="B1134" t="s">
        <v>3980</v>
      </c>
      <c r="C1134" s="96">
        <v>40949164000184</v>
      </c>
      <c r="D1134" t="s">
        <v>3981</v>
      </c>
      <c r="E1134" s="96" t="s">
        <v>1467</v>
      </c>
      <c r="H1134" t="s">
        <v>361</v>
      </c>
      <c r="I1134">
        <f>VLOOKUP(H1134,Listas!$B$2:$C$20,2,FALSE)</f>
        <v>500001</v>
      </c>
      <c r="J1134" t="s">
        <v>73</v>
      </c>
      <c r="K1134">
        <f>VLOOKUP(J1134,Listas!$B$21:$C$50,2,FALSE)</f>
        <v>600017</v>
      </c>
      <c r="L1134">
        <v>-1</v>
      </c>
    </row>
    <row r="1135" spans="1:12">
      <c r="A1135">
        <v>116</v>
      </c>
      <c r="B1135" t="s">
        <v>3982</v>
      </c>
      <c r="C1135" s="96">
        <v>2279906000196</v>
      </c>
      <c r="D1135" t="s">
        <v>3983</v>
      </c>
      <c r="E1135" s="96" t="s">
        <v>1467</v>
      </c>
      <c r="H1135" t="s">
        <v>361</v>
      </c>
      <c r="I1135">
        <f>VLOOKUP(H1135,Listas!$B$2:$C$20,2,FALSE)</f>
        <v>500001</v>
      </c>
      <c r="J1135" t="s">
        <v>73</v>
      </c>
      <c r="K1135">
        <f>VLOOKUP(J1135,Listas!$B$21:$C$50,2,FALSE)</f>
        <v>600017</v>
      </c>
      <c r="L1135">
        <v>-1</v>
      </c>
    </row>
    <row r="1136" spans="1:12">
      <c r="A1136">
        <v>116</v>
      </c>
      <c r="B1136" t="s">
        <v>3984</v>
      </c>
      <c r="C1136" s="96">
        <v>8789655000100</v>
      </c>
      <c r="D1136" t="s">
        <v>3985</v>
      </c>
      <c r="E1136" s="96" t="s">
        <v>1467</v>
      </c>
      <c r="H1136" t="s">
        <v>361</v>
      </c>
      <c r="I1136">
        <f>VLOOKUP(H1136,Listas!$B$2:$C$20,2,FALSE)</f>
        <v>500001</v>
      </c>
      <c r="J1136" t="s">
        <v>73</v>
      </c>
      <c r="K1136">
        <f>VLOOKUP(J1136,Listas!$B$21:$C$50,2,FALSE)</f>
        <v>600017</v>
      </c>
      <c r="L1136">
        <v>-1</v>
      </c>
    </row>
    <row r="1137" spans="1:12">
      <c r="A1137">
        <v>116</v>
      </c>
      <c r="B1137" t="s">
        <v>793</v>
      </c>
      <c r="C1137" s="96">
        <v>25131892000190</v>
      </c>
      <c r="D1137" t="s">
        <v>794</v>
      </c>
      <c r="E1137" s="96" t="s">
        <v>1467</v>
      </c>
      <c r="H1137" t="s">
        <v>361</v>
      </c>
      <c r="I1137">
        <f>VLOOKUP(H1137,Listas!$B$2:$C$20,2,FALSE)</f>
        <v>500001</v>
      </c>
      <c r="J1137" t="s">
        <v>73</v>
      </c>
      <c r="K1137">
        <f>VLOOKUP(J1137,Listas!$B$21:$C$50,2,FALSE)</f>
        <v>600017</v>
      </c>
      <c r="L1137">
        <v>-1</v>
      </c>
    </row>
    <row r="1138" spans="1:12">
      <c r="A1138">
        <v>116</v>
      </c>
      <c r="B1138" t="s">
        <v>3986</v>
      </c>
      <c r="C1138" s="96">
        <v>33267080000103</v>
      </c>
      <c r="D1138" t="s">
        <v>3987</v>
      </c>
      <c r="E1138" s="96" t="s">
        <v>1467</v>
      </c>
      <c r="H1138" t="s">
        <v>361</v>
      </c>
      <c r="I1138">
        <f>VLOOKUP(H1138,Listas!$B$2:$C$20,2,FALSE)</f>
        <v>500001</v>
      </c>
      <c r="J1138" t="s">
        <v>73</v>
      </c>
      <c r="K1138">
        <f>VLOOKUP(J1138,Listas!$B$21:$C$50,2,FALSE)</f>
        <v>600017</v>
      </c>
      <c r="L1138">
        <v>-1</v>
      </c>
    </row>
    <row r="1139" spans="1:12">
      <c r="A1139">
        <v>116</v>
      </c>
      <c r="B1139" t="s">
        <v>795</v>
      </c>
      <c r="C1139" s="96">
        <v>33198342000117</v>
      </c>
      <c r="D1139" t="s">
        <v>796</v>
      </c>
      <c r="E1139" s="96" t="s">
        <v>1467</v>
      </c>
      <c r="H1139" t="s">
        <v>361</v>
      </c>
      <c r="I1139">
        <f>VLOOKUP(H1139,Listas!$B$2:$C$20,2,FALSE)</f>
        <v>500001</v>
      </c>
      <c r="J1139" t="s">
        <v>73</v>
      </c>
      <c r="K1139">
        <f>VLOOKUP(J1139,Listas!$B$21:$C$50,2,FALSE)</f>
        <v>600017</v>
      </c>
      <c r="L1139">
        <v>-1</v>
      </c>
    </row>
    <row r="1140" spans="1:12">
      <c r="A1140">
        <v>116</v>
      </c>
      <c r="B1140" t="s">
        <v>3988</v>
      </c>
      <c r="C1140" s="96">
        <v>26543872000190</v>
      </c>
      <c r="D1140" t="s">
        <v>3989</v>
      </c>
      <c r="E1140" s="96" t="s">
        <v>1467</v>
      </c>
      <c r="H1140" t="s">
        <v>361</v>
      </c>
      <c r="I1140">
        <f>VLOOKUP(H1140,Listas!$B$2:$C$20,2,FALSE)</f>
        <v>500001</v>
      </c>
      <c r="J1140" t="s">
        <v>73</v>
      </c>
      <c r="K1140">
        <f>VLOOKUP(J1140,Listas!$B$21:$C$50,2,FALSE)</f>
        <v>600017</v>
      </c>
      <c r="L1140">
        <v>-1</v>
      </c>
    </row>
    <row r="1141" spans="1:12">
      <c r="A1141">
        <v>116</v>
      </c>
      <c r="B1141" t="s">
        <v>3990</v>
      </c>
      <c r="C1141" s="96">
        <v>41986054000155</v>
      </c>
      <c r="D1141" t="s">
        <v>3991</v>
      </c>
      <c r="E1141" s="96" t="s">
        <v>1467</v>
      </c>
      <c r="H1141" t="s">
        <v>361</v>
      </c>
      <c r="I1141">
        <f>VLOOKUP(H1141,Listas!$B$2:$C$20,2,FALSE)</f>
        <v>500001</v>
      </c>
      <c r="J1141" t="s">
        <v>73</v>
      </c>
      <c r="K1141">
        <f>VLOOKUP(J1141,Listas!$B$21:$C$50,2,FALSE)</f>
        <v>600017</v>
      </c>
      <c r="L1141">
        <v>-1</v>
      </c>
    </row>
    <row r="1142" spans="1:12">
      <c r="A1142">
        <v>116</v>
      </c>
      <c r="B1142" t="s">
        <v>3992</v>
      </c>
      <c r="C1142" s="96">
        <v>10740910000164</v>
      </c>
      <c r="D1142" t="s">
        <v>3993</v>
      </c>
      <c r="E1142" s="96" t="s">
        <v>1467</v>
      </c>
      <c r="H1142" t="s">
        <v>361</v>
      </c>
      <c r="I1142">
        <f>VLOOKUP(H1142,Listas!$B$2:$C$20,2,FALSE)</f>
        <v>500001</v>
      </c>
      <c r="J1142" t="s">
        <v>73</v>
      </c>
      <c r="K1142">
        <f>VLOOKUP(J1142,Listas!$B$21:$C$50,2,FALSE)</f>
        <v>600017</v>
      </c>
      <c r="L1142">
        <v>-1</v>
      </c>
    </row>
    <row r="1143" spans="1:12">
      <c r="A1143">
        <v>116</v>
      </c>
      <c r="B1143" t="s">
        <v>3994</v>
      </c>
      <c r="C1143" s="96">
        <v>26058324000174</v>
      </c>
      <c r="D1143" t="s">
        <v>3995</v>
      </c>
      <c r="E1143" s="96" t="s">
        <v>1467</v>
      </c>
      <c r="H1143" t="s">
        <v>361</v>
      </c>
      <c r="I1143">
        <f>VLOOKUP(H1143,Listas!$B$2:$C$20,2,FALSE)</f>
        <v>500001</v>
      </c>
      <c r="J1143" t="s">
        <v>73</v>
      </c>
      <c r="K1143">
        <f>VLOOKUP(J1143,Listas!$B$21:$C$50,2,FALSE)</f>
        <v>600017</v>
      </c>
      <c r="L1143">
        <v>-1</v>
      </c>
    </row>
    <row r="1144" spans="1:12">
      <c r="A1144">
        <v>116</v>
      </c>
      <c r="B1144" t="s">
        <v>797</v>
      </c>
      <c r="C1144" s="96">
        <v>28712123000174</v>
      </c>
      <c r="D1144" t="s">
        <v>798</v>
      </c>
      <c r="E1144" s="96" t="s">
        <v>1467</v>
      </c>
      <c r="H1144" t="s">
        <v>361</v>
      </c>
      <c r="I1144">
        <f>VLOOKUP(H1144,Listas!$B$2:$C$20,2,FALSE)</f>
        <v>500001</v>
      </c>
      <c r="J1144" t="s">
        <v>73</v>
      </c>
      <c r="K1144">
        <f>VLOOKUP(J1144,Listas!$B$21:$C$50,2,FALSE)</f>
        <v>600017</v>
      </c>
      <c r="L1144">
        <v>-1</v>
      </c>
    </row>
    <row r="1145" spans="1:12">
      <c r="A1145">
        <v>116</v>
      </c>
      <c r="B1145" t="s">
        <v>3996</v>
      </c>
      <c r="C1145" s="96">
        <v>30363417000180</v>
      </c>
      <c r="D1145" t="s">
        <v>3997</v>
      </c>
      <c r="E1145" s="96" t="s">
        <v>1467</v>
      </c>
      <c r="H1145" t="s">
        <v>361</v>
      </c>
      <c r="I1145">
        <f>VLOOKUP(H1145,Listas!$B$2:$C$20,2,FALSE)</f>
        <v>500001</v>
      </c>
      <c r="J1145" t="s">
        <v>73</v>
      </c>
      <c r="K1145">
        <f>VLOOKUP(J1145,Listas!$B$21:$C$50,2,FALSE)</f>
        <v>600017</v>
      </c>
      <c r="L1145">
        <v>-1</v>
      </c>
    </row>
    <row r="1146" spans="1:12">
      <c r="A1146">
        <v>116</v>
      </c>
      <c r="B1146" t="s">
        <v>3998</v>
      </c>
      <c r="C1146" s="96">
        <v>2189924000103</v>
      </c>
      <c r="D1146" t="s">
        <v>3999</v>
      </c>
      <c r="E1146" s="96" t="s">
        <v>1467</v>
      </c>
      <c r="H1146" t="s">
        <v>361</v>
      </c>
      <c r="I1146">
        <f>VLOOKUP(H1146,Listas!$B$2:$C$20,2,FALSE)</f>
        <v>500001</v>
      </c>
      <c r="J1146" t="s">
        <v>73</v>
      </c>
      <c r="K1146">
        <f>VLOOKUP(J1146,Listas!$B$21:$C$50,2,FALSE)</f>
        <v>600017</v>
      </c>
      <c r="L1146">
        <v>-1</v>
      </c>
    </row>
    <row r="1147" spans="1:12">
      <c r="A1147">
        <v>116</v>
      </c>
      <c r="B1147" t="s">
        <v>4000</v>
      </c>
      <c r="C1147" s="96">
        <v>10906993000119</v>
      </c>
      <c r="D1147" t="s">
        <v>4001</v>
      </c>
      <c r="E1147" s="96" t="s">
        <v>1467</v>
      </c>
      <c r="H1147" t="s">
        <v>361</v>
      </c>
      <c r="I1147">
        <f>VLOOKUP(H1147,Listas!$B$2:$C$20,2,FALSE)</f>
        <v>500001</v>
      </c>
      <c r="J1147" t="s">
        <v>73</v>
      </c>
      <c r="K1147">
        <f>VLOOKUP(J1147,Listas!$B$21:$C$50,2,FALSE)</f>
        <v>600017</v>
      </c>
      <c r="L1147">
        <v>-1</v>
      </c>
    </row>
    <row r="1148" spans="1:12">
      <c r="A1148">
        <v>116</v>
      </c>
      <c r="B1148" t="s">
        <v>4002</v>
      </c>
      <c r="C1148" s="96">
        <v>37165052000128</v>
      </c>
      <c r="D1148" t="s">
        <v>4003</v>
      </c>
      <c r="E1148" s="96" t="s">
        <v>1467</v>
      </c>
      <c r="H1148" t="s">
        <v>361</v>
      </c>
      <c r="I1148">
        <f>VLOOKUP(H1148,Listas!$B$2:$C$20,2,FALSE)</f>
        <v>500001</v>
      </c>
      <c r="J1148" t="s">
        <v>73</v>
      </c>
      <c r="K1148">
        <f>VLOOKUP(J1148,Listas!$B$21:$C$50,2,FALSE)</f>
        <v>600017</v>
      </c>
      <c r="L1148">
        <v>-1</v>
      </c>
    </row>
    <row r="1149" spans="1:12">
      <c r="A1149">
        <v>116</v>
      </c>
      <c r="B1149" t="s">
        <v>799</v>
      </c>
      <c r="C1149" s="96">
        <v>1406617000174</v>
      </c>
      <c r="D1149" t="s">
        <v>800</v>
      </c>
      <c r="E1149" s="96" t="s">
        <v>1467</v>
      </c>
      <c r="H1149" t="s">
        <v>361</v>
      </c>
      <c r="I1149">
        <f>VLOOKUP(H1149,Listas!$B$2:$C$20,2,FALSE)</f>
        <v>500001</v>
      </c>
      <c r="J1149" t="s">
        <v>73</v>
      </c>
      <c r="K1149">
        <f>VLOOKUP(J1149,Listas!$B$21:$C$50,2,FALSE)</f>
        <v>600017</v>
      </c>
      <c r="L1149">
        <v>-1</v>
      </c>
    </row>
    <row r="1150" spans="1:12">
      <c r="A1150">
        <v>116</v>
      </c>
      <c r="B1150" t="s">
        <v>801</v>
      </c>
      <c r="C1150" s="96">
        <v>12499520000170</v>
      </c>
      <c r="D1150" t="s">
        <v>802</v>
      </c>
      <c r="E1150" s="96" t="s">
        <v>1467</v>
      </c>
      <c r="H1150" t="s">
        <v>361</v>
      </c>
      <c r="I1150">
        <f>VLOOKUP(H1150,Listas!$B$2:$C$20,2,FALSE)</f>
        <v>500001</v>
      </c>
      <c r="J1150" t="s">
        <v>73</v>
      </c>
      <c r="K1150">
        <f>VLOOKUP(J1150,Listas!$B$21:$C$50,2,FALSE)</f>
        <v>600017</v>
      </c>
      <c r="L1150">
        <v>-1</v>
      </c>
    </row>
    <row r="1151" spans="1:12">
      <c r="A1151">
        <v>116</v>
      </c>
      <c r="B1151" t="s">
        <v>4004</v>
      </c>
      <c r="C1151" s="96">
        <v>38538412000152</v>
      </c>
      <c r="D1151" t="s">
        <v>4005</v>
      </c>
      <c r="E1151" s="96" t="s">
        <v>1467</v>
      </c>
      <c r="H1151" t="s">
        <v>361</v>
      </c>
      <c r="I1151">
        <f>VLOOKUP(H1151,Listas!$B$2:$C$20,2,FALSE)</f>
        <v>500001</v>
      </c>
      <c r="J1151" t="s">
        <v>73</v>
      </c>
      <c r="K1151">
        <f>VLOOKUP(J1151,Listas!$B$21:$C$50,2,FALSE)</f>
        <v>600017</v>
      </c>
      <c r="L1151">
        <v>-1</v>
      </c>
    </row>
    <row r="1152" spans="1:12">
      <c r="A1152">
        <v>116</v>
      </c>
      <c r="B1152" t="s">
        <v>4006</v>
      </c>
      <c r="C1152" s="96">
        <v>29973823000185</v>
      </c>
      <c r="D1152" t="s">
        <v>4007</v>
      </c>
      <c r="E1152" s="96" t="s">
        <v>1467</v>
      </c>
      <c r="H1152" t="s">
        <v>361</v>
      </c>
      <c r="I1152">
        <f>VLOOKUP(H1152,Listas!$B$2:$C$20,2,FALSE)</f>
        <v>500001</v>
      </c>
      <c r="J1152" t="s">
        <v>73</v>
      </c>
      <c r="K1152">
        <f>VLOOKUP(J1152,Listas!$B$21:$C$50,2,FALSE)</f>
        <v>600017</v>
      </c>
      <c r="L1152">
        <v>-1</v>
      </c>
    </row>
    <row r="1153" spans="1:12">
      <c r="A1153">
        <v>116</v>
      </c>
      <c r="B1153" t="s">
        <v>4008</v>
      </c>
      <c r="C1153" s="96">
        <v>17079154000113</v>
      </c>
      <c r="D1153" t="s">
        <v>4009</v>
      </c>
      <c r="E1153" s="96" t="s">
        <v>1467</v>
      </c>
      <c r="H1153" t="s">
        <v>361</v>
      </c>
      <c r="I1153">
        <f>VLOOKUP(H1153,Listas!$B$2:$C$20,2,FALSE)</f>
        <v>500001</v>
      </c>
      <c r="J1153" t="s">
        <v>73</v>
      </c>
      <c r="K1153">
        <f>VLOOKUP(J1153,Listas!$B$21:$C$50,2,FALSE)</f>
        <v>600017</v>
      </c>
      <c r="L1153">
        <v>-1</v>
      </c>
    </row>
    <row r="1154" spans="1:12">
      <c r="A1154">
        <v>116</v>
      </c>
      <c r="B1154" t="s">
        <v>4010</v>
      </c>
      <c r="C1154" s="96">
        <v>789920000130</v>
      </c>
      <c r="D1154" t="s">
        <v>4011</v>
      </c>
      <c r="E1154" s="96" t="s">
        <v>1467</v>
      </c>
      <c r="H1154" t="s">
        <v>361</v>
      </c>
      <c r="I1154">
        <f>VLOOKUP(H1154,Listas!$B$2:$C$20,2,FALSE)</f>
        <v>500001</v>
      </c>
      <c r="J1154" t="s">
        <v>73</v>
      </c>
      <c r="K1154">
        <f>VLOOKUP(J1154,Listas!$B$21:$C$50,2,FALSE)</f>
        <v>600017</v>
      </c>
      <c r="L1154">
        <v>-1</v>
      </c>
    </row>
    <row r="1155" spans="1:12">
      <c r="A1155">
        <v>116</v>
      </c>
      <c r="B1155" t="s">
        <v>803</v>
      </c>
      <c r="C1155" s="96">
        <v>7843950000127</v>
      </c>
      <c r="D1155" t="s">
        <v>804</v>
      </c>
      <c r="E1155" s="96" t="s">
        <v>1467</v>
      </c>
      <c r="H1155" t="s">
        <v>361</v>
      </c>
      <c r="I1155">
        <f>VLOOKUP(H1155,Listas!$B$2:$C$20,2,FALSE)</f>
        <v>500001</v>
      </c>
      <c r="J1155" t="s">
        <v>73</v>
      </c>
      <c r="K1155">
        <f>VLOOKUP(J1155,Listas!$B$21:$C$50,2,FALSE)</f>
        <v>600017</v>
      </c>
      <c r="L1155">
        <v>-1</v>
      </c>
    </row>
    <row r="1156" spans="1:12">
      <c r="A1156">
        <v>116</v>
      </c>
      <c r="B1156" t="s">
        <v>4012</v>
      </c>
      <c r="C1156" s="96">
        <v>6977747000261</v>
      </c>
      <c r="D1156" t="s">
        <v>4013</v>
      </c>
      <c r="E1156" s="96" t="s">
        <v>1467</v>
      </c>
      <c r="H1156" t="s">
        <v>361</v>
      </c>
      <c r="I1156">
        <f>VLOOKUP(H1156,Listas!$B$2:$C$20,2,FALSE)</f>
        <v>500001</v>
      </c>
      <c r="J1156" t="s">
        <v>73</v>
      </c>
      <c r="K1156">
        <f>VLOOKUP(J1156,Listas!$B$21:$C$50,2,FALSE)</f>
        <v>600017</v>
      </c>
      <c r="L1156">
        <v>-1</v>
      </c>
    </row>
    <row r="1157" spans="1:12">
      <c r="A1157">
        <v>116</v>
      </c>
      <c r="B1157" t="s">
        <v>4014</v>
      </c>
      <c r="C1157" s="96">
        <v>72060999000175</v>
      </c>
      <c r="D1157" t="s">
        <v>4015</v>
      </c>
      <c r="E1157" s="96" t="s">
        <v>1467</v>
      </c>
      <c r="H1157" t="s">
        <v>361</v>
      </c>
      <c r="I1157">
        <f>VLOOKUP(H1157,Listas!$B$2:$C$20,2,FALSE)</f>
        <v>500001</v>
      </c>
      <c r="J1157" t="s">
        <v>73</v>
      </c>
      <c r="K1157">
        <f>VLOOKUP(J1157,Listas!$B$21:$C$50,2,FALSE)</f>
        <v>600017</v>
      </c>
      <c r="L1157">
        <v>-1</v>
      </c>
    </row>
    <row r="1158" spans="1:12">
      <c r="A1158">
        <v>116</v>
      </c>
      <c r="B1158" t="s">
        <v>4016</v>
      </c>
      <c r="C1158" s="96">
        <v>24091611000150</v>
      </c>
      <c r="D1158" t="s">
        <v>4017</v>
      </c>
      <c r="E1158" s="96" t="s">
        <v>1467</v>
      </c>
      <c r="H1158" t="s">
        <v>361</v>
      </c>
      <c r="I1158">
        <f>VLOOKUP(H1158,Listas!$B$2:$C$20,2,FALSE)</f>
        <v>500001</v>
      </c>
      <c r="J1158" t="s">
        <v>73</v>
      </c>
      <c r="K1158">
        <f>VLOOKUP(J1158,Listas!$B$21:$C$50,2,FALSE)</f>
        <v>600017</v>
      </c>
      <c r="L1158">
        <v>-1</v>
      </c>
    </row>
    <row r="1159" spans="1:12">
      <c r="A1159">
        <v>116</v>
      </c>
      <c r="B1159" t="s">
        <v>4018</v>
      </c>
      <c r="C1159" s="96">
        <v>35419369000118</v>
      </c>
      <c r="D1159" t="s">
        <v>4019</v>
      </c>
      <c r="E1159" s="96" t="s">
        <v>1467</v>
      </c>
      <c r="H1159" t="s">
        <v>361</v>
      </c>
      <c r="I1159">
        <f>VLOOKUP(H1159,Listas!$B$2:$C$20,2,FALSE)</f>
        <v>500001</v>
      </c>
      <c r="J1159" t="s">
        <v>73</v>
      </c>
      <c r="K1159">
        <f>VLOOKUP(J1159,Listas!$B$21:$C$50,2,FALSE)</f>
        <v>600017</v>
      </c>
      <c r="L1159">
        <v>-1</v>
      </c>
    </row>
    <row r="1160" spans="1:12">
      <c r="A1160">
        <v>116</v>
      </c>
      <c r="B1160" t="s">
        <v>4020</v>
      </c>
      <c r="C1160" s="96">
        <v>81188542000131</v>
      </c>
      <c r="D1160" t="s">
        <v>4021</v>
      </c>
      <c r="E1160" s="96" t="s">
        <v>1467</v>
      </c>
      <c r="H1160" t="s">
        <v>361</v>
      </c>
      <c r="I1160">
        <f>VLOOKUP(H1160,Listas!$B$2:$C$20,2,FALSE)</f>
        <v>500001</v>
      </c>
      <c r="J1160" t="s">
        <v>73</v>
      </c>
      <c r="K1160">
        <f>VLOOKUP(J1160,Listas!$B$21:$C$50,2,FALSE)</f>
        <v>600017</v>
      </c>
      <c r="L1160">
        <v>-1</v>
      </c>
    </row>
    <row r="1161" spans="1:12">
      <c r="A1161">
        <v>116</v>
      </c>
      <c r="B1161" t="s">
        <v>805</v>
      </c>
      <c r="C1161" s="96">
        <v>12978986000158</v>
      </c>
      <c r="D1161" t="s">
        <v>806</v>
      </c>
      <c r="E1161" s="96" t="s">
        <v>1467</v>
      </c>
      <c r="H1161" t="s">
        <v>361</v>
      </c>
      <c r="I1161">
        <f>VLOOKUP(H1161,Listas!$B$2:$C$20,2,FALSE)</f>
        <v>500001</v>
      </c>
      <c r="J1161" t="s">
        <v>73</v>
      </c>
      <c r="K1161">
        <f>VLOOKUP(J1161,Listas!$B$21:$C$50,2,FALSE)</f>
        <v>600017</v>
      </c>
      <c r="L1161">
        <v>-1</v>
      </c>
    </row>
    <row r="1162" spans="1:12">
      <c r="A1162">
        <v>116</v>
      </c>
      <c r="B1162" t="s">
        <v>4022</v>
      </c>
      <c r="C1162" s="96">
        <v>23689444000181</v>
      </c>
      <c r="D1162" t="s">
        <v>4023</v>
      </c>
      <c r="E1162" s="96" t="s">
        <v>1467</v>
      </c>
      <c r="H1162" t="s">
        <v>361</v>
      </c>
      <c r="I1162">
        <f>VLOOKUP(H1162,Listas!$B$2:$C$20,2,FALSE)</f>
        <v>500001</v>
      </c>
      <c r="J1162" t="s">
        <v>73</v>
      </c>
      <c r="K1162">
        <f>VLOOKUP(J1162,Listas!$B$21:$C$50,2,FALSE)</f>
        <v>600017</v>
      </c>
      <c r="L1162">
        <v>-1</v>
      </c>
    </row>
    <row r="1163" spans="1:12">
      <c r="A1163">
        <v>116</v>
      </c>
      <c r="B1163" t="s">
        <v>807</v>
      </c>
      <c r="C1163" s="96">
        <v>38056404000170</v>
      </c>
      <c r="D1163" t="s">
        <v>808</v>
      </c>
      <c r="E1163" s="96" t="s">
        <v>1467</v>
      </c>
      <c r="H1163" t="s">
        <v>361</v>
      </c>
      <c r="I1163">
        <f>VLOOKUP(H1163,Listas!$B$2:$C$20,2,FALSE)</f>
        <v>500001</v>
      </c>
      <c r="J1163" t="s">
        <v>73</v>
      </c>
      <c r="K1163">
        <f>VLOOKUP(J1163,Listas!$B$21:$C$50,2,FALSE)</f>
        <v>600017</v>
      </c>
      <c r="L1163">
        <v>-1</v>
      </c>
    </row>
    <row r="1164" spans="1:12">
      <c r="A1164">
        <v>116</v>
      </c>
      <c r="B1164" t="s">
        <v>4024</v>
      </c>
      <c r="C1164" s="96">
        <v>15809115000107</v>
      </c>
      <c r="D1164" t="s">
        <v>4025</v>
      </c>
      <c r="E1164" s="96" t="s">
        <v>1467</v>
      </c>
      <c r="H1164" t="s">
        <v>361</v>
      </c>
      <c r="I1164">
        <f>VLOOKUP(H1164,Listas!$B$2:$C$20,2,FALSE)</f>
        <v>500001</v>
      </c>
      <c r="J1164" t="s">
        <v>73</v>
      </c>
      <c r="K1164">
        <f>VLOOKUP(J1164,Listas!$B$21:$C$50,2,FALSE)</f>
        <v>600017</v>
      </c>
      <c r="L1164">
        <v>-1</v>
      </c>
    </row>
    <row r="1165" spans="1:12">
      <c r="A1165">
        <v>116</v>
      </c>
      <c r="B1165" t="s">
        <v>4026</v>
      </c>
      <c r="C1165" s="96">
        <v>30135801000125</v>
      </c>
      <c r="D1165" t="s">
        <v>4027</v>
      </c>
      <c r="E1165" s="96" t="s">
        <v>1467</v>
      </c>
      <c r="H1165" t="s">
        <v>361</v>
      </c>
      <c r="I1165">
        <f>VLOOKUP(H1165,Listas!$B$2:$C$20,2,FALSE)</f>
        <v>500001</v>
      </c>
      <c r="J1165" t="s">
        <v>73</v>
      </c>
      <c r="K1165">
        <f>VLOOKUP(J1165,Listas!$B$21:$C$50,2,FALSE)</f>
        <v>600017</v>
      </c>
      <c r="L1165">
        <v>-1</v>
      </c>
    </row>
    <row r="1166" spans="1:12">
      <c r="A1166">
        <v>116</v>
      </c>
      <c r="B1166" t="s">
        <v>4028</v>
      </c>
      <c r="C1166" s="96">
        <v>14112993000106</v>
      </c>
      <c r="D1166" t="s">
        <v>4029</v>
      </c>
      <c r="E1166" s="96" t="s">
        <v>1467</v>
      </c>
      <c r="H1166" t="s">
        <v>361</v>
      </c>
      <c r="I1166">
        <f>VLOOKUP(H1166,Listas!$B$2:$C$20,2,FALSE)</f>
        <v>500001</v>
      </c>
      <c r="J1166" t="s">
        <v>73</v>
      </c>
      <c r="K1166">
        <f>VLOOKUP(J1166,Listas!$B$21:$C$50,2,FALSE)</f>
        <v>600017</v>
      </c>
      <c r="L1166">
        <v>-1</v>
      </c>
    </row>
    <row r="1167" spans="1:12">
      <c r="A1167">
        <v>116</v>
      </c>
      <c r="B1167" t="s">
        <v>4030</v>
      </c>
      <c r="C1167" s="96">
        <v>43213776000100</v>
      </c>
      <c r="D1167" t="s">
        <v>4031</v>
      </c>
      <c r="E1167" s="96" t="s">
        <v>1467</v>
      </c>
      <c r="H1167" t="s">
        <v>361</v>
      </c>
      <c r="I1167">
        <f>VLOOKUP(H1167,Listas!$B$2:$C$20,2,FALSE)</f>
        <v>500001</v>
      </c>
      <c r="J1167" t="s">
        <v>73</v>
      </c>
      <c r="K1167">
        <f>VLOOKUP(J1167,Listas!$B$21:$C$50,2,FALSE)</f>
        <v>600017</v>
      </c>
      <c r="L1167">
        <v>-1</v>
      </c>
    </row>
    <row r="1168" spans="1:12">
      <c r="A1168">
        <v>116</v>
      </c>
      <c r="B1168" t="s">
        <v>4032</v>
      </c>
      <c r="C1168" s="96">
        <v>45078161000136</v>
      </c>
      <c r="D1168" t="s">
        <v>4033</v>
      </c>
      <c r="E1168" s="96" t="s">
        <v>1467</v>
      </c>
      <c r="H1168" t="s">
        <v>361</v>
      </c>
      <c r="I1168">
        <f>VLOOKUP(H1168,Listas!$B$2:$C$20,2,FALSE)</f>
        <v>500001</v>
      </c>
      <c r="J1168" t="s">
        <v>73</v>
      </c>
      <c r="K1168">
        <f>VLOOKUP(J1168,Listas!$B$21:$C$50,2,FALSE)</f>
        <v>600017</v>
      </c>
      <c r="L1168">
        <v>-1</v>
      </c>
    </row>
    <row r="1169" spans="1:12">
      <c r="A1169">
        <v>116</v>
      </c>
      <c r="B1169" t="s">
        <v>4034</v>
      </c>
      <c r="C1169" s="96">
        <v>7857617000177</v>
      </c>
      <c r="D1169" t="s">
        <v>4035</v>
      </c>
      <c r="E1169" s="96" t="s">
        <v>1467</v>
      </c>
      <c r="H1169" t="s">
        <v>361</v>
      </c>
      <c r="I1169">
        <f>VLOOKUP(H1169,Listas!$B$2:$C$20,2,FALSE)</f>
        <v>500001</v>
      </c>
      <c r="J1169" t="s">
        <v>73</v>
      </c>
      <c r="K1169">
        <f>VLOOKUP(J1169,Listas!$B$21:$C$50,2,FALSE)</f>
        <v>600017</v>
      </c>
      <c r="L1169">
        <v>-1</v>
      </c>
    </row>
    <row r="1170" spans="1:12">
      <c r="A1170">
        <v>116</v>
      </c>
      <c r="B1170" t="s">
        <v>4036</v>
      </c>
      <c r="C1170" s="96">
        <v>1708167000174</v>
      </c>
      <c r="D1170" t="s">
        <v>4037</v>
      </c>
      <c r="E1170" s="96" t="s">
        <v>1467</v>
      </c>
      <c r="H1170" t="s">
        <v>361</v>
      </c>
      <c r="I1170">
        <f>VLOOKUP(H1170,Listas!$B$2:$C$20,2,FALSE)</f>
        <v>500001</v>
      </c>
      <c r="J1170" t="s">
        <v>73</v>
      </c>
      <c r="K1170">
        <f>VLOOKUP(J1170,Listas!$B$21:$C$50,2,FALSE)</f>
        <v>600017</v>
      </c>
      <c r="L1170">
        <v>-1</v>
      </c>
    </row>
    <row r="1171" spans="1:12">
      <c r="A1171">
        <v>116</v>
      </c>
      <c r="B1171" t="s">
        <v>4038</v>
      </c>
      <c r="C1171" s="96">
        <v>6220430000103</v>
      </c>
      <c r="D1171" t="s">
        <v>4039</v>
      </c>
      <c r="E1171" s="96" t="s">
        <v>1467</v>
      </c>
      <c r="H1171" t="s">
        <v>361</v>
      </c>
      <c r="I1171">
        <f>VLOOKUP(H1171,Listas!$B$2:$C$20,2,FALSE)</f>
        <v>500001</v>
      </c>
      <c r="J1171" t="s">
        <v>73</v>
      </c>
      <c r="K1171">
        <f>VLOOKUP(J1171,Listas!$B$21:$C$50,2,FALSE)</f>
        <v>600017</v>
      </c>
      <c r="L1171">
        <v>-1</v>
      </c>
    </row>
    <row r="1172" spans="1:12">
      <c r="A1172">
        <v>116</v>
      </c>
      <c r="B1172" t="s">
        <v>4040</v>
      </c>
      <c r="C1172" s="96">
        <v>18310767000182</v>
      </c>
      <c r="D1172" t="s">
        <v>4041</v>
      </c>
      <c r="E1172" s="96" t="s">
        <v>1467</v>
      </c>
      <c r="H1172" t="s">
        <v>361</v>
      </c>
      <c r="I1172">
        <f>VLOOKUP(H1172,Listas!$B$2:$C$20,2,FALSE)</f>
        <v>500001</v>
      </c>
      <c r="J1172" t="s">
        <v>73</v>
      </c>
      <c r="K1172">
        <f>VLOOKUP(J1172,Listas!$B$21:$C$50,2,FALSE)</f>
        <v>600017</v>
      </c>
      <c r="L1172">
        <v>-1</v>
      </c>
    </row>
    <row r="1173" spans="1:12">
      <c r="A1173">
        <v>116</v>
      </c>
      <c r="B1173" t="s">
        <v>809</v>
      </c>
      <c r="C1173" s="96" t="s">
        <v>810</v>
      </c>
      <c r="D1173" t="s">
        <v>811</v>
      </c>
      <c r="E1173" s="96" t="s">
        <v>1467</v>
      </c>
      <c r="H1173" t="s">
        <v>361</v>
      </c>
      <c r="I1173">
        <f>VLOOKUP(H1173,Listas!$B$2:$C$20,2,FALSE)</f>
        <v>500001</v>
      </c>
      <c r="J1173" t="s">
        <v>73</v>
      </c>
      <c r="K1173">
        <f>VLOOKUP(J1173,Listas!$B$21:$C$50,2,FALSE)</f>
        <v>600017</v>
      </c>
      <c r="L1173">
        <v>-1</v>
      </c>
    </row>
    <row r="1174" spans="1:12">
      <c r="A1174">
        <v>116</v>
      </c>
      <c r="B1174" t="s">
        <v>4042</v>
      </c>
      <c r="C1174" s="96" t="s">
        <v>4043</v>
      </c>
      <c r="D1174" t="s">
        <v>4044</v>
      </c>
      <c r="E1174" s="96" t="s">
        <v>1467</v>
      </c>
      <c r="H1174" t="s">
        <v>361</v>
      </c>
      <c r="I1174">
        <f>VLOOKUP(H1174,Listas!$B$2:$C$20,2,FALSE)</f>
        <v>500001</v>
      </c>
      <c r="J1174" t="s">
        <v>73</v>
      </c>
      <c r="K1174">
        <f>VLOOKUP(J1174,Listas!$B$21:$C$50,2,FALSE)</f>
        <v>600017</v>
      </c>
      <c r="L1174">
        <v>-1</v>
      </c>
    </row>
    <row r="1175" spans="1:12">
      <c r="A1175">
        <v>116</v>
      </c>
      <c r="B1175" t="s">
        <v>4045</v>
      </c>
      <c r="C1175" s="96">
        <v>9090867708</v>
      </c>
      <c r="D1175" t="s">
        <v>4046</v>
      </c>
      <c r="E1175" s="96" t="s">
        <v>1467</v>
      </c>
      <c r="H1175" t="s">
        <v>361</v>
      </c>
      <c r="I1175">
        <f>VLOOKUP(H1175,Listas!$B$2:$C$20,2,FALSE)</f>
        <v>500001</v>
      </c>
      <c r="J1175" t="s">
        <v>73</v>
      </c>
      <c r="K1175">
        <f>VLOOKUP(J1175,Listas!$B$21:$C$50,2,FALSE)</f>
        <v>600017</v>
      </c>
      <c r="L1175">
        <v>-1</v>
      </c>
    </row>
    <row r="1176" spans="1:12">
      <c r="A1176">
        <v>116</v>
      </c>
      <c r="B1176" t="s">
        <v>812</v>
      </c>
      <c r="C1176" s="96">
        <v>26915400000110</v>
      </c>
      <c r="D1176" t="s">
        <v>813</v>
      </c>
      <c r="E1176" s="96" t="s">
        <v>1467</v>
      </c>
      <c r="H1176" t="s">
        <v>361</v>
      </c>
      <c r="I1176">
        <f>VLOOKUP(H1176,Listas!$B$2:$C$20,2,FALSE)</f>
        <v>500001</v>
      </c>
      <c r="J1176" t="s">
        <v>73</v>
      </c>
      <c r="K1176">
        <f>VLOOKUP(J1176,Listas!$B$21:$C$50,2,FALSE)</f>
        <v>600017</v>
      </c>
      <c r="L1176">
        <v>-1</v>
      </c>
    </row>
    <row r="1177" spans="1:12">
      <c r="A1177">
        <v>116</v>
      </c>
      <c r="B1177" t="s">
        <v>4047</v>
      </c>
      <c r="C1177" s="96">
        <v>12942180000100</v>
      </c>
      <c r="D1177" t="s">
        <v>4048</v>
      </c>
      <c r="E1177" s="96" t="s">
        <v>1467</v>
      </c>
      <c r="H1177" t="s">
        <v>361</v>
      </c>
      <c r="I1177">
        <f>VLOOKUP(H1177,Listas!$B$2:$C$20,2,FALSE)</f>
        <v>500001</v>
      </c>
      <c r="J1177" t="s">
        <v>73</v>
      </c>
      <c r="K1177">
        <f>VLOOKUP(J1177,Listas!$B$21:$C$50,2,FALSE)</f>
        <v>600017</v>
      </c>
      <c r="L1177">
        <v>-1</v>
      </c>
    </row>
    <row r="1178" spans="1:12">
      <c r="A1178">
        <v>116</v>
      </c>
      <c r="B1178" t="s">
        <v>4049</v>
      </c>
      <c r="C1178" s="96">
        <v>34260596000180</v>
      </c>
      <c r="D1178" t="s">
        <v>4050</v>
      </c>
      <c r="E1178" s="96" t="s">
        <v>1467</v>
      </c>
      <c r="H1178" t="s">
        <v>361</v>
      </c>
      <c r="I1178">
        <f>VLOOKUP(H1178,Listas!$B$2:$C$20,2,FALSE)</f>
        <v>500001</v>
      </c>
      <c r="J1178" t="s">
        <v>73</v>
      </c>
      <c r="K1178">
        <f>VLOOKUP(J1178,Listas!$B$21:$C$50,2,FALSE)</f>
        <v>600017</v>
      </c>
      <c r="L1178">
        <v>-1</v>
      </c>
    </row>
    <row r="1179" spans="1:12">
      <c r="A1179">
        <v>116</v>
      </c>
      <c r="B1179" t="s">
        <v>4051</v>
      </c>
      <c r="C1179" s="96">
        <v>29483806000160</v>
      </c>
      <c r="D1179" t="s">
        <v>4052</v>
      </c>
      <c r="E1179" s="96" t="s">
        <v>1467</v>
      </c>
      <c r="H1179" t="s">
        <v>361</v>
      </c>
      <c r="I1179">
        <f>VLOOKUP(H1179,Listas!$B$2:$C$20,2,FALSE)</f>
        <v>500001</v>
      </c>
      <c r="J1179" t="s">
        <v>73</v>
      </c>
      <c r="K1179">
        <f>VLOOKUP(J1179,Listas!$B$21:$C$50,2,FALSE)</f>
        <v>600017</v>
      </c>
      <c r="L1179">
        <v>-1</v>
      </c>
    </row>
    <row r="1180" spans="1:12">
      <c r="A1180">
        <v>116</v>
      </c>
      <c r="B1180" t="s">
        <v>4053</v>
      </c>
      <c r="C1180" s="96">
        <v>32969392000198</v>
      </c>
      <c r="D1180" t="s">
        <v>4054</v>
      </c>
      <c r="E1180" s="96" t="s">
        <v>1467</v>
      </c>
      <c r="H1180" t="s">
        <v>361</v>
      </c>
      <c r="I1180">
        <f>VLOOKUP(H1180,Listas!$B$2:$C$20,2,FALSE)</f>
        <v>500001</v>
      </c>
      <c r="J1180" t="s">
        <v>73</v>
      </c>
      <c r="K1180">
        <f>VLOOKUP(J1180,Listas!$B$21:$C$50,2,FALSE)</f>
        <v>600017</v>
      </c>
      <c r="L1180">
        <v>-1</v>
      </c>
    </row>
    <row r="1181" spans="1:12">
      <c r="A1181">
        <v>116</v>
      </c>
      <c r="B1181" t="s">
        <v>4055</v>
      </c>
      <c r="C1181" s="96">
        <v>25532710000193</v>
      </c>
      <c r="D1181" t="s">
        <v>4056</v>
      </c>
      <c r="E1181" s="96" t="s">
        <v>1467</v>
      </c>
      <c r="H1181" t="s">
        <v>361</v>
      </c>
      <c r="I1181">
        <f>VLOOKUP(H1181,Listas!$B$2:$C$20,2,FALSE)</f>
        <v>500001</v>
      </c>
      <c r="J1181" t="s">
        <v>73</v>
      </c>
      <c r="K1181">
        <f>VLOOKUP(J1181,Listas!$B$21:$C$50,2,FALSE)</f>
        <v>600017</v>
      </c>
      <c r="L1181">
        <v>-1</v>
      </c>
    </row>
    <row r="1182" spans="1:12">
      <c r="A1182">
        <v>116</v>
      </c>
      <c r="B1182" t="s">
        <v>4057</v>
      </c>
      <c r="C1182" s="96">
        <v>27045921000127</v>
      </c>
      <c r="D1182" t="s">
        <v>4058</v>
      </c>
      <c r="E1182" s="96" t="s">
        <v>1467</v>
      </c>
      <c r="H1182" t="s">
        <v>361</v>
      </c>
      <c r="I1182">
        <f>VLOOKUP(H1182,Listas!$B$2:$C$20,2,FALSE)</f>
        <v>500001</v>
      </c>
      <c r="J1182" t="s">
        <v>73</v>
      </c>
      <c r="K1182">
        <f>VLOOKUP(J1182,Listas!$B$21:$C$50,2,FALSE)</f>
        <v>600017</v>
      </c>
      <c r="L1182">
        <v>-1</v>
      </c>
    </row>
    <row r="1183" spans="1:12">
      <c r="A1183">
        <v>116</v>
      </c>
      <c r="B1183" t="s">
        <v>4059</v>
      </c>
      <c r="C1183" s="96">
        <v>36440064000150</v>
      </c>
      <c r="D1183" t="s">
        <v>4060</v>
      </c>
      <c r="E1183" s="96" t="s">
        <v>1467</v>
      </c>
      <c r="H1183" t="s">
        <v>361</v>
      </c>
      <c r="I1183">
        <f>VLOOKUP(H1183,Listas!$B$2:$C$20,2,FALSE)</f>
        <v>500001</v>
      </c>
      <c r="J1183" t="s">
        <v>73</v>
      </c>
      <c r="K1183">
        <f>VLOOKUP(J1183,Listas!$B$21:$C$50,2,FALSE)</f>
        <v>600017</v>
      </c>
      <c r="L1183">
        <v>-1</v>
      </c>
    </row>
    <row r="1184" spans="1:12">
      <c r="A1184">
        <v>116</v>
      </c>
      <c r="B1184" t="s">
        <v>4061</v>
      </c>
      <c r="C1184" s="96">
        <v>61615977000108</v>
      </c>
      <c r="D1184" t="s">
        <v>4062</v>
      </c>
      <c r="E1184" s="96" t="s">
        <v>1467</v>
      </c>
      <c r="H1184" t="s">
        <v>361</v>
      </c>
      <c r="I1184">
        <f>VLOOKUP(H1184,Listas!$B$2:$C$20,2,FALSE)</f>
        <v>500001</v>
      </c>
      <c r="J1184" t="s">
        <v>73</v>
      </c>
      <c r="K1184">
        <f>VLOOKUP(J1184,Listas!$B$21:$C$50,2,FALSE)</f>
        <v>600017</v>
      </c>
      <c r="L1184">
        <v>-1</v>
      </c>
    </row>
    <row r="1185" spans="1:12">
      <c r="A1185">
        <v>116</v>
      </c>
      <c r="B1185" t="s">
        <v>814</v>
      </c>
      <c r="C1185" s="96">
        <v>37563497000166</v>
      </c>
      <c r="D1185" t="s">
        <v>815</v>
      </c>
      <c r="E1185" s="96" t="s">
        <v>1467</v>
      </c>
      <c r="H1185" t="s">
        <v>361</v>
      </c>
      <c r="I1185">
        <f>VLOOKUP(H1185,Listas!$B$2:$C$20,2,FALSE)</f>
        <v>500001</v>
      </c>
      <c r="J1185" t="s">
        <v>73</v>
      </c>
      <c r="K1185">
        <f>VLOOKUP(J1185,Listas!$B$21:$C$50,2,FALSE)</f>
        <v>600017</v>
      </c>
      <c r="L1185">
        <v>-1</v>
      </c>
    </row>
    <row r="1186" spans="1:12">
      <c r="A1186">
        <v>116</v>
      </c>
      <c r="B1186" t="s">
        <v>4063</v>
      </c>
      <c r="C1186" s="96">
        <v>336183936000194</v>
      </c>
      <c r="D1186" t="s">
        <v>4064</v>
      </c>
      <c r="E1186" s="96" t="s">
        <v>1467</v>
      </c>
      <c r="H1186" t="s">
        <v>361</v>
      </c>
      <c r="I1186">
        <f>VLOOKUP(H1186,Listas!$B$2:$C$20,2,FALSE)</f>
        <v>500001</v>
      </c>
      <c r="J1186" t="s">
        <v>73</v>
      </c>
      <c r="K1186">
        <f>VLOOKUP(J1186,Listas!$B$21:$C$50,2,FALSE)</f>
        <v>600017</v>
      </c>
      <c r="L1186">
        <v>-1</v>
      </c>
    </row>
    <row r="1187" spans="1:12">
      <c r="A1187">
        <v>116</v>
      </c>
      <c r="B1187" t="s">
        <v>4065</v>
      </c>
      <c r="C1187" s="96">
        <v>30920288000264</v>
      </c>
      <c r="D1187" t="s">
        <v>4066</v>
      </c>
      <c r="E1187" s="96" t="s">
        <v>1467</v>
      </c>
      <c r="H1187" t="s">
        <v>361</v>
      </c>
      <c r="I1187">
        <f>VLOOKUP(H1187,Listas!$B$2:$C$20,2,FALSE)</f>
        <v>500001</v>
      </c>
      <c r="J1187" t="s">
        <v>73</v>
      </c>
      <c r="K1187">
        <f>VLOOKUP(J1187,Listas!$B$21:$C$50,2,FALSE)</f>
        <v>600017</v>
      </c>
      <c r="L1187">
        <v>-1</v>
      </c>
    </row>
    <row r="1188" spans="1:12">
      <c r="A1188">
        <v>116</v>
      </c>
      <c r="B1188" t="s">
        <v>4067</v>
      </c>
      <c r="C1188" s="96">
        <v>33618396000194</v>
      </c>
      <c r="D1188" t="s">
        <v>4064</v>
      </c>
      <c r="E1188" s="96" t="s">
        <v>1467</v>
      </c>
      <c r="H1188" t="s">
        <v>361</v>
      </c>
      <c r="I1188">
        <f>VLOOKUP(H1188,Listas!$B$2:$C$20,2,FALSE)</f>
        <v>500001</v>
      </c>
      <c r="J1188" t="s">
        <v>73</v>
      </c>
      <c r="K1188">
        <f>VLOOKUP(J1188,Listas!$B$21:$C$50,2,FALSE)</f>
        <v>600017</v>
      </c>
      <c r="L1188">
        <v>-1</v>
      </c>
    </row>
    <row r="1189" spans="1:12">
      <c r="A1189">
        <v>116</v>
      </c>
      <c r="B1189" t="s">
        <v>816</v>
      </c>
      <c r="C1189" s="96">
        <v>32681701000120</v>
      </c>
      <c r="D1189" t="s">
        <v>817</v>
      </c>
      <c r="E1189" s="96" t="s">
        <v>1467</v>
      </c>
      <c r="H1189" t="s">
        <v>361</v>
      </c>
      <c r="I1189">
        <f>VLOOKUP(H1189,Listas!$B$2:$C$20,2,FALSE)</f>
        <v>500001</v>
      </c>
      <c r="J1189" t="s">
        <v>73</v>
      </c>
      <c r="K1189">
        <f>VLOOKUP(J1189,Listas!$B$21:$C$50,2,FALSE)</f>
        <v>600017</v>
      </c>
      <c r="L1189">
        <v>-1</v>
      </c>
    </row>
    <row r="1190" spans="1:12">
      <c r="A1190">
        <v>116</v>
      </c>
      <c r="B1190" t="s">
        <v>4068</v>
      </c>
      <c r="C1190" s="96">
        <v>33582105000155</v>
      </c>
      <c r="D1190" t="s">
        <v>4069</v>
      </c>
      <c r="E1190" s="96" t="s">
        <v>1467</v>
      </c>
      <c r="H1190" t="s">
        <v>361</v>
      </c>
      <c r="I1190">
        <f>VLOOKUP(H1190,Listas!$B$2:$C$20,2,FALSE)</f>
        <v>500001</v>
      </c>
      <c r="J1190" t="s">
        <v>73</v>
      </c>
      <c r="K1190">
        <f>VLOOKUP(J1190,Listas!$B$21:$C$50,2,FALSE)</f>
        <v>600017</v>
      </c>
      <c r="L1190">
        <v>-1</v>
      </c>
    </row>
    <row r="1191" spans="1:12">
      <c r="A1191">
        <v>116</v>
      </c>
      <c r="B1191" t="s">
        <v>4070</v>
      </c>
      <c r="C1191" s="96">
        <v>22395972000165</v>
      </c>
      <c r="D1191" t="s">
        <v>4071</v>
      </c>
      <c r="E1191" s="96" t="s">
        <v>1467</v>
      </c>
      <c r="H1191" t="s">
        <v>361</v>
      </c>
      <c r="I1191">
        <f>VLOOKUP(H1191,Listas!$B$2:$C$20,2,FALSE)</f>
        <v>500001</v>
      </c>
      <c r="J1191" t="s">
        <v>73</v>
      </c>
      <c r="K1191">
        <f>VLOOKUP(J1191,Listas!$B$21:$C$50,2,FALSE)</f>
        <v>600017</v>
      </c>
      <c r="L1191">
        <v>-1</v>
      </c>
    </row>
    <row r="1192" spans="1:12">
      <c r="A1192">
        <v>116</v>
      </c>
      <c r="B1192" t="s">
        <v>4072</v>
      </c>
      <c r="C1192" s="96">
        <v>8401147000103</v>
      </c>
      <c r="D1192" t="s">
        <v>4073</v>
      </c>
      <c r="E1192" s="96" t="s">
        <v>1467</v>
      </c>
      <c r="H1192" t="s">
        <v>361</v>
      </c>
      <c r="I1192">
        <f>VLOOKUP(H1192,Listas!$B$2:$C$20,2,FALSE)</f>
        <v>500001</v>
      </c>
      <c r="J1192" t="s">
        <v>73</v>
      </c>
      <c r="K1192">
        <f>VLOOKUP(J1192,Listas!$B$21:$C$50,2,FALSE)</f>
        <v>600017</v>
      </c>
      <c r="L1192">
        <v>-1</v>
      </c>
    </row>
    <row r="1193" spans="1:12">
      <c r="A1193">
        <v>116</v>
      </c>
      <c r="B1193" t="s">
        <v>818</v>
      </c>
      <c r="C1193" s="96">
        <v>27553286000199</v>
      </c>
      <c r="D1193" t="s">
        <v>819</v>
      </c>
      <c r="E1193" s="96" t="s">
        <v>1467</v>
      </c>
      <c r="H1193" t="s">
        <v>361</v>
      </c>
      <c r="I1193">
        <f>VLOOKUP(H1193,Listas!$B$2:$C$20,2,FALSE)</f>
        <v>500001</v>
      </c>
      <c r="J1193" t="s">
        <v>73</v>
      </c>
      <c r="K1193">
        <f>VLOOKUP(J1193,Listas!$B$21:$C$50,2,FALSE)</f>
        <v>600017</v>
      </c>
      <c r="L1193">
        <v>-1</v>
      </c>
    </row>
    <row r="1194" spans="1:12">
      <c r="A1194">
        <v>116</v>
      </c>
      <c r="B1194" t="s">
        <v>4074</v>
      </c>
      <c r="C1194" s="96">
        <v>45871527000120</v>
      </c>
      <c r="D1194" t="s">
        <v>4075</v>
      </c>
      <c r="E1194" s="96" t="s">
        <v>1467</v>
      </c>
      <c r="H1194" t="s">
        <v>361</v>
      </c>
      <c r="I1194">
        <f>VLOOKUP(H1194,Listas!$B$2:$C$20,2,FALSE)</f>
        <v>500001</v>
      </c>
      <c r="J1194" t="s">
        <v>73</v>
      </c>
      <c r="K1194">
        <f>VLOOKUP(J1194,Listas!$B$21:$C$50,2,FALSE)</f>
        <v>600017</v>
      </c>
      <c r="L1194">
        <v>-1</v>
      </c>
    </row>
    <row r="1195" spans="1:12">
      <c r="A1195">
        <v>116</v>
      </c>
      <c r="B1195" t="s">
        <v>4076</v>
      </c>
      <c r="C1195" s="96">
        <v>5933907000127</v>
      </c>
      <c r="D1195" t="s">
        <v>4077</v>
      </c>
      <c r="E1195" s="96" t="s">
        <v>1467</v>
      </c>
      <c r="H1195" t="s">
        <v>361</v>
      </c>
      <c r="I1195">
        <f>VLOOKUP(H1195,Listas!$B$2:$C$20,2,FALSE)</f>
        <v>500001</v>
      </c>
      <c r="J1195" t="s">
        <v>73</v>
      </c>
      <c r="K1195">
        <f>VLOOKUP(J1195,Listas!$B$21:$C$50,2,FALSE)</f>
        <v>600017</v>
      </c>
      <c r="L1195">
        <v>-1</v>
      </c>
    </row>
    <row r="1196" spans="1:12">
      <c r="A1196">
        <v>116</v>
      </c>
      <c r="B1196" t="s">
        <v>4078</v>
      </c>
      <c r="C1196" s="96">
        <v>27589698000189</v>
      </c>
      <c r="D1196" t="s">
        <v>4079</v>
      </c>
      <c r="E1196" s="96" t="s">
        <v>1467</v>
      </c>
      <c r="H1196" t="s">
        <v>361</v>
      </c>
      <c r="I1196">
        <f>VLOOKUP(H1196,Listas!$B$2:$C$20,2,FALSE)</f>
        <v>500001</v>
      </c>
      <c r="J1196" t="s">
        <v>73</v>
      </c>
      <c r="K1196">
        <f>VLOOKUP(J1196,Listas!$B$21:$C$50,2,FALSE)</f>
        <v>600017</v>
      </c>
      <c r="L1196">
        <v>-1</v>
      </c>
    </row>
    <row r="1197" spans="1:12">
      <c r="A1197">
        <v>116</v>
      </c>
      <c r="B1197" t="s">
        <v>4080</v>
      </c>
      <c r="C1197" s="96">
        <v>16724683000160</v>
      </c>
      <c r="D1197" t="s">
        <v>4081</v>
      </c>
      <c r="E1197" s="96" t="s">
        <v>1467</v>
      </c>
      <c r="H1197" t="s">
        <v>361</v>
      </c>
      <c r="I1197">
        <f>VLOOKUP(H1197,Listas!$B$2:$C$20,2,FALSE)</f>
        <v>500001</v>
      </c>
      <c r="J1197" t="s">
        <v>73</v>
      </c>
      <c r="K1197">
        <f>VLOOKUP(J1197,Listas!$B$21:$C$50,2,FALSE)</f>
        <v>600017</v>
      </c>
      <c r="L1197">
        <v>-1</v>
      </c>
    </row>
    <row r="1198" spans="1:12">
      <c r="A1198">
        <v>116</v>
      </c>
      <c r="B1198" t="s">
        <v>4082</v>
      </c>
      <c r="C1198" s="96">
        <v>45660322000103</v>
      </c>
      <c r="D1198" t="s">
        <v>4083</v>
      </c>
      <c r="E1198" s="96" t="s">
        <v>1467</v>
      </c>
      <c r="H1198" t="s">
        <v>361</v>
      </c>
      <c r="I1198">
        <f>VLOOKUP(H1198,Listas!$B$2:$C$20,2,FALSE)</f>
        <v>500001</v>
      </c>
      <c r="J1198" t="s">
        <v>73</v>
      </c>
      <c r="K1198">
        <f>VLOOKUP(J1198,Listas!$B$21:$C$50,2,FALSE)</f>
        <v>600017</v>
      </c>
      <c r="L1198">
        <v>-1</v>
      </c>
    </row>
    <row r="1199" spans="1:12">
      <c r="A1199">
        <v>116</v>
      </c>
      <c r="B1199" t="s">
        <v>4084</v>
      </c>
      <c r="C1199" s="96">
        <v>1337718000130</v>
      </c>
      <c r="D1199" t="s">
        <v>4085</v>
      </c>
      <c r="E1199" s="96" t="s">
        <v>1467</v>
      </c>
      <c r="H1199" t="s">
        <v>361</v>
      </c>
      <c r="I1199">
        <f>VLOOKUP(H1199,Listas!$B$2:$C$20,2,FALSE)</f>
        <v>500001</v>
      </c>
      <c r="J1199" t="s">
        <v>73</v>
      </c>
      <c r="K1199">
        <f>VLOOKUP(J1199,Listas!$B$21:$C$50,2,FALSE)</f>
        <v>600017</v>
      </c>
      <c r="L1199">
        <v>-1</v>
      </c>
    </row>
    <row r="1200" spans="1:12">
      <c r="A1200">
        <v>116</v>
      </c>
      <c r="B1200" t="s">
        <v>4086</v>
      </c>
      <c r="C1200" s="96">
        <v>13016939000196</v>
      </c>
      <c r="D1200" t="s">
        <v>4087</v>
      </c>
      <c r="E1200" s="96" t="s">
        <v>1467</v>
      </c>
      <c r="H1200" t="s">
        <v>361</v>
      </c>
      <c r="I1200">
        <f>VLOOKUP(H1200,Listas!$B$2:$C$20,2,FALSE)</f>
        <v>500001</v>
      </c>
      <c r="J1200" t="s">
        <v>73</v>
      </c>
      <c r="K1200">
        <f>VLOOKUP(J1200,Listas!$B$21:$C$50,2,FALSE)</f>
        <v>600017</v>
      </c>
      <c r="L1200">
        <v>-1</v>
      </c>
    </row>
    <row r="1201" spans="1:12">
      <c r="A1201">
        <v>116</v>
      </c>
      <c r="B1201" t="s">
        <v>4088</v>
      </c>
      <c r="C1201" s="96">
        <v>23312567000107</v>
      </c>
      <c r="D1201" t="s">
        <v>4089</v>
      </c>
      <c r="E1201" s="96" t="s">
        <v>1467</v>
      </c>
      <c r="H1201" t="s">
        <v>361</v>
      </c>
      <c r="I1201">
        <f>VLOOKUP(H1201,Listas!$B$2:$C$20,2,FALSE)</f>
        <v>500001</v>
      </c>
      <c r="J1201" t="s">
        <v>73</v>
      </c>
      <c r="K1201">
        <f>VLOOKUP(J1201,Listas!$B$21:$C$50,2,FALSE)</f>
        <v>600017</v>
      </c>
      <c r="L1201">
        <v>-1</v>
      </c>
    </row>
    <row r="1202" spans="1:12">
      <c r="A1202">
        <v>116</v>
      </c>
      <c r="B1202" t="s">
        <v>820</v>
      </c>
      <c r="C1202" s="96">
        <v>5630085000105</v>
      </c>
      <c r="D1202" t="s">
        <v>821</v>
      </c>
      <c r="E1202" s="96" t="s">
        <v>1467</v>
      </c>
      <c r="H1202" t="s">
        <v>361</v>
      </c>
      <c r="I1202">
        <f>VLOOKUP(H1202,Listas!$B$2:$C$20,2,FALSE)</f>
        <v>500001</v>
      </c>
      <c r="J1202" t="s">
        <v>73</v>
      </c>
      <c r="K1202">
        <f>VLOOKUP(J1202,Listas!$B$21:$C$50,2,FALSE)</f>
        <v>600017</v>
      </c>
      <c r="L1202">
        <v>-1</v>
      </c>
    </row>
    <row r="1203" spans="1:12">
      <c r="A1203">
        <v>116</v>
      </c>
      <c r="B1203" t="s">
        <v>4090</v>
      </c>
      <c r="C1203" s="96">
        <v>12654453000110</v>
      </c>
      <c r="D1203" t="s">
        <v>4091</v>
      </c>
      <c r="E1203" s="96" t="s">
        <v>1467</v>
      </c>
      <c r="H1203" t="s">
        <v>361</v>
      </c>
      <c r="I1203">
        <f>VLOOKUP(H1203,Listas!$B$2:$C$20,2,FALSE)</f>
        <v>500001</v>
      </c>
      <c r="J1203" t="s">
        <v>73</v>
      </c>
      <c r="K1203">
        <f>VLOOKUP(J1203,Listas!$B$21:$C$50,2,FALSE)</f>
        <v>600017</v>
      </c>
      <c r="L1203">
        <v>-1</v>
      </c>
    </row>
    <row r="1204" spans="1:12">
      <c r="A1204">
        <v>116</v>
      </c>
      <c r="B1204" t="s">
        <v>822</v>
      </c>
      <c r="C1204" s="96">
        <v>2114998</v>
      </c>
      <c r="D1204" t="s">
        <v>823</v>
      </c>
      <c r="E1204" s="96" t="s">
        <v>1467</v>
      </c>
      <c r="H1204" t="s">
        <v>361</v>
      </c>
      <c r="I1204">
        <f>VLOOKUP(H1204,Listas!$B$2:$C$20,2,FALSE)</f>
        <v>500001</v>
      </c>
      <c r="J1204" t="s">
        <v>73</v>
      </c>
      <c r="K1204">
        <f>VLOOKUP(J1204,Listas!$B$21:$C$50,2,FALSE)</f>
        <v>600017</v>
      </c>
      <c r="L1204">
        <v>-1</v>
      </c>
    </row>
    <row r="1205" spans="1:12">
      <c r="A1205">
        <v>116</v>
      </c>
      <c r="B1205" t="s">
        <v>4092</v>
      </c>
      <c r="C1205" s="96">
        <v>2114999</v>
      </c>
      <c r="D1205" t="s">
        <v>4093</v>
      </c>
      <c r="E1205" s="96" t="s">
        <v>1467</v>
      </c>
      <c r="H1205" t="s">
        <v>361</v>
      </c>
      <c r="I1205">
        <f>VLOOKUP(H1205,Listas!$B$2:$C$20,2,FALSE)</f>
        <v>500001</v>
      </c>
      <c r="J1205" t="s">
        <v>73</v>
      </c>
      <c r="K1205">
        <f>VLOOKUP(J1205,Listas!$B$21:$C$50,2,FALSE)</f>
        <v>600017</v>
      </c>
      <c r="L1205">
        <v>-1</v>
      </c>
    </row>
    <row r="1206" spans="1:12">
      <c r="A1206">
        <v>116</v>
      </c>
      <c r="B1206" t="s">
        <v>4094</v>
      </c>
      <c r="C1206" s="96">
        <v>9199793000194</v>
      </c>
      <c r="D1206" t="s">
        <v>4095</v>
      </c>
      <c r="E1206" s="96" t="s">
        <v>1467</v>
      </c>
      <c r="H1206" t="s">
        <v>361</v>
      </c>
      <c r="I1206">
        <f>VLOOKUP(H1206,Listas!$B$2:$C$20,2,FALSE)</f>
        <v>500001</v>
      </c>
      <c r="J1206" t="s">
        <v>73</v>
      </c>
      <c r="K1206">
        <f>VLOOKUP(J1206,Listas!$B$21:$C$50,2,FALSE)</f>
        <v>600017</v>
      </c>
      <c r="L1206">
        <v>-1</v>
      </c>
    </row>
    <row r="1207" spans="1:12">
      <c r="A1207">
        <v>116</v>
      </c>
      <c r="B1207" t="s">
        <v>4096</v>
      </c>
      <c r="C1207" s="96">
        <v>38458393000154</v>
      </c>
      <c r="D1207" t="s">
        <v>4097</v>
      </c>
      <c r="E1207" s="96" t="s">
        <v>1467</v>
      </c>
      <c r="H1207" t="s">
        <v>361</v>
      </c>
      <c r="I1207">
        <f>VLOOKUP(H1207,Listas!$B$2:$C$20,2,FALSE)</f>
        <v>500001</v>
      </c>
      <c r="J1207" t="s">
        <v>73</v>
      </c>
      <c r="K1207">
        <f>VLOOKUP(J1207,Listas!$B$21:$C$50,2,FALSE)</f>
        <v>600017</v>
      </c>
      <c r="L1207">
        <v>-1</v>
      </c>
    </row>
    <row r="1208" spans="1:12">
      <c r="A1208">
        <v>116</v>
      </c>
      <c r="B1208" t="s">
        <v>824</v>
      </c>
      <c r="C1208" s="96">
        <v>8210265000126</v>
      </c>
      <c r="D1208" t="s">
        <v>825</v>
      </c>
      <c r="E1208" s="96" t="s">
        <v>1467</v>
      </c>
      <c r="H1208" t="s">
        <v>361</v>
      </c>
      <c r="I1208">
        <f>VLOOKUP(H1208,Listas!$B$2:$C$20,2,FALSE)</f>
        <v>500001</v>
      </c>
      <c r="J1208" t="s">
        <v>73</v>
      </c>
      <c r="K1208">
        <f>VLOOKUP(J1208,Listas!$B$21:$C$50,2,FALSE)</f>
        <v>600017</v>
      </c>
      <c r="L1208">
        <v>-1</v>
      </c>
    </row>
    <row r="1209" spans="1:12">
      <c r="A1209">
        <v>116</v>
      </c>
      <c r="B1209" t="s">
        <v>4098</v>
      </c>
      <c r="C1209" s="96">
        <v>26145027000166</v>
      </c>
      <c r="D1209" t="s">
        <v>4099</v>
      </c>
      <c r="E1209" s="96" t="s">
        <v>1467</v>
      </c>
      <c r="H1209" t="s">
        <v>361</v>
      </c>
      <c r="I1209">
        <f>VLOOKUP(H1209,Listas!$B$2:$C$20,2,FALSE)</f>
        <v>500001</v>
      </c>
      <c r="J1209" t="s">
        <v>73</v>
      </c>
      <c r="K1209">
        <f>VLOOKUP(J1209,Listas!$B$21:$C$50,2,FALSE)</f>
        <v>600017</v>
      </c>
      <c r="L1209">
        <v>-1</v>
      </c>
    </row>
    <row r="1210" spans="1:12">
      <c r="A1210">
        <v>116</v>
      </c>
      <c r="B1210" t="s">
        <v>4100</v>
      </c>
      <c r="C1210" s="96">
        <v>2445475000117</v>
      </c>
      <c r="D1210" t="s">
        <v>4101</v>
      </c>
      <c r="E1210" s="96" t="s">
        <v>1467</v>
      </c>
      <c r="H1210" t="s">
        <v>361</v>
      </c>
      <c r="I1210">
        <f>VLOOKUP(H1210,Listas!$B$2:$C$20,2,FALSE)</f>
        <v>500001</v>
      </c>
      <c r="J1210" t="s">
        <v>73</v>
      </c>
      <c r="K1210">
        <f>VLOOKUP(J1210,Listas!$B$21:$C$50,2,FALSE)</f>
        <v>600017</v>
      </c>
      <c r="L1210">
        <v>-1</v>
      </c>
    </row>
    <row r="1211" spans="1:12">
      <c r="A1211">
        <v>116</v>
      </c>
      <c r="B1211" t="s">
        <v>4102</v>
      </c>
      <c r="C1211" s="96">
        <v>14208420000172</v>
      </c>
      <c r="D1211" t="s">
        <v>4103</v>
      </c>
      <c r="E1211" s="96" t="s">
        <v>1467</v>
      </c>
      <c r="H1211" t="s">
        <v>361</v>
      </c>
      <c r="I1211">
        <f>VLOOKUP(H1211,Listas!$B$2:$C$20,2,FALSE)</f>
        <v>500001</v>
      </c>
      <c r="J1211" t="s">
        <v>73</v>
      </c>
      <c r="K1211">
        <f>VLOOKUP(J1211,Listas!$B$21:$C$50,2,FALSE)</f>
        <v>600017</v>
      </c>
      <c r="L1211">
        <v>-1</v>
      </c>
    </row>
    <row r="1212" spans="1:12">
      <c r="A1212">
        <v>116</v>
      </c>
      <c r="B1212" t="s">
        <v>4104</v>
      </c>
      <c r="C1212" s="96">
        <v>19720194000128</v>
      </c>
      <c r="D1212" t="s">
        <v>4105</v>
      </c>
      <c r="E1212" s="96" t="s">
        <v>1467</v>
      </c>
      <c r="H1212" t="s">
        <v>361</v>
      </c>
      <c r="I1212">
        <f>VLOOKUP(H1212,Listas!$B$2:$C$20,2,FALSE)</f>
        <v>500001</v>
      </c>
      <c r="J1212" t="s">
        <v>73</v>
      </c>
      <c r="K1212">
        <f>VLOOKUP(J1212,Listas!$B$21:$C$50,2,FALSE)</f>
        <v>600017</v>
      </c>
      <c r="L1212">
        <v>-1</v>
      </c>
    </row>
    <row r="1213" spans="1:12">
      <c r="A1213">
        <v>116</v>
      </c>
      <c r="B1213" t="s">
        <v>4106</v>
      </c>
      <c r="C1213" s="96">
        <v>20813461000190</v>
      </c>
      <c r="D1213" t="s">
        <v>4107</v>
      </c>
      <c r="E1213" s="96" t="s">
        <v>1467</v>
      </c>
      <c r="H1213" t="s">
        <v>361</v>
      </c>
      <c r="I1213">
        <f>VLOOKUP(H1213,Listas!$B$2:$C$20,2,FALSE)</f>
        <v>500001</v>
      </c>
      <c r="J1213" t="s">
        <v>73</v>
      </c>
      <c r="K1213">
        <f>VLOOKUP(J1213,Listas!$B$21:$C$50,2,FALSE)</f>
        <v>600017</v>
      </c>
      <c r="L1213">
        <v>-1</v>
      </c>
    </row>
    <row r="1214" spans="1:12">
      <c r="A1214">
        <v>116</v>
      </c>
      <c r="B1214" t="s">
        <v>4108</v>
      </c>
      <c r="C1214" s="96">
        <v>3263975000109</v>
      </c>
      <c r="D1214" t="s">
        <v>4109</v>
      </c>
      <c r="E1214" s="96" t="s">
        <v>1467</v>
      </c>
      <c r="H1214" t="s">
        <v>361</v>
      </c>
      <c r="I1214">
        <f>VLOOKUP(H1214,Listas!$B$2:$C$20,2,FALSE)</f>
        <v>500001</v>
      </c>
      <c r="J1214" t="s">
        <v>73</v>
      </c>
      <c r="K1214">
        <f>VLOOKUP(J1214,Listas!$B$21:$C$50,2,FALSE)</f>
        <v>600017</v>
      </c>
      <c r="L1214">
        <v>-1</v>
      </c>
    </row>
    <row r="1215" spans="1:12">
      <c r="A1215">
        <v>116</v>
      </c>
      <c r="B1215" t="s">
        <v>4110</v>
      </c>
      <c r="C1215" s="96">
        <v>33746475000180</v>
      </c>
      <c r="D1215" t="s">
        <v>4111</v>
      </c>
      <c r="E1215" s="96" t="s">
        <v>1467</v>
      </c>
      <c r="H1215" t="s">
        <v>361</v>
      </c>
      <c r="I1215">
        <f>VLOOKUP(H1215,Listas!$B$2:$C$20,2,FALSE)</f>
        <v>500001</v>
      </c>
      <c r="J1215" t="s">
        <v>73</v>
      </c>
      <c r="K1215">
        <f>VLOOKUP(J1215,Listas!$B$21:$C$50,2,FALSE)</f>
        <v>600017</v>
      </c>
      <c r="L1215">
        <v>-1</v>
      </c>
    </row>
    <row r="1216" spans="1:12">
      <c r="A1216">
        <v>116</v>
      </c>
      <c r="B1216" t="s">
        <v>4112</v>
      </c>
      <c r="C1216" s="96">
        <v>19485885000194</v>
      </c>
      <c r="D1216" t="s">
        <v>4113</v>
      </c>
      <c r="E1216" s="96" t="s">
        <v>1467</v>
      </c>
      <c r="H1216" t="s">
        <v>361</v>
      </c>
      <c r="I1216">
        <f>VLOOKUP(H1216,Listas!$B$2:$C$20,2,FALSE)</f>
        <v>500001</v>
      </c>
      <c r="J1216" t="s">
        <v>73</v>
      </c>
      <c r="K1216">
        <f>VLOOKUP(J1216,Listas!$B$21:$C$50,2,FALSE)</f>
        <v>600017</v>
      </c>
      <c r="L1216">
        <v>-1</v>
      </c>
    </row>
    <row r="1217" spans="1:12">
      <c r="A1217">
        <v>116</v>
      </c>
      <c r="B1217" t="s">
        <v>4114</v>
      </c>
      <c r="C1217" s="96">
        <v>3812745000224</v>
      </c>
      <c r="D1217" t="s">
        <v>4115</v>
      </c>
      <c r="E1217" s="96" t="s">
        <v>1467</v>
      </c>
      <c r="H1217" t="s">
        <v>361</v>
      </c>
      <c r="I1217">
        <f>VLOOKUP(H1217,Listas!$B$2:$C$20,2,FALSE)</f>
        <v>500001</v>
      </c>
      <c r="J1217" t="s">
        <v>73</v>
      </c>
      <c r="K1217">
        <f>VLOOKUP(J1217,Listas!$B$21:$C$50,2,FALSE)</f>
        <v>600017</v>
      </c>
      <c r="L1217">
        <v>-1</v>
      </c>
    </row>
    <row r="1218" spans="1:12">
      <c r="A1218">
        <v>116</v>
      </c>
      <c r="B1218" t="s">
        <v>826</v>
      </c>
      <c r="C1218" s="96">
        <v>1976526000174</v>
      </c>
      <c r="D1218" t="s">
        <v>827</v>
      </c>
      <c r="E1218" s="96" t="s">
        <v>1467</v>
      </c>
      <c r="H1218" t="s">
        <v>361</v>
      </c>
      <c r="I1218">
        <f>VLOOKUP(H1218,Listas!$B$2:$C$20,2,FALSE)</f>
        <v>500001</v>
      </c>
      <c r="J1218" t="s">
        <v>73</v>
      </c>
      <c r="K1218">
        <f>VLOOKUP(J1218,Listas!$B$21:$C$50,2,FALSE)</f>
        <v>600017</v>
      </c>
      <c r="L1218">
        <v>-1</v>
      </c>
    </row>
    <row r="1219" spans="1:12">
      <c r="A1219">
        <v>116</v>
      </c>
      <c r="B1219" t="s">
        <v>828</v>
      </c>
      <c r="C1219" s="96">
        <v>44459904000155</v>
      </c>
      <c r="D1219" t="s">
        <v>829</v>
      </c>
      <c r="E1219" s="96" t="s">
        <v>1467</v>
      </c>
      <c r="H1219" t="s">
        <v>361</v>
      </c>
      <c r="I1219">
        <f>VLOOKUP(H1219,Listas!$B$2:$C$20,2,FALSE)</f>
        <v>500001</v>
      </c>
      <c r="J1219" t="s">
        <v>73</v>
      </c>
      <c r="K1219">
        <f>VLOOKUP(J1219,Listas!$B$21:$C$50,2,FALSE)</f>
        <v>600017</v>
      </c>
      <c r="L1219">
        <v>-1</v>
      </c>
    </row>
    <row r="1220" spans="1:12">
      <c r="A1220">
        <v>116</v>
      </c>
      <c r="B1220" t="s">
        <v>4116</v>
      </c>
      <c r="C1220" s="96">
        <v>13369407000132</v>
      </c>
      <c r="D1220" t="s">
        <v>4117</v>
      </c>
      <c r="E1220" s="96" t="s">
        <v>1467</v>
      </c>
      <c r="H1220" t="s">
        <v>361</v>
      </c>
      <c r="I1220">
        <f>VLOOKUP(H1220,Listas!$B$2:$C$20,2,FALSE)</f>
        <v>500001</v>
      </c>
      <c r="J1220" t="s">
        <v>73</v>
      </c>
      <c r="K1220">
        <f>VLOOKUP(J1220,Listas!$B$21:$C$50,2,FALSE)</f>
        <v>600017</v>
      </c>
      <c r="L1220">
        <v>-1</v>
      </c>
    </row>
    <row r="1221" spans="1:12">
      <c r="A1221">
        <v>116</v>
      </c>
      <c r="B1221" t="s">
        <v>830</v>
      </c>
      <c r="C1221" s="96">
        <v>37381902000125</v>
      </c>
      <c r="D1221" t="s">
        <v>831</v>
      </c>
      <c r="E1221" s="96" t="s">
        <v>1467</v>
      </c>
      <c r="H1221" t="s">
        <v>361</v>
      </c>
      <c r="I1221">
        <f>VLOOKUP(H1221,Listas!$B$2:$C$20,2,FALSE)</f>
        <v>500001</v>
      </c>
      <c r="J1221" t="s">
        <v>73</v>
      </c>
      <c r="K1221">
        <f>VLOOKUP(J1221,Listas!$B$21:$C$50,2,FALSE)</f>
        <v>600017</v>
      </c>
      <c r="L1221">
        <v>-1</v>
      </c>
    </row>
    <row r="1222" spans="1:12">
      <c r="A1222">
        <v>116</v>
      </c>
      <c r="B1222" t="s">
        <v>4118</v>
      </c>
      <c r="C1222" s="96">
        <v>7273916000164</v>
      </c>
      <c r="D1222" t="s">
        <v>4119</v>
      </c>
      <c r="E1222" s="96" t="s">
        <v>1467</v>
      </c>
      <c r="H1222" t="s">
        <v>361</v>
      </c>
      <c r="I1222">
        <f>VLOOKUP(H1222,Listas!$B$2:$C$20,2,FALSE)</f>
        <v>500001</v>
      </c>
      <c r="J1222" t="s">
        <v>73</v>
      </c>
      <c r="K1222">
        <f>VLOOKUP(J1222,Listas!$B$21:$C$50,2,FALSE)</f>
        <v>600017</v>
      </c>
      <c r="L1222">
        <v>-1</v>
      </c>
    </row>
    <row r="1223" spans="1:12">
      <c r="A1223">
        <v>116</v>
      </c>
      <c r="B1223" t="s">
        <v>4120</v>
      </c>
      <c r="C1223" s="96">
        <v>42429480000150</v>
      </c>
      <c r="D1223" t="s">
        <v>4121</v>
      </c>
      <c r="E1223" s="96" t="s">
        <v>1467</v>
      </c>
      <c r="H1223" t="s">
        <v>361</v>
      </c>
      <c r="I1223">
        <f>VLOOKUP(H1223,Listas!$B$2:$C$20,2,FALSE)</f>
        <v>500001</v>
      </c>
      <c r="J1223" t="s">
        <v>73</v>
      </c>
      <c r="K1223">
        <f>VLOOKUP(J1223,Listas!$B$21:$C$50,2,FALSE)</f>
        <v>600017</v>
      </c>
      <c r="L1223">
        <v>-1</v>
      </c>
    </row>
    <row r="1224" spans="1:12">
      <c r="A1224">
        <v>116</v>
      </c>
      <c r="B1224" t="s">
        <v>4122</v>
      </c>
      <c r="C1224" s="96">
        <v>33683111000875</v>
      </c>
      <c r="D1224" t="s">
        <v>4123</v>
      </c>
      <c r="E1224" s="96" t="s">
        <v>1467</v>
      </c>
      <c r="H1224" t="s">
        <v>361</v>
      </c>
      <c r="I1224">
        <f>VLOOKUP(H1224,Listas!$B$2:$C$20,2,FALSE)</f>
        <v>500001</v>
      </c>
      <c r="J1224" t="s">
        <v>73</v>
      </c>
      <c r="K1224">
        <f>VLOOKUP(J1224,Listas!$B$21:$C$50,2,FALSE)</f>
        <v>600017</v>
      </c>
      <c r="L1224">
        <v>-1</v>
      </c>
    </row>
    <row r="1225" spans="1:12">
      <c r="A1225">
        <v>116</v>
      </c>
      <c r="B1225" t="s">
        <v>4124</v>
      </c>
      <c r="C1225" s="96">
        <v>45499342000136</v>
      </c>
      <c r="D1225" t="s">
        <v>4125</v>
      </c>
      <c r="E1225" s="96" t="s">
        <v>1467</v>
      </c>
      <c r="H1225" t="s">
        <v>361</v>
      </c>
      <c r="I1225">
        <f>VLOOKUP(H1225,Listas!$B$2:$C$20,2,FALSE)</f>
        <v>500001</v>
      </c>
      <c r="J1225" t="s">
        <v>73</v>
      </c>
      <c r="K1225">
        <f>VLOOKUP(J1225,Listas!$B$21:$C$50,2,FALSE)</f>
        <v>600017</v>
      </c>
      <c r="L1225">
        <v>-1</v>
      </c>
    </row>
    <row r="1226" spans="1:12">
      <c r="A1226">
        <v>116</v>
      </c>
      <c r="B1226" t="s">
        <v>4126</v>
      </c>
      <c r="C1226" s="96">
        <v>28912970000182</v>
      </c>
      <c r="D1226" t="s">
        <v>2370</v>
      </c>
      <c r="E1226" s="96" t="s">
        <v>1467</v>
      </c>
      <c r="H1226" t="s">
        <v>361</v>
      </c>
      <c r="I1226">
        <f>VLOOKUP(H1226,Listas!$B$2:$C$20,2,FALSE)</f>
        <v>500001</v>
      </c>
      <c r="J1226" t="s">
        <v>73</v>
      </c>
      <c r="K1226">
        <f>VLOOKUP(J1226,Listas!$B$21:$C$50,2,FALSE)</f>
        <v>600017</v>
      </c>
      <c r="L1226">
        <v>-1</v>
      </c>
    </row>
    <row r="1227" spans="1:12">
      <c r="A1227">
        <v>116</v>
      </c>
      <c r="B1227" t="s">
        <v>832</v>
      </c>
      <c r="C1227" s="96">
        <v>12782050000157</v>
      </c>
      <c r="D1227" t="s">
        <v>833</v>
      </c>
      <c r="E1227" s="96" t="s">
        <v>1467</v>
      </c>
      <c r="H1227" t="s">
        <v>361</v>
      </c>
      <c r="I1227">
        <f>VLOOKUP(H1227,Listas!$B$2:$C$20,2,FALSE)</f>
        <v>500001</v>
      </c>
      <c r="J1227" t="s">
        <v>73</v>
      </c>
      <c r="K1227">
        <f>VLOOKUP(J1227,Listas!$B$21:$C$50,2,FALSE)</f>
        <v>600017</v>
      </c>
      <c r="L1227">
        <v>-1</v>
      </c>
    </row>
    <row r="1228" spans="1:12">
      <c r="A1228">
        <v>116</v>
      </c>
      <c r="B1228" t="s">
        <v>834</v>
      </c>
      <c r="C1228" s="96">
        <v>7658544000194</v>
      </c>
      <c r="D1228" t="s">
        <v>835</v>
      </c>
      <c r="E1228" s="96" t="s">
        <v>1467</v>
      </c>
      <c r="H1228" t="s">
        <v>361</v>
      </c>
      <c r="I1228">
        <f>VLOOKUP(H1228,Listas!$B$2:$C$20,2,FALSE)</f>
        <v>500001</v>
      </c>
      <c r="J1228" t="s">
        <v>73</v>
      </c>
      <c r="K1228">
        <f>VLOOKUP(J1228,Listas!$B$21:$C$50,2,FALSE)</f>
        <v>600017</v>
      </c>
      <c r="L1228">
        <v>-1</v>
      </c>
    </row>
    <row r="1229" spans="1:12">
      <c r="A1229">
        <v>116</v>
      </c>
      <c r="B1229" t="s">
        <v>4127</v>
      </c>
      <c r="C1229" s="96">
        <v>46792829000175</v>
      </c>
      <c r="D1229" t="s">
        <v>4128</v>
      </c>
      <c r="E1229" s="96" t="s">
        <v>1467</v>
      </c>
      <c r="H1229" t="s">
        <v>361</v>
      </c>
      <c r="I1229">
        <f>VLOOKUP(H1229,Listas!$B$2:$C$20,2,FALSE)</f>
        <v>500001</v>
      </c>
      <c r="J1229" t="s">
        <v>73</v>
      </c>
      <c r="K1229">
        <f>VLOOKUP(J1229,Listas!$B$21:$C$50,2,FALSE)</f>
        <v>600017</v>
      </c>
      <c r="L1229">
        <v>-1</v>
      </c>
    </row>
    <row r="1230" spans="1:12">
      <c r="A1230">
        <v>116</v>
      </c>
      <c r="B1230" t="s">
        <v>4129</v>
      </c>
      <c r="C1230" s="96">
        <v>31030056000112</v>
      </c>
      <c r="D1230" t="s">
        <v>4130</v>
      </c>
      <c r="E1230" s="96" t="s">
        <v>1467</v>
      </c>
      <c r="H1230" t="s">
        <v>361</v>
      </c>
      <c r="I1230">
        <f>VLOOKUP(H1230,Listas!$B$2:$C$20,2,FALSE)</f>
        <v>500001</v>
      </c>
      <c r="J1230" t="s">
        <v>73</v>
      </c>
      <c r="K1230">
        <f>VLOOKUP(J1230,Listas!$B$21:$C$50,2,FALSE)</f>
        <v>600017</v>
      </c>
      <c r="L1230">
        <v>-1</v>
      </c>
    </row>
    <row r="1231" spans="1:12">
      <c r="A1231">
        <v>116</v>
      </c>
      <c r="B1231" t="s">
        <v>4131</v>
      </c>
      <c r="C1231" s="96">
        <v>22243823000180</v>
      </c>
      <c r="D1231" t="s">
        <v>4132</v>
      </c>
      <c r="E1231" s="96" t="s">
        <v>1467</v>
      </c>
      <c r="H1231" t="s">
        <v>361</v>
      </c>
      <c r="I1231">
        <f>VLOOKUP(H1231,Listas!$B$2:$C$20,2,FALSE)</f>
        <v>500001</v>
      </c>
      <c r="J1231" t="s">
        <v>73</v>
      </c>
      <c r="K1231">
        <f>VLOOKUP(J1231,Listas!$B$21:$C$50,2,FALSE)</f>
        <v>600017</v>
      </c>
      <c r="L1231">
        <v>-1</v>
      </c>
    </row>
    <row r="1232" spans="1:12">
      <c r="A1232">
        <v>116</v>
      </c>
      <c r="B1232" t="s">
        <v>4133</v>
      </c>
      <c r="C1232" s="96">
        <v>42112742000159</v>
      </c>
      <c r="D1232" t="s">
        <v>4134</v>
      </c>
      <c r="E1232" s="96" t="s">
        <v>1467</v>
      </c>
      <c r="H1232" t="s">
        <v>361</v>
      </c>
      <c r="I1232">
        <f>VLOOKUP(H1232,Listas!$B$2:$C$20,2,FALSE)</f>
        <v>500001</v>
      </c>
      <c r="J1232" t="s">
        <v>73</v>
      </c>
      <c r="K1232">
        <f>VLOOKUP(J1232,Listas!$B$21:$C$50,2,FALSE)</f>
        <v>600017</v>
      </c>
      <c r="L1232">
        <v>-1</v>
      </c>
    </row>
    <row r="1233" spans="1:12">
      <c r="A1233">
        <v>116</v>
      </c>
      <c r="B1233" t="s">
        <v>4135</v>
      </c>
      <c r="C1233" s="96">
        <v>23605872000189</v>
      </c>
      <c r="D1233" t="s">
        <v>4136</v>
      </c>
      <c r="E1233" s="96" t="s">
        <v>1467</v>
      </c>
      <c r="H1233" t="s">
        <v>361</v>
      </c>
      <c r="I1233">
        <f>VLOOKUP(H1233,Listas!$B$2:$C$20,2,FALSE)</f>
        <v>500001</v>
      </c>
      <c r="J1233" t="s">
        <v>73</v>
      </c>
      <c r="K1233">
        <f>VLOOKUP(J1233,Listas!$B$21:$C$50,2,FALSE)</f>
        <v>600017</v>
      </c>
      <c r="L1233">
        <v>-1</v>
      </c>
    </row>
    <row r="1234" spans="1:12">
      <c r="A1234">
        <v>116</v>
      </c>
      <c r="B1234" t="s">
        <v>4137</v>
      </c>
      <c r="C1234" s="96">
        <v>18241195000127</v>
      </c>
      <c r="D1234" t="s">
        <v>4138</v>
      </c>
      <c r="E1234" s="96" t="s">
        <v>1467</v>
      </c>
      <c r="H1234" t="s">
        <v>361</v>
      </c>
      <c r="I1234">
        <f>VLOOKUP(H1234,Listas!$B$2:$C$20,2,FALSE)</f>
        <v>500001</v>
      </c>
      <c r="J1234" t="s">
        <v>73</v>
      </c>
      <c r="K1234">
        <f>VLOOKUP(J1234,Listas!$B$21:$C$50,2,FALSE)</f>
        <v>600017</v>
      </c>
      <c r="L1234">
        <v>-1</v>
      </c>
    </row>
    <row r="1235" spans="1:12">
      <c r="A1235">
        <v>116</v>
      </c>
      <c r="B1235" t="s">
        <v>4139</v>
      </c>
      <c r="C1235" s="96">
        <v>772864000121</v>
      </c>
      <c r="D1235" t="s">
        <v>4140</v>
      </c>
      <c r="E1235" s="96" t="s">
        <v>1467</v>
      </c>
      <c r="H1235" t="s">
        <v>361</v>
      </c>
      <c r="I1235">
        <f>VLOOKUP(H1235,Listas!$B$2:$C$20,2,FALSE)</f>
        <v>500001</v>
      </c>
      <c r="J1235" t="s">
        <v>73</v>
      </c>
      <c r="K1235">
        <f>VLOOKUP(J1235,Listas!$B$21:$C$50,2,FALSE)</f>
        <v>600017</v>
      </c>
      <c r="L1235">
        <v>-1</v>
      </c>
    </row>
    <row r="1236" spans="1:12">
      <c r="A1236">
        <v>116</v>
      </c>
      <c r="B1236" t="s">
        <v>4141</v>
      </c>
      <c r="C1236" s="96">
        <v>10302191000108</v>
      </c>
      <c r="D1236" t="s">
        <v>4142</v>
      </c>
      <c r="E1236" s="96" t="s">
        <v>1467</v>
      </c>
      <c r="H1236" t="s">
        <v>361</v>
      </c>
      <c r="I1236">
        <f>VLOOKUP(H1236,Listas!$B$2:$C$20,2,FALSE)</f>
        <v>500001</v>
      </c>
      <c r="J1236" t="s">
        <v>73</v>
      </c>
      <c r="K1236">
        <f>VLOOKUP(J1236,Listas!$B$21:$C$50,2,FALSE)</f>
        <v>600017</v>
      </c>
      <c r="L1236">
        <v>-1</v>
      </c>
    </row>
    <row r="1237" spans="1:12">
      <c r="A1237">
        <v>116</v>
      </c>
      <c r="B1237" t="s">
        <v>836</v>
      </c>
      <c r="C1237" s="96">
        <v>24185201000179</v>
      </c>
      <c r="D1237" t="s">
        <v>837</v>
      </c>
      <c r="E1237" s="96" t="s">
        <v>1467</v>
      </c>
      <c r="H1237" t="s">
        <v>361</v>
      </c>
      <c r="I1237">
        <f>VLOOKUP(H1237,Listas!$B$2:$C$20,2,FALSE)</f>
        <v>500001</v>
      </c>
      <c r="J1237" t="s">
        <v>73</v>
      </c>
      <c r="K1237">
        <f>VLOOKUP(J1237,Listas!$B$21:$C$50,2,FALSE)</f>
        <v>600017</v>
      </c>
      <c r="L1237">
        <v>-1</v>
      </c>
    </row>
    <row r="1238" spans="1:12">
      <c r="A1238">
        <v>116</v>
      </c>
      <c r="B1238" t="s">
        <v>4143</v>
      </c>
      <c r="C1238" s="96">
        <v>29300259000130</v>
      </c>
      <c r="D1238" t="s">
        <v>4144</v>
      </c>
      <c r="E1238" s="96" t="s">
        <v>1467</v>
      </c>
      <c r="H1238" t="s">
        <v>361</v>
      </c>
      <c r="I1238">
        <f>VLOOKUP(H1238,Listas!$B$2:$C$20,2,FALSE)</f>
        <v>500001</v>
      </c>
      <c r="J1238" t="s">
        <v>73</v>
      </c>
      <c r="K1238">
        <f>VLOOKUP(J1238,Listas!$B$21:$C$50,2,FALSE)</f>
        <v>600017</v>
      </c>
      <c r="L1238">
        <v>-1</v>
      </c>
    </row>
    <row r="1239" spans="1:12">
      <c r="A1239">
        <v>116</v>
      </c>
      <c r="B1239" t="s">
        <v>4145</v>
      </c>
      <c r="C1239" s="96">
        <v>9183496000150</v>
      </c>
      <c r="D1239" t="s">
        <v>4146</v>
      </c>
      <c r="E1239" s="96" t="s">
        <v>1467</v>
      </c>
      <c r="H1239" t="s">
        <v>361</v>
      </c>
      <c r="I1239">
        <f>VLOOKUP(H1239,Listas!$B$2:$C$20,2,FALSE)</f>
        <v>500001</v>
      </c>
      <c r="J1239" t="s">
        <v>73</v>
      </c>
      <c r="K1239">
        <f>VLOOKUP(J1239,Listas!$B$21:$C$50,2,FALSE)</f>
        <v>600017</v>
      </c>
      <c r="L1239">
        <v>-1</v>
      </c>
    </row>
    <row r="1240" spans="1:12">
      <c r="A1240">
        <v>116</v>
      </c>
      <c r="B1240" t="s">
        <v>4147</v>
      </c>
      <c r="C1240" s="96">
        <v>19908082000103</v>
      </c>
      <c r="D1240" t="s">
        <v>4148</v>
      </c>
      <c r="E1240" s="96" t="s">
        <v>1467</v>
      </c>
      <c r="H1240" t="s">
        <v>361</v>
      </c>
      <c r="I1240">
        <f>VLOOKUP(H1240,Listas!$B$2:$C$20,2,FALSE)</f>
        <v>500001</v>
      </c>
      <c r="J1240" t="s">
        <v>73</v>
      </c>
      <c r="K1240">
        <f>VLOOKUP(J1240,Listas!$B$21:$C$50,2,FALSE)</f>
        <v>600017</v>
      </c>
      <c r="L1240">
        <v>-1</v>
      </c>
    </row>
    <row r="1241" spans="1:12">
      <c r="A1241">
        <v>116</v>
      </c>
      <c r="B1241" t="s">
        <v>4149</v>
      </c>
      <c r="C1241" s="96">
        <v>10298998000106</v>
      </c>
      <c r="D1241" t="s">
        <v>4150</v>
      </c>
      <c r="E1241" s="96" t="s">
        <v>1467</v>
      </c>
      <c r="H1241" t="s">
        <v>361</v>
      </c>
      <c r="I1241">
        <f>VLOOKUP(H1241,Listas!$B$2:$C$20,2,FALSE)</f>
        <v>500001</v>
      </c>
      <c r="J1241" t="s">
        <v>73</v>
      </c>
      <c r="K1241">
        <f>VLOOKUP(J1241,Listas!$B$21:$C$50,2,FALSE)</f>
        <v>600017</v>
      </c>
      <c r="L1241">
        <v>-1</v>
      </c>
    </row>
    <row r="1242" spans="1:12">
      <c r="A1242">
        <v>116</v>
      </c>
      <c r="B1242" t="s">
        <v>4151</v>
      </c>
      <c r="C1242" s="96">
        <v>5507500000138</v>
      </c>
      <c r="D1242" t="s">
        <v>4152</v>
      </c>
      <c r="E1242" s="96" t="s">
        <v>1467</v>
      </c>
      <c r="H1242" t="s">
        <v>361</v>
      </c>
      <c r="I1242">
        <f>VLOOKUP(H1242,Listas!$B$2:$C$20,2,FALSE)</f>
        <v>500001</v>
      </c>
      <c r="J1242" t="s">
        <v>73</v>
      </c>
      <c r="K1242">
        <f>VLOOKUP(J1242,Listas!$B$21:$C$50,2,FALSE)</f>
        <v>600017</v>
      </c>
      <c r="L1242">
        <v>-1</v>
      </c>
    </row>
    <row r="1243" spans="1:12">
      <c r="A1243">
        <v>116</v>
      </c>
      <c r="B1243" t="s">
        <v>4153</v>
      </c>
      <c r="C1243" s="96">
        <v>47463326000119</v>
      </c>
      <c r="D1243" t="s">
        <v>4154</v>
      </c>
      <c r="E1243" s="96" t="s">
        <v>1467</v>
      </c>
      <c r="H1243" t="s">
        <v>361</v>
      </c>
      <c r="I1243">
        <f>VLOOKUP(H1243,Listas!$B$2:$C$20,2,FALSE)</f>
        <v>500001</v>
      </c>
      <c r="J1243" t="s">
        <v>73</v>
      </c>
      <c r="K1243">
        <f>VLOOKUP(J1243,Listas!$B$21:$C$50,2,FALSE)</f>
        <v>600017</v>
      </c>
      <c r="L1243">
        <v>-1</v>
      </c>
    </row>
    <row r="1244" spans="1:12">
      <c r="A1244">
        <v>116</v>
      </c>
      <c r="B1244" t="s">
        <v>4155</v>
      </c>
      <c r="C1244" s="96">
        <v>65714784000165</v>
      </c>
      <c r="D1244" t="s">
        <v>4156</v>
      </c>
      <c r="E1244" s="96" t="s">
        <v>1467</v>
      </c>
      <c r="H1244" t="s">
        <v>361</v>
      </c>
      <c r="I1244">
        <f>VLOOKUP(H1244,Listas!$B$2:$C$20,2,FALSE)</f>
        <v>500001</v>
      </c>
      <c r="J1244" t="s">
        <v>73</v>
      </c>
      <c r="K1244">
        <f>VLOOKUP(J1244,Listas!$B$21:$C$50,2,FALSE)</f>
        <v>600017</v>
      </c>
      <c r="L1244">
        <v>-1</v>
      </c>
    </row>
    <row r="1245" spans="1:12">
      <c r="A1245">
        <v>116</v>
      </c>
      <c r="B1245" t="s">
        <v>838</v>
      </c>
      <c r="C1245" s="96">
        <v>48659502000155</v>
      </c>
      <c r="D1245" t="s">
        <v>839</v>
      </c>
      <c r="E1245" s="96" t="s">
        <v>1467</v>
      </c>
      <c r="H1245" t="s">
        <v>361</v>
      </c>
      <c r="I1245">
        <f>VLOOKUP(H1245,Listas!$B$2:$C$20,2,FALSE)</f>
        <v>500001</v>
      </c>
      <c r="J1245" t="s">
        <v>73</v>
      </c>
      <c r="K1245">
        <f>VLOOKUP(J1245,Listas!$B$21:$C$50,2,FALSE)</f>
        <v>600017</v>
      </c>
      <c r="L1245">
        <v>-1</v>
      </c>
    </row>
    <row r="1246" spans="1:12">
      <c r="A1246">
        <v>116</v>
      </c>
      <c r="B1246" t="s">
        <v>4157</v>
      </c>
      <c r="C1246" s="96">
        <v>4053315000158</v>
      </c>
      <c r="D1246" t="s">
        <v>4158</v>
      </c>
      <c r="E1246" s="96" t="s">
        <v>1467</v>
      </c>
      <c r="H1246" t="s">
        <v>361</v>
      </c>
      <c r="I1246">
        <f>VLOOKUP(H1246,Listas!$B$2:$C$20,2,FALSE)</f>
        <v>500001</v>
      </c>
      <c r="J1246" t="s">
        <v>73</v>
      </c>
      <c r="K1246">
        <f>VLOOKUP(J1246,Listas!$B$21:$C$50,2,FALSE)</f>
        <v>600017</v>
      </c>
      <c r="L1246">
        <v>-1</v>
      </c>
    </row>
    <row r="1247" spans="1:12">
      <c r="A1247">
        <v>116</v>
      </c>
      <c r="B1247" t="s">
        <v>4159</v>
      </c>
      <c r="C1247" s="96">
        <v>27116140000186</v>
      </c>
      <c r="D1247" t="s">
        <v>4160</v>
      </c>
      <c r="E1247" s="96" t="s">
        <v>1467</v>
      </c>
      <c r="H1247" t="s">
        <v>361</v>
      </c>
      <c r="I1247">
        <f>VLOOKUP(H1247,Listas!$B$2:$C$20,2,FALSE)</f>
        <v>500001</v>
      </c>
      <c r="J1247" t="s">
        <v>73</v>
      </c>
      <c r="K1247">
        <f>VLOOKUP(J1247,Listas!$B$21:$C$50,2,FALSE)</f>
        <v>600017</v>
      </c>
      <c r="L1247">
        <v>-1</v>
      </c>
    </row>
    <row r="1248" spans="1:12">
      <c r="A1248">
        <v>116</v>
      </c>
      <c r="B1248" t="s">
        <v>840</v>
      </c>
      <c r="C1248" s="96">
        <v>9012638000117</v>
      </c>
      <c r="D1248" t="s">
        <v>841</v>
      </c>
      <c r="E1248" s="96" t="s">
        <v>1467</v>
      </c>
      <c r="H1248" t="s">
        <v>361</v>
      </c>
      <c r="I1248">
        <f>VLOOKUP(H1248,Listas!$B$2:$C$20,2,FALSE)</f>
        <v>500001</v>
      </c>
      <c r="J1248" t="s">
        <v>73</v>
      </c>
      <c r="K1248">
        <f>VLOOKUP(J1248,Listas!$B$21:$C$50,2,FALSE)</f>
        <v>600017</v>
      </c>
      <c r="L1248">
        <v>-1</v>
      </c>
    </row>
    <row r="1249" spans="1:12">
      <c r="A1249">
        <v>116</v>
      </c>
      <c r="B1249" t="s">
        <v>842</v>
      </c>
      <c r="C1249" s="96">
        <v>47982472000150</v>
      </c>
      <c r="D1249" t="s">
        <v>843</v>
      </c>
      <c r="E1249" s="96" t="s">
        <v>1467</v>
      </c>
      <c r="H1249" t="s">
        <v>361</v>
      </c>
      <c r="I1249">
        <f>VLOOKUP(H1249,Listas!$B$2:$C$20,2,FALSE)</f>
        <v>500001</v>
      </c>
      <c r="J1249" t="s">
        <v>73</v>
      </c>
      <c r="K1249">
        <f>VLOOKUP(J1249,Listas!$B$21:$C$50,2,FALSE)</f>
        <v>600017</v>
      </c>
      <c r="L1249">
        <v>-1</v>
      </c>
    </row>
    <row r="1250" spans="1:12">
      <c r="A1250">
        <v>116</v>
      </c>
      <c r="B1250" t="s">
        <v>4161</v>
      </c>
      <c r="C1250" s="338">
        <v>52618139003031</v>
      </c>
      <c r="D1250" t="s">
        <v>4162</v>
      </c>
      <c r="E1250" s="96" t="s">
        <v>1467</v>
      </c>
      <c r="H1250" t="s">
        <v>361</v>
      </c>
      <c r="I1250">
        <f>VLOOKUP(H1250,Listas!$B$2:$C$20,2,FALSE)</f>
        <v>500001</v>
      </c>
      <c r="J1250" t="s">
        <v>73</v>
      </c>
      <c r="K1250">
        <f>VLOOKUP(J1250,Listas!$B$21:$C$50,2,FALSE)</f>
        <v>600017</v>
      </c>
      <c r="L1250">
        <v>-1</v>
      </c>
    </row>
    <row r="1251" spans="1:12">
      <c r="A1251">
        <v>116</v>
      </c>
      <c r="B1251" t="s">
        <v>844</v>
      </c>
      <c r="C1251" s="96">
        <v>40175986000317</v>
      </c>
      <c r="D1251" t="s">
        <v>845</v>
      </c>
      <c r="E1251" s="96" t="s">
        <v>1467</v>
      </c>
      <c r="H1251" t="s">
        <v>361</v>
      </c>
      <c r="I1251">
        <f>VLOOKUP(H1251,Listas!$B$2:$C$20,2,FALSE)</f>
        <v>500001</v>
      </c>
      <c r="J1251" t="s">
        <v>73</v>
      </c>
      <c r="K1251">
        <f>VLOOKUP(J1251,Listas!$B$21:$C$50,2,FALSE)</f>
        <v>600017</v>
      </c>
      <c r="L1251">
        <v>-1</v>
      </c>
    </row>
    <row r="1252" spans="1:12">
      <c r="A1252">
        <v>116</v>
      </c>
      <c r="B1252" t="s">
        <v>846</v>
      </c>
      <c r="C1252" s="96">
        <v>6201994000190</v>
      </c>
      <c r="D1252" t="s">
        <v>847</v>
      </c>
      <c r="E1252" s="96" t="s">
        <v>1467</v>
      </c>
      <c r="H1252" t="s">
        <v>361</v>
      </c>
      <c r="I1252">
        <f>VLOOKUP(H1252,Listas!$B$2:$C$20,2,FALSE)</f>
        <v>500001</v>
      </c>
      <c r="J1252" t="s">
        <v>73</v>
      </c>
      <c r="K1252">
        <f>VLOOKUP(J1252,Listas!$B$21:$C$50,2,FALSE)</f>
        <v>600017</v>
      </c>
      <c r="L1252">
        <v>-1</v>
      </c>
    </row>
    <row r="1253" spans="1:12">
      <c r="A1253">
        <v>116</v>
      </c>
      <c r="B1253" t="s">
        <v>848</v>
      </c>
      <c r="C1253" s="96">
        <v>48753004000177</v>
      </c>
      <c r="D1253" t="s">
        <v>849</v>
      </c>
      <c r="E1253" s="96" t="s">
        <v>1467</v>
      </c>
      <c r="H1253" t="s">
        <v>361</v>
      </c>
      <c r="I1253">
        <f>VLOOKUP(H1253,Listas!$B$2:$C$20,2,FALSE)</f>
        <v>500001</v>
      </c>
      <c r="J1253" t="s">
        <v>73</v>
      </c>
      <c r="K1253">
        <f>VLOOKUP(J1253,Listas!$B$21:$C$50,2,FALSE)</f>
        <v>600017</v>
      </c>
      <c r="L1253">
        <v>-1</v>
      </c>
    </row>
    <row r="1254" spans="1:12">
      <c r="A1254">
        <v>116</v>
      </c>
      <c r="B1254" t="s">
        <v>850</v>
      </c>
      <c r="C1254" s="96">
        <v>5824184000128</v>
      </c>
      <c r="D1254" t="s">
        <v>851</v>
      </c>
      <c r="E1254" s="96" t="s">
        <v>1467</v>
      </c>
      <c r="H1254" t="s">
        <v>361</v>
      </c>
      <c r="I1254">
        <f>VLOOKUP(H1254,Listas!$B$2:$C$20,2,FALSE)</f>
        <v>500001</v>
      </c>
      <c r="J1254" t="s">
        <v>73</v>
      </c>
      <c r="K1254">
        <f>VLOOKUP(J1254,Listas!$B$21:$C$50,2,FALSE)</f>
        <v>600017</v>
      </c>
      <c r="L1254">
        <v>-1</v>
      </c>
    </row>
    <row r="1255" spans="1:12">
      <c r="A1255">
        <v>116</v>
      </c>
      <c r="B1255" t="s">
        <v>852</v>
      </c>
      <c r="C1255" s="96">
        <v>50396702000104</v>
      </c>
      <c r="D1255" t="s">
        <v>853</v>
      </c>
      <c r="E1255" s="96" t="s">
        <v>1467</v>
      </c>
      <c r="H1255" t="s">
        <v>361</v>
      </c>
      <c r="I1255">
        <f>VLOOKUP(H1255,Listas!$B$2:$C$20,2,FALSE)</f>
        <v>500001</v>
      </c>
      <c r="J1255" t="s">
        <v>73</v>
      </c>
      <c r="K1255">
        <f>VLOOKUP(J1255,Listas!$B$21:$C$50,2,FALSE)</f>
        <v>600017</v>
      </c>
      <c r="L1255">
        <v>-1</v>
      </c>
    </row>
    <row r="1256" spans="1:12">
      <c r="A1256">
        <v>116</v>
      </c>
      <c r="B1256" t="s">
        <v>854</v>
      </c>
      <c r="C1256" s="96">
        <v>29864278000199</v>
      </c>
      <c r="D1256" t="s">
        <v>855</v>
      </c>
      <c r="E1256" s="96" t="s">
        <v>1467</v>
      </c>
      <c r="H1256" t="s">
        <v>361</v>
      </c>
      <c r="I1256">
        <f>VLOOKUP(H1256,Listas!$B$2:$C$20,2,FALSE)</f>
        <v>500001</v>
      </c>
      <c r="J1256" t="s">
        <v>73</v>
      </c>
      <c r="K1256">
        <f>VLOOKUP(J1256,Listas!$B$21:$C$50,2,FALSE)</f>
        <v>600017</v>
      </c>
      <c r="L1256">
        <v>-1</v>
      </c>
    </row>
    <row r="1257" spans="1:12">
      <c r="A1257">
        <v>116</v>
      </c>
      <c r="B1257" t="s">
        <v>856</v>
      </c>
      <c r="C1257" s="96">
        <v>10535809000171</v>
      </c>
      <c r="D1257" t="s">
        <v>857</v>
      </c>
      <c r="E1257" s="96" t="s">
        <v>1467</v>
      </c>
      <c r="H1257" t="s">
        <v>361</v>
      </c>
      <c r="I1257">
        <f>VLOOKUP(H1257,Listas!$B$2:$C$20,2,FALSE)</f>
        <v>500001</v>
      </c>
      <c r="J1257" t="s">
        <v>73</v>
      </c>
      <c r="K1257">
        <f>VLOOKUP(J1257,Listas!$B$21:$C$50,2,FALSE)</f>
        <v>600017</v>
      </c>
      <c r="L1257">
        <v>-1</v>
      </c>
    </row>
    <row r="1258" spans="1:12">
      <c r="A1258">
        <v>116</v>
      </c>
      <c r="B1258" t="s">
        <v>858</v>
      </c>
      <c r="C1258" s="96">
        <v>69112514000135</v>
      </c>
      <c r="D1258" t="s">
        <v>859</v>
      </c>
      <c r="E1258" s="96" t="s">
        <v>1467</v>
      </c>
      <c r="H1258" t="s">
        <v>361</v>
      </c>
      <c r="I1258">
        <f>VLOOKUP(H1258,Listas!$B$2:$C$20,2,FALSE)</f>
        <v>500001</v>
      </c>
      <c r="J1258" t="s">
        <v>73</v>
      </c>
      <c r="K1258">
        <f>VLOOKUP(J1258,Listas!$B$21:$C$50,2,FALSE)</f>
        <v>600017</v>
      </c>
      <c r="L1258">
        <v>-1</v>
      </c>
    </row>
    <row r="1259" spans="1:12">
      <c r="A1259">
        <v>116</v>
      </c>
      <c r="B1259" t="s">
        <v>860</v>
      </c>
      <c r="C1259" s="96">
        <v>67129858000121</v>
      </c>
      <c r="D1259" t="s">
        <v>861</v>
      </c>
      <c r="E1259" s="96" t="s">
        <v>1467</v>
      </c>
      <c r="H1259" t="s">
        <v>361</v>
      </c>
      <c r="I1259">
        <f>VLOOKUP(H1259,Listas!$B$2:$C$20,2,FALSE)</f>
        <v>500001</v>
      </c>
      <c r="J1259" t="s">
        <v>73</v>
      </c>
      <c r="K1259">
        <f>VLOOKUP(J1259,Listas!$B$21:$C$50,2,FALSE)</f>
        <v>600017</v>
      </c>
      <c r="L1259">
        <v>-1</v>
      </c>
    </row>
    <row r="1260" spans="1:12">
      <c r="A1260">
        <v>116</v>
      </c>
      <c r="B1260" t="s">
        <v>862</v>
      </c>
      <c r="C1260" s="96">
        <v>33327016000162</v>
      </c>
      <c r="D1260" t="s">
        <v>863</v>
      </c>
      <c r="E1260" s="96" t="s">
        <v>1467</v>
      </c>
      <c r="H1260" t="s">
        <v>361</v>
      </c>
      <c r="I1260">
        <f>VLOOKUP(H1260,Listas!$B$2:$C$20,2,FALSE)</f>
        <v>500001</v>
      </c>
      <c r="J1260" t="s">
        <v>73</v>
      </c>
      <c r="K1260">
        <f>VLOOKUP(J1260,Listas!$B$21:$C$50,2,FALSE)</f>
        <v>600017</v>
      </c>
      <c r="L1260">
        <v>-1</v>
      </c>
    </row>
    <row r="1261" spans="1:12">
      <c r="A1261">
        <v>116</v>
      </c>
      <c r="B1261" t="s">
        <v>4163</v>
      </c>
      <c r="C1261" s="96">
        <v>50919483000109</v>
      </c>
      <c r="D1261" t="s">
        <v>4164</v>
      </c>
      <c r="E1261" s="96" t="s">
        <v>1467</v>
      </c>
      <c r="H1261" t="s">
        <v>361</v>
      </c>
      <c r="I1261">
        <f>VLOOKUP(H1261,Listas!$B$2:$C$20,2,FALSE)</f>
        <v>500001</v>
      </c>
      <c r="J1261" t="s">
        <v>73</v>
      </c>
      <c r="K1261">
        <f>VLOOKUP(J1261,Listas!$B$21:$C$50,2,FALSE)</f>
        <v>600017</v>
      </c>
      <c r="L1261">
        <v>-1</v>
      </c>
    </row>
    <row r="1262" spans="1:12">
      <c r="A1262">
        <v>116</v>
      </c>
      <c r="B1262" t="s">
        <v>4165</v>
      </c>
      <c r="C1262" s="96">
        <v>29532264000178</v>
      </c>
      <c r="D1262" t="s">
        <v>4166</v>
      </c>
      <c r="E1262" s="96" t="s">
        <v>1467</v>
      </c>
      <c r="H1262" t="s">
        <v>361</v>
      </c>
      <c r="I1262">
        <f>VLOOKUP(H1262,Listas!$B$2:$C$20,2,FALSE)</f>
        <v>500001</v>
      </c>
      <c r="J1262" t="s">
        <v>73</v>
      </c>
      <c r="K1262">
        <f>VLOOKUP(J1262,Listas!$B$21:$C$50,2,FALSE)</f>
        <v>600017</v>
      </c>
      <c r="L1262">
        <v>-1</v>
      </c>
    </row>
    <row r="1263" spans="1:12">
      <c r="A1263">
        <v>116</v>
      </c>
      <c r="B1263" t="s">
        <v>4167</v>
      </c>
      <c r="C1263" s="96">
        <v>3571941000173</v>
      </c>
      <c r="D1263" t="s">
        <v>4168</v>
      </c>
      <c r="E1263" s="96" t="s">
        <v>1467</v>
      </c>
      <c r="H1263" t="s">
        <v>361</v>
      </c>
      <c r="I1263">
        <f>VLOOKUP(H1263,Listas!$B$2:$C$20,2,FALSE)</f>
        <v>500001</v>
      </c>
      <c r="J1263" t="s">
        <v>73</v>
      </c>
      <c r="K1263">
        <f>VLOOKUP(J1263,Listas!$B$21:$C$50,2,FALSE)</f>
        <v>600017</v>
      </c>
      <c r="L1263">
        <v>-1</v>
      </c>
    </row>
    <row r="1264" spans="1:12">
      <c r="A1264">
        <v>116</v>
      </c>
      <c r="B1264" t="s">
        <v>4169</v>
      </c>
      <c r="C1264" s="96">
        <v>43456425000112</v>
      </c>
      <c r="D1264" t="s">
        <v>4170</v>
      </c>
      <c r="E1264" s="96" t="s">
        <v>1467</v>
      </c>
      <c r="H1264" t="s">
        <v>361</v>
      </c>
      <c r="I1264">
        <f>VLOOKUP(H1264,Listas!$B$2:$C$20,2,FALSE)</f>
        <v>500001</v>
      </c>
      <c r="J1264" t="s">
        <v>73</v>
      </c>
      <c r="K1264">
        <f>VLOOKUP(J1264,Listas!$B$21:$C$50,2,FALSE)</f>
        <v>600017</v>
      </c>
      <c r="L1264">
        <v>-1</v>
      </c>
    </row>
    <row r="1265" spans="1:12">
      <c r="A1265">
        <v>116</v>
      </c>
      <c r="B1265" t="s">
        <v>4171</v>
      </c>
      <c r="C1265" s="96">
        <v>21775752000102</v>
      </c>
      <c r="D1265" t="s">
        <v>4172</v>
      </c>
      <c r="E1265" s="96" t="s">
        <v>1467</v>
      </c>
      <c r="H1265" t="s">
        <v>361</v>
      </c>
      <c r="I1265">
        <f>VLOOKUP(H1265,Listas!$B$2:$C$20,2,FALSE)</f>
        <v>500001</v>
      </c>
      <c r="J1265" t="s">
        <v>73</v>
      </c>
      <c r="K1265">
        <f>VLOOKUP(J1265,Listas!$B$21:$C$50,2,FALSE)</f>
        <v>600017</v>
      </c>
      <c r="L1265">
        <v>-1</v>
      </c>
    </row>
    <row r="1266" spans="1:12">
      <c r="A1266">
        <v>116</v>
      </c>
      <c r="B1266" t="s">
        <v>4173</v>
      </c>
      <c r="C1266" s="96">
        <v>3859239000100</v>
      </c>
      <c r="D1266" t="s">
        <v>4174</v>
      </c>
      <c r="E1266" s="96" t="s">
        <v>1467</v>
      </c>
      <c r="H1266" t="s">
        <v>361</v>
      </c>
      <c r="I1266">
        <f>VLOOKUP(H1266,Listas!$B$2:$C$20,2,FALSE)</f>
        <v>500001</v>
      </c>
      <c r="J1266" t="s">
        <v>73</v>
      </c>
      <c r="K1266">
        <f>VLOOKUP(J1266,Listas!$B$21:$C$50,2,FALSE)</f>
        <v>600017</v>
      </c>
      <c r="L1266">
        <v>-1</v>
      </c>
    </row>
    <row r="1267" spans="1:12">
      <c r="A1267">
        <v>116</v>
      </c>
      <c r="B1267" t="s">
        <v>4175</v>
      </c>
      <c r="C1267" s="96">
        <v>2543012000198</v>
      </c>
      <c r="D1267" t="s">
        <v>4176</v>
      </c>
      <c r="E1267" s="96" t="s">
        <v>1467</v>
      </c>
      <c r="H1267" t="s">
        <v>361</v>
      </c>
      <c r="I1267">
        <f>VLOOKUP(H1267,Listas!$B$2:$C$20,2,FALSE)</f>
        <v>500001</v>
      </c>
      <c r="J1267" t="s">
        <v>73</v>
      </c>
      <c r="K1267">
        <f>VLOOKUP(J1267,Listas!$B$21:$C$50,2,FALSE)</f>
        <v>600017</v>
      </c>
      <c r="L1267">
        <v>-1</v>
      </c>
    </row>
    <row r="1268" spans="1:12">
      <c r="A1268">
        <v>116</v>
      </c>
      <c r="B1268" t="s">
        <v>4177</v>
      </c>
      <c r="C1268" s="96">
        <v>43738430000118</v>
      </c>
      <c r="D1268" t="s">
        <v>4178</v>
      </c>
      <c r="E1268" s="96" t="s">
        <v>1467</v>
      </c>
      <c r="H1268" t="s">
        <v>361</v>
      </c>
      <c r="I1268">
        <f>VLOOKUP(H1268,Listas!$B$2:$C$20,2,FALSE)</f>
        <v>500001</v>
      </c>
      <c r="J1268" t="s">
        <v>73</v>
      </c>
      <c r="K1268">
        <f>VLOOKUP(J1268,Listas!$B$21:$C$50,2,FALSE)</f>
        <v>600017</v>
      </c>
      <c r="L1268">
        <v>-1</v>
      </c>
    </row>
    <row r="1269" spans="1:12">
      <c r="A1269">
        <v>116</v>
      </c>
      <c r="B1269" t="s">
        <v>4179</v>
      </c>
      <c r="C1269" s="96">
        <v>16647700000102</v>
      </c>
      <c r="D1269" t="s">
        <v>4180</v>
      </c>
      <c r="E1269" s="96" t="s">
        <v>1467</v>
      </c>
      <c r="H1269" t="s">
        <v>361</v>
      </c>
      <c r="I1269">
        <f>VLOOKUP(H1269,Listas!$B$2:$C$20,2,FALSE)</f>
        <v>500001</v>
      </c>
      <c r="J1269" t="s">
        <v>73</v>
      </c>
      <c r="K1269">
        <f>VLOOKUP(J1269,Listas!$B$21:$C$50,2,FALSE)</f>
        <v>600017</v>
      </c>
      <c r="L1269">
        <v>-1</v>
      </c>
    </row>
    <row r="1270" spans="1:12">
      <c r="A1270">
        <v>116</v>
      </c>
      <c r="B1270" t="s">
        <v>4181</v>
      </c>
      <c r="C1270" s="96">
        <v>36624014000123</v>
      </c>
      <c r="D1270" t="s">
        <v>4182</v>
      </c>
      <c r="E1270" s="96" t="s">
        <v>1467</v>
      </c>
      <c r="H1270" t="s">
        <v>361</v>
      </c>
      <c r="I1270">
        <f>VLOOKUP(H1270,Listas!$B$2:$C$20,2,FALSE)</f>
        <v>500001</v>
      </c>
      <c r="J1270" t="s">
        <v>73</v>
      </c>
      <c r="K1270">
        <f>VLOOKUP(J1270,Listas!$B$21:$C$50,2,FALSE)</f>
        <v>600017</v>
      </c>
      <c r="L1270">
        <v>-1</v>
      </c>
    </row>
    <row r="1271" spans="1:12">
      <c r="A1271">
        <v>116</v>
      </c>
      <c r="B1271" t="s">
        <v>4183</v>
      </c>
      <c r="C1271" s="96">
        <v>33359257000193</v>
      </c>
      <c r="D1271" t="s">
        <v>4184</v>
      </c>
      <c r="E1271" s="96" t="s">
        <v>1467</v>
      </c>
      <c r="H1271" t="s">
        <v>361</v>
      </c>
      <c r="I1271">
        <f>VLOOKUP(H1271,Listas!$B$2:$C$20,2,FALSE)</f>
        <v>500001</v>
      </c>
      <c r="J1271" t="s">
        <v>73</v>
      </c>
      <c r="K1271">
        <f>VLOOKUP(J1271,Listas!$B$21:$C$50,2,FALSE)</f>
        <v>600017</v>
      </c>
      <c r="L1271">
        <v>-1</v>
      </c>
    </row>
    <row r="1272" spans="1:12">
      <c r="A1272">
        <v>116</v>
      </c>
      <c r="B1272" t="s">
        <v>4185</v>
      </c>
      <c r="C1272" s="96">
        <v>16802303000320</v>
      </c>
      <c r="D1272" t="s">
        <v>4186</v>
      </c>
      <c r="E1272" s="96" t="s">
        <v>1467</v>
      </c>
      <c r="H1272" t="s">
        <v>361</v>
      </c>
      <c r="I1272">
        <f>VLOOKUP(H1272,Listas!$B$2:$C$20,2,FALSE)</f>
        <v>500001</v>
      </c>
      <c r="J1272" t="s">
        <v>73</v>
      </c>
      <c r="K1272">
        <f>VLOOKUP(J1272,Listas!$B$21:$C$50,2,FALSE)</f>
        <v>600017</v>
      </c>
      <c r="L1272">
        <v>-1</v>
      </c>
    </row>
    <row r="1273" spans="1:12">
      <c r="A1273">
        <v>116</v>
      </c>
      <c r="B1273" t="s">
        <v>4187</v>
      </c>
      <c r="C1273" s="96">
        <v>29978236000189</v>
      </c>
      <c r="D1273" t="s">
        <v>4188</v>
      </c>
      <c r="E1273" s="96" t="s">
        <v>1467</v>
      </c>
      <c r="H1273" t="s">
        <v>361</v>
      </c>
      <c r="I1273">
        <f>VLOOKUP(H1273,Listas!$B$2:$C$20,2,FALSE)</f>
        <v>500001</v>
      </c>
      <c r="J1273" t="s">
        <v>73</v>
      </c>
      <c r="K1273">
        <f>VLOOKUP(J1273,Listas!$B$21:$C$50,2,FALSE)</f>
        <v>600017</v>
      </c>
      <c r="L1273">
        <v>-1</v>
      </c>
    </row>
    <row r="1274" spans="1:12">
      <c r="A1274">
        <v>116</v>
      </c>
      <c r="B1274" t="s">
        <v>4189</v>
      </c>
      <c r="C1274" s="96">
        <v>24554068000180</v>
      </c>
      <c r="D1274" t="s">
        <v>4190</v>
      </c>
      <c r="E1274" s="96" t="s">
        <v>1467</v>
      </c>
      <c r="H1274" t="s">
        <v>361</v>
      </c>
      <c r="I1274">
        <f>VLOOKUP(H1274,Listas!$B$2:$C$20,2,FALSE)</f>
        <v>500001</v>
      </c>
      <c r="J1274" t="s">
        <v>73</v>
      </c>
      <c r="K1274">
        <f>VLOOKUP(J1274,Listas!$B$21:$C$50,2,FALSE)</f>
        <v>600017</v>
      </c>
      <c r="L1274">
        <v>-1</v>
      </c>
    </row>
    <row r="1275" spans="1:12">
      <c r="A1275">
        <v>116</v>
      </c>
      <c r="B1275" t="s">
        <v>4191</v>
      </c>
      <c r="C1275" s="96">
        <v>42405127000130</v>
      </c>
      <c r="D1275" t="s">
        <v>4192</v>
      </c>
      <c r="E1275" s="96" t="s">
        <v>1467</v>
      </c>
      <c r="H1275" t="s">
        <v>361</v>
      </c>
      <c r="I1275">
        <f>VLOOKUP(H1275,Listas!$B$2:$C$20,2,FALSE)</f>
        <v>500001</v>
      </c>
      <c r="J1275" t="s">
        <v>73</v>
      </c>
      <c r="K1275">
        <f>VLOOKUP(J1275,Listas!$B$21:$C$50,2,FALSE)</f>
        <v>600017</v>
      </c>
      <c r="L1275">
        <v>-1</v>
      </c>
    </row>
    <row r="1276" spans="1:12">
      <c r="A1276">
        <v>116</v>
      </c>
      <c r="B1276" t="s">
        <v>4193</v>
      </c>
      <c r="C1276" s="96">
        <v>20320503000151</v>
      </c>
      <c r="D1276" t="s">
        <v>4194</v>
      </c>
      <c r="E1276" s="96" t="s">
        <v>1467</v>
      </c>
      <c r="H1276" t="s">
        <v>361</v>
      </c>
      <c r="I1276">
        <f>VLOOKUP(H1276,Listas!$B$2:$C$20,2,FALSE)</f>
        <v>500001</v>
      </c>
      <c r="J1276" t="s">
        <v>73</v>
      </c>
      <c r="K1276">
        <f>VLOOKUP(J1276,Listas!$B$21:$C$50,2,FALSE)</f>
        <v>600017</v>
      </c>
      <c r="L1276">
        <v>-1</v>
      </c>
    </row>
    <row r="1277" spans="1:12">
      <c r="A1277">
        <v>116</v>
      </c>
      <c r="B1277" t="s">
        <v>4195</v>
      </c>
      <c r="C1277" s="96">
        <v>5342580000119</v>
      </c>
      <c r="D1277" t="s">
        <v>4196</v>
      </c>
      <c r="E1277" s="96" t="s">
        <v>1467</v>
      </c>
      <c r="H1277" t="s">
        <v>361</v>
      </c>
      <c r="I1277">
        <f>VLOOKUP(H1277,Listas!$B$2:$C$20,2,FALSE)</f>
        <v>500001</v>
      </c>
      <c r="J1277" t="s">
        <v>73</v>
      </c>
      <c r="K1277">
        <f>VLOOKUP(J1277,Listas!$B$21:$C$50,2,FALSE)</f>
        <v>600017</v>
      </c>
      <c r="L1277">
        <v>-1</v>
      </c>
    </row>
    <row r="1278" spans="1:12">
      <c r="A1278">
        <v>116</v>
      </c>
      <c r="B1278" t="s">
        <v>4197</v>
      </c>
      <c r="C1278" s="96">
        <v>4067191000160</v>
      </c>
      <c r="D1278" t="s">
        <v>4198</v>
      </c>
      <c r="E1278" s="96" t="s">
        <v>1467</v>
      </c>
      <c r="H1278" t="s">
        <v>361</v>
      </c>
      <c r="I1278">
        <f>VLOOKUP(H1278,Listas!$B$2:$C$20,2,FALSE)</f>
        <v>500001</v>
      </c>
      <c r="J1278" t="s">
        <v>73</v>
      </c>
      <c r="K1278">
        <f>VLOOKUP(J1278,Listas!$B$21:$C$50,2,FALSE)</f>
        <v>600017</v>
      </c>
      <c r="L1278">
        <v>-1</v>
      </c>
    </row>
    <row r="1279" spans="1:12">
      <c r="A1279">
        <v>116</v>
      </c>
      <c r="B1279" t="s">
        <v>4199</v>
      </c>
      <c r="C1279" s="96">
        <v>31096789000150</v>
      </c>
      <c r="D1279" t="s">
        <v>4200</v>
      </c>
      <c r="E1279" s="96" t="s">
        <v>1467</v>
      </c>
      <c r="H1279" t="s">
        <v>361</v>
      </c>
      <c r="I1279">
        <f>VLOOKUP(H1279,Listas!$B$2:$C$20,2,FALSE)</f>
        <v>500001</v>
      </c>
      <c r="J1279" t="s">
        <v>73</v>
      </c>
      <c r="K1279">
        <f>VLOOKUP(J1279,Listas!$B$21:$C$50,2,FALSE)</f>
        <v>600017</v>
      </c>
      <c r="L1279">
        <v>-1</v>
      </c>
    </row>
    <row r="1280" spans="1:12">
      <c r="A1280">
        <v>116</v>
      </c>
      <c r="B1280" t="s">
        <v>4201</v>
      </c>
      <c r="C1280" s="96">
        <v>60316817000103</v>
      </c>
      <c r="D1280" t="s">
        <v>4202</v>
      </c>
      <c r="E1280" s="96" t="s">
        <v>1467</v>
      </c>
      <c r="H1280" t="s">
        <v>361</v>
      </c>
      <c r="I1280">
        <f>VLOOKUP(H1280,Listas!$B$2:$C$20,2,FALSE)</f>
        <v>500001</v>
      </c>
      <c r="J1280" t="s">
        <v>73</v>
      </c>
      <c r="K1280">
        <f>VLOOKUP(J1280,Listas!$B$21:$C$50,2,FALSE)</f>
        <v>600017</v>
      </c>
      <c r="L1280">
        <v>-1</v>
      </c>
    </row>
    <row r="1281" spans="1:12">
      <c r="A1281">
        <v>116</v>
      </c>
      <c r="B1281" t="s">
        <v>4203</v>
      </c>
      <c r="C1281" s="96">
        <v>4842765000120</v>
      </c>
      <c r="D1281" t="s">
        <v>4204</v>
      </c>
      <c r="E1281" s="96" t="s">
        <v>1467</v>
      </c>
      <c r="H1281" t="s">
        <v>361</v>
      </c>
      <c r="I1281">
        <f>VLOOKUP(H1281,Listas!$B$2:$C$20,2,FALSE)</f>
        <v>500001</v>
      </c>
      <c r="J1281" t="s">
        <v>73</v>
      </c>
      <c r="K1281">
        <f>VLOOKUP(J1281,Listas!$B$21:$C$50,2,FALSE)</f>
        <v>600017</v>
      </c>
      <c r="L1281">
        <v>-1</v>
      </c>
    </row>
    <row r="1282" spans="1:12">
      <c r="A1282">
        <v>116</v>
      </c>
      <c r="B1282" t="s">
        <v>4205</v>
      </c>
      <c r="C1282" s="96">
        <v>33575585000127</v>
      </c>
      <c r="D1282" t="s">
        <v>4206</v>
      </c>
      <c r="E1282" s="96" t="s">
        <v>1467</v>
      </c>
      <c r="H1282" t="s">
        <v>361</v>
      </c>
      <c r="I1282">
        <f>VLOOKUP(H1282,Listas!$B$2:$C$20,2,FALSE)</f>
        <v>500001</v>
      </c>
      <c r="J1282" t="s">
        <v>73</v>
      </c>
      <c r="K1282">
        <f>VLOOKUP(J1282,Listas!$B$21:$C$50,2,FALSE)</f>
        <v>600017</v>
      </c>
      <c r="L1282">
        <v>-1</v>
      </c>
    </row>
    <row r="1283" spans="1:12">
      <c r="A1283">
        <v>116</v>
      </c>
      <c r="B1283" t="s">
        <v>4207</v>
      </c>
      <c r="C1283" s="96">
        <v>40005610000100</v>
      </c>
      <c r="D1283" t="s">
        <v>4208</v>
      </c>
      <c r="E1283" s="96" t="s">
        <v>1467</v>
      </c>
      <c r="H1283" t="s">
        <v>361</v>
      </c>
      <c r="I1283">
        <f>VLOOKUP(H1283,Listas!$B$2:$C$20,2,FALSE)</f>
        <v>500001</v>
      </c>
      <c r="J1283" t="s">
        <v>73</v>
      </c>
      <c r="K1283">
        <f>VLOOKUP(J1283,Listas!$B$21:$C$50,2,FALSE)</f>
        <v>600017</v>
      </c>
      <c r="L1283">
        <v>-1</v>
      </c>
    </row>
    <row r="1284" spans="1:12">
      <c r="A1284">
        <v>116</v>
      </c>
      <c r="B1284" t="s">
        <v>4209</v>
      </c>
      <c r="C1284" s="96">
        <v>18035752000153</v>
      </c>
      <c r="D1284" t="s">
        <v>4210</v>
      </c>
      <c r="E1284" s="96" t="s">
        <v>1467</v>
      </c>
      <c r="H1284" t="s">
        <v>361</v>
      </c>
      <c r="I1284">
        <f>VLOOKUP(H1284,Listas!$B$2:$C$20,2,FALSE)</f>
        <v>500001</v>
      </c>
      <c r="J1284" t="s">
        <v>73</v>
      </c>
      <c r="K1284">
        <f>VLOOKUP(J1284,Listas!$B$21:$C$50,2,FALSE)</f>
        <v>600017</v>
      </c>
      <c r="L1284">
        <v>-1</v>
      </c>
    </row>
    <row r="1285" spans="1:12">
      <c r="A1285">
        <v>116</v>
      </c>
      <c r="B1285" t="s">
        <v>4211</v>
      </c>
      <c r="C1285" s="96">
        <v>21462543000109</v>
      </c>
      <c r="D1285" t="s">
        <v>4212</v>
      </c>
      <c r="E1285" s="96" t="s">
        <v>1467</v>
      </c>
      <c r="H1285" t="s">
        <v>361</v>
      </c>
      <c r="I1285">
        <f>VLOOKUP(H1285,Listas!$B$2:$C$20,2,FALSE)</f>
        <v>500001</v>
      </c>
      <c r="J1285" t="s">
        <v>73</v>
      </c>
      <c r="K1285">
        <f>VLOOKUP(J1285,Listas!$B$21:$C$50,2,FALSE)</f>
        <v>600017</v>
      </c>
      <c r="L1285">
        <v>-1</v>
      </c>
    </row>
    <row r="1286" spans="1:12">
      <c r="A1286">
        <v>116</v>
      </c>
      <c r="B1286" t="s">
        <v>4213</v>
      </c>
      <c r="C1286" s="96">
        <v>44315919000140</v>
      </c>
      <c r="D1286" t="s">
        <v>4214</v>
      </c>
      <c r="E1286" s="96" t="s">
        <v>1467</v>
      </c>
      <c r="H1286" t="s">
        <v>361</v>
      </c>
      <c r="I1286">
        <f>VLOOKUP(H1286,Listas!$B$2:$C$20,2,FALSE)</f>
        <v>500001</v>
      </c>
      <c r="J1286" t="s">
        <v>73</v>
      </c>
      <c r="K1286">
        <f>VLOOKUP(J1286,Listas!$B$21:$C$50,2,FALSE)</f>
        <v>600017</v>
      </c>
      <c r="L1286">
        <v>-1</v>
      </c>
    </row>
    <row r="1287" spans="1:12">
      <c r="A1287">
        <v>116</v>
      </c>
      <c r="B1287" t="s">
        <v>4215</v>
      </c>
      <c r="C1287" s="96">
        <v>22643935000129</v>
      </c>
      <c r="D1287" t="s">
        <v>4216</v>
      </c>
      <c r="E1287" s="96" t="s">
        <v>1467</v>
      </c>
      <c r="H1287" t="s">
        <v>361</v>
      </c>
      <c r="I1287">
        <f>VLOOKUP(H1287,Listas!$B$2:$C$20,2,FALSE)</f>
        <v>500001</v>
      </c>
      <c r="J1287" t="s">
        <v>73</v>
      </c>
      <c r="K1287">
        <f>VLOOKUP(J1287,Listas!$B$21:$C$50,2,FALSE)</f>
        <v>600017</v>
      </c>
      <c r="L1287">
        <v>-1</v>
      </c>
    </row>
    <row r="1288" spans="1:12">
      <c r="A1288">
        <v>116</v>
      </c>
      <c r="B1288" t="s">
        <v>4217</v>
      </c>
      <c r="C1288" s="96">
        <v>11321229000144</v>
      </c>
      <c r="D1288" t="s">
        <v>4218</v>
      </c>
      <c r="E1288" s="96" t="s">
        <v>1467</v>
      </c>
      <c r="H1288" t="s">
        <v>361</v>
      </c>
      <c r="I1288">
        <f>VLOOKUP(H1288,Listas!$B$2:$C$20,2,FALSE)</f>
        <v>500001</v>
      </c>
      <c r="J1288" t="s">
        <v>73</v>
      </c>
      <c r="K1288">
        <f>VLOOKUP(J1288,Listas!$B$21:$C$50,2,FALSE)</f>
        <v>600017</v>
      </c>
      <c r="L1288">
        <v>-1</v>
      </c>
    </row>
    <row r="1289" spans="1:12">
      <c r="A1289">
        <v>116</v>
      </c>
      <c r="B1289" t="s">
        <v>4219</v>
      </c>
      <c r="C1289" s="96">
        <v>32493635000164</v>
      </c>
      <c r="D1289" t="s">
        <v>4220</v>
      </c>
      <c r="E1289" s="96" t="s">
        <v>1467</v>
      </c>
      <c r="H1289" t="s">
        <v>361</v>
      </c>
      <c r="I1289">
        <f>VLOOKUP(H1289,Listas!$B$2:$C$20,2,FALSE)</f>
        <v>500001</v>
      </c>
      <c r="J1289" t="s">
        <v>73</v>
      </c>
      <c r="K1289">
        <f>VLOOKUP(J1289,Listas!$B$21:$C$50,2,FALSE)</f>
        <v>600017</v>
      </c>
      <c r="L1289">
        <v>-1</v>
      </c>
    </row>
    <row r="1290" spans="1:12">
      <c r="A1290">
        <v>116</v>
      </c>
      <c r="B1290" t="s">
        <v>4221</v>
      </c>
      <c r="C1290" s="96">
        <v>580118000136</v>
      </c>
      <c r="D1290" t="s">
        <v>4222</v>
      </c>
      <c r="E1290" s="96" t="s">
        <v>1467</v>
      </c>
      <c r="H1290" t="s">
        <v>361</v>
      </c>
      <c r="I1290">
        <f>VLOOKUP(H1290,Listas!$B$2:$C$20,2,FALSE)</f>
        <v>500001</v>
      </c>
      <c r="J1290" t="s">
        <v>73</v>
      </c>
      <c r="K1290">
        <f>VLOOKUP(J1290,Listas!$B$21:$C$50,2,FALSE)</f>
        <v>600017</v>
      </c>
      <c r="L1290">
        <v>-1</v>
      </c>
    </row>
    <row r="1291" spans="1:12">
      <c r="A1291">
        <v>116</v>
      </c>
      <c r="B1291" t="s">
        <v>4223</v>
      </c>
      <c r="C1291" s="96">
        <v>3784680001141</v>
      </c>
      <c r="D1291" t="s">
        <v>4224</v>
      </c>
      <c r="E1291" s="96" t="s">
        <v>1467</v>
      </c>
      <c r="H1291" t="s">
        <v>361</v>
      </c>
      <c r="I1291">
        <f>VLOOKUP(H1291,Listas!$B$2:$C$20,2,FALSE)</f>
        <v>500001</v>
      </c>
      <c r="J1291" t="s">
        <v>73</v>
      </c>
      <c r="K1291">
        <f>VLOOKUP(J1291,Listas!$B$21:$C$50,2,FALSE)</f>
        <v>600017</v>
      </c>
      <c r="L1291">
        <v>-1</v>
      </c>
    </row>
    <row r="1292" spans="1:12">
      <c r="A1292">
        <v>116</v>
      </c>
      <c r="B1292" t="s">
        <v>4225</v>
      </c>
      <c r="C1292" s="96">
        <v>8808153000171</v>
      </c>
      <c r="D1292" t="s">
        <v>4226</v>
      </c>
      <c r="E1292" s="96" t="s">
        <v>1467</v>
      </c>
      <c r="H1292" t="s">
        <v>361</v>
      </c>
      <c r="I1292">
        <f>VLOOKUP(H1292,Listas!$B$2:$C$20,2,FALSE)</f>
        <v>500001</v>
      </c>
      <c r="J1292" t="s">
        <v>73</v>
      </c>
      <c r="K1292">
        <f>VLOOKUP(J1292,Listas!$B$21:$C$50,2,FALSE)</f>
        <v>600017</v>
      </c>
      <c r="L1292">
        <v>-1</v>
      </c>
    </row>
    <row r="1293" spans="1:12">
      <c r="A1293">
        <v>116</v>
      </c>
      <c r="B1293" t="s">
        <v>4227</v>
      </c>
      <c r="C1293" s="96">
        <v>23733481000140</v>
      </c>
      <c r="D1293" t="s">
        <v>4228</v>
      </c>
      <c r="E1293" s="96" t="s">
        <v>1467</v>
      </c>
      <c r="H1293" t="s">
        <v>361</v>
      </c>
      <c r="I1293">
        <f>VLOOKUP(H1293,Listas!$B$2:$C$20,2,FALSE)</f>
        <v>500001</v>
      </c>
      <c r="J1293" t="s">
        <v>73</v>
      </c>
      <c r="K1293">
        <f>VLOOKUP(J1293,Listas!$B$21:$C$50,2,FALSE)</f>
        <v>600017</v>
      </c>
      <c r="L1293">
        <v>-1</v>
      </c>
    </row>
    <row r="1294" spans="1:12">
      <c r="A1294">
        <v>116</v>
      </c>
      <c r="B1294" t="s">
        <v>4229</v>
      </c>
      <c r="C1294" s="96">
        <v>26391301000187</v>
      </c>
      <c r="D1294" t="s">
        <v>4230</v>
      </c>
      <c r="E1294" s="96" t="s">
        <v>1467</v>
      </c>
      <c r="H1294" t="s">
        <v>361</v>
      </c>
      <c r="I1294">
        <f>VLOOKUP(H1294,Listas!$B$2:$C$20,2,FALSE)</f>
        <v>500001</v>
      </c>
      <c r="J1294" t="s">
        <v>73</v>
      </c>
      <c r="K1294">
        <f>VLOOKUP(J1294,Listas!$B$21:$C$50,2,FALSE)</f>
        <v>600017</v>
      </c>
      <c r="L1294">
        <v>-1</v>
      </c>
    </row>
    <row r="1295" spans="1:12">
      <c r="A1295">
        <v>116</v>
      </c>
      <c r="B1295" t="s">
        <v>4231</v>
      </c>
      <c r="C1295" s="96">
        <v>15304440000100</v>
      </c>
      <c r="D1295" t="s">
        <v>4232</v>
      </c>
      <c r="E1295" s="96" t="s">
        <v>1467</v>
      </c>
      <c r="H1295" t="s">
        <v>361</v>
      </c>
      <c r="I1295">
        <f>VLOOKUP(H1295,Listas!$B$2:$C$20,2,FALSE)</f>
        <v>500001</v>
      </c>
      <c r="J1295" t="s">
        <v>73</v>
      </c>
      <c r="K1295">
        <f>VLOOKUP(J1295,Listas!$B$21:$C$50,2,FALSE)</f>
        <v>600017</v>
      </c>
      <c r="L1295">
        <v>-1</v>
      </c>
    </row>
    <row r="1296" spans="1:12">
      <c r="A1296">
        <v>116</v>
      </c>
      <c r="B1296" t="s">
        <v>4233</v>
      </c>
      <c r="C1296" s="96">
        <v>32908188000167</v>
      </c>
      <c r="D1296" t="s">
        <v>4234</v>
      </c>
      <c r="E1296" s="96" t="s">
        <v>4235</v>
      </c>
      <c r="H1296" t="s">
        <v>4236</v>
      </c>
      <c r="I1296">
        <v>500001</v>
      </c>
      <c r="J1296" t="s">
        <v>73</v>
      </c>
      <c r="K1296">
        <v>600017</v>
      </c>
      <c r="L1296">
        <v>-1</v>
      </c>
    </row>
    <row r="1297" spans="1:12">
      <c r="A1297">
        <v>116</v>
      </c>
      <c r="B1297" t="s">
        <v>4237</v>
      </c>
      <c r="C1297" s="96">
        <v>38042345000180</v>
      </c>
      <c r="D1297" t="s">
        <v>4238</v>
      </c>
      <c r="E1297" s="96" t="s">
        <v>4235</v>
      </c>
      <c r="H1297" t="s">
        <v>4236</v>
      </c>
      <c r="I1297">
        <v>500001</v>
      </c>
      <c r="J1297" t="s">
        <v>73</v>
      </c>
      <c r="K1297">
        <v>600017</v>
      </c>
      <c r="L1297">
        <v>-1</v>
      </c>
    </row>
    <row r="1298" spans="1:12">
      <c r="A1298">
        <v>116</v>
      </c>
      <c r="B1298" t="s">
        <v>4239</v>
      </c>
      <c r="C1298" s="96">
        <v>49434470000152</v>
      </c>
      <c r="D1298" t="s">
        <v>4240</v>
      </c>
      <c r="E1298" s="96" t="s">
        <v>4235</v>
      </c>
      <c r="H1298" t="s">
        <v>4236</v>
      </c>
      <c r="I1298">
        <v>500001</v>
      </c>
      <c r="J1298" t="s">
        <v>73</v>
      </c>
      <c r="K1298">
        <v>600017</v>
      </c>
      <c r="L1298">
        <v>-1</v>
      </c>
    </row>
    <row r="1299" spans="1:12">
      <c r="A1299">
        <v>116</v>
      </c>
      <c r="B1299" t="s">
        <v>4241</v>
      </c>
      <c r="C1299" s="96">
        <v>1041196800</v>
      </c>
      <c r="D1299" t="s">
        <v>4242</v>
      </c>
      <c r="E1299" s="96" t="s">
        <v>1467</v>
      </c>
      <c r="H1299" t="s">
        <v>4236</v>
      </c>
      <c r="I1299">
        <v>500001</v>
      </c>
      <c r="J1299" t="s">
        <v>73</v>
      </c>
      <c r="K1299">
        <v>600017</v>
      </c>
      <c r="L1299">
        <v>-1</v>
      </c>
    </row>
    <row r="1300" spans="1:12">
      <c r="A1300">
        <v>116</v>
      </c>
      <c r="B1300" t="s">
        <v>4243</v>
      </c>
      <c r="C1300" s="96">
        <v>2800</v>
      </c>
      <c r="D1300" t="s">
        <v>4244</v>
      </c>
      <c r="E1300" s="96" t="s">
        <v>1467</v>
      </c>
      <c r="H1300" t="s">
        <v>4236</v>
      </c>
      <c r="I1300">
        <v>500001</v>
      </c>
      <c r="J1300" t="s">
        <v>73</v>
      </c>
      <c r="K1300">
        <v>600017</v>
      </c>
      <c r="L1300">
        <v>-1</v>
      </c>
    </row>
    <row r="1301" spans="1:12">
      <c r="A1301">
        <v>116</v>
      </c>
      <c r="B1301" t="s">
        <v>4245</v>
      </c>
      <c r="C1301" s="96">
        <v>2800</v>
      </c>
      <c r="D1301" t="s">
        <v>4246</v>
      </c>
      <c r="E1301" s="96" t="s">
        <v>1467</v>
      </c>
      <c r="H1301" t="s">
        <v>4236</v>
      </c>
      <c r="I1301">
        <v>500001</v>
      </c>
      <c r="J1301" t="s">
        <v>73</v>
      </c>
      <c r="K1301">
        <v>600017</v>
      </c>
      <c r="L1301">
        <v>-1</v>
      </c>
    </row>
    <row r="1302" spans="1:12">
      <c r="A1302">
        <v>116</v>
      </c>
      <c r="B1302" t="s">
        <v>4247</v>
      </c>
      <c r="C1302" s="96">
        <v>2800</v>
      </c>
      <c r="D1302" t="s">
        <v>4248</v>
      </c>
      <c r="E1302" s="96" t="s">
        <v>1467</v>
      </c>
      <c r="H1302" t="s">
        <v>4236</v>
      </c>
      <c r="I1302">
        <v>500001</v>
      </c>
      <c r="J1302" t="s">
        <v>73</v>
      </c>
      <c r="K1302">
        <v>600017</v>
      </c>
      <c r="L1302">
        <v>-1</v>
      </c>
    </row>
    <row r="1303" spans="1:12">
      <c r="A1303">
        <v>116</v>
      </c>
      <c r="B1303" t="s">
        <v>4249</v>
      </c>
      <c r="C1303" s="96">
        <v>2800</v>
      </c>
      <c r="D1303" t="s">
        <v>4250</v>
      </c>
      <c r="E1303" s="96" t="s">
        <v>1467</v>
      </c>
      <c r="H1303" t="s">
        <v>4236</v>
      </c>
      <c r="I1303">
        <v>500001</v>
      </c>
      <c r="J1303" t="s">
        <v>73</v>
      </c>
      <c r="K1303">
        <v>600017</v>
      </c>
      <c r="L1303">
        <v>-1</v>
      </c>
    </row>
    <row r="1304" spans="1:12">
      <c r="A1304">
        <v>116</v>
      </c>
      <c r="B1304" t="s">
        <v>4251</v>
      </c>
      <c r="C1304" s="96">
        <v>2800</v>
      </c>
      <c r="D1304" t="s">
        <v>4252</v>
      </c>
      <c r="E1304" s="96" t="s">
        <v>1467</v>
      </c>
      <c r="H1304" t="s">
        <v>4236</v>
      </c>
      <c r="I1304">
        <v>500001</v>
      </c>
      <c r="J1304" t="s">
        <v>73</v>
      </c>
      <c r="K1304">
        <v>600017</v>
      </c>
      <c r="L1304">
        <v>-1</v>
      </c>
    </row>
    <row r="1305" spans="1:12">
      <c r="A1305">
        <v>116</v>
      </c>
      <c r="B1305" t="s">
        <v>4253</v>
      </c>
      <c r="C1305" s="96">
        <v>2800</v>
      </c>
      <c r="D1305" t="s">
        <v>4254</v>
      </c>
      <c r="E1305" s="96" t="s">
        <v>1467</v>
      </c>
      <c r="H1305" t="s">
        <v>4236</v>
      </c>
      <c r="I1305">
        <v>500001</v>
      </c>
      <c r="J1305" t="s">
        <v>73</v>
      </c>
      <c r="K1305">
        <v>600017</v>
      </c>
      <c r="L1305">
        <v>-1</v>
      </c>
    </row>
    <row r="1306" spans="1:12">
      <c r="A1306">
        <v>116</v>
      </c>
      <c r="B1306" t="s">
        <v>4255</v>
      </c>
      <c r="C1306" s="96">
        <v>2800</v>
      </c>
      <c r="D1306" t="s">
        <v>4256</v>
      </c>
      <c r="E1306" s="96" t="s">
        <v>1467</v>
      </c>
      <c r="H1306" t="s">
        <v>4236</v>
      </c>
      <c r="I1306">
        <v>500001</v>
      </c>
      <c r="J1306" t="s">
        <v>73</v>
      </c>
      <c r="K1306">
        <v>600017</v>
      </c>
      <c r="L1306">
        <v>-1</v>
      </c>
    </row>
    <row r="1307" spans="1:12">
      <c r="A1307">
        <v>116</v>
      </c>
      <c r="B1307" t="s">
        <v>4257</v>
      </c>
      <c r="C1307" s="96">
        <v>2800</v>
      </c>
      <c r="D1307" t="s">
        <v>4258</v>
      </c>
      <c r="E1307" s="96" t="s">
        <v>1467</v>
      </c>
      <c r="H1307" t="s">
        <v>4236</v>
      </c>
      <c r="I1307">
        <v>500001</v>
      </c>
      <c r="J1307" t="s">
        <v>73</v>
      </c>
      <c r="K1307">
        <v>600017</v>
      </c>
      <c r="L1307">
        <v>-1</v>
      </c>
    </row>
    <row r="1308" spans="1:12">
      <c r="A1308">
        <v>116</v>
      </c>
      <c r="B1308" t="s">
        <v>4259</v>
      </c>
      <c r="C1308" s="96">
        <v>2800</v>
      </c>
      <c r="D1308" t="s">
        <v>4260</v>
      </c>
      <c r="E1308" s="96" t="s">
        <v>1467</v>
      </c>
      <c r="H1308" t="s">
        <v>4236</v>
      </c>
      <c r="I1308">
        <v>500001</v>
      </c>
      <c r="J1308" t="s">
        <v>73</v>
      </c>
      <c r="K1308">
        <v>600017</v>
      </c>
      <c r="L1308">
        <v>-1</v>
      </c>
    </row>
    <row r="1309" spans="1:12">
      <c r="A1309">
        <v>116</v>
      </c>
      <c r="B1309" t="s">
        <v>4261</v>
      </c>
      <c r="C1309" s="96">
        <v>73227514000158</v>
      </c>
      <c r="D1309" t="s">
        <v>4262</v>
      </c>
      <c r="E1309" s="96" t="s">
        <v>1467</v>
      </c>
      <c r="H1309" t="s">
        <v>4236</v>
      </c>
      <c r="I1309">
        <v>500001</v>
      </c>
      <c r="J1309" t="s">
        <v>73</v>
      </c>
      <c r="K1309">
        <v>600017</v>
      </c>
      <c r="L1309">
        <v>-1</v>
      </c>
    </row>
    <row r="1310" spans="1:12">
      <c r="A1310">
        <v>116</v>
      </c>
      <c r="B1310" t="s">
        <v>4263</v>
      </c>
      <c r="C1310" s="96">
        <v>29971343000185</v>
      </c>
      <c r="D1310" t="s">
        <v>4264</v>
      </c>
      <c r="E1310" s="96" t="s">
        <v>1467</v>
      </c>
      <c r="H1310" t="s">
        <v>4236</v>
      </c>
      <c r="I1310">
        <v>500001</v>
      </c>
      <c r="J1310" t="s">
        <v>73</v>
      </c>
      <c r="K1310">
        <v>600017</v>
      </c>
      <c r="L1310">
        <v>-1</v>
      </c>
    </row>
    <row r="1311" spans="1:12">
      <c r="A1311">
        <v>116</v>
      </c>
      <c r="B1311" t="s">
        <v>4265</v>
      </c>
      <c r="C1311" s="96">
        <v>15135210000164</v>
      </c>
      <c r="D1311" t="s">
        <v>4266</v>
      </c>
      <c r="E1311" s="96" t="s">
        <v>1467</v>
      </c>
      <c r="H1311" t="s">
        <v>4236</v>
      </c>
      <c r="I1311">
        <v>500001</v>
      </c>
      <c r="J1311" t="s">
        <v>73</v>
      </c>
      <c r="K1311">
        <v>600017</v>
      </c>
      <c r="L1311">
        <v>-1</v>
      </c>
    </row>
    <row r="1312" spans="1:12">
      <c r="A1312">
        <v>116</v>
      </c>
      <c r="B1312" t="s">
        <v>4267</v>
      </c>
      <c r="C1312" s="96">
        <v>19706684000170</v>
      </c>
      <c r="D1312" t="s">
        <v>4268</v>
      </c>
      <c r="E1312" s="96" t="s">
        <v>1467</v>
      </c>
      <c r="H1312" t="s">
        <v>4236</v>
      </c>
      <c r="I1312">
        <v>500001</v>
      </c>
      <c r="J1312" t="s">
        <v>73</v>
      </c>
      <c r="K1312">
        <v>600017</v>
      </c>
      <c r="L1312">
        <v>-1</v>
      </c>
    </row>
    <row r="1313" spans="1:12">
      <c r="A1313">
        <v>116</v>
      </c>
      <c r="B1313" t="s">
        <v>4269</v>
      </c>
      <c r="C1313" s="96">
        <v>8947037000133</v>
      </c>
      <c r="D1313" t="s">
        <v>4270</v>
      </c>
      <c r="E1313" s="96" t="s">
        <v>1467</v>
      </c>
      <c r="H1313" t="s">
        <v>4236</v>
      </c>
      <c r="I1313">
        <v>500001</v>
      </c>
      <c r="J1313" t="s">
        <v>73</v>
      </c>
      <c r="K1313">
        <v>600017</v>
      </c>
      <c r="L1313">
        <v>-1</v>
      </c>
    </row>
    <row r="1314" spans="1:12">
      <c r="A1314">
        <v>116</v>
      </c>
      <c r="B1314" t="s">
        <v>4271</v>
      </c>
      <c r="C1314" s="96">
        <v>55014067000177</v>
      </c>
      <c r="D1314" t="s">
        <v>4272</v>
      </c>
      <c r="E1314" s="96" t="s">
        <v>1467</v>
      </c>
      <c r="H1314" t="s">
        <v>4236</v>
      </c>
      <c r="I1314">
        <v>500001</v>
      </c>
      <c r="J1314" t="s">
        <v>73</v>
      </c>
      <c r="K1314">
        <v>600017</v>
      </c>
      <c r="L1314">
        <v>-1</v>
      </c>
    </row>
    <row r="1315" spans="1:12">
      <c r="A1315">
        <v>116</v>
      </c>
      <c r="B1315" t="s">
        <v>4273</v>
      </c>
      <c r="C1315" s="96">
        <v>21986074000119</v>
      </c>
      <c r="D1315" t="s">
        <v>4274</v>
      </c>
      <c r="E1315" s="96" t="s">
        <v>1467</v>
      </c>
      <c r="H1315" t="s">
        <v>4236</v>
      </c>
      <c r="I1315">
        <v>500001</v>
      </c>
      <c r="J1315" t="s">
        <v>73</v>
      </c>
      <c r="K1315">
        <v>600017</v>
      </c>
      <c r="L1315">
        <v>-1</v>
      </c>
    </row>
    <row r="1316" spans="1:12">
      <c r="A1316">
        <v>116</v>
      </c>
      <c r="B1316" t="s">
        <v>4275</v>
      </c>
      <c r="C1316" s="96">
        <v>40580420000109</v>
      </c>
      <c r="D1316" t="s">
        <v>4276</v>
      </c>
      <c r="E1316" s="96" t="s">
        <v>1467</v>
      </c>
      <c r="H1316" t="s">
        <v>4236</v>
      </c>
      <c r="I1316">
        <v>500001</v>
      </c>
      <c r="J1316" t="s">
        <v>73</v>
      </c>
      <c r="K1316">
        <v>600017</v>
      </c>
      <c r="L1316">
        <v>-1</v>
      </c>
    </row>
    <row r="1317" spans="1:12">
      <c r="A1317">
        <v>116</v>
      </c>
      <c r="B1317" t="s">
        <v>4277</v>
      </c>
      <c r="C1317" s="96">
        <v>27883894000161</v>
      </c>
      <c r="D1317" t="s">
        <v>4278</v>
      </c>
      <c r="E1317" s="96" t="s">
        <v>1467</v>
      </c>
      <c r="H1317" t="s">
        <v>4236</v>
      </c>
      <c r="I1317">
        <v>500001</v>
      </c>
      <c r="J1317" t="s">
        <v>73</v>
      </c>
      <c r="K1317">
        <v>600017</v>
      </c>
      <c r="L1317">
        <v>-1</v>
      </c>
    </row>
    <row r="1318" spans="1:12">
      <c r="A1318">
        <v>116</v>
      </c>
      <c r="B1318" t="s">
        <v>4279</v>
      </c>
      <c r="C1318" s="96">
        <v>15638546000140</v>
      </c>
      <c r="D1318" t="s">
        <v>4280</v>
      </c>
      <c r="E1318" s="96" t="s">
        <v>1467</v>
      </c>
      <c r="H1318" t="s">
        <v>4236</v>
      </c>
      <c r="I1318">
        <v>500001</v>
      </c>
      <c r="J1318" t="s">
        <v>73</v>
      </c>
      <c r="K1318">
        <v>600017</v>
      </c>
      <c r="L1318">
        <v>-1</v>
      </c>
    </row>
    <row r="1319" spans="1:12">
      <c r="A1319">
        <v>116</v>
      </c>
      <c r="B1319" t="s">
        <v>4281</v>
      </c>
      <c r="C1319" s="96">
        <v>13570097000705</v>
      </c>
      <c r="D1319" t="s">
        <v>4282</v>
      </c>
      <c r="E1319" s="96" t="s">
        <v>1467</v>
      </c>
      <c r="H1319" t="s">
        <v>4236</v>
      </c>
      <c r="I1319">
        <v>500001</v>
      </c>
      <c r="J1319" t="s">
        <v>73</v>
      </c>
      <c r="K1319">
        <v>600017</v>
      </c>
      <c r="L1319">
        <v>-1</v>
      </c>
    </row>
    <row r="1320" spans="1:12">
      <c r="A1320">
        <v>116</v>
      </c>
      <c r="B1320" t="s">
        <v>4283</v>
      </c>
      <c r="C1320" s="96">
        <v>6781994000107</v>
      </c>
      <c r="D1320" t="s">
        <v>4284</v>
      </c>
      <c r="E1320" s="96" t="s">
        <v>1467</v>
      </c>
      <c r="H1320" t="s">
        <v>4236</v>
      </c>
      <c r="I1320">
        <v>500001</v>
      </c>
      <c r="J1320" t="s">
        <v>73</v>
      </c>
      <c r="K1320">
        <v>600017</v>
      </c>
      <c r="L1320">
        <v>-1</v>
      </c>
    </row>
    <row r="1321" spans="1:12">
      <c r="A1321">
        <v>116</v>
      </c>
      <c r="B1321" t="s">
        <v>4285</v>
      </c>
      <c r="C1321" s="96">
        <v>17337794000186</v>
      </c>
      <c r="D1321" t="s">
        <v>4286</v>
      </c>
      <c r="E1321" s="96" t="s">
        <v>1467</v>
      </c>
      <c r="H1321" t="s">
        <v>4236</v>
      </c>
      <c r="I1321">
        <v>500001</v>
      </c>
      <c r="J1321" t="s">
        <v>73</v>
      </c>
      <c r="K1321">
        <v>600017</v>
      </c>
      <c r="L1321">
        <v>-1</v>
      </c>
    </row>
    <row r="1322" spans="1:12">
      <c r="A1322">
        <v>116</v>
      </c>
      <c r="B1322" t="s">
        <v>4287</v>
      </c>
      <c r="C1322" s="96">
        <v>17526067000167</v>
      </c>
      <c r="D1322" t="s">
        <v>4288</v>
      </c>
      <c r="E1322" s="96" t="s">
        <v>1467</v>
      </c>
      <c r="H1322" t="s">
        <v>4236</v>
      </c>
      <c r="I1322">
        <v>500001</v>
      </c>
      <c r="J1322" t="s">
        <v>73</v>
      </c>
      <c r="K1322">
        <v>600017</v>
      </c>
      <c r="L1322">
        <v>-1</v>
      </c>
    </row>
    <row r="1323" spans="1:12">
      <c r="A1323">
        <v>116</v>
      </c>
      <c r="B1323" t="s">
        <v>4289</v>
      </c>
      <c r="C1323" s="96">
        <v>23518065000129</v>
      </c>
      <c r="D1323" t="s">
        <v>4290</v>
      </c>
      <c r="E1323" s="96" t="s">
        <v>1467</v>
      </c>
      <c r="H1323" t="s">
        <v>4236</v>
      </c>
      <c r="I1323">
        <v>500002</v>
      </c>
      <c r="J1323" t="s">
        <v>73</v>
      </c>
      <c r="K1323">
        <v>600017</v>
      </c>
      <c r="L1323">
        <v>-1</v>
      </c>
    </row>
    <row r="1324" spans="1:12">
      <c r="A1324">
        <v>116</v>
      </c>
      <c r="B1324" t="s">
        <v>4291</v>
      </c>
      <c r="C1324" s="96">
        <v>24198993000116</v>
      </c>
      <c r="D1324" t="s">
        <v>4292</v>
      </c>
      <c r="E1324" s="96" t="s">
        <v>1467</v>
      </c>
      <c r="H1324" t="s">
        <v>4236</v>
      </c>
      <c r="I1324">
        <v>500003</v>
      </c>
      <c r="J1324" t="s">
        <v>73</v>
      </c>
      <c r="K1324">
        <v>600017</v>
      </c>
      <c r="L1324">
        <v>-1</v>
      </c>
    </row>
    <row r="1325" spans="1:12">
      <c r="A1325">
        <v>116</v>
      </c>
      <c r="B1325" t="s">
        <v>4293</v>
      </c>
      <c r="C1325" s="96">
        <v>29419181000177</v>
      </c>
      <c r="D1325" t="s">
        <v>4294</v>
      </c>
      <c r="E1325" s="96" t="s">
        <v>1467</v>
      </c>
      <c r="H1325" t="s">
        <v>4236</v>
      </c>
      <c r="I1325">
        <v>500004</v>
      </c>
      <c r="J1325" t="s">
        <v>73</v>
      </c>
      <c r="K1325">
        <v>600017</v>
      </c>
      <c r="L1325">
        <v>-1</v>
      </c>
    </row>
    <row r="1326" spans="1:12">
      <c r="A1326">
        <v>116</v>
      </c>
      <c r="B1326" t="s">
        <v>4295</v>
      </c>
      <c r="C1326" s="96">
        <v>61825675000245</v>
      </c>
      <c r="D1326" t="s">
        <v>4296</v>
      </c>
      <c r="E1326" s="96" t="s">
        <v>1467</v>
      </c>
      <c r="H1326" t="s">
        <v>4236</v>
      </c>
      <c r="I1326">
        <v>500005</v>
      </c>
      <c r="J1326" t="s">
        <v>73</v>
      </c>
      <c r="K1326">
        <v>600017</v>
      </c>
      <c r="L1326">
        <v>-1</v>
      </c>
    </row>
    <row r="1327" spans="1:12">
      <c r="A1327">
        <v>116</v>
      </c>
      <c r="B1327" t="s">
        <v>4297</v>
      </c>
      <c r="C1327" s="96">
        <v>3832293000161</v>
      </c>
      <c r="D1327" t="s">
        <v>4298</v>
      </c>
      <c r="E1327" s="96" t="s">
        <v>1467</v>
      </c>
      <c r="H1327" t="s">
        <v>4236</v>
      </c>
      <c r="I1327">
        <v>500006</v>
      </c>
      <c r="J1327" t="s">
        <v>73</v>
      </c>
      <c r="K1327">
        <v>600017</v>
      </c>
      <c r="L1327">
        <v>-1</v>
      </c>
    </row>
    <row r="1328" spans="1:12">
      <c r="A1328">
        <v>116</v>
      </c>
      <c r="B1328" t="s">
        <v>4299</v>
      </c>
      <c r="C1328" s="96">
        <v>2428413000105</v>
      </c>
      <c r="D1328" t="s">
        <v>4300</v>
      </c>
      <c r="E1328" s="96" t="s">
        <v>1467</v>
      </c>
      <c r="H1328" t="s">
        <v>4236</v>
      </c>
      <c r="I1328">
        <v>500007</v>
      </c>
      <c r="J1328" t="s">
        <v>73</v>
      </c>
      <c r="K1328">
        <v>600017</v>
      </c>
      <c r="L1328">
        <v>-1</v>
      </c>
    </row>
    <row r="1329" spans="1:12">
      <c r="A1329">
        <v>116</v>
      </c>
      <c r="B1329" t="s">
        <v>4301</v>
      </c>
      <c r="C1329" s="96">
        <v>9497469000152</v>
      </c>
      <c r="D1329" t="s">
        <v>4302</v>
      </c>
      <c r="E1329" s="96" t="s">
        <v>1467</v>
      </c>
      <c r="H1329" t="s">
        <v>4236</v>
      </c>
      <c r="I1329">
        <v>500008</v>
      </c>
      <c r="J1329" t="s">
        <v>73</v>
      </c>
      <c r="K1329">
        <v>600017</v>
      </c>
      <c r="L1329">
        <v>-1</v>
      </c>
    </row>
    <row r="1330" spans="1:12">
      <c r="A1330">
        <v>116</v>
      </c>
      <c r="B1330" t="s">
        <v>4303</v>
      </c>
      <c r="C1330" s="96">
        <v>4198254000117</v>
      </c>
      <c r="D1330" t="s">
        <v>4304</v>
      </c>
      <c r="E1330" s="96" t="s">
        <v>1467</v>
      </c>
      <c r="H1330" t="s">
        <v>4236</v>
      </c>
      <c r="I1330">
        <v>500009</v>
      </c>
      <c r="J1330" t="s">
        <v>73</v>
      </c>
      <c r="K1330">
        <v>600017</v>
      </c>
      <c r="L1330">
        <v>-1</v>
      </c>
    </row>
    <row r="1331" spans="1:12">
      <c r="A1331">
        <v>116</v>
      </c>
      <c r="B1331" t="s">
        <v>4305</v>
      </c>
      <c r="C1331" s="96">
        <v>50206011000109</v>
      </c>
      <c r="D1331" t="s">
        <v>4306</v>
      </c>
      <c r="E1331" s="96" t="s">
        <v>1467</v>
      </c>
      <c r="H1331" t="s">
        <v>4236</v>
      </c>
      <c r="I1331">
        <v>500010</v>
      </c>
      <c r="J1331" t="s">
        <v>73</v>
      </c>
      <c r="K1331">
        <v>600017</v>
      </c>
      <c r="L1331">
        <v>-1</v>
      </c>
    </row>
    <row r="1332" spans="1:12">
      <c r="A1332">
        <v>116</v>
      </c>
      <c r="B1332" t="s">
        <v>4307</v>
      </c>
      <c r="C1332" s="96">
        <v>42360404000136</v>
      </c>
      <c r="D1332" t="s">
        <v>4308</v>
      </c>
      <c r="E1332" s="96" t="s">
        <v>1467</v>
      </c>
      <c r="H1332" t="s">
        <v>4236</v>
      </c>
      <c r="I1332">
        <v>500011</v>
      </c>
      <c r="J1332" t="s">
        <v>73</v>
      </c>
      <c r="K1332">
        <v>600017</v>
      </c>
      <c r="L1332">
        <v>-1</v>
      </c>
    </row>
    <row r="1333" spans="1:12">
      <c r="A1333">
        <v>116</v>
      </c>
      <c r="B1333" t="s">
        <v>4309</v>
      </c>
      <c r="C1333" s="96">
        <v>47292532000103</v>
      </c>
      <c r="D1333" t="s">
        <v>4310</v>
      </c>
      <c r="E1333" s="96" t="s">
        <v>1467</v>
      </c>
      <c r="H1333" t="s">
        <v>4236</v>
      </c>
      <c r="I1333">
        <v>500012</v>
      </c>
      <c r="J1333" t="s">
        <v>73</v>
      </c>
      <c r="K1333">
        <v>600017</v>
      </c>
      <c r="L1333">
        <v>-1</v>
      </c>
    </row>
    <row r="1334" spans="1:12">
      <c r="A1334">
        <v>116</v>
      </c>
      <c r="B1334" t="s">
        <v>4311</v>
      </c>
      <c r="C1334" s="96">
        <v>36430322000118</v>
      </c>
      <c r="D1334" t="s">
        <v>4312</v>
      </c>
      <c r="E1334" s="96" t="s">
        <v>1467</v>
      </c>
      <c r="H1334" t="s">
        <v>4236</v>
      </c>
      <c r="I1334">
        <v>500013</v>
      </c>
      <c r="J1334" t="s">
        <v>73</v>
      </c>
      <c r="K1334">
        <v>600017</v>
      </c>
      <c r="L1334">
        <v>-1</v>
      </c>
    </row>
    <row r="1335" spans="1:12">
      <c r="A1335">
        <v>116</v>
      </c>
      <c r="B1335" t="s">
        <v>4313</v>
      </c>
      <c r="C1335" s="96">
        <v>29768006000195</v>
      </c>
      <c r="D1335" t="s">
        <v>4314</v>
      </c>
      <c r="E1335" s="96" t="s">
        <v>1467</v>
      </c>
      <c r="H1335" t="s">
        <v>4236</v>
      </c>
      <c r="I1335">
        <v>500014</v>
      </c>
      <c r="J1335" t="s">
        <v>73</v>
      </c>
      <c r="K1335">
        <v>600017</v>
      </c>
      <c r="L1335">
        <v>-1</v>
      </c>
    </row>
    <row r="1336" spans="1:12">
      <c r="A1336">
        <v>116</v>
      </c>
      <c r="B1336" t="s">
        <v>4315</v>
      </c>
      <c r="C1336" s="96">
        <v>38033610000164</v>
      </c>
      <c r="D1336" t="s">
        <v>4316</v>
      </c>
      <c r="E1336" s="96" t="s">
        <v>1467</v>
      </c>
      <c r="H1336" t="s">
        <v>4236</v>
      </c>
      <c r="I1336">
        <v>500015</v>
      </c>
      <c r="J1336" t="s">
        <v>73</v>
      </c>
      <c r="K1336">
        <v>600017</v>
      </c>
      <c r="L1336">
        <v>-1</v>
      </c>
    </row>
    <row r="1337" spans="1:12">
      <c r="A1337">
        <v>116</v>
      </c>
      <c r="B1337" t="s">
        <v>4317</v>
      </c>
      <c r="C1337" s="96">
        <v>49039801000150</v>
      </c>
      <c r="D1337" t="s">
        <v>4318</v>
      </c>
      <c r="E1337" s="96" t="s">
        <v>1467</v>
      </c>
      <c r="H1337" t="s">
        <v>4236</v>
      </c>
      <c r="I1337">
        <v>500016</v>
      </c>
      <c r="J1337" t="s">
        <v>73</v>
      </c>
      <c r="K1337">
        <v>600017</v>
      </c>
      <c r="L1337">
        <v>-1</v>
      </c>
    </row>
    <row r="1338" spans="1:12">
      <c r="A1338">
        <v>116</v>
      </c>
      <c r="B1338" t="s">
        <v>4319</v>
      </c>
      <c r="C1338" s="96">
        <v>43730787000150</v>
      </c>
      <c r="D1338" t="s">
        <v>4320</v>
      </c>
      <c r="E1338" s="96" t="s">
        <v>1467</v>
      </c>
      <c r="H1338" t="s">
        <v>4236</v>
      </c>
      <c r="I1338">
        <v>500017</v>
      </c>
      <c r="J1338" t="s">
        <v>73</v>
      </c>
      <c r="K1338">
        <v>600017</v>
      </c>
      <c r="L1338">
        <v>-1</v>
      </c>
    </row>
    <row r="1339" spans="1:12">
      <c r="A1339">
        <v>116</v>
      </c>
      <c r="B1339" t="s">
        <v>4321</v>
      </c>
      <c r="C1339" s="96">
        <v>32947598000117</v>
      </c>
      <c r="D1339" t="s">
        <v>4322</v>
      </c>
      <c r="E1339" s="96" t="s">
        <v>1467</v>
      </c>
      <c r="H1339" t="s">
        <v>4236</v>
      </c>
      <c r="I1339">
        <v>500018</v>
      </c>
      <c r="J1339" t="s">
        <v>73</v>
      </c>
      <c r="K1339">
        <v>600017</v>
      </c>
      <c r="L1339">
        <v>-1</v>
      </c>
    </row>
    <row r="1340" spans="1:12">
      <c r="A1340">
        <v>116</v>
      </c>
      <c r="B1340" t="s">
        <v>4323</v>
      </c>
      <c r="C1340" s="96">
        <v>26344392000108</v>
      </c>
      <c r="D1340" t="s">
        <v>4324</v>
      </c>
      <c r="E1340" s="96" t="s">
        <v>1467</v>
      </c>
      <c r="H1340" t="s">
        <v>4236</v>
      </c>
      <c r="I1340">
        <v>500019</v>
      </c>
      <c r="J1340" t="s">
        <v>73</v>
      </c>
      <c r="K1340">
        <v>600017</v>
      </c>
      <c r="L1340">
        <v>-1</v>
      </c>
    </row>
    <row r="1341" spans="1:12">
      <c r="A1341">
        <v>116</v>
      </c>
      <c r="B1341" t="s">
        <v>4325</v>
      </c>
      <c r="C1341" s="96">
        <v>23690341000131</v>
      </c>
      <c r="D1341" t="s">
        <v>4326</v>
      </c>
      <c r="E1341" s="96" t="s">
        <v>1467</v>
      </c>
      <c r="H1341" t="s">
        <v>4236</v>
      </c>
      <c r="I1341">
        <v>500020</v>
      </c>
      <c r="J1341" t="s">
        <v>73</v>
      </c>
      <c r="K1341">
        <v>600017</v>
      </c>
      <c r="L1341">
        <v>-1</v>
      </c>
    </row>
    <row r="1342" spans="1:12">
      <c r="A1342">
        <v>116</v>
      </c>
      <c r="B1342" t="s">
        <v>4327</v>
      </c>
      <c r="C1342" s="96">
        <v>26147709000108</v>
      </c>
      <c r="D1342" t="s">
        <v>4328</v>
      </c>
      <c r="E1342" s="96" t="s">
        <v>1467</v>
      </c>
      <c r="H1342" t="s">
        <v>4236</v>
      </c>
      <c r="I1342">
        <v>500021</v>
      </c>
      <c r="J1342" t="s">
        <v>73</v>
      </c>
      <c r="K1342">
        <v>600017</v>
      </c>
      <c r="L1342">
        <v>-1</v>
      </c>
    </row>
    <row r="1343" spans="1:12">
      <c r="A1343">
        <v>116</v>
      </c>
      <c r="B1343" t="s">
        <v>4329</v>
      </c>
      <c r="C1343" s="96">
        <v>25071568000124</v>
      </c>
      <c r="D1343" t="s">
        <v>4330</v>
      </c>
      <c r="E1343" s="96" t="s">
        <v>1467</v>
      </c>
      <c r="H1343" t="s">
        <v>4236</v>
      </c>
      <c r="I1343">
        <v>500022</v>
      </c>
      <c r="J1343" t="s">
        <v>73</v>
      </c>
      <c r="K1343">
        <v>600017</v>
      </c>
      <c r="L1343">
        <v>-1</v>
      </c>
    </row>
    <row r="1344" spans="1:12">
      <c r="A1344">
        <v>116</v>
      </c>
      <c r="B1344" t="s">
        <v>4331</v>
      </c>
      <c r="C1344" s="96">
        <v>65456832000162</v>
      </c>
      <c r="D1344" t="s">
        <v>4332</v>
      </c>
      <c r="E1344" s="96" t="s">
        <v>1467</v>
      </c>
      <c r="H1344" t="s">
        <v>4236</v>
      </c>
      <c r="I1344">
        <v>500023</v>
      </c>
      <c r="J1344" t="s">
        <v>73</v>
      </c>
      <c r="K1344">
        <v>600017</v>
      </c>
      <c r="L1344">
        <v>-1</v>
      </c>
    </row>
    <row r="1345" spans="1:12">
      <c r="A1345">
        <v>116</v>
      </c>
      <c r="B1345" t="s">
        <v>4333</v>
      </c>
      <c r="C1345" s="96">
        <v>32204366000179</v>
      </c>
      <c r="D1345" t="s">
        <v>4334</v>
      </c>
      <c r="E1345" s="96" t="s">
        <v>1467</v>
      </c>
      <c r="H1345" t="s">
        <v>4236</v>
      </c>
      <c r="I1345">
        <v>500024</v>
      </c>
      <c r="J1345" t="s">
        <v>73</v>
      </c>
      <c r="K1345">
        <v>600017</v>
      </c>
      <c r="L1345">
        <v>-1</v>
      </c>
    </row>
    <row r="1346" spans="1:12">
      <c r="A1346">
        <v>116</v>
      </c>
      <c r="B1346" t="s">
        <v>4335</v>
      </c>
      <c r="C1346" s="96">
        <v>7953689000118</v>
      </c>
      <c r="D1346" t="s">
        <v>4336</v>
      </c>
      <c r="E1346" s="96" t="s">
        <v>1467</v>
      </c>
      <c r="H1346" t="s">
        <v>4236</v>
      </c>
      <c r="I1346">
        <v>500025</v>
      </c>
      <c r="J1346" t="s">
        <v>73</v>
      </c>
      <c r="K1346">
        <v>600017</v>
      </c>
      <c r="L1346">
        <v>-1</v>
      </c>
    </row>
    <row r="1347" spans="1:12">
      <c r="A1347">
        <v>116</v>
      </c>
      <c r="B1347" t="s">
        <v>4337</v>
      </c>
      <c r="C1347" s="96">
        <v>31206933000163</v>
      </c>
      <c r="D1347" t="s">
        <v>4338</v>
      </c>
      <c r="E1347" s="96" t="s">
        <v>1467</v>
      </c>
      <c r="H1347" t="s">
        <v>4236</v>
      </c>
      <c r="I1347">
        <v>500026</v>
      </c>
      <c r="J1347" t="s">
        <v>73</v>
      </c>
      <c r="K1347">
        <v>600017</v>
      </c>
      <c r="L1347">
        <v>-1</v>
      </c>
    </row>
    <row r="1348" spans="1:12">
      <c r="A1348">
        <v>116</v>
      </c>
      <c r="B1348" t="s">
        <v>4339</v>
      </c>
      <c r="C1348" s="96">
        <v>17178195001481</v>
      </c>
      <c r="D1348" t="s">
        <v>4340</v>
      </c>
      <c r="E1348" s="96" t="s">
        <v>1467</v>
      </c>
      <c r="H1348" t="s">
        <v>4236</v>
      </c>
      <c r="I1348">
        <v>500027</v>
      </c>
      <c r="J1348" t="s">
        <v>73</v>
      </c>
      <c r="K1348">
        <v>600017</v>
      </c>
      <c r="L1348">
        <v>-1</v>
      </c>
    </row>
    <row r="1349" spans="1:12">
      <c r="A1349">
        <v>116</v>
      </c>
      <c r="B1349" t="s">
        <v>4341</v>
      </c>
      <c r="C1349" s="96">
        <v>30040114000126</v>
      </c>
      <c r="D1349" t="s">
        <v>4342</v>
      </c>
      <c r="E1349" s="96" t="s">
        <v>1467</v>
      </c>
      <c r="H1349" t="s">
        <v>4236</v>
      </c>
      <c r="I1349">
        <v>500028</v>
      </c>
      <c r="J1349" t="s">
        <v>73</v>
      </c>
      <c r="K1349">
        <v>600017</v>
      </c>
      <c r="L1349">
        <v>-1</v>
      </c>
    </row>
    <row r="1350" spans="1:12">
      <c r="A1350">
        <v>116</v>
      </c>
      <c r="B1350" t="s">
        <v>4343</v>
      </c>
      <c r="C1350" s="96">
        <v>17220897000161</v>
      </c>
      <c r="D1350" t="s">
        <v>4344</v>
      </c>
      <c r="E1350" s="96" t="s">
        <v>1467</v>
      </c>
      <c r="H1350" t="s">
        <v>4236</v>
      </c>
      <c r="I1350">
        <v>500029</v>
      </c>
      <c r="J1350" t="s">
        <v>73</v>
      </c>
      <c r="K1350">
        <v>600017</v>
      </c>
      <c r="L1350">
        <v>-1</v>
      </c>
    </row>
    <row r="1351" spans="1:12">
      <c r="A1351">
        <v>116</v>
      </c>
      <c r="B1351" t="s">
        <v>4345</v>
      </c>
      <c r="C1351" s="96">
        <v>13789844000105</v>
      </c>
      <c r="D1351" t="s">
        <v>4346</v>
      </c>
      <c r="E1351" s="96" t="s">
        <v>1467</v>
      </c>
      <c r="H1351" t="s">
        <v>4236</v>
      </c>
      <c r="I1351">
        <v>500030</v>
      </c>
      <c r="J1351" t="s">
        <v>73</v>
      </c>
      <c r="K1351">
        <v>600017</v>
      </c>
      <c r="L1351">
        <v>-1</v>
      </c>
    </row>
    <row r="1352" spans="1:12">
      <c r="A1352">
        <v>116</v>
      </c>
      <c r="B1352" t="s">
        <v>4347</v>
      </c>
      <c r="C1352" s="96">
        <v>48859449000136</v>
      </c>
      <c r="D1352" t="s">
        <v>4348</v>
      </c>
      <c r="E1352" s="96" t="s">
        <v>1467</v>
      </c>
      <c r="H1352" t="s">
        <v>4236</v>
      </c>
      <c r="I1352">
        <v>500031</v>
      </c>
      <c r="J1352" t="s">
        <v>73</v>
      </c>
      <c r="K1352">
        <v>600017</v>
      </c>
      <c r="L1352">
        <v>-1</v>
      </c>
    </row>
    <row r="1353" spans="1:12">
      <c r="A1353">
        <v>116</v>
      </c>
      <c r="B1353" t="s">
        <v>4349</v>
      </c>
      <c r="C1353" s="96">
        <v>9255587000154</v>
      </c>
      <c r="D1353" t="s">
        <v>4350</v>
      </c>
      <c r="E1353" s="96" t="s">
        <v>1467</v>
      </c>
      <c r="H1353" t="s">
        <v>4236</v>
      </c>
      <c r="I1353">
        <v>500032</v>
      </c>
      <c r="J1353" t="s">
        <v>73</v>
      </c>
      <c r="K1353">
        <v>600017</v>
      </c>
      <c r="L1353">
        <v>-1</v>
      </c>
    </row>
    <row r="1354" spans="1:12">
      <c r="A1354">
        <v>116</v>
      </c>
      <c r="B1354" t="s">
        <v>4351</v>
      </c>
      <c r="C1354" s="96">
        <v>46947466000108</v>
      </c>
      <c r="D1354" t="s">
        <v>4352</v>
      </c>
      <c r="E1354" s="96" t="s">
        <v>1467</v>
      </c>
      <c r="H1354" t="s">
        <v>4236</v>
      </c>
      <c r="I1354">
        <v>500033</v>
      </c>
      <c r="J1354" t="s">
        <v>73</v>
      </c>
      <c r="K1354">
        <v>600017</v>
      </c>
      <c r="L1354">
        <v>-1</v>
      </c>
    </row>
    <row r="1355" spans="1:12">
      <c r="A1355">
        <v>116</v>
      </c>
      <c r="B1355" t="s">
        <v>4353</v>
      </c>
      <c r="C1355" s="96">
        <v>6148606000155</v>
      </c>
      <c r="D1355" t="s">
        <v>4354</v>
      </c>
      <c r="E1355" s="96" t="s">
        <v>1467</v>
      </c>
      <c r="H1355" t="s">
        <v>4236</v>
      </c>
      <c r="I1355">
        <v>500034</v>
      </c>
      <c r="J1355" t="s">
        <v>73</v>
      </c>
      <c r="K1355">
        <v>600017</v>
      </c>
      <c r="L1355">
        <v>-1</v>
      </c>
    </row>
    <row r="1356" spans="1:12">
      <c r="A1356">
        <v>116</v>
      </c>
      <c r="B1356" t="s">
        <v>4355</v>
      </c>
      <c r="C1356" s="96">
        <v>7161663000137</v>
      </c>
      <c r="D1356" t="s">
        <v>4356</v>
      </c>
      <c r="E1356" s="96" t="s">
        <v>1467</v>
      </c>
      <c r="H1356" t="s">
        <v>4236</v>
      </c>
      <c r="I1356">
        <v>500035</v>
      </c>
      <c r="J1356" t="s">
        <v>73</v>
      </c>
      <c r="K1356">
        <v>600017</v>
      </c>
      <c r="L1356">
        <v>-1</v>
      </c>
    </row>
    <row r="1357" spans="1:12">
      <c r="A1357">
        <v>116</v>
      </c>
      <c r="B1357" t="s">
        <v>4357</v>
      </c>
      <c r="C1357" s="96">
        <v>49421976000127</v>
      </c>
      <c r="D1357" t="s">
        <v>4358</v>
      </c>
      <c r="E1357" s="96" t="s">
        <v>1467</v>
      </c>
      <c r="H1357" t="s">
        <v>4236</v>
      </c>
      <c r="I1357">
        <v>500036</v>
      </c>
      <c r="J1357" t="s">
        <v>73</v>
      </c>
      <c r="K1357">
        <v>600017</v>
      </c>
      <c r="L1357">
        <v>-1</v>
      </c>
    </row>
    <row r="1358" spans="1:12">
      <c r="A1358">
        <v>116</v>
      </c>
      <c r="B1358" t="s">
        <v>4359</v>
      </c>
      <c r="C1358" s="96">
        <v>42422253000101</v>
      </c>
      <c r="D1358" t="s">
        <v>4360</v>
      </c>
      <c r="E1358" s="96" t="s">
        <v>1467</v>
      </c>
      <c r="H1358" t="s">
        <v>4236</v>
      </c>
      <c r="I1358">
        <v>500037</v>
      </c>
      <c r="J1358" t="s">
        <v>73</v>
      </c>
      <c r="K1358">
        <v>600017</v>
      </c>
      <c r="L1358">
        <v>-1</v>
      </c>
    </row>
    <row r="1359" spans="1:12">
      <c r="A1359">
        <v>116</v>
      </c>
      <c r="B1359" t="s">
        <v>4361</v>
      </c>
      <c r="C1359" s="96">
        <v>5965853000181</v>
      </c>
      <c r="D1359" t="s">
        <v>4362</v>
      </c>
      <c r="E1359" s="96" t="s">
        <v>1467</v>
      </c>
      <c r="H1359" t="s">
        <v>4236</v>
      </c>
      <c r="I1359">
        <v>500038</v>
      </c>
      <c r="J1359" t="s">
        <v>73</v>
      </c>
      <c r="K1359">
        <v>600017</v>
      </c>
      <c r="L1359">
        <v>-1</v>
      </c>
    </row>
    <row r="1360" spans="1:12">
      <c r="A1360">
        <v>116</v>
      </c>
      <c r="B1360" t="s">
        <v>4363</v>
      </c>
      <c r="C1360" s="96">
        <v>52390100000175</v>
      </c>
      <c r="D1360" t="s">
        <v>4364</v>
      </c>
      <c r="E1360" s="96" t="s">
        <v>1467</v>
      </c>
      <c r="H1360" t="s">
        <v>4236</v>
      </c>
      <c r="I1360">
        <v>500039</v>
      </c>
      <c r="J1360" t="s">
        <v>73</v>
      </c>
      <c r="K1360">
        <v>600017</v>
      </c>
      <c r="L1360">
        <v>-1</v>
      </c>
    </row>
    <row r="1361" spans="1:12">
      <c r="A1361">
        <v>116</v>
      </c>
      <c r="B1361" t="s">
        <v>4365</v>
      </c>
      <c r="C1361" s="96">
        <v>30948812000124</v>
      </c>
      <c r="D1361" t="s">
        <v>4366</v>
      </c>
      <c r="E1361" s="96" t="s">
        <v>1467</v>
      </c>
      <c r="H1361" t="s">
        <v>4236</v>
      </c>
      <c r="I1361">
        <v>500040</v>
      </c>
      <c r="J1361" t="s">
        <v>73</v>
      </c>
      <c r="K1361">
        <v>600017</v>
      </c>
      <c r="L1361">
        <v>-1</v>
      </c>
    </row>
    <row r="1362" spans="1:12">
      <c r="A1362">
        <v>116</v>
      </c>
      <c r="B1362" t="s">
        <v>4367</v>
      </c>
      <c r="C1362" s="96" t="s">
        <v>4368</v>
      </c>
      <c r="D1362" t="s">
        <v>4369</v>
      </c>
      <c r="E1362" s="96" t="s">
        <v>1467</v>
      </c>
      <c r="H1362" t="s">
        <v>4236</v>
      </c>
      <c r="I1362">
        <v>500041</v>
      </c>
      <c r="J1362" t="s">
        <v>73</v>
      </c>
      <c r="K1362">
        <v>600017</v>
      </c>
      <c r="L1362">
        <v>-1</v>
      </c>
    </row>
    <row r="1363" spans="1:12">
      <c r="A1363">
        <v>116</v>
      </c>
      <c r="B1363" t="s">
        <v>4370</v>
      </c>
      <c r="C1363" s="96">
        <v>8914167000170</v>
      </c>
      <c r="D1363" t="s">
        <v>4371</v>
      </c>
      <c r="E1363" s="96" t="s">
        <v>1467</v>
      </c>
      <c r="H1363" t="s">
        <v>4236</v>
      </c>
      <c r="I1363">
        <v>500042</v>
      </c>
      <c r="J1363" t="s">
        <v>73</v>
      </c>
      <c r="K1363">
        <v>600017</v>
      </c>
      <c r="L1363">
        <v>-1</v>
      </c>
    </row>
    <row r="1364" spans="1:12">
      <c r="A1364">
        <v>116</v>
      </c>
      <c r="B1364" s="601" t="s">
        <v>4372</v>
      </c>
      <c r="C1364" s="601" t="s">
        <v>4373</v>
      </c>
      <c r="D1364" s="601" t="s">
        <v>4374</v>
      </c>
      <c r="E1364" s="96" t="s">
        <v>1467</v>
      </c>
      <c r="H1364" t="s">
        <v>4236</v>
      </c>
      <c r="I1364">
        <v>500042</v>
      </c>
      <c r="J1364" t="s">
        <v>73</v>
      </c>
      <c r="K1364">
        <v>600017</v>
      </c>
      <c r="L1364">
        <v>-1</v>
      </c>
    </row>
    <row r="1365" spans="1:12">
      <c r="A1365">
        <v>116</v>
      </c>
      <c r="B1365" s="601" t="s">
        <v>4375</v>
      </c>
      <c r="C1365" s="601">
        <v>3433930800</v>
      </c>
      <c r="D1365" s="601" t="s">
        <v>4376</v>
      </c>
      <c r="E1365" s="96" t="s">
        <v>1467</v>
      </c>
      <c r="H1365" t="s">
        <v>4236</v>
      </c>
      <c r="I1365">
        <v>500042</v>
      </c>
      <c r="J1365" t="s">
        <v>73</v>
      </c>
      <c r="K1365">
        <v>600017</v>
      </c>
      <c r="L1365">
        <v>-1</v>
      </c>
    </row>
    <row r="1366" spans="1:12">
      <c r="A1366">
        <v>116</v>
      </c>
      <c r="B1366" s="601" t="s">
        <v>4377</v>
      </c>
      <c r="C1366" s="601">
        <v>2483424000</v>
      </c>
      <c r="D1366" s="601" t="s">
        <v>4378</v>
      </c>
      <c r="E1366" s="96" t="s">
        <v>1467</v>
      </c>
      <c r="H1366" t="s">
        <v>4236</v>
      </c>
      <c r="I1366">
        <v>500042</v>
      </c>
      <c r="J1366" t="s">
        <v>73</v>
      </c>
      <c r="K1366">
        <v>600017</v>
      </c>
      <c r="L1366">
        <v>-1</v>
      </c>
    </row>
    <row r="1367" spans="1:12">
      <c r="A1367">
        <v>116</v>
      </c>
      <c r="B1367" s="601" t="s">
        <v>4379</v>
      </c>
      <c r="C1367" s="601">
        <v>2795448900</v>
      </c>
      <c r="D1367" s="601" t="s">
        <v>4380</v>
      </c>
      <c r="E1367" s="96" t="s">
        <v>1467</v>
      </c>
      <c r="H1367" t="s">
        <v>4236</v>
      </c>
      <c r="I1367">
        <v>500042</v>
      </c>
      <c r="J1367" t="s">
        <v>73</v>
      </c>
      <c r="K1367">
        <v>600017</v>
      </c>
      <c r="L1367">
        <v>-1</v>
      </c>
    </row>
    <row r="1368" spans="1:12">
      <c r="A1368">
        <v>116</v>
      </c>
      <c r="B1368" s="601" t="s">
        <v>4381</v>
      </c>
      <c r="C1368" s="601">
        <v>3484426300</v>
      </c>
      <c r="D1368" s="601" t="s">
        <v>4382</v>
      </c>
      <c r="E1368" s="96" t="s">
        <v>1467</v>
      </c>
      <c r="H1368" t="s">
        <v>4236</v>
      </c>
      <c r="I1368">
        <v>500042</v>
      </c>
      <c r="J1368" t="s">
        <v>73</v>
      </c>
      <c r="K1368">
        <v>600017</v>
      </c>
      <c r="L1368">
        <v>-1</v>
      </c>
    </row>
    <row r="1369" spans="1:12">
      <c r="A1369">
        <v>116</v>
      </c>
      <c r="B1369" s="601" t="s">
        <v>4383</v>
      </c>
      <c r="C1369" s="601">
        <v>3395344900</v>
      </c>
      <c r="D1369" s="601" t="s">
        <v>4384</v>
      </c>
      <c r="E1369" s="96" t="s">
        <v>1467</v>
      </c>
      <c r="H1369" t="s">
        <v>4236</v>
      </c>
      <c r="I1369">
        <v>500042</v>
      </c>
      <c r="J1369" t="s">
        <v>73</v>
      </c>
      <c r="K1369">
        <v>600017</v>
      </c>
      <c r="L1369">
        <v>-1</v>
      </c>
    </row>
    <row r="1370" spans="1:12">
      <c r="A1370">
        <v>116</v>
      </c>
      <c r="B1370" s="601" t="s">
        <v>4385</v>
      </c>
      <c r="C1370" s="601">
        <v>4121168000</v>
      </c>
      <c r="D1370" s="601" t="s">
        <v>4386</v>
      </c>
      <c r="E1370" s="96" t="s">
        <v>1467</v>
      </c>
      <c r="H1370" t="s">
        <v>4236</v>
      </c>
      <c r="I1370">
        <v>500042</v>
      </c>
      <c r="J1370" t="s">
        <v>73</v>
      </c>
      <c r="K1370">
        <v>600017</v>
      </c>
      <c r="L1370">
        <v>-1</v>
      </c>
    </row>
    <row r="1371" spans="1:12">
      <c r="A1371">
        <v>116</v>
      </c>
      <c r="B1371" s="601" t="s">
        <v>4387</v>
      </c>
      <c r="C1371" s="601">
        <v>770812800</v>
      </c>
      <c r="D1371" s="601" t="s">
        <v>4388</v>
      </c>
      <c r="E1371" s="96" t="s">
        <v>1467</v>
      </c>
      <c r="H1371" t="s">
        <v>4236</v>
      </c>
      <c r="I1371">
        <v>500042</v>
      </c>
      <c r="J1371" t="s">
        <v>73</v>
      </c>
      <c r="K1371">
        <v>600017</v>
      </c>
      <c r="L1371">
        <v>-1</v>
      </c>
    </row>
    <row r="1372" spans="1:12">
      <c r="A1372">
        <v>116</v>
      </c>
      <c r="B1372" s="601" t="s">
        <v>4389</v>
      </c>
      <c r="C1372" s="601">
        <v>3368311100</v>
      </c>
      <c r="D1372" s="601" t="s">
        <v>4390</v>
      </c>
      <c r="E1372" s="96" t="s">
        <v>1467</v>
      </c>
      <c r="H1372" t="s">
        <v>4236</v>
      </c>
      <c r="I1372">
        <v>500042</v>
      </c>
      <c r="J1372" t="s">
        <v>73</v>
      </c>
      <c r="K1372">
        <v>600017</v>
      </c>
      <c r="L1372">
        <v>-1</v>
      </c>
    </row>
    <row r="1373" spans="1:12">
      <c r="A1373">
        <v>116</v>
      </c>
      <c r="B1373" s="601" t="s">
        <v>4391</v>
      </c>
      <c r="C1373" s="601">
        <v>4776671800</v>
      </c>
      <c r="D1373" s="601" t="s">
        <v>4392</v>
      </c>
      <c r="E1373" s="96" t="s">
        <v>1467</v>
      </c>
      <c r="H1373" t="s">
        <v>4236</v>
      </c>
      <c r="I1373">
        <v>500042</v>
      </c>
      <c r="J1373" t="s">
        <v>73</v>
      </c>
      <c r="K1373">
        <v>600017</v>
      </c>
      <c r="L1373">
        <v>-1</v>
      </c>
    </row>
    <row r="1374" spans="1:12">
      <c r="A1374">
        <v>116</v>
      </c>
      <c r="B1374" s="601" t="s">
        <v>4393</v>
      </c>
      <c r="C1374" s="601">
        <v>568133800</v>
      </c>
      <c r="D1374" s="601" t="s">
        <v>4394</v>
      </c>
      <c r="E1374" s="96" t="s">
        <v>1467</v>
      </c>
      <c r="H1374" t="s">
        <v>4236</v>
      </c>
      <c r="I1374">
        <v>500042</v>
      </c>
      <c r="J1374" t="s">
        <v>73</v>
      </c>
      <c r="K1374">
        <v>600017</v>
      </c>
      <c r="L1374">
        <v>-1</v>
      </c>
    </row>
    <row r="1375" spans="1:12">
      <c r="A1375">
        <v>116</v>
      </c>
      <c r="B1375" s="601" t="s">
        <v>4395</v>
      </c>
      <c r="C1375" s="601" t="s">
        <v>4396</v>
      </c>
      <c r="D1375" s="601" t="s">
        <v>4397</v>
      </c>
      <c r="E1375" s="96" t="s">
        <v>1467</v>
      </c>
      <c r="H1375" t="s">
        <v>4236</v>
      </c>
      <c r="I1375">
        <v>500043</v>
      </c>
      <c r="J1375" t="s">
        <v>73</v>
      </c>
      <c r="K1375">
        <v>600017</v>
      </c>
      <c r="L1375">
        <v>-1</v>
      </c>
    </row>
    <row r="1376" spans="1:12">
      <c r="A1376">
        <v>116</v>
      </c>
      <c r="B1376" s="601" t="s">
        <v>4398</v>
      </c>
      <c r="C1376" s="601" t="s">
        <v>4399</v>
      </c>
      <c r="D1376" s="601" t="s">
        <v>4400</v>
      </c>
      <c r="E1376" s="96" t="s">
        <v>1467</v>
      </c>
      <c r="H1376" t="s">
        <v>4236</v>
      </c>
      <c r="I1376">
        <v>500044</v>
      </c>
      <c r="J1376" t="s">
        <v>73</v>
      </c>
      <c r="K1376">
        <v>600017</v>
      </c>
      <c r="L1376">
        <v>-1</v>
      </c>
    </row>
    <row r="1377" spans="1:12">
      <c r="A1377">
        <v>116</v>
      </c>
      <c r="B1377" s="601" t="s">
        <v>4401</v>
      </c>
      <c r="C1377" s="601">
        <v>12719600000000</v>
      </c>
      <c r="D1377" s="601" t="s">
        <v>4402</v>
      </c>
      <c r="E1377" s="96" t="s">
        <v>1467</v>
      </c>
      <c r="H1377" t="s">
        <v>4236</v>
      </c>
      <c r="I1377">
        <v>500045</v>
      </c>
      <c r="J1377" t="s">
        <v>73</v>
      </c>
      <c r="K1377">
        <v>600017</v>
      </c>
      <c r="L1377">
        <v>-1</v>
      </c>
    </row>
    <row r="1378" spans="1:12">
      <c r="A1378">
        <v>116</v>
      </c>
      <c r="B1378" s="601" t="s">
        <v>4403</v>
      </c>
      <c r="C1378" s="601">
        <v>57929000000000</v>
      </c>
      <c r="D1378" s="601" t="s">
        <v>4404</v>
      </c>
      <c r="E1378" s="96" t="s">
        <v>1467</v>
      </c>
      <c r="H1378" t="s">
        <v>4236</v>
      </c>
      <c r="I1378">
        <v>500046</v>
      </c>
      <c r="J1378" t="s">
        <v>73</v>
      </c>
      <c r="K1378">
        <v>600017</v>
      </c>
      <c r="L1378">
        <v>-1</v>
      </c>
    </row>
    <row r="1379" spans="1:12">
      <c r="A1379">
        <v>116</v>
      </c>
      <c r="B1379" s="601" t="s">
        <v>4405</v>
      </c>
      <c r="C1379" s="601">
        <v>97130200000000</v>
      </c>
      <c r="D1379" s="601" t="s">
        <v>4406</v>
      </c>
      <c r="E1379" s="96" t="s">
        <v>1467</v>
      </c>
      <c r="H1379" t="s">
        <v>4236</v>
      </c>
      <c r="I1379">
        <v>500047</v>
      </c>
      <c r="J1379" t="s">
        <v>73</v>
      </c>
      <c r="K1379">
        <v>600017</v>
      </c>
      <c r="L1379">
        <v>-1</v>
      </c>
    </row>
    <row r="1380" spans="1:12">
      <c r="A1380">
        <v>116</v>
      </c>
      <c r="B1380" s="601" t="s">
        <v>4407</v>
      </c>
      <c r="C1380" s="601">
        <v>91421500000000</v>
      </c>
      <c r="D1380" s="601" t="s">
        <v>4408</v>
      </c>
      <c r="E1380" s="96" t="s">
        <v>1467</v>
      </c>
      <c r="H1380" t="s">
        <v>4236</v>
      </c>
      <c r="I1380">
        <v>500048</v>
      </c>
      <c r="J1380" t="s">
        <v>73</v>
      </c>
      <c r="K1380">
        <v>600017</v>
      </c>
      <c r="L1380">
        <v>-1</v>
      </c>
    </row>
    <row r="1381" spans="1:12">
      <c r="A1381">
        <v>116</v>
      </c>
      <c r="B1381" s="601" t="s">
        <v>4409</v>
      </c>
      <c r="C1381" s="601">
        <v>48795500000000</v>
      </c>
      <c r="D1381" s="601" t="s">
        <v>4410</v>
      </c>
      <c r="E1381" s="96" t="s">
        <v>1467</v>
      </c>
      <c r="H1381" t="s">
        <v>4236</v>
      </c>
      <c r="I1381">
        <v>500049</v>
      </c>
      <c r="J1381" t="s">
        <v>73</v>
      </c>
      <c r="K1381">
        <v>600017</v>
      </c>
      <c r="L1381">
        <v>-1</v>
      </c>
    </row>
    <row r="1382" spans="1:12">
      <c r="A1382">
        <v>116</v>
      </c>
      <c r="B1382" s="601" t="s">
        <v>4411</v>
      </c>
      <c r="C1382" s="601">
        <v>31885500000000</v>
      </c>
      <c r="D1382" s="601" t="s">
        <v>4412</v>
      </c>
      <c r="E1382" s="96" t="s">
        <v>1467</v>
      </c>
      <c r="H1382" t="s">
        <v>4236</v>
      </c>
      <c r="I1382">
        <v>500050</v>
      </c>
      <c r="J1382" t="s">
        <v>73</v>
      </c>
      <c r="K1382">
        <v>600017</v>
      </c>
      <c r="L1382">
        <v>-1</v>
      </c>
    </row>
    <row r="1383" spans="1:12">
      <c r="A1383">
        <v>116</v>
      </c>
      <c r="B1383" s="601" t="s">
        <v>4413</v>
      </c>
      <c r="C1383" s="601">
        <v>35147800000000</v>
      </c>
      <c r="D1383" s="601" t="s">
        <v>4414</v>
      </c>
      <c r="E1383" s="96" t="s">
        <v>1467</v>
      </c>
      <c r="H1383" t="s">
        <v>4236</v>
      </c>
      <c r="I1383">
        <v>500051</v>
      </c>
      <c r="J1383" t="s">
        <v>73</v>
      </c>
      <c r="K1383">
        <v>600017</v>
      </c>
      <c r="L1383">
        <v>-1</v>
      </c>
    </row>
    <row r="1384" spans="1:12">
      <c r="A1384">
        <v>116</v>
      </c>
      <c r="B1384" s="601" t="s">
        <v>4415</v>
      </c>
      <c r="C1384" s="601">
        <v>24415300000000</v>
      </c>
      <c r="D1384" s="601" t="s">
        <v>4416</v>
      </c>
      <c r="E1384" s="96" t="s">
        <v>1467</v>
      </c>
      <c r="H1384" t="s">
        <v>4236</v>
      </c>
      <c r="I1384">
        <v>500052</v>
      </c>
      <c r="J1384" t="s">
        <v>73</v>
      </c>
      <c r="K1384">
        <v>600017</v>
      </c>
      <c r="L1384">
        <v>-1</v>
      </c>
    </row>
    <row r="1385" spans="1:12">
      <c r="A1385">
        <v>116</v>
      </c>
      <c r="B1385" s="601" t="s">
        <v>4417</v>
      </c>
      <c r="C1385" s="601">
        <v>3686437800</v>
      </c>
      <c r="D1385" s="601" t="s">
        <v>4418</v>
      </c>
      <c r="E1385" s="96" t="s">
        <v>1467</v>
      </c>
      <c r="H1385" t="s">
        <v>4236</v>
      </c>
      <c r="I1385">
        <v>500053</v>
      </c>
      <c r="J1385" t="s">
        <v>73</v>
      </c>
      <c r="K1385">
        <v>600017</v>
      </c>
      <c r="L1385">
        <v>-1</v>
      </c>
    </row>
    <row r="1386" spans="1:12">
      <c r="A1386">
        <v>116</v>
      </c>
      <c r="B1386" s="601" t="s">
        <v>4419</v>
      </c>
      <c r="C1386" s="601">
        <v>2081864000</v>
      </c>
      <c r="D1386" s="601" t="s">
        <v>4420</v>
      </c>
      <c r="E1386" s="96" t="s">
        <v>1467</v>
      </c>
      <c r="H1386" t="s">
        <v>4236</v>
      </c>
      <c r="I1386">
        <v>500054</v>
      </c>
      <c r="J1386" t="s">
        <v>73</v>
      </c>
      <c r="K1386">
        <v>600017</v>
      </c>
      <c r="L1386">
        <v>-1</v>
      </c>
    </row>
    <row r="1387" spans="1:12">
      <c r="A1387">
        <v>116</v>
      </c>
      <c r="B1387" s="601" t="s">
        <v>4421</v>
      </c>
      <c r="C1387" s="601">
        <v>4687528100</v>
      </c>
      <c r="D1387" s="601" t="s">
        <v>4422</v>
      </c>
      <c r="E1387" s="96" t="s">
        <v>1467</v>
      </c>
      <c r="H1387" t="s">
        <v>4236</v>
      </c>
      <c r="I1387">
        <v>500055</v>
      </c>
      <c r="J1387" t="s">
        <v>73</v>
      </c>
      <c r="K1387">
        <v>600017</v>
      </c>
      <c r="L1387">
        <v>-1</v>
      </c>
    </row>
    <row r="1388" spans="1:12">
      <c r="A1388">
        <v>116</v>
      </c>
      <c r="B1388" s="601" t="s">
        <v>4423</v>
      </c>
      <c r="C1388" s="601">
        <v>548738000</v>
      </c>
      <c r="D1388" s="601" t="s">
        <v>4424</v>
      </c>
      <c r="E1388" s="96" t="s">
        <v>1467</v>
      </c>
      <c r="H1388" t="s">
        <v>4236</v>
      </c>
      <c r="I1388">
        <v>500056</v>
      </c>
      <c r="J1388" t="s">
        <v>73</v>
      </c>
      <c r="K1388">
        <v>600017</v>
      </c>
      <c r="L1388">
        <v>-1</v>
      </c>
    </row>
    <row r="1389" spans="1:12">
      <c r="A1389">
        <v>116</v>
      </c>
      <c r="B1389" s="601" t="s">
        <v>4425</v>
      </c>
      <c r="C1389" s="601">
        <v>3124416300</v>
      </c>
      <c r="D1389" s="601" t="s">
        <v>4426</v>
      </c>
      <c r="E1389" s="96" t="s">
        <v>1467</v>
      </c>
      <c r="H1389" t="s">
        <v>4236</v>
      </c>
      <c r="I1389">
        <v>500057</v>
      </c>
      <c r="J1389" t="s">
        <v>73</v>
      </c>
      <c r="K1389">
        <v>600017</v>
      </c>
      <c r="L1389">
        <v>-1</v>
      </c>
    </row>
    <row r="1390" spans="1:12">
      <c r="A1390">
        <v>116</v>
      </c>
      <c r="B1390" s="601" t="s">
        <v>4427</v>
      </c>
      <c r="C1390" s="601">
        <v>2650670800</v>
      </c>
      <c r="D1390" s="601" t="s">
        <v>4428</v>
      </c>
      <c r="E1390" s="96" t="s">
        <v>1467</v>
      </c>
      <c r="H1390" t="s">
        <v>4236</v>
      </c>
      <c r="I1390">
        <v>500058</v>
      </c>
      <c r="J1390" t="s">
        <v>73</v>
      </c>
      <c r="K1390">
        <v>600017</v>
      </c>
      <c r="L1390">
        <v>-1</v>
      </c>
    </row>
    <row r="1391" spans="1:12">
      <c r="A1391">
        <v>116</v>
      </c>
      <c r="B1391" s="601" t="s">
        <v>4429</v>
      </c>
      <c r="C1391" s="601">
        <v>2892746600</v>
      </c>
      <c r="D1391" s="601" t="s">
        <v>4430</v>
      </c>
      <c r="E1391" s="96" t="s">
        <v>1467</v>
      </c>
      <c r="H1391" t="s">
        <v>4236</v>
      </c>
      <c r="I1391">
        <v>500059</v>
      </c>
      <c r="J1391" t="s">
        <v>73</v>
      </c>
      <c r="K1391">
        <v>600017</v>
      </c>
      <c r="L1391">
        <v>-1</v>
      </c>
    </row>
    <row r="1392" spans="1:12">
      <c r="A1392">
        <v>116</v>
      </c>
      <c r="B1392" s="601" t="s">
        <v>4431</v>
      </c>
      <c r="C1392" s="601">
        <v>1162576300</v>
      </c>
      <c r="D1392" s="601" t="s">
        <v>4432</v>
      </c>
      <c r="E1392" s="96" t="s">
        <v>1467</v>
      </c>
      <c r="H1392" t="s">
        <v>4236</v>
      </c>
      <c r="I1392">
        <v>500060</v>
      </c>
      <c r="J1392" t="s">
        <v>73</v>
      </c>
      <c r="K1392">
        <v>600017</v>
      </c>
      <c r="L1392">
        <v>-1</v>
      </c>
    </row>
    <row r="1393" spans="1:12">
      <c r="A1393">
        <v>116</v>
      </c>
      <c r="B1393" s="601" t="s">
        <v>4433</v>
      </c>
      <c r="C1393" s="601">
        <v>930598300</v>
      </c>
      <c r="D1393" s="601" t="s">
        <v>4434</v>
      </c>
      <c r="E1393" s="96" t="s">
        <v>1467</v>
      </c>
      <c r="H1393" t="s">
        <v>4236</v>
      </c>
      <c r="I1393">
        <v>500061</v>
      </c>
      <c r="J1393" t="s">
        <v>73</v>
      </c>
      <c r="K1393">
        <v>600017</v>
      </c>
      <c r="L1393">
        <v>-1</v>
      </c>
    </row>
    <row r="1394" spans="1:12">
      <c r="A1394">
        <v>116</v>
      </c>
      <c r="B1394" s="601" t="s">
        <v>4435</v>
      </c>
      <c r="C1394" s="601">
        <v>5228138500</v>
      </c>
      <c r="D1394" s="601" t="s">
        <v>4436</v>
      </c>
      <c r="E1394" s="96" t="s">
        <v>1467</v>
      </c>
      <c r="H1394" t="s">
        <v>4236</v>
      </c>
      <c r="I1394">
        <v>500062</v>
      </c>
      <c r="J1394" t="s">
        <v>73</v>
      </c>
      <c r="K1394">
        <v>600017</v>
      </c>
      <c r="L1394">
        <v>-1</v>
      </c>
    </row>
    <row r="1395" spans="1:12">
      <c r="A1395">
        <v>116</v>
      </c>
      <c r="B1395" s="601" t="s">
        <v>4437</v>
      </c>
      <c r="C1395" s="601">
        <v>711252900</v>
      </c>
      <c r="D1395" s="601" t="s">
        <v>4438</v>
      </c>
      <c r="E1395" s="96" t="s">
        <v>1467</v>
      </c>
      <c r="H1395" t="s">
        <v>4236</v>
      </c>
      <c r="I1395">
        <v>500063</v>
      </c>
      <c r="J1395" t="s">
        <v>73</v>
      </c>
      <c r="K1395">
        <v>600017</v>
      </c>
      <c r="L1395">
        <v>-1</v>
      </c>
    </row>
    <row r="1396" spans="1:12">
      <c r="A1396">
        <v>116</v>
      </c>
      <c r="B1396" s="601" t="s">
        <v>4439</v>
      </c>
      <c r="C1396" s="601">
        <v>3337225101</v>
      </c>
      <c r="D1396" s="601" t="s">
        <v>4440</v>
      </c>
      <c r="E1396" s="96" t="s">
        <v>1467</v>
      </c>
      <c r="H1396" t="s">
        <v>4236</v>
      </c>
      <c r="I1396">
        <v>500064</v>
      </c>
      <c r="J1396" t="s">
        <v>73</v>
      </c>
      <c r="K1396">
        <v>600017</v>
      </c>
      <c r="L1396">
        <v>-1</v>
      </c>
    </row>
    <row r="1397" spans="1:12">
      <c r="A1397">
        <v>116</v>
      </c>
      <c r="B1397" s="601" t="s">
        <v>4441</v>
      </c>
      <c r="C1397" s="601">
        <v>2524991400</v>
      </c>
      <c r="D1397" s="601" t="s">
        <v>4442</v>
      </c>
      <c r="E1397" s="96" t="s">
        <v>1467</v>
      </c>
      <c r="H1397" t="s">
        <v>4236</v>
      </c>
      <c r="I1397">
        <v>500065</v>
      </c>
      <c r="J1397" t="s">
        <v>73</v>
      </c>
      <c r="K1397">
        <v>600017</v>
      </c>
      <c r="L1397">
        <v>-1</v>
      </c>
    </row>
    <row r="1398" spans="1:12">
      <c r="A1398">
        <v>116</v>
      </c>
      <c r="B1398" s="601" t="s">
        <v>4443</v>
      </c>
      <c r="C1398" s="601">
        <v>1691523600</v>
      </c>
      <c r="D1398" s="601" t="s">
        <v>4444</v>
      </c>
      <c r="E1398" s="96" t="s">
        <v>1467</v>
      </c>
      <c r="H1398" t="s">
        <v>4236</v>
      </c>
      <c r="I1398">
        <v>500066</v>
      </c>
      <c r="J1398" t="s">
        <v>73</v>
      </c>
      <c r="K1398">
        <v>600017</v>
      </c>
      <c r="L1398">
        <v>-1</v>
      </c>
    </row>
    <row r="1399" spans="1:12">
      <c r="A1399">
        <v>116</v>
      </c>
      <c r="B1399" s="601" t="s">
        <v>4445</v>
      </c>
      <c r="C1399" s="601">
        <v>949432200</v>
      </c>
      <c r="D1399" s="601" t="s">
        <v>4446</v>
      </c>
      <c r="E1399" s="96" t="s">
        <v>1467</v>
      </c>
      <c r="H1399" t="s">
        <v>4236</v>
      </c>
      <c r="I1399">
        <v>500067</v>
      </c>
      <c r="J1399" t="s">
        <v>73</v>
      </c>
      <c r="K1399">
        <v>600017</v>
      </c>
      <c r="L1399">
        <v>-1</v>
      </c>
    </row>
    <row r="1400" spans="1:12">
      <c r="A1400">
        <v>116</v>
      </c>
      <c r="B1400" s="601" t="s">
        <v>4447</v>
      </c>
      <c r="C1400" s="601">
        <v>5255172900</v>
      </c>
      <c r="D1400" s="601" t="s">
        <v>4448</v>
      </c>
      <c r="E1400" s="96" t="s">
        <v>1467</v>
      </c>
      <c r="H1400" t="s">
        <v>4236</v>
      </c>
      <c r="I1400">
        <v>500068</v>
      </c>
      <c r="J1400" t="s">
        <v>73</v>
      </c>
      <c r="K1400">
        <v>600017</v>
      </c>
      <c r="L1400">
        <v>-1</v>
      </c>
    </row>
    <row r="1401" spans="1:12">
      <c r="A1401">
        <v>116</v>
      </c>
      <c r="B1401" s="601" t="s">
        <v>4449</v>
      </c>
      <c r="C1401" s="601">
        <v>5394019500</v>
      </c>
      <c r="D1401" s="601" t="s">
        <v>4450</v>
      </c>
      <c r="E1401" s="96" t="s">
        <v>1467</v>
      </c>
      <c r="H1401" t="s">
        <v>4236</v>
      </c>
      <c r="I1401">
        <v>500069</v>
      </c>
      <c r="J1401" t="s">
        <v>73</v>
      </c>
      <c r="K1401">
        <v>600017</v>
      </c>
      <c r="L1401">
        <v>-1</v>
      </c>
    </row>
    <row r="1402" spans="1:12">
      <c r="A1402">
        <v>116</v>
      </c>
      <c r="B1402" s="601" t="s">
        <v>4451</v>
      </c>
      <c r="C1402" s="601">
        <v>3337225100</v>
      </c>
      <c r="D1402" s="601" t="s">
        <v>4452</v>
      </c>
      <c r="E1402" s="96" t="s">
        <v>1467</v>
      </c>
      <c r="H1402" t="s">
        <v>4236</v>
      </c>
      <c r="I1402">
        <v>500070</v>
      </c>
      <c r="J1402" t="s">
        <v>73</v>
      </c>
      <c r="K1402">
        <v>600017</v>
      </c>
      <c r="L1402">
        <v>-1</v>
      </c>
    </row>
    <row r="1403" spans="1:12">
      <c r="A1403">
        <v>116</v>
      </c>
      <c r="B1403" s="601" t="s">
        <v>4453</v>
      </c>
      <c r="C1403" s="601">
        <v>5856788700</v>
      </c>
      <c r="D1403" s="601" t="s">
        <v>4454</v>
      </c>
      <c r="E1403" s="96" t="s">
        <v>1467</v>
      </c>
      <c r="H1403" t="s">
        <v>4236</v>
      </c>
      <c r="I1403">
        <v>500071</v>
      </c>
      <c r="J1403" t="s">
        <v>73</v>
      </c>
      <c r="K1403">
        <v>600017</v>
      </c>
      <c r="L1403">
        <v>-1</v>
      </c>
    </row>
    <row r="1404" spans="1:12">
      <c r="A1404">
        <v>116</v>
      </c>
      <c r="B1404" s="601" t="s">
        <v>4455</v>
      </c>
      <c r="C1404" s="601">
        <v>5025862300</v>
      </c>
      <c r="D1404" s="601" t="s">
        <v>4456</v>
      </c>
      <c r="E1404" s="96" t="s">
        <v>1467</v>
      </c>
      <c r="H1404" t="s">
        <v>4236</v>
      </c>
      <c r="I1404">
        <v>500072</v>
      </c>
      <c r="J1404" t="s">
        <v>73</v>
      </c>
      <c r="K1404">
        <v>600017</v>
      </c>
      <c r="L1404">
        <v>-1</v>
      </c>
    </row>
    <row r="1405" spans="1:12">
      <c r="A1405">
        <v>116</v>
      </c>
      <c r="B1405" s="601" t="s">
        <v>4457</v>
      </c>
      <c r="C1405" s="601">
        <v>5134113100</v>
      </c>
      <c r="D1405" s="601" t="s">
        <v>4458</v>
      </c>
      <c r="E1405" s="96" t="s">
        <v>1467</v>
      </c>
      <c r="H1405" t="s">
        <v>4236</v>
      </c>
      <c r="I1405">
        <v>500073</v>
      </c>
      <c r="J1405" t="s">
        <v>73</v>
      </c>
      <c r="K1405">
        <v>600017</v>
      </c>
      <c r="L1405">
        <v>-1</v>
      </c>
    </row>
    <row r="1406" spans="1:12">
      <c r="A1406">
        <v>116</v>
      </c>
      <c r="B1406" s="601" t="s">
        <v>4459</v>
      </c>
      <c r="C1406" s="601">
        <v>433823100</v>
      </c>
      <c r="D1406" s="601" t="s">
        <v>4460</v>
      </c>
      <c r="E1406" s="96" t="s">
        <v>1467</v>
      </c>
      <c r="H1406" t="s">
        <v>4236</v>
      </c>
      <c r="I1406">
        <v>500074</v>
      </c>
      <c r="J1406" t="s">
        <v>73</v>
      </c>
      <c r="K1406">
        <v>600017</v>
      </c>
      <c r="L1406">
        <v>-1</v>
      </c>
    </row>
    <row r="1407" spans="1:12">
      <c r="A1407">
        <v>116</v>
      </c>
      <c r="B1407" s="601" t="s">
        <v>4461</v>
      </c>
      <c r="C1407" s="601">
        <v>2873312400</v>
      </c>
      <c r="D1407" s="601" t="s">
        <v>4462</v>
      </c>
      <c r="E1407" s="96" t="s">
        <v>1467</v>
      </c>
      <c r="H1407" t="s">
        <v>4236</v>
      </c>
      <c r="I1407">
        <v>500075</v>
      </c>
      <c r="J1407" t="s">
        <v>73</v>
      </c>
      <c r="K1407">
        <v>600017</v>
      </c>
      <c r="L1407">
        <v>-1</v>
      </c>
    </row>
    <row r="1408" spans="1:12">
      <c r="A1408">
        <v>116</v>
      </c>
      <c r="B1408" s="601" t="s">
        <v>4463</v>
      </c>
      <c r="C1408" s="601">
        <v>3224922100</v>
      </c>
      <c r="D1408" s="601" t="s">
        <v>4464</v>
      </c>
      <c r="E1408" s="96" t="s">
        <v>1467</v>
      </c>
      <c r="H1408" t="s">
        <v>4236</v>
      </c>
      <c r="I1408">
        <v>500076</v>
      </c>
      <c r="J1408" t="s">
        <v>73</v>
      </c>
      <c r="K1408">
        <v>600017</v>
      </c>
      <c r="L1408">
        <v>-1</v>
      </c>
    </row>
    <row r="1409" spans="1:12">
      <c r="A1409">
        <v>116</v>
      </c>
      <c r="B1409" s="601" t="s">
        <v>4465</v>
      </c>
      <c r="C1409" s="601">
        <v>229831400</v>
      </c>
      <c r="D1409" s="601" t="s">
        <v>4466</v>
      </c>
      <c r="E1409" s="96" t="s">
        <v>1467</v>
      </c>
      <c r="H1409" t="s">
        <v>4236</v>
      </c>
      <c r="I1409">
        <v>500077</v>
      </c>
      <c r="J1409" t="s">
        <v>73</v>
      </c>
      <c r="K1409">
        <v>600017</v>
      </c>
      <c r="L1409">
        <v>-1</v>
      </c>
    </row>
    <row r="1410" spans="1:12">
      <c r="A1410">
        <v>116</v>
      </c>
      <c r="B1410" s="601" t="s">
        <v>4467</v>
      </c>
      <c r="C1410" s="601">
        <v>64155600</v>
      </c>
      <c r="D1410" s="601" t="s">
        <v>4468</v>
      </c>
      <c r="E1410" s="96" t="s">
        <v>1467</v>
      </c>
      <c r="H1410" t="s">
        <v>4236</v>
      </c>
      <c r="I1410">
        <v>500078</v>
      </c>
      <c r="J1410" t="s">
        <v>73</v>
      </c>
      <c r="K1410">
        <v>600017</v>
      </c>
      <c r="L1410">
        <v>-1</v>
      </c>
    </row>
    <row r="1411" spans="1:12">
      <c r="A1411">
        <v>116</v>
      </c>
      <c r="B1411" s="601" t="s">
        <v>4469</v>
      </c>
      <c r="C1411" s="601">
        <v>6097505700</v>
      </c>
      <c r="D1411" s="601" t="s">
        <v>4470</v>
      </c>
      <c r="E1411" s="96" t="s">
        <v>1467</v>
      </c>
      <c r="H1411" t="s">
        <v>4236</v>
      </c>
      <c r="I1411">
        <v>500079</v>
      </c>
      <c r="J1411" t="s">
        <v>73</v>
      </c>
      <c r="K1411">
        <v>600017</v>
      </c>
      <c r="L1411">
        <v>-1</v>
      </c>
    </row>
    <row r="1412" spans="1:12">
      <c r="A1412">
        <v>116</v>
      </c>
      <c r="B1412" s="601" t="s">
        <v>4471</v>
      </c>
      <c r="C1412" s="601">
        <v>601273100</v>
      </c>
      <c r="D1412" s="601" t="s">
        <v>4472</v>
      </c>
      <c r="E1412" s="96" t="s">
        <v>1467</v>
      </c>
      <c r="H1412" t="s">
        <v>4236</v>
      </c>
      <c r="I1412">
        <v>500080</v>
      </c>
      <c r="J1412" t="s">
        <v>73</v>
      </c>
      <c r="K1412">
        <v>600017</v>
      </c>
      <c r="L1412">
        <v>-1</v>
      </c>
    </row>
    <row r="1413" spans="1:12">
      <c r="A1413">
        <v>116</v>
      </c>
      <c r="B1413" s="601" t="s">
        <v>4473</v>
      </c>
      <c r="C1413" s="601">
        <v>760403500</v>
      </c>
      <c r="D1413" s="601" t="s">
        <v>4474</v>
      </c>
      <c r="E1413" s="96" t="s">
        <v>1467</v>
      </c>
      <c r="H1413" t="s">
        <v>4236</v>
      </c>
      <c r="I1413">
        <v>500081</v>
      </c>
      <c r="J1413" t="s">
        <v>73</v>
      </c>
      <c r="K1413">
        <v>600017</v>
      </c>
      <c r="L1413">
        <v>-1</v>
      </c>
    </row>
    <row r="1414" spans="1:12">
      <c r="A1414">
        <v>116</v>
      </c>
      <c r="B1414" s="601" t="s">
        <v>4475</v>
      </c>
      <c r="C1414" s="601">
        <v>209228300</v>
      </c>
      <c r="D1414" s="601" t="s">
        <v>4476</v>
      </c>
      <c r="E1414" s="96" t="s">
        <v>1467</v>
      </c>
      <c r="H1414" t="s">
        <v>4236</v>
      </c>
      <c r="I1414">
        <v>500082</v>
      </c>
      <c r="J1414" t="s">
        <v>73</v>
      </c>
      <c r="K1414">
        <v>600017</v>
      </c>
      <c r="L1414">
        <v>-1</v>
      </c>
    </row>
    <row r="1415" spans="1:12">
      <c r="A1415">
        <v>116</v>
      </c>
      <c r="B1415" s="601" t="s">
        <v>4477</v>
      </c>
      <c r="C1415" s="601">
        <v>461545000</v>
      </c>
      <c r="D1415" s="601" t="s">
        <v>4478</v>
      </c>
      <c r="E1415" s="96" t="s">
        <v>1467</v>
      </c>
      <c r="H1415" t="s">
        <v>4236</v>
      </c>
      <c r="I1415">
        <v>500083</v>
      </c>
      <c r="J1415" t="s">
        <v>73</v>
      </c>
      <c r="K1415">
        <v>600017</v>
      </c>
      <c r="L1415">
        <v>-1</v>
      </c>
    </row>
    <row r="1416" spans="1:12">
      <c r="A1416">
        <v>116</v>
      </c>
      <c r="B1416" s="601" t="s">
        <v>4479</v>
      </c>
      <c r="C1416" s="601">
        <v>5381310200</v>
      </c>
      <c r="D1416" s="601" t="s">
        <v>4480</v>
      </c>
      <c r="E1416" s="96" t="s">
        <v>1467</v>
      </c>
      <c r="H1416" t="s">
        <v>4236</v>
      </c>
      <c r="I1416">
        <v>500084</v>
      </c>
      <c r="J1416" t="s">
        <v>73</v>
      </c>
      <c r="K1416">
        <v>600017</v>
      </c>
      <c r="L1416">
        <v>-1</v>
      </c>
    </row>
    <row r="1417" spans="1:12">
      <c r="A1417">
        <v>116</v>
      </c>
      <c r="B1417" s="601" t="s">
        <v>4481</v>
      </c>
      <c r="C1417" s="601">
        <v>2672218900</v>
      </c>
      <c r="D1417" s="601" t="s">
        <v>4482</v>
      </c>
      <c r="E1417" s="96" t="s">
        <v>1467</v>
      </c>
      <c r="H1417" t="s">
        <v>4236</v>
      </c>
      <c r="I1417">
        <v>500085</v>
      </c>
      <c r="J1417" t="s">
        <v>73</v>
      </c>
      <c r="K1417">
        <v>600017</v>
      </c>
      <c r="L1417">
        <v>-1</v>
      </c>
    </row>
    <row r="1418" spans="1:12">
      <c r="A1418">
        <v>116</v>
      </c>
      <c r="B1418" s="601" t="s">
        <v>4483</v>
      </c>
      <c r="C1418" s="601">
        <v>4227005800</v>
      </c>
      <c r="D1418" s="601" t="s">
        <v>4484</v>
      </c>
      <c r="E1418" s="96" t="s">
        <v>1467</v>
      </c>
      <c r="H1418" t="s">
        <v>4236</v>
      </c>
      <c r="I1418">
        <v>500086</v>
      </c>
      <c r="J1418" t="s">
        <v>73</v>
      </c>
      <c r="K1418">
        <v>600017</v>
      </c>
      <c r="L1418">
        <v>-1</v>
      </c>
    </row>
    <row r="1419" spans="1:12">
      <c r="A1419">
        <v>116</v>
      </c>
      <c r="B1419" s="601" t="s">
        <v>4485</v>
      </c>
      <c r="C1419" s="601">
        <v>1566475900</v>
      </c>
      <c r="D1419" s="601" t="s">
        <v>4486</v>
      </c>
      <c r="E1419" s="96" t="s">
        <v>1467</v>
      </c>
      <c r="H1419" t="s">
        <v>4236</v>
      </c>
      <c r="I1419">
        <v>500087</v>
      </c>
      <c r="J1419" t="s">
        <v>73</v>
      </c>
      <c r="K1419">
        <v>600017</v>
      </c>
      <c r="L1419">
        <v>-1</v>
      </c>
    </row>
    <row r="1420" spans="1:12">
      <c r="A1420">
        <v>116</v>
      </c>
      <c r="B1420" s="601" t="s">
        <v>4487</v>
      </c>
      <c r="C1420" s="601">
        <v>2608246700</v>
      </c>
      <c r="D1420" s="601" t="s">
        <v>4488</v>
      </c>
      <c r="E1420" s="96" t="s">
        <v>1467</v>
      </c>
      <c r="H1420" t="s">
        <v>4236</v>
      </c>
      <c r="I1420">
        <v>500088</v>
      </c>
      <c r="J1420" t="s">
        <v>73</v>
      </c>
      <c r="K1420">
        <v>600017</v>
      </c>
      <c r="L1420">
        <v>-1</v>
      </c>
    </row>
    <row r="1421" spans="1:12">
      <c r="A1421">
        <v>116</v>
      </c>
      <c r="B1421" s="601" t="s">
        <v>4489</v>
      </c>
      <c r="C1421" s="601">
        <v>6739318100</v>
      </c>
      <c r="D1421" s="601" t="s">
        <v>4490</v>
      </c>
      <c r="E1421" s="96" t="s">
        <v>1467</v>
      </c>
      <c r="H1421" t="s">
        <v>4236</v>
      </c>
      <c r="I1421">
        <v>500089</v>
      </c>
      <c r="J1421" t="s">
        <v>73</v>
      </c>
      <c r="K1421">
        <v>600017</v>
      </c>
      <c r="L1421">
        <v>-1</v>
      </c>
    </row>
    <row r="1422" spans="1:12">
      <c r="A1422">
        <v>116</v>
      </c>
      <c r="B1422" s="601" t="s">
        <v>4491</v>
      </c>
      <c r="C1422" s="601">
        <v>1324294800</v>
      </c>
      <c r="D1422" s="601" t="s">
        <v>4492</v>
      </c>
      <c r="E1422" s="96" t="s">
        <v>1467</v>
      </c>
      <c r="H1422" t="s">
        <v>4236</v>
      </c>
      <c r="I1422">
        <v>500090</v>
      </c>
      <c r="J1422" t="s">
        <v>73</v>
      </c>
      <c r="K1422">
        <v>600017</v>
      </c>
      <c r="L1422">
        <v>-1</v>
      </c>
    </row>
    <row r="1423" spans="1:12">
      <c r="A1423">
        <v>116</v>
      </c>
      <c r="B1423" s="601" t="s">
        <v>4493</v>
      </c>
      <c r="C1423" s="601">
        <v>3115387700</v>
      </c>
      <c r="D1423" s="601" t="s">
        <v>4494</v>
      </c>
      <c r="E1423" s="96" t="s">
        <v>1467</v>
      </c>
      <c r="H1423" t="s">
        <v>4236</v>
      </c>
      <c r="I1423">
        <v>500091</v>
      </c>
      <c r="J1423" t="s">
        <v>73</v>
      </c>
      <c r="K1423">
        <v>600017</v>
      </c>
      <c r="L1423">
        <v>-1</v>
      </c>
    </row>
    <row r="1424" spans="1:12">
      <c r="A1424">
        <v>116</v>
      </c>
      <c r="B1424" s="601" t="s">
        <v>4495</v>
      </c>
      <c r="C1424" s="601">
        <v>1221517800</v>
      </c>
      <c r="D1424" s="601" t="s">
        <v>4496</v>
      </c>
      <c r="E1424" s="96" t="s">
        <v>1467</v>
      </c>
      <c r="H1424" t="s">
        <v>4236</v>
      </c>
      <c r="I1424">
        <v>500092</v>
      </c>
      <c r="J1424" t="s">
        <v>73</v>
      </c>
      <c r="K1424">
        <v>600017</v>
      </c>
      <c r="L1424">
        <v>-1</v>
      </c>
    </row>
    <row r="1425" spans="1:12">
      <c r="A1425">
        <v>116</v>
      </c>
      <c r="B1425" s="601" t="s">
        <v>4497</v>
      </c>
      <c r="C1425" s="601">
        <v>209233200</v>
      </c>
      <c r="D1425" s="601" t="s">
        <v>4498</v>
      </c>
      <c r="E1425" s="96" t="s">
        <v>1467</v>
      </c>
      <c r="H1425" t="s">
        <v>4236</v>
      </c>
      <c r="I1425">
        <v>500093</v>
      </c>
      <c r="J1425" t="s">
        <v>73</v>
      </c>
      <c r="K1425">
        <v>600017</v>
      </c>
      <c r="L1425">
        <v>-1</v>
      </c>
    </row>
    <row r="1426" spans="1:12">
      <c r="A1426">
        <v>116</v>
      </c>
      <c r="B1426" s="601" t="s">
        <v>4499</v>
      </c>
      <c r="C1426" s="601">
        <v>458783430</v>
      </c>
      <c r="D1426" s="601" t="s">
        <v>4500</v>
      </c>
      <c r="E1426" s="96" t="s">
        <v>1467</v>
      </c>
      <c r="H1426" t="s">
        <v>4236</v>
      </c>
      <c r="I1426">
        <v>500094</v>
      </c>
      <c r="J1426" t="s">
        <v>73</v>
      </c>
      <c r="K1426">
        <v>600017</v>
      </c>
      <c r="L1426">
        <v>-1</v>
      </c>
    </row>
    <row r="1427" spans="1:12">
      <c r="A1427">
        <v>116</v>
      </c>
      <c r="B1427" s="601" t="s">
        <v>4501</v>
      </c>
      <c r="C1427" s="601">
        <v>4212451300</v>
      </c>
      <c r="D1427" s="601" t="s">
        <v>4502</v>
      </c>
      <c r="E1427" s="96" t="s">
        <v>1467</v>
      </c>
      <c r="H1427" t="s">
        <v>4236</v>
      </c>
      <c r="I1427">
        <v>500095</v>
      </c>
      <c r="J1427" t="s">
        <v>73</v>
      </c>
      <c r="K1427">
        <v>600017</v>
      </c>
      <c r="L1427">
        <v>-1</v>
      </c>
    </row>
    <row r="1428" spans="1:12">
      <c r="A1428">
        <v>116</v>
      </c>
      <c r="B1428" s="601" t="s">
        <v>4503</v>
      </c>
      <c r="C1428" s="601">
        <v>1975955400</v>
      </c>
      <c r="D1428" s="601" t="s">
        <v>4504</v>
      </c>
      <c r="E1428" s="96" t="s">
        <v>1467</v>
      </c>
      <c r="H1428" t="s">
        <v>4236</v>
      </c>
      <c r="I1428">
        <v>500096</v>
      </c>
      <c r="J1428" t="s">
        <v>73</v>
      </c>
      <c r="K1428">
        <v>600017</v>
      </c>
      <c r="L1428">
        <v>-1</v>
      </c>
    </row>
    <row r="1429" spans="1:12">
      <c r="A1429">
        <v>116</v>
      </c>
      <c r="B1429" s="601" t="s">
        <v>4505</v>
      </c>
      <c r="C1429" s="601">
        <v>1262298800</v>
      </c>
      <c r="D1429" s="601" t="s">
        <v>4506</v>
      </c>
      <c r="E1429" s="96" t="s">
        <v>1467</v>
      </c>
      <c r="H1429" t="s">
        <v>4236</v>
      </c>
      <c r="I1429">
        <v>500097</v>
      </c>
      <c r="J1429" t="s">
        <v>73</v>
      </c>
      <c r="K1429">
        <v>600017</v>
      </c>
      <c r="L1429">
        <v>-1</v>
      </c>
    </row>
    <row r="1430" spans="1:12">
      <c r="A1430">
        <v>116</v>
      </c>
      <c r="B1430" s="601" t="s">
        <v>4507</v>
      </c>
      <c r="C1430" s="601">
        <v>2901834100</v>
      </c>
      <c r="D1430" s="601" t="s">
        <v>4508</v>
      </c>
      <c r="E1430" s="96" t="s">
        <v>1467</v>
      </c>
      <c r="H1430" t="s">
        <v>4236</v>
      </c>
      <c r="I1430">
        <v>500098</v>
      </c>
      <c r="J1430" t="s">
        <v>73</v>
      </c>
      <c r="K1430">
        <v>600017</v>
      </c>
      <c r="L1430">
        <v>-1</v>
      </c>
    </row>
    <row r="1431" spans="1:12">
      <c r="A1431">
        <v>116</v>
      </c>
      <c r="B1431" s="601" t="s">
        <v>4509</v>
      </c>
      <c r="C1431" s="601">
        <v>5711533100</v>
      </c>
      <c r="D1431" s="601" t="s">
        <v>4510</v>
      </c>
      <c r="E1431" s="96" t="s">
        <v>1467</v>
      </c>
      <c r="H1431" t="s">
        <v>4236</v>
      </c>
      <c r="I1431">
        <v>500099</v>
      </c>
      <c r="J1431" t="s">
        <v>73</v>
      </c>
      <c r="K1431">
        <v>600017</v>
      </c>
      <c r="L1431">
        <v>-1</v>
      </c>
    </row>
    <row r="1432" spans="1:12">
      <c r="A1432">
        <v>116</v>
      </c>
      <c r="B1432" s="601" t="s">
        <v>4511</v>
      </c>
      <c r="C1432" s="601">
        <v>3416706600</v>
      </c>
      <c r="D1432" s="601" t="s">
        <v>4512</v>
      </c>
      <c r="E1432" s="96" t="s">
        <v>1467</v>
      </c>
      <c r="H1432" t="s">
        <v>4236</v>
      </c>
      <c r="I1432">
        <v>500100</v>
      </c>
      <c r="J1432" t="s">
        <v>73</v>
      </c>
      <c r="K1432">
        <v>600017</v>
      </c>
      <c r="L1432">
        <v>-1</v>
      </c>
    </row>
    <row r="1433" spans="1:12">
      <c r="A1433">
        <v>116</v>
      </c>
      <c r="B1433" s="601" t="s">
        <v>4513</v>
      </c>
      <c r="C1433" s="601">
        <v>3230181800</v>
      </c>
      <c r="D1433" s="601" t="s">
        <v>4514</v>
      </c>
      <c r="E1433" s="96" t="s">
        <v>1467</v>
      </c>
      <c r="H1433" t="s">
        <v>4236</v>
      </c>
      <c r="I1433">
        <v>500101</v>
      </c>
      <c r="J1433" t="s">
        <v>73</v>
      </c>
      <c r="K1433">
        <v>600017</v>
      </c>
      <c r="L1433">
        <v>-1</v>
      </c>
    </row>
    <row r="1434" spans="1:12">
      <c r="A1434">
        <v>116</v>
      </c>
      <c r="B1434" s="601" t="s">
        <v>4515</v>
      </c>
      <c r="C1434" s="601">
        <v>1823490600</v>
      </c>
      <c r="D1434" s="601" t="s">
        <v>4516</v>
      </c>
      <c r="E1434" s="96" t="s">
        <v>1467</v>
      </c>
      <c r="H1434" t="s">
        <v>4236</v>
      </c>
      <c r="I1434">
        <v>500102</v>
      </c>
      <c r="J1434" t="s">
        <v>73</v>
      </c>
      <c r="K1434">
        <v>600017</v>
      </c>
      <c r="L1434">
        <v>-1</v>
      </c>
    </row>
    <row r="1435" spans="1:12">
      <c r="A1435">
        <v>116</v>
      </c>
      <c r="B1435" t="s">
        <v>4517</v>
      </c>
      <c r="C1435">
        <v>12021938</v>
      </c>
      <c r="D1435" t="s">
        <v>4518</v>
      </c>
      <c r="E1435" s="96" t="s">
        <v>1467</v>
      </c>
      <c r="H1435" t="s">
        <v>4236</v>
      </c>
      <c r="I1435">
        <v>500103</v>
      </c>
      <c r="J1435" t="s">
        <v>73</v>
      </c>
      <c r="K1435">
        <v>600017</v>
      </c>
      <c r="L1435">
        <v>-1</v>
      </c>
    </row>
    <row r="1436" spans="1:12">
      <c r="A1436">
        <v>116</v>
      </c>
      <c r="B1436" t="s">
        <v>4519</v>
      </c>
      <c r="C1436">
        <v>13418193</v>
      </c>
      <c r="D1436" t="s">
        <v>4520</v>
      </c>
      <c r="E1436" s="96" t="s">
        <v>1467</v>
      </c>
      <c r="H1436" t="s">
        <v>4236</v>
      </c>
      <c r="I1436">
        <v>500104</v>
      </c>
      <c r="J1436" t="s">
        <v>73</v>
      </c>
      <c r="K1436">
        <v>600017</v>
      </c>
      <c r="L1436">
        <v>-1</v>
      </c>
    </row>
    <row r="1437" spans="1:12">
      <c r="A1437">
        <v>116</v>
      </c>
      <c r="B1437" t="s">
        <v>4521</v>
      </c>
      <c r="C1437">
        <v>1183614</v>
      </c>
      <c r="D1437" t="s">
        <v>4522</v>
      </c>
      <c r="E1437" s="96" t="s">
        <v>1467</v>
      </c>
      <c r="H1437" t="s">
        <v>4236</v>
      </c>
      <c r="I1437">
        <v>500105</v>
      </c>
      <c r="J1437" t="s">
        <v>73</v>
      </c>
      <c r="K1437">
        <v>600017</v>
      </c>
      <c r="L1437">
        <v>-1</v>
      </c>
    </row>
    <row r="1438" spans="1:12">
      <c r="A1438">
        <v>116</v>
      </c>
      <c r="B1438" t="s">
        <v>4523</v>
      </c>
      <c r="C1438">
        <v>60011748</v>
      </c>
      <c r="D1438" t="s">
        <v>4524</v>
      </c>
      <c r="E1438" s="96" t="s">
        <v>1467</v>
      </c>
      <c r="H1438" t="s">
        <v>4236</v>
      </c>
      <c r="I1438">
        <v>500106</v>
      </c>
      <c r="J1438" t="s">
        <v>73</v>
      </c>
      <c r="K1438">
        <v>600017</v>
      </c>
      <c r="L1438">
        <v>-1</v>
      </c>
    </row>
    <row r="1439" spans="1:12">
      <c r="A1439">
        <v>116</v>
      </c>
      <c r="B1439" t="s">
        <v>4525</v>
      </c>
      <c r="C1439">
        <v>50237407</v>
      </c>
      <c r="D1439" t="s">
        <v>4526</v>
      </c>
      <c r="E1439" s="96" t="s">
        <v>1467</v>
      </c>
      <c r="H1439" t="s">
        <v>4236</v>
      </c>
      <c r="I1439">
        <v>500107</v>
      </c>
      <c r="J1439" t="s">
        <v>73</v>
      </c>
      <c r="K1439">
        <v>600017</v>
      </c>
      <c r="L1439">
        <v>-1</v>
      </c>
    </row>
    <row r="1440" spans="1:12">
      <c r="A1440">
        <v>116</v>
      </c>
      <c r="B1440" t="s">
        <v>4527</v>
      </c>
      <c r="C1440">
        <v>57558159</v>
      </c>
      <c r="D1440" t="s">
        <v>4528</v>
      </c>
      <c r="E1440" s="96" t="s">
        <v>1467</v>
      </c>
      <c r="H1440" t="s">
        <v>4236</v>
      </c>
      <c r="I1440">
        <v>500108</v>
      </c>
      <c r="J1440" t="s">
        <v>73</v>
      </c>
      <c r="K1440">
        <v>600017</v>
      </c>
      <c r="L1440">
        <v>-1</v>
      </c>
    </row>
    <row r="1441" spans="1:12">
      <c r="A1441">
        <v>116</v>
      </c>
      <c r="B1441" t="s">
        <v>4529</v>
      </c>
      <c r="C1441">
        <v>5773229</v>
      </c>
      <c r="D1441" t="s">
        <v>4530</v>
      </c>
      <c r="E1441" s="96" t="s">
        <v>1467</v>
      </c>
      <c r="H1441" t="s">
        <v>4236</v>
      </c>
      <c r="I1441">
        <v>500109</v>
      </c>
      <c r="J1441" t="s">
        <v>73</v>
      </c>
      <c r="K1441">
        <v>600017</v>
      </c>
      <c r="L1441">
        <v>-1</v>
      </c>
    </row>
    <row r="1442" spans="1:12">
      <c r="A1442">
        <v>116</v>
      </c>
      <c r="B1442" t="s">
        <v>4531</v>
      </c>
      <c r="C1442">
        <v>26699784</v>
      </c>
      <c r="D1442" t="s">
        <v>4532</v>
      </c>
      <c r="E1442" s="96" t="s">
        <v>1467</v>
      </c>
      <c r="H1442" t="s">
        <v>4236</v>
      </c>
      <c r="I1442">
        <v>500110</v>
      </c>
      <c r="J1442" t="s">
        <v>73</v>
      </c>
      <c r="K1442">
        <v>600017</v>
      </c>
      <c r="L1442">
        <v>-1</v>
      </c>
    </row>
    <row r="1443" spans="1:12">
      <c r="A1443">
        <v>116</v>
      </c>
      <c r="B1443" t="s">
        <v>4533</v>
      </c>
      <c r="C1443">
        <v>14945616</v>
      </c>
      <c r="D1443" t="s">
        <v>4534</v>
      </c>
      <c r="E1443" s="96" t="s">
        <v>1467</v>
      </c>
      <c r="H1443" t="s">
        <v>4236</v>
      </c>
      <c r="I1443">
        <v>500111</v>
      </c>
      <c r="J1443" t="s">
        <v>73</v>
      </c>
      <c r="K1443">
        <v>600017</v>
      </c>
      <c r="L1443">
        <v>-1</v>
      </c>
    </row>
    <row r="1444" spans="1:12">
      <c r="A1444">
        <v>116</v>
      </c>
      <c r="B1444" t="s">
        <v>4535</v>
      </c>
      <c r="C1444">
        <v>7774090</v>
      </c>
      <c r="D1444" t="s">
        <v>4536</v>
      </c>
      <c r="E1444" s="96" t="s">
        <v>1467</v>
      </c>
      <c r="H1444" t="s">
        <v>4236</v>
      </c>
      <c r="I1444">
        <v>500112</v>
      </c>
      <c r="J1444" t="s">
        <v>73</v>
      </c>
      <c r="K1444">
        <v>600017</v>
      </c>
      <c r="L1444">
        <v>-1</v>
      </c>
    </row>
    <row r="1445" spans="1:12">
      <c r="A1445">
        <v>116</v>
      </c>
      <c r="B1445" t="s">
        <v>4537</v>
      </c>
      <c r="C1445">
        <v>23108237</v>
      </c>
      <c r="D1445" t="s">
        <v>4538</v>
      </c>
      <c r="E1445" s="96" t="s">
        <v>1467</v>
      </c>
      <c r="H1445" t="s">
        <v>4236</v>
      </c>
      <c r="I1445">
        <v>500113</v>
      </c>
      <c r="J1445" t="s">
        <v>73</v>
      </c>
      <c r="K1445">
        <v>600017</v>
      </c>
      <c r="L1445">
        <v>-1</v>
      </c>
    </row>
    <row r="1446" spans="1:12">
      <c r="A1446">
        <v>116</v>
      </c>
      <c r="B1446" t="s">
        <v>4539</v>
      </c>
      <c r="C1446">
        <v>1183614000</v>
      </c>
      <c r="D1446" t="s">
        <v>4540</v>
      </c>
      <c r="E1446" s="96" t="s">
        <v>1467</v>
      </c>
      <c r="H1446" t="s">
        <v>4236</v>
      </c>
      <c r="I1446">
        <v>500114</v>
      </c>
      <c r="J1446" t="s">
        <v>73</v>
      </c>
      <c r="K1446">
        <v>600017</v>
      </c>
      <c r="L1446">
        <v>-1</v>
      </c>
    </row>
    <row r="1447" spans="1:12">
      <c r="A1447">
        <v>116</v>
      </c>
      <c r="B1447" t="s">
        <v>4541</v>
      </c>
      <c r="C1447">
        <v>2460252400</v>
      </c>
      <c r="D1447" t="s">
        <v>4542</v>
      </c>
      <c r="E1447" s="96" t="s">
        <v>1467</v>
      </c>
      <c r="H1447" t="s">
        <v>4236</v>
      </c>
      <c r="I1447">
        <v>500115</v>
      </c>
      <c r="J1447" t="s">
        <v>73</v>
      </c>
      <c r="K1447">
        <v>600017</v>
      </c>
      <c r="L1447">
        <v>-1</v>
      </c>
    </row>
    <row r="1448" spans="1:12">
      <c r="A1448">
        <v>116</v>
      </c>
      <c r="B1448" t="s">
        <v>4543</v>
      </c>
      <c r="C1448">
        <v>2995903600</v>
      </c>
      <c r="D1448" t="s">
        <v>4544</v>
      </c>
      <c r="E1448" s="96" t="s">
        <v>1467</v>
      </c>
      <c r="H1448" t="s">
        <v>4236</v>
      </c>
      <c r="I1448">
        <v>500116</v>
      </c>
      <c r="J1448" t="s">
        <v>73</v>
      </c>
      <c r="K1448">
        <v>600017</v>
      </c>
      <c r="L1448">
        <v>-1</v>
      </c>
    </row>
    <row r="1449" spans="1:12">
      <c r="A1449">
        <v>116</v>
      </c>
      <c r="B1449" t="s">
        <v>4545</v>
      </c>
      <c r="C1449">
        <v>692622300</v>
      </c>
      <c r="D1449" t="s">
        <v>4546</v>
      </c>
      <c r="E1449" s="96" t="s">
        <v>1467</v>
      </c>
      <c r="H1449" t="s">
        <v>4236</v>
      </c>
      <c r="I1449">
        <v>500117</v>
      </c>
      <c r="J1449" t="s">
        <v>73</v>
      </c>
      <c r="K1449">
        <v>600017</v>
      </c>
      <c r="L1449">
        <v>-1</v>
      </c>
    </row>
    <row r="1450" spans="1:12">
      <c r="A1450">
        <v>116</v>
      </c>
      <c r="B1450" t="s">
        <v>4547</v>
      </c>
      <c r="C1450">
        <v>763909500</v>
      </c>
      <c r="D1450" t="s">
        <v>4548</v>
      </c>
      <c r="E1450" s="96" t="s">
        <v>1467</v>
      </c>
      <c r="H1450" t="s">
        <v>4236</v>
      </c>
      <c r="I1450">
        <v>500118</v>
      </c>
      <c r="J1450" t="s">
        <v>73</v>
      </c>
      <c r="K1450">
        <v>600017</v>
      </c>
      <c r="L1450">
        <v>-1</v>
      </c>
    </row>
    <row r="1451" spans="1:12">
      <c r="A1451">
        <v>116</v>
      </c>
      <c r="B1451" t="s">
        <v>4549</v>
      </c>
      <c r="C1451">
        <v>3033823000</v>
      </c>
      <c r="D1451" t="s">
        <v>4550</v>
      </c>
      <c r="E1451" s="96" t="s">
        <v>1467</v>
      </c>
      <c r="H1451" t="s">
        <v>4236</v>
      </c>
      <c r="I1451">
        <v>500119</v>
      </c>
      <c r="J1451" t="s">
        <v>73</v>
      </c>
      <c r="K1451">
        <v>600017</v>
      </c>
      <c r="L1451">
        <v>-1</v>
      </c>
    </row>
    <row r="1452" spans="1:12">
      <c r="A1452">
        <v>116</v>
      </c>
      <c r="B1452" t="s">
        <v>4551</v>
      </c>
      <c r="C1452">
        <v>6926223000</v>
      </c>
      <c r="D1452" t="s">
        <v>4546</v>
      </c>
      <c r="E1452" s="96" t="s">
        <v>1467</v>
      </c>
      <c r="H1452" t="s">
        <v>4236</v>
      </c>
      <c r="I1452">
        <v>500120</v>
      </c>
      <c r="J1452" t="s">
        <v>73</v>
      </c>
      <c r="K1452">
        <v>600017</v>
      </c>
      <c r="L1452">
        <v>-1</v>
      </c>
    </row>
    <row r="1453" spans="1:12">
      <c r="A1453">
        <v>116</v>
      </c>
      <c r="B1453" t="s">
        <v>4552</v>
      </c>
      <c r="C1453">
        <v>3416723900</v>
      </c>
      <c r="D1453" t="s">
        <v>4553</v>
      </c>
      <c r="E1453" s="96" t="s">
        <v>1467</v>
      </c>
      <c r="H1453" t="s">
        <v>4236</v>
      </c>
      <c r="I1453">
        <v>500121</v>
      </c>
      <c r="J1453" t="s">
        <v>73</v>
      </c>
      <c r="K1453">
        <v>600017</v>
      </c>
      <c r="L1453">
        <v>-1</v>
      </c>
    </row>
    <row r="1454" spans="1:12">
      <c r="A1454">
        <v>116</v>
      </c>
      <c r="B1454" t="s">
        <v>4552</v>
      </c>
      <c r="C1454">
        <v>3416723900</v>
      </c>
      <c r="D1454" t="s">
        <v>4553</v>
      </c>
      <c r="E1454" s="96" t="s">
        <v>1467</v>
      </c>
      <c r="H1454" t="s">
        <v>4236</v>
      </c>
      <c r="I1454">
        <v>500122</v>
      </c>
      <c r="J1454" t="s">
        <v>73</v>
      </c>
      <c r="K1454">
        <v>600017</v>
      </c>
      <c r="L1454">
        <v>-1</v>
      </c>
    </row>
    <row r="1455" spans="1:12">
      <c r="A1455">
        <v>116</v>
      </c>
      <c r="B1455" t="s">
        <v>4554</v>
      </c>
      <c r="C1455">
        <v>5327215000</v>
      </c>
      <c r="D1455" t="s">
        <v>4555</v>
      </c>
      <c r="E1455" s="96" t="s">
        <v>1467</v>
      </c>
      <c r="H1455" t="s">
        <v>4236</v>
      </c>
      <c r="I1455">
        <v>500123</v>
      </c>
      <c r="J1455" t="s">
        <v>73</v>
      </c>
      <c r="K1455">
        <v>600017</v>
      </c>
      <c r="L1455">
        <v>-1</v>
      </c>
    </row>
    <row r="1456" spans="1:12">
      <c r="A1456">
        <v>116</v>
      </c>
      <c r="B1456" t="s">
        <v>4556</v>
      </c>
      <c r="C1456">
        <v>6280146300</v>
      </c>
      <c r="D1456" t="s">
        <v>4557</v>
      </c>
      <c r="E1456" s="96" t="s">
        <v>1467</v>
      </c>
      <c r="H1456" t="s">
        <v>4236</v>
      </c>
      <c r="I1456">
        <v>500124</v>
      </c>
      <c r="J1456" t="s">
        <v>73</v>
      </c>
      <c r="K1456">
        <v>600017</v>
      </c>
      <c r="L1456">
        <v>-1</v>
      </c>
    </row>
    <row r="1457" spans="1:12">
      <c r="A1457">
        <v>116</v>
      </c>
      <c r="B1457" t="s">
        <v>4558</v>
      </c>
      <c r="C1457">
        <v>4314769300</v>
      </c>
      <c r="D1457" t="s">
        <v>4559</v>
      </c>
      <c r="E1457" s="96" t="s">
        <v>1467</v>
      </c>
      <c r="H1457" t="s">
        <v>4236</v>
      </c>
      <c r="I1457">
        <v>500125</v>
      </c>
      <c r="J1457" t="s">
        <v>73</v>
      </c>
      <c r="K1457">
        <v>600017</v>
      </c>
      <c r="L1457">
        <v>-1</v>
      </c>
    </row>
    <row r="1458" spans="1:12">
      <c r="A1458">
        <v>116</v>
      </c>
      <c r="B1458" t="s">
        <v>4560</v>
      </c>
      <c r="C1458">
        <v>4314769300</v>
      </c>
      <c r="D1458" t="s">
        <v>4561</v>
      </c>
      <c r="E1458" s="96" t="s">
        <v>1467</v>
      </c>
      <c r="H1458" t="s">
        <v>4236</v>
      </c>
      <c r="I1458">
        <v>500126</v>
      </c>
      <c r="J1458" t="s">
        <v>73</v>
      </c>
      <c r="K1458">
        <v>600017</v>
      </c>
      <c r="L1458">
        <v>-1</v>
      </c>
    </row>
    <row r="1459" spans="1:12">
      <c r="A1459">
        <v>116</v>
      </c>
      <c r="B1459" t="s">
        <v>4562</v>
      </c>
      <c r="C1459">
        <v>2607922000</v>
      </c>
      <c r="D1459" t="s">
        <v>4563</v>
      </c>
      <c r="E1459" s="96" t="s">
        <v>1467</v>
      </c>
      <c r="H1459" t="s">
        <v>4236</v>
      </c>
      <c r="I1459">
        <v>500127</v>
      </c>
      <c r="J1459" t="s">
        <v>73</v>
      </c>
      <c r="K1459">
        <v>600017</v>
      </c>
      <c r="L1459">
        <v>-1</v>
      </c>
    </row>
    <row r="1460" spans="1:12">
      <c r="A1460">
        <v>116</v>
      </c>
      <c r="B1460" t="s">
        <v>4564</v>
      </c>
      <c r="C1460">
        <v>3416368600</v>
      </c>
      <c r="D1460" t="s">
        <v>4565</v>
      </c>
      <c r="E1460" s="96" t="s">
        <v>1467</v>
      </c>
      <c r="H1460" t="s">
        <v>4236</v>
      </c>
      <c r="I1460">
        <v>500128</v>
      </c>
      <c r="J1460" t="s">
        <v>73</v>
      </c>
      <c r="K1460">
        <v>600017</v>
      </c>
      <c r="L1460">
        <v>-1</v>
      </c>
    </row>
    <row r="1461" spans="1:12">
      <c r="A1461">
        <v>116</v>
      </c>
      <c r="B1461" t="s">
        <v>4566</v>
      </c>
      <c r="C1461">
        <v>4900149600</v>
      </c>
      <c r="D1461" t="s">
        <v>4567</v>
      </c>
      <c r="E1461" s="96" t="s">
        <v>1467</v>
      </c>
      <c r="H1461" t="s">
        <v>4236</v>
      </c>
      <c r="I1461">
        <v>500129</v>
      </c>
      <c r="J1461" t="s">
        <v>73</v>
      </c>
      <c r="K1461">
        <v>600017</v>
      </c>
      <c r="L1461">
        <v>-1</v>
      </c>
    </row>
    <row r="1462" spans="1:12">
      <c r="A1462">
        <v>116</v>
      </c>
      <c r="B1462" t="s">
        <v>4568</v>
      </c>
      <c r="C1462">
        <v>2284002100</v>
      </c>
      <c r="D1462" t="s">
        <v>4569</v>
      </c>
      <c r="E1462" s="96" t="s">
        <v>1467</v>
      </c>
      <c r="H1462" t="s">
        <v>4236</v>
      </c>
      <c r="I1462">
        <v>500130</v>
      </c>
      <c r="J1462" t="s">
        <v>73</v>
      </c>
      <c r="K1462">
        <v>600017</v>
      </c>
      <c r="L1462">
        <v>-1</v>
      </c>
    </row>
    <row r="1463" spans="1:12" s="336" customFormat="1">
      <c r="A1463" s="336">
        <v>116</v>
      </c>
      <c r="B1463" s="336" t="s">
        <v>4570</v>
      </c>
      <c r="C1463" s="336">
        <v>2115</v>
      </c>
      <c r="D1463" s="336" t="s">
        <v>4571</v>
      </c>
      <c r="E1463" s="337" t="s">
        <v>1462</v>
      </c>
      <c r="H1463" t="s">
        <v>4236</v>
      </c>
      <c r="I1463">
        <v>500042</v>
      </c>
      <c r="J1463" t="s">
        <v>73</v>
      </c>
      <c r="K1463">
        <v>600017</v>
      </c>
      <c r="L1463">
        <v>-1</v>
      </c>
    </row>
    <row r="1464" spans="1:12">
      <c r="A1464">
        <v>116</v>
      </c>
      <c r="B1464" t="s">
        <v>4572</v>
      </c>
      <c r="C1464" s="96">
        <v>2115999</v>
      </c>
      <c r="D1464" t="s">
        <v>4573</v>
      </c>
      <c r="E1464" s="96" t="s">
        <v>1467</v>
      </c>
      <c r="H1464" t="s">
        <v>361</v>
      </c>
      <c r="I1464">
        <v>500042</v>
      </c>
      <c r="J1464" t="s">
        <v>73</v>
      </c>
      <c r="K1464">
        <f>VLOOKUP(J1464,Listas!$B$21:$C$50,2,FALSE)</f>
        <v>600017</v>
      </c>
      <c r="L1464">
        <v>-1</v>
      </c>
    </row>
    <row r="1465" spans="1:12" s="336" customFormat="1">
      <c r="A1465" s="336">
        <v>116</v>
      </c>
      <c r="B1465" s="336" t="s">
        <v>864</v>
      </c>
      <c r="C1465" s="336">
        <v>2116</v>
      </c>
      <c r="D1465" s="336" t="s">
        <v>180</v>
      </c>
      <c r="E1465" s="337" t="s">
        <v>1462</v>
      </c>
    </row>
    <row r="1466" spans="1:12">
      <c r="A1466">
        <v>116</v>
      </c>
      <c r="B1466" t="s">
        <v>4574</v>
      </c>
      <c r="C1466" s="96">
        <v>21161</v>
      </c>
      <c r="D1466" t="s">
        <v>4575</v>
      </c>
      <c r="E1466" s="96" t="s">
        <v>1467</v>
      </c>
      <c r="H1466" t="s">
        <v>361</v>
      </c>
      <c r="I1466">
        <f>VLOOKUP(H1466,Listas!$B$2:$C$20,2,FALSE)</f>
        <v>500001</v>
      </c>
      <c r="J1466" t="s">
        <v>4576</v>
      </c>
      <c r="K1466">
        <f>VLOOKUP(J1466,Listas!$B$21:$C$52,2,FALSE)</f>
        <v>600031</v>
      </c>
      <c r="L1466">
        <v>-1</v>
      </c>
    </row>
    <row r="1467" spans="1:12">
      <c r="A1467">
        <v>116</v>
      </c>
      <c r="B1467" t="s">
        <v>865</v>
      </c>
      <c r="C1467" s="96">
        <v>21162</v>
      </c>
      <c r="D1467" t="s">
        <v>866</v>
      </c>
      <c r="E1467" s="96" t="s">
        <v>1467</v>
      </c>
      <c r="H1467" t="s">
        <v>361</v>
      </c>
      <c r="I1467">
        <f>VLOOKUP(H1467,Listas!$B$2:$C$20,2,FALSE)</f>
        <v>500001</v>
      </c>
      <c r="J1467" t="s">
        <v>149</v>
      </c>
      <c r="K1467">
        <f>VLOOKUP(J1467,Listas!$B$21:$C$52,2,FALSE)</f>
        <v>600018</v>
      </c>
      <c r="L1467">
        <v>-1</v>
      </c>
    </row>
    <row r="1468" spans="1:12">
      <c r="A1468">
        <v>116</v>
      </c>
      <c r="B1468" t="s">
        <v>867</v>
      </c>
      <c r="C1468" s="96">
        <v>21163</v>
      </c>
      <c r="D1468" t="s">
        <v>868</v>
      </c>
      <c r="E1468" s="96" t="s">
        <v>1467</v>
      </c>
      <c r="H1468" t="s">
        <v>361</v>
      </c>
      <c r="I1468">
        <f>VLOOKUP(H1468,Listas!$B$2:$C$20,2,FALSE)</f>
        <v>500001</v>
      </c>
      <c r="J1468" t="s">
        <v>149</v>
      </c>
      <c r="K1468">
        <f>VLOOKUP(J1468,Listas!$B$21:$C$52,2,FALSE)</f>
        <v>600018</v>
      </c>
      <c r="L1468">
        <v>-1</v>
      </c>
    </row>
    <row r="1469" spans="1:12">
      <c r="A1469">
        <v>116</v>
      </c>
      <c r="B1469" t="s">
        <v>4577</v>
      </c>
      <c r="C1469" s="96">
        <v>21164</v>
      </c>
      <c r="D1469" t="s">
        <v>4578</v>
      </c>
      <c r="E1469" s="96" t="s">
        <v>1467</v>
      </c>
      <c r="H1469" t="s">
        <v>361</v>
      </c>
      <c r="I1469">
        <f>VLOOKUP(H1469,Listas!$B$2:$C$20,2,FALSE)</f>
        <v>500001</v>
      </c>
      <c r="J1469" t="s">
        <v>149</v>
      </c>
      <c r="K1469">
        <f>VLOOKUP(J1469,Listas!$B$21:$C$52,2,FALSE)</f>
        <v>600018</v>
      </c>
      <c r="L1469">
        <v>-1</v>
      </c>
    </row>
    <row r="1470" spans="1:12">
      <c r="A1470">
        <v>116</v>
      </c>
      <c r="B1470" t="s">
        <v>4579</v>
      </c>
      <c r="C1470" s="96">
        <v>21165</v>
      </c>
      <c r="D1470" t="s">
        <v>4580</v>
      </c>
      <c r="E1470" s="96" t="s">
        <v>1467</v>
      </c>
      <c r="H1470" t="s">
        <v>361</v>
      </c>
      <c r="I1470">
        <f>VLOOKUP(H1470,Listas!$B$2:$C$20,2,FALSE)</f>
        <v>500001</v>
      </c>
      <c r="J1470" t="s">
        <v>149</v>
      </c>
      <c r="K1470">
        <f>VLOOKUP(J1470,Listas!$B$21:$C$52,2,FALSE)</f>
        <v>600018</v>
      </c>
      <c r="L1470">
        <v>-1</v>
      </c>
    </row>
    <row r="1471" spans="1:12">
      <c r="A1471">
        <v>116</v>
      </c>
      <c r="B1471" t="s">
        <v>4581</v>
      </c>
      <c r="C1471" s="96">
        <v>21166</v>
      </c>
      <c r="D1471" t="s">
        <v>4582</v>
      </c>
      <c r="E1471" s="96" t="s">
        <v>1467</v>
      </c>
      <c r="H1471" t="s">
        <v>361</v>
      </c>
      <c r="I1471">
        <f>VLOOKUP(H1471,Listas!$B$2:$C$20,2,FALSE)</f>
        <v>500001</v>
      </c>
      <c r="J1471" t="s">
        <v>149</v>
      </c>
      <c r="K1471">
        <f>VLOOKUP(J1471,Listas!$B$21:$C$52,2,FALSE)</f>
        <v>600018</v>
      </c>
      <c r="L1471">
        <v>-1</v>
      </c>
    </row>
    <row r="1472" spans="1:12">
      <c r="A1472">
        <v>116</v>
      </c>
      <c r="B1472" t="s">
        <v>4583</v>
      </c>
      <c r="C1472" s="96">
        <v>21167</v>
      </c>
      <c r="D1472" t="s">
        <v>4584</v>
      </c>
      <c r="E1472" s="96" t="s">
        <v>1467</v>
      </c>
      <c r="H1472" t="s">
        <v>361</v>
      </c>
      <c r="I1472">
        <f>VLOOKUP(H1472,Listas!$B$2:$C$20,2,FALSE)</f>
        <v>500001</v>
      </c>
      <c r="J1472" t="s">
        <v>4585</v>
      </c>
      <c r="K1472">
        <f>VLOOKUP(J1472,Listas!$B$21:$C$52,2,FALSE)</f>
        <v>600031</v>
      </c>
      <c r="L1472">
        <v>-1</v>
      </c>
    </row>
    <row r="1473" spans="1:12">
      <c r="A1473">
        <v>116</v>
      </c>
      <c r="B1473" t="s">
        <v>4586</v>
      </c>
      <c r="C1473" s="96">
        <v>21168</v>
      </c>
      <c r="D1473" t="s">
        <v>4587</v>
      </c>
      <c r="E1473" s="96" t="s">
        <v>1467</v>
      </c>
      <c r="H1473" t="s">
        <v>361</v>
      </c>
      <c r="I1473">
        <f>VLOOKUP(H1473,Listas!$B$2:$C$20,2,FALSE)</f>
        <v>500001</v>
      </c>
      <c r="J1473" t="s">
        <v>149</v>
      </c>
      <c r="K1473">
        <f>VLOOKUP(J1473,Listas!$B$21:$C$52,2,FALSE)</f>
        <v>600018</v>
      </c>
      <c r="L1473">
        <v>-1</v>
      </c>
    </row>
    <row r="1474" spans="1:12">
      <c r="A1474">
        <v>116</v>
      </c>
      <c r="B1474" t="s">
        <v>4588</v>
      </c>
      <c r="C1474" s="96">
        <v>21169</v>
      </c>
      <c r="D1474" t="s">
        <v>4589</v>
      </c>
      <c r="E1474" s="96" t="s">
        <v>1467</v>
      </c>
      <c r="H1474" t="s">
        <v>361</v>
      </c>
      <c r="I1474">
        <f>VLOOKUP(H1474,Listas!$B$2:$C$20,2,FALSE)</f>
        <v>500001</v>
      </c>
      <c r="J1474" t="s">
        <v>149</v>
      </c>
      <c r="K1474">
        <f>VLOOKUP(J1474,Listas!$B$21:$C$52,2,FALSE)</f>
        <v>600018</v>
      </c>
      <c r="L1474">
        <v>-1</v>
      </c>
    </row>
    <row r="1475" spans="1:12" s="336" customFormat="1">
      <c r="A1475" s="336">
        <v>116</v>
      </c>
      <c r="B1475" s="336" t="s">
        <v>869</v>
      </c>
      <c r="C1475" s="336">
        <v>2117</v>
      </c>
      <c r="D1475" s="336" t="s">
        <v>870</v>
      </c>
      <c r="E1475" s="337" t="s">
        <v>1462</v>
      </c>
    </row>
    <row r="1476" spans="1:12">
      <c r="A1476">
        <v>116</v>
      </c>
      <c r="B1476" t="s">
        <v>871</v>
      </c>
      <c r="C1476" s="96">
        <v>561</v>
      </c>
      <c r="D1476" t="s">
        <v>872</v>
      </c>
      <c r="E1476" s="96" t="s">
        <v>1467</v>
      </c>
      <c r="H1476" t="s">
        <v>361</v>
      </c>
      <c r="I1476">
        <f>VLOOKUP(H1476,Listas!$B$2:$C$20,2,FALSE)</f>
        <v>500001</v>
      </c>
      <c r="J1476" t="s">
        <v>149</v>
      </c>
      <c r="K1476">
        <f>VLOOKUP(J1476,Listas!$B$21:$C$52,2,FALSE)</f>
        <v>600018</v>
      </c>
      <c r="L1476">
        <v>-1</v>
      </c>
    </row>
    <row r="1477" spans="1:12">
      <c r="A1477">
        <v>116</v>
      </c>
      <c r="B1477" t="s">
        <v>4590</v>
      </c>
      <c r="C1477" s="96">
        <v>21172</v>
      </c>
      <c r="D1477" t="s">
        <v>4591</v>
      </c>
      <c r="E1477" s="96" t="s">
        <v>1467</v>
      </c>
      <c r="H1477" t="s">
        <v>361</v>
      </c>
      <c r="I1477">
        <f>VLOOKUP(H1477,Listas!$B$2:$C$20,2,FALSE)</f>
        <v>500001</v>
      </c>
      <c r="J1477" t="s">
        <v>149</v>
      </c>
      <c r="K1477">
        <f>VLOOKUP(J1477,Listas!$B$21:$C$52,2,FALSE)</f>
        <v>600018</v>
      </c>
      <c r="L1477">
        <v>-1</v>
      </c>
    </row>
    <row r="1478" spans="1:12">
      <c r="A1478">
        <v>116</v>
      </c>
      <c r="B1478" t="s">
        <v>873</v>
      </c>
      <c r="C1478" s="96" t="s">
        <v>874</v>
      </c>
      <c r="D1478" t="s">
        <v>875</v>
      </c>
      <c r="E1478" s="96" t="s">
        <v>1467</v>
      </c>
      <c r="H1478" t="s">
        <v>361</v>
      </c>
      <c r="I1478">
        <f>VLOOKUP(H1478,Listas!$B$2:$C$20,2,FALSE)</f>
        <v>500001</v>
      </c>
      <c r="J1478" t="s">
        <v>149</v>
      </c>
      <c r="K1478">
        <f>VLOOKUP(J1478,Listas!$B$21:$C$52,2,FALSE)</f>
        <v>600018</v>
      </c>
      <c r="L1478">
        <v>-1</v>
      </c>
    </row>
    <row r="1479" spans="1:12">
      <c r="A1479">
        <v>116</v>
      </c>
      <c r="B1479" t="s">
        <v>4592</v>
      </c>
      <c r="C1479" s="96" t="s">
        <v>4593</v>
      </c>
      <c r="D1479" t="s">
        <v>4594</v>
      </c>
      <c r="E1479" s="96" t="s">
        <v>1467</v>
      </c>
      <c r="H1479" t="s">
        <v>361</v>
      </c>
      <c r="I1479">
        <f>VLOOKUP(H1479,Listas!$B$2:$C$20,2,FALSE)</f>
        <v>500001</v>
      </c>
      <c r="J1479" t="s">
        <v>149</v>
      </c>
      <c r="K1479">
        <f>VLOOKUP(J1479,Listas!$B$21:$C$52,2,FALSE)</f>
        <v>600018</v>
      </c>
      <c r="L1479">
        <v>-1</v>
      </c>
    </row>
    <row r="1480" spans="1:12">
      <c r="A1480">
        <v>116</v>
      </c>
      <c r="B1480" t="s">
        <v>4595</v>
      </c>
      <c r="C1480" s="96" t="s">
        <v>4596</v>
      </c>
      <c r="D1480" t="s">
        <v>4597</v>
      </c>
      <c r="E1480" s="96" t="s">
        <v>1467</v>
      </c>
      <c r="H1480" t="s">
        <v>361</v>
      </c>
      <c r="I1480">
        <f>VLOOKUP(H1480,Listas!$B$2:$C$20,2,FALSE)</f>
        <v>500001</v>
      </c>
      <c r="J1480" t="s">
        <v>149</v>
      </c>
      <c r="K1480">
        <f>VLOOKUP(J1480,Listas!$B$21:$C$52,2,FALSE)</f>
        <v>600018</v>
      </c>
      <c r="L1480">
        <v>-1</v>
      </c>
    </row>
    <row r="1481" spans="1:12">
      <c r="A1481">
        <v>116</v>
      </c>
      <c r="B1481" t="s">
        <v>4598</v>
      </c>
      <c r="C1481" s="96">
        <v>21176</v>
      </c>
      <c r="D1481" t="s">
        <v>4599</v>
      </c>
      <c r="E1481" s="96" t="s">
        <v>1467</v>
      </c>
      <c r="H1481" t="s">
        <v>361</v>
      </c>
      <c r="I1481">
        <f>VLOOKUP(H1481,Listas!$B$2:$C$20,2,FALSE)</f>
        <v>500001</v>
      </c>
      <c r="J1481" t="s">
        <v>149</v>
      </c>
      <c r="K1481">
        <f>VLOOKUP(J1481,Listas!$B$21:$C$52,2,FALSE)</f>
        <v>600018</v>
      </c>
      <c r="L1481">
        <v>-1</v>
      </c>
    </row>
    <row r="1482" spans="1:12">
      <c r="A1482">
        <v>116</v>
      </c>
      <c r="B1482" t="s">
        <v>4600</v>
      </c>
      <c r="C1482" s="96">
        <v>21177</v>
      </c>
      <c r="D1482" t="s">
        <v>4601</v>
      </c>
      <c r="E1482" s="96" t="s">
        <v>1467</v>
      </c>
      <c r="H1482" t="s">
        <v>361</v>
      </c>
      <c r="I1482">
        <f>VLOOKUP(H1482,Listas!$B$2:$C$20,2,FALSE)</f>
        <v>500001</v>
      </c>
      <c r="J1482" t="s">
        <v>149</v>
      </c>
      <c r="K1482">
        <f>VLOOKUP(J1482,Listas!$B$21:$C$52,2,FALSE)</f>
        <v>600018</v>
      </c>
      <c r="L1482">
        <v>-1</v>
      </c>
    </row>
    <row r="1483" spans="1:12">
      <c r="A1483">
        <v>116</v>
      </c>
      <c r="B1483" t="s">
        <v>876</v>
      </c>
      <c r="C1483" s="96">
        <v>6147</v>
      </c>
      <c r="D1483" t="s">
        <v>877</v>
      </c>
      <c r="E1483" s="96" t="s">
        <v>1467</v>
      </c>
      <c r="H1483" t="s">
        <v>361</v>
      </c>
      <c r="I1483">
        <f>VLOOKUP(H1483,Listas!$B$2:$C$20,2,FALSE)</f>
        <v>500001</v>
      </c>
      <c r="J1483" t="s">
        <v>149</v>
      </c>
      <c r="K1483">
        <f>VLOOKUP(J1483,Listas!$B$21:$C$52,2,FALSE)</f>
        <v>600018</v>
      </c>
      <c r="L1483">
        <v>-1</v>
      </c>
    </row>
    <row r="1484" spans="1:12">
      <c r="A1484">
        <v>116</v>
      </c>
      <c r="B1484" t="s">
        <v>878</v>
      </c>
      <c r="C1484" s="96">
        <v>6190</v>
      </c>
      <c r="D1484" t="s">
        <v>879</v>
      </c>
      <c r="E1484" s="96" t="s">
        <v>1467</v>
      </c>
      <c r="H1484" t="s">
        <v>361</v>
      </c>
      <c r="I1484">
        <f>VLOOKUP(H1484,Listas!$B$2:$C$20,2,FALSE)</f>
        <v>500001</v>
      </c>
      <c r="J1484" t="s">
        <v>149</v>
      </c>
      <c r="K1484">
        <f>VLOOKUP(J1484,Listas!$B$21:$C$52,2,FALSE)</f>
        <v>600018</v>
      </c>
      <c r="L1484">
        <v>-1</v>
      </c>
    </row>
    <row r="1485" spans="1:12">
      <c r="A1485">
        <v>116</v>
      </c>
      <c r="B1485" t="s">
        <v>880</v>
      </c>
      <c r="C1485" s="96">
        <v>6175</v>
      </c>
      <c r="D1485" t="s">
        <v>881</v>
      </c>
      <c r="E1485" s="96" t="s">
        <v>1467</v>
      </c>
      <c r="H1485" t="s">
        <v>361</v>
      </c>
      <c r="I1485">
        <f>VLOOKUP(H1485,Listas!$B$2:$C$20,2,FALSE)</f>
        <v>500001</v>
      </c>
      <c r="J1485" t="s">
        <v>149</v>
      </c>
      <c r="K1485">
        <f>VLOOKUP(J1485,Listas!$B$21:$C$52,2,FALSE)</f>
        <v>600018</v>
      </c>
      <c r="L1485">
        <v>-1</v>
      </c>
    </row>
    <row r="1486" spans="1:12">
      <c r="A1486">
        <v>116</v>
      </c>
      <c r="B1486" t="s">
        <v>4602</v>
      </c>
      <c r="C1486" s="96">
        <v>211711</v>
      </c>
      <c r="D1486" t="s">
        <v>4603</v>
      </c>
      <c r="E1486" s="96" t="s">
        <v>1467</v>
      </c>
      <c r="H1486" t="s">
        <v>361</v>
      </c>
      <c r="I1486">
        <f>VLOOKUP(H1486,Listas!$B$2:$C$20,2,FALSE)</f>
        <v>500001</v>
      </c>
      <c r="J1486" t="s">
        <v>149</v>
      </c>
      <c r="K1486">
        <f>VLOOKUP(J1486,Listas!$B$21:$C$52,2,FALSE)</f>
        <v>600018</v>
      </c>
      <c r="L1486">
        <v>-1</v>
      </c>
    </row>
    <row r="1487" spans="1:12">
      <c r="A1487">
        <v>116</v>
      </c>
      <c r="B1487" t="s">
        <v>4604</v>
      </c>
      <c r="C1487" s="96">
        <v>211712</v>
      </c>
      <c r="D1487" t="s">
        <v>4605</v>
      </c>
      <c r="E1487" s="96" t="s">
        <v>1467</v>
      </c>
      <c r="H1487" t="s">
        <v>361</v>
      </c>
      <c r="I1487">
        <f>VLOOKUP(H1487,Listas!$B$2:$C$20,2,FALSE)</f>
        <v>500001</v>
      </c>
      <c r="J1487" t="s">
        <v>149</v>
      </c>
      <c r="K1487">
        <f>VLOOKUP(J1487,Listas!$B$21:$C$52,2,FALSE)</f>
        <v>600018</v>
      </c>
      <c r="L1487">
        <v>-1</v>
      </c>
    </row>
    <row r="1488" spans="1:12">
      <c r="A1488">
        <v>116</v>
      </c>
      <c r="B1488" t="s">
        <v>4606</v>
      </c>
      <c r="C1488" s="96">
        <v>211713</v>
      </c>
      <c r="D1488" t="s">
        <v>4607</v>
      </c>
      <c r="E1488" s="96" t="s">
        <v>1467</v>
      </c>
      <c r="H1488" t="s">
        <v>361</v>
      </c>
      <c r="I1488">
        <f>VLOOKUP(H1488,Listas!$B$2:$C$20,2,FALSE)</f>
        <v>500001</v>
      </c>
      <c r="J1488" t="s">
        <v>149</v>
      </c>
      <c r="K1488">
        <f>VLOOKUP(J1488,Listas!$B$21:$C$52,2,FALSE)</f>
        <v>600018</v>
      </c>
      <c r="L1488">
        <v>-1</v>
      </c>
    </row>
    <row r="1489" spans="1:12">
      <c r="A1489">
        <v>116</v>
      </c>
      <c r="B1489" t="s">
        <v>4608</v>
      </c>
      <c r="C1489" s="96">
        <v>211714</v>
      </c>
      <c r="D1489" t="s">
        <v>4609</v>
      </c>
      <c r="E1489" s="96" t="s">
        <v>1467</v>
      </c>
      <c r="H1489" t="s">
        <v>361</v>
      </c>
      <c r="I1489">
        <f>VLOOKUP(H1489,Listas!$B$2:$C$20,2,FALSE)</f>
        <v>500001</v>
      </c>
      <c r="J1489" t="s">
        <v>149</v>
      </c>
      <c r="K1489">
        <f>VLOOKUP(J1489,Listas!$B$21:$C$52,2,FALSE)</f>
        <v>600018</v>
      </c>
      <c r="L1489">
        <v>-1</v>
      </c>
    </row>
    <row r="1490" spans="1:12">
      <c r="A1490">
        <v>116</v>
      </c>
      <c r="B1490" t="s">
        <v>882</v>
      </c>
      <c r="C1490" s="96" t="s">
        <v>883</v>
      </c>
      <c r="D1490" t="s">
        <v>884</v>
      </c>
      <c r="E1490" s="96" t="s">
        <v>1467</v>
      </c>
      <c r="H1490" t="s">
        <v>361</v>
      </c>
      <c r="I1490">
        <f>VLOOKUP(H1490,Listas!$B$2:$C$20,2,FALSE)</f>
        <v>500001</v>
      </c>
      <c r="J1490" t="s">
        <v>149</v>
      </c>
      <c r="K1490">
        <f>VLOOKUP(J1490,Listas!$B$21:$C$52,2,FALSE)</f>
        <v>600018</v>
      </c>
      <c r="L1490">
        <v>-1</v>
      </c>
    </row>
    <row r="1491" spans="1:12">
      <c r="A1491">
        <v>116</v>
      </c>
      <c r="B1491" t="s">
        <v>4610</v>
      </c>
      <c r="C1491" s="96">
        <v>211716</v>
      </c>
      <c r="D1491" t="s">
        <v>4611</v>
      </c>
      <c r="E1491" s="96" t="s">
        <v>1467</v>
      </c>
      <c r="H1491" t="s">
        <v>361</v>
      </c>
      <c r="I1491">
        <f>VLOOKUP(H1491,Listas!$B$2:$C$20,2,FALSE)</f>
        <v>500001</v>
      </c>
      <c r="J1491" t="s">
        <v>149</v>
      </c>
      <c r="K1491">
        <f>VLOOKUP(J1491,Listas!$B$21:$C$52,2,FALSE)</f>
        <v>600018</v>
      </c>
      <c r="L1491">
        <v>-1</v>
      </c>
    </row>
    <row r="1492" spans="1:12">
      <c r="A1492">
        <v>116</v>
      </c>
      <c r="B1492" t="s">
        <v>4612</v>
      </c>
      <c r="C1492" s="96">
        <v>211717</v>
      </c>
      <c r="D1492" t="s">
        <v>4613</v>
      </c>
      <c r="E1492" s="96" t="s">
        <v>1467</v>
      </c>
      <c r="H1492" t="s">
        <v>361</v>
      </c>
      <c r="I1492">
        <f>VLOOKUP(H1492,Listas!$B$2:$C$20,2,FALSE)</f>
        <v>500001</v>
      </c>
      <c r="J1492" t="s">
        <v>149</v>
      </c>
      <c r="K1492">
        <f>VLOOKUP(J1492,Listas!$B$21:$C$52,2,FALSE)</f>
        <v>600018</v>
      </c>
      <c r="L1492">
        <v>-1</v>
      </c>
    </row>
    <row r="1493" spans="1:12">
      <c r="A1493">
        <v>116</v>
      </c>
      <c r="B1493" t="s">
        <v>4614</v>
      </c>
      <c r="C1493" s="96">
        <v>211718</v>
      </c>
      <c r="D1493" t="s">
        <v>4615</v>
      </c>
      <c r="E1493" s="96" t="s">
        <v>1467</v>
      </c>
      <c r="H1493" t="s">
        <v>361</v>
      </c>
      <c r="I1493">
        <f>VLOOKUP(H1493,Listas!$B$2:$C$20,2,FALSE)</f>
        <v>500001</v>
      </c>
      <c r="J1493" t="s">
        <v>149</v>
      </c>
      <c r="K1493">
        <f>VLOOKUP(J1493,Listas!$B$21:$C$52,2,FALSE)</f>
        <v>600018</v>
      </c>
      <c r="L1493">
        <v>-1</v>
      </c>
    </row>
    <row r="1494" spans="1:12">
      <c r="A1494">
        <v>116</v>
      </c>
      <c r="B1494" t="s">
        <v>4616</v>
      </c>
      <c r="C1494" s="96">
        <v>211719</v>
      </c>
      <c r="D1494" t="s">
        <v>4617</v>
      </c>
      <c r="E1494" s="96" t="s">
        <v>1467</v>
      </c>
      <c r="H1494" t="s">
        <v>361</v>
      </c>
      <c r="I1494">
        <f>VLOOKUP(H1494,Listas!$B$2:$C$20,2,FALSE)</f>
        <v>500001</v>
      </c>
      <c r="J1494" t="s">
        <v>149</v>
      </c>
      <c r="K1494">
        <f>VLOOKUP(J1494,Listas!$B$21:$C$52,2,FALSE)</f>
        <v>600018</v>
      </c>
      <c r="L1494">
        <v>-1</v>
      </c>
    </row>
    <row r="1495" spans="1:12">
      <c r="A1495">
        <v>116</v>
      </c>
      <c r="B1495" t="s">
        <v>4618</v>
      </c>
      <c r="C1495" s="96">
        <v>211720</v>
      </c>
      <c r="D1495" t="s">
        <v>4619</v>
      </c>
      <c r="E1495" s="96" t="s">
        <v>1467</v>
      </c>
      <c r="H1495" t="s">
        <v>361</v>
      </c>
      <c r="I1495">
        <f>VLOOKUP(H1495,Listas!$B$2:$C$20,2,FALSE)</f>
        <v>500001</v>
      </c>
      <c r="J1495" t="s">
        <v>149</v>
      </c>
      <c r="K1495">
        <f>VLOOKUP(J1495,Listas!$B$21:$C$52,2,FALSE)</f>
        <v>600018</v>
      </c>
      <c r="L1495">
        <v>-1</v>
      </c>
    </row>
    <row r="1496" spans="1:12">
      <c r="A1496">
        <v>116</v>
      </c>
      <c r="B1496" t="s">
        <v>4620</v>
      </c>
      <c r="C1496" s="96">
        <v>211721</v>
      </c>
      <c r="D1496" t="s">
        <v>4621</v>
      </c>
      <c r="E1496" s="96" t="s">
        <v>1467</v>
      </c>
      <c r="H1496" t="s">
        <v>361</v>
      </c>
      <c r="I1496">
        <f>VLOOKUP(H1496,Listas!$B$2:$C$20,2,FALSE)</f>
        <v>500001</v>
      </c>
      <c r="J1496" t="s">
        <v>149</v>
      </c>
      <c r="K1496">
        <f>VLOOKUP(J1496,Listas!$B$21:$C$52,2,FALSE)</f>
        <v>600018</v>
      </c>
      <c r="L1496">
        <v>-1</v>
      </c>
    </row>
    <row r="1497" spans="1:12">
      <c r="A1497">
        <v>116</v>
      </c>
      <c r="B1497" t="s">
        <v>4622</v>
      </c>
      <c r="C1497" s="96">
        <v>211722</v>
      </c>
      <c r="D1497" t="s">
        <v>4623</v>
      </c>
      <c r="E1497" s="96" t="s">
        <v>1467</v>
      </c>
      <c r="H1497" t="s">
        <v>361</v>
      </c>
      <c r="I1497">
        <f>VLOOKUP(H1497,Listas!$B$2:$C$20,2,FALSE)</f>
        <v>500001</v>
      </c>
      <c r="J1497" t="s">
        <v>149</v>
      </c>
      <c r="K1497">
        <f>VLOOKUP(J1497,Listas!$B$21:$C$52,2,FALSE)</f>
        <v>600018</v>
      </c>
      <c r="L1497">
        <v>-1</v>
      </c>
    </row>
    <row r="1498" spans="1:12">
      <c r="A1498">
        <v>116</v>
      </c>
      <c r="B1498" t="s">
        <v>4624</v>
      </c>
      <c r="C1498" s="96">
        <v>211723</v>
      </c>
      <c r="D1498" t="s">
        <v>4625</v>
      </c>
      <c r="E1498" s="96" t="s">
        <v>1467</v>
      </c>
      <c r="H1498" t="s">
        <v>361</v>
      </c>
      <c r="I1498">
        <f>VLOOKUP(H1498,Listas!$B$2:$C$20,2,FALSE)</f>
        <v>500001</v>
      </c>
      <c r="J1498" t="s">
        <v>149</v>
      </c>
      <c r="K1498">
        <f>VLOOKUP(J1498,Listas!$B$21:$C$52,2,FALSE)</f>
        <v>600018</v>
      </c>
      <c r="L1498">
        <v>-1</v>
      </c>
    </row>
    <row r="1499" spans="1:12">
      <c r="A1499">
        <v>116</v>
      </c>
      <c r="B1499" t="s">
        <v>4626</v>
      </c>
      <c r="C1499" s="96">
        <v>211724</v>
      </c>
      <c r="D1499" t="s">
        <v>4627</v>
      </c>
      <c r="E1499" s="96" t="s">
        <v>1467</v>
      </c>
      <c r="H1499" t="s">
        <v>361</v>
      </c>
      <c r="I1499">
        <f>VLOOKUP(H1499,Listas!$B$2:$C$20,2,FALSE)</f>
        <v>500001</v>
      </c>
      <c r="J1499" t="s">
        <v>149</v>
      </c>
      <c r="K1499">
        <f>VLOOKUP(J1499,Listas!$B$21:$C$52,2,FALSE)</f>
        <v>600018</v>
      </c>
      <c r="L1499">
        <v>-1</v>
      </c>
    </row>
    <row r="1500" spans="1:12">
      <c r="A1500">
        <v>116</v>
      </c>
      <c r="B1500" t="s">
        <v>4628</v>
      </c>
      <c r="C1500" s="96">
        <v>211725</v>
      </c>
      <c r="D1500" t="s">
        <v>4629</v>
      </c>
      <c r="E1500" s="96" t="s">
        <v>1467</v>
      </c>
      <c r="H1500" t="s">
        <v>361</v>
      </c>
      <c r="I1500">
        <f>VLOOKUP(H1500,Listas!$B$2:$C$20,2,FALSE)</f>
        <v>500001</v>
      </c>
      <c r="J1500" t="s">
        <v>149</v>
      </c>
      <c r="K1500">
        <f>VLOOKUP(J1500,Listas!$B$21:$C$52,2,FALSE)</f>
        <v>600018</v>
      </c>
      <c r="L1500">
        <v>-1</v>
      </c>
    </row>
    <row r="1501" spans="1:12">
      <c r="A1501">
        <v>116</v>
      </c>
      <c r="B1501" t="s">
        <v>4630</v>
      </c>
      <c r="C1501" s="96">
        <v>211726</v>
      </c>
      <c r="D1501" t="s">
        <v>4631</v>
      </c>
      <c r="E1501" s="96" t="s">
        <v>1467</v>
      </c>
      <c r="H1501" t="s">
        <v>361</v>
      </c>
      <c r="I1501">
        <f>VLOOKUP(H1501,Listas!$B$2:$C$20,2,FALSE)</f>
        <v>500001</v>
      </c>
      <c r="J1501" t="s">
        <v>149</v>
      </c>
      <c r="K1501">
        <f>VLOOKUP(J1501,Listas!$B$21:$C$52,2,FALSE)</f>
        <v>600018</v>
      </c>
      <c r="L1501">
        <v>-1</v>
      </c>
    </row>
    <row r="1502" spans="1:12">
      <c r="A1502">
        <v>116</v>
      </c>
      <c r="B1502" t="s">
        <v>4632</v>
      </c>
      <c r="C1502" s="96">
        <v>211727</v>
      </c>
      <c r="D1502" t="s">
        <v>4633</v>
      </c>
      <c r="E1502" s="96" t="s">
        <v>1467</v>
      </c>
      <c r="H1502" t="s">
        <v>361</v>
      </c>
      <c r="I1502">
        <f>VLOOKUP(H1502,Listas!$B$2:$C$20,2,FALSE)</f>
        <v>500001</v>
      </c>
      <c r="J1502" t="s">
        <v>149</v>
      </c>
      <c r="K1502">
        <f>VLOOKUP(J1502,Listas!$B$21:$C$52,2,FALSE)</f>
        <v>600018</v>
      </c>
      <c r="L1502">
        <v>-1</v>
      </c>
    </row>
    <row r="1503" spans="1:12">
      <c r="A1503">
        <v>116</v>
      </c>
      <c r="B1503" t="s">
        <v>4634</v>
      </c>
      <c r="C1503" s="96">
        <v>211728</v>
      </c>
      <c r="D1503" t="s">
        <v>4635</v>
      </c>
      <c r="E1503" s="96" t="s">
        <v>1467</v>
      </c>
      <c r="H1503" t="s">
        <v>361</v>
      </c>
      <c r="I1503">
        <f>VLOOKUP(H1503,Listas!$B$2:$C$20,2,FALSE)</f>
        <v>500001</v>
      </c>
      <c r="J1503" t="s">
        <v>149</v>
      </c>
      <c r="K1503">
        <f>VLOOKUP(J1503,Listas!$B$21:$C$52,2,FALSE)</f>
        <v>600018</v>
      </c>
      <c r="L1503">
        <v>-1</v>
      </c>
    </row>
    <row r="1504" spans="1:12">
      <c r="A1504">
        <v>116</v>
      </c>
      <c r="B1504" t="s">
        <v>4636</v>
      </c>
      <c r="C1504" s="96">
        <v>211729</v>
      </c>
      <c r="D1504" t="s">
        <v>4637</v>
      </c>
      <c r="E1504" s="96" t="s">
        <v>1467</v>
      </c>
      <c r="H1504" t="s">
        <v>361</v>
      </c>
      <c r="I1504">
        <f>VLOOKUP(H1504,Listas!$B$2:$C$20,2,FALSE)</f>
        <v>500001</v>
      </c>
      <c r="J1504" t="s">
        <v>149</v>
      </c>
      <c r="K1504">
        <f>VLOOKUP(J1504,Listas!$B$21:$C$52,2,FALSE)</f>
        <v>600018</v>
      </c>
      <c r="L1504">
        <v>-1</v>
      </c>
    </row>
    <row r="1505" spans="1:12">
      <c r="A1505">
        <v>116</v>
      </c>
      <c r="B1505" t="s">
        <v>4638</v>
      </c>
      <c r="C1505" s="96">
        <v>211730</v>
      </c>
      <c r="D1505" t="s">
        <v>4639</v>
      </c>
      <c r="E1505" s="96" t="s">
        <v>1467</v>
      </c>
      <c r="H1505" t="s">
        <v>361</v>
      </c>
      <c r="I1505">
        <f>VLOOKUP(H1505,Listas!$B$2:$C$20,2,FALSE)</f>
        <v>500001</v>
      </c>
      <c r="J1505" t="s">
        <v>149</v>
      </c>
      <c r="K1505">
        <f>VLOOKUP(J1505,Listas!$B$21:$C$52,2,FALSE)</f>
        <v>600018</v>
      </c>
      <c r="L1505">
        <v>-1</v>
      </c>
    </row>
    <row r="1506" spans="1:12">
      <c r="A1506">
        <v>116</v>
      </c>
      <c r="B1506" t="s">
        <v>4640</v>
      </c>
      <c r="C1506" s="96">
        <v>211731</v>
      </c>
      <c r="D1506" t="s">
        <v>4641</v>
      </c>
      <c r="E1506" s="96" t="s">
        <v>1467</v>
      </c>
      <c r="H1506" t="s">
        <v>361</v>
      </c>
      <c r="I1506">
        <f>VLOOKUP(H1506,Listas!$B$2:$C$20,2,FALSE)</f>
        <v>500001</v>
      </c>
      <c r="J1506" t="s">
        <v>149</v>
      </c>
      <c r="K1506">
        <f>VLOOKUP(J1506,Listas!$B$21:$C$52,2,FALSE)</f>
        <v>600018</v>
      </c>
      <c r="L1506">
        <v>-1</v>
      </c>
    </row>
    <row r="1507" spans="1:12">
      <c r="A1507">
        <v>116</v>
      </c>
      <c r="B1507" t="s">
        <v>4642</v>
      </c>
      <c r="C1507" s="96">
        <v>211732</v>
      </c>
      <c r="D1507" t="s">
        <v>4643</v>
      </c>
      <c r="E1507" s="96" t="s">
        <v>1467</v>
      </c>
      <c r="H1507" t="s">
        <v>361</v>
      </c>
      <c r="I1507">
        <f>VLOOKUP(H1507,Listas!$B$2:$C$20,2,FALSE)</f>
        <v>500001</v>
      </c>
      <c r="J1507" t="s">
        <v>149</v>
      </c>
      <c r="K1507">
        <f>VLOOKUP(J1507,Listas!$B$21:$C$52,2,FALSE)</f>
        <v>600018</v>
      </c>
      <c r="L1507">
        <v>-1</v>
      </c>
    </row>
    <row r="1508" spans="1:12">
      <c r="A1508">
        <v>116</v>
      </c>
      <c r="B1508" t="s">
        <v>4644</v>
      </c>
      <c r="C1508" s="96">
        <v>211733</v>
      </c>
      <c r="D1508" t="s">
        <v>4645</v>
      </c>
      <c r="E1508" s="96" t="s">
        <v>1467</v>
      </c>
      <c r="H1508" t="s">
        <v>361</v>
      </c>
      <c r="I1508">
        <f>VLOOKUP(H1508,Listas!$B$2:$C$20,2,FALSE)</f>
        <v>500001</v>
      </c>
      <c r="J1508" t="s">
        <v>149</v>
      </c>
      <c r="K1508">
        <f>VLOOKUP(J1508,Listas!$B$21:$C$52,2,FALSE)</f>
        <v>600018</v>
      </c>
      <c r="L1508">
        <v>-1</v>
      </c>
    </row>
    <row r="1509" spans="1:12">
      <c r="A1509">
        <v>116</v>
      </c>
      <c r="B1509" t="s">
        <v>4646</v>
      </c>
      <c r="C1509" s="96">
        <v>211734</v>
      </c>
      <c r="D1509" t="s">
        <v>4647</v>
      </c>
      <c r="E1509" s="96" t="s">
        <v>1467</v>
      </c>
      <c r="H1509" t="s">
        <v>361</v>
      </c>
      <c r="I1509">
        <f>VLOOKUP(H1509,Listas!$B$2:$C$20,2,FALSE)</f>
        <v>500001</v>
      </c>
      <c r="J1509" t="s">
        <v>149</v>
      </c>
      <c r="K1509">
        <f>VLOOKUP(J1509,Listas!$B$21:$C$52,2,FALSE)</f>
        <v>600018</v>
      </c>
      <c r="L1509">
        <v>-1</v>
      </c>
    </row>
    <row r="1510" spans="1:12">
      <c r="A1510">
        <v>116</v>
      </c>
      <c r="B1510" t="s">
        <v>4648</v>
      </c>
      <c r="C1510" s="96">
        <v>211735</v>
      </c>
      <c r="D1510" t="s">
        <v>4649</v>
      </c>
      <c r="E1510" s="96" t="s">
        <v>1467</v>
      </c>
      <c r="H1510" t="s">
        <v>361</v>
      </c>
      <c r="I1510">
        <f>VLOOKUP(H1510,Listas!$B$2:$C$20,2,FALSE)</f>
        <v>500001</v>
      </c>
      <c r="J1510" t="s">
        <v>149</v>
      </c>
      <c r="K1510">
        <f>VLOOKUP(J1510,Listas!$B$21:$C$52,2,FALSE)</f>
        <v>600018</v>
      </c>
      <c r="L1510">
        <v>-1</v>
      </c>
    </row>
    <row r="1511" spans="1:12">
      <c r="A1511">
        <v>116</v>
      </c>
      <c r="B1511" t="s">
        <v>4650</v>
      </c>
      <c r="C1511" s="96">
        <v>211736</v>
      </c>
      <c r="D1511" t="s">
        <v>4651</v>
      </c>
      <c r="E1511" s="96" t="s">
        <v>1467</v>
      </c>
      <c r="H1511" t="s">
        <v>361</v>
      </c>
      <c r="I1511">
        <f>VLOOKUP(H1511,Listas!$B$2:$C$20,2,FALSE)</f>
        <v>500001</v>
      </c>
      <c r="J1511" t="s">
        <v>149</v>
      </c>
      <c r="K1511">
        <f>VLOOKUP(J1511,Listas!$B$21:$C$52,2,FALSE)</f>
        <v>600018</v>
      </c>
      <c r="L1511">
        <v>-1</v>
      </c>
    </row>
    <row r="1512" spans="1:12">
      <c r="A1512">
        <v>116</v>
      </c>
      <c r="B1512" t="s">
        <v>4652</v>
      </c>
      <c r="C1512" s="96">
        <v>211737</v>
      </c>
      <c r="D1512" t="s">
        <v>4653</v>
      </c>
      <c r="E1512" s="96" t="s">
        <v>1467</v>
      </c>
      <c r="H1512" t="s">
        <v>361</v>
      </c>
      <c r="I1512">
        <f>VLOOKUP(H1512,Listas!$B$2:$C$20,2,FALSE)</f>
        <v>500001</v>
      </c>
      <c r="J1512" t="s">
        <v>149</v>
      </c>
      <c r="K1512">
        <f>VLOOKUP(J1512,Listas!$B$21:$C$52,2,FALSE)</f>
        <v>600018</v>
      </c>
      <c r="L1512">
        <v>-1</v>
      </c>
    </row>
    <row r="1513" spans="1:12">
      <c r="A1513">
        <v>116</v>
      </c>
      <c r="B1513" t="s">
        <v>4654</v>
      </c>
      <c r="C1513" s="96">
        <v>211738</v>
      </c>
      <c r="D1513" t="s">
        <v>4655</v>
      </c>
      <c r="E1513" s="96" t="s">
        <v>1467</v>
      </c>
      <c r="H1513" t="s">
        <v>361</v>
      </c>
      <c r="I1513">
        <f>VLOOKUP(H1513,Listas!$B$2:$C$20,2,FALSE)</f>
        <v>500001</v>
      </c>
      <c r="J1513" t="s">
        <v>149</v>
      </c>
      <c r="K1513">
        <f>VLOOKUP(J1513,Listas!$B$21:$C$52,2,FALSE)</f>
        <v>600018</v>
      </c>
      <c r="L1513">
        <v>-1</v>
      </c>
    </row>
    <row r="1514" spans="1:12">
      <c r="A1514">
        <v>116</v>
      </c>
      <c r="B1514" t="s">
        <v>4656</v>
      </c>
      <c r="C1514" s="96">
        <v>211739</v>
      </c>
      <c r="D1514" t="s">
        <v>4657</v>
      </c>
      <c r="E1514" s="96" t="s">
        <v>1467</v>
      </c>
      <c r="H1514" t="s">
        <v>361</v>
      </c>
      <c r="I1514">
        <f>VLOOKUP(H1514,Listas!$B$2:$C$20,2,FALSE)</f>
        <v>500001</v>
      </c>
      <c r="J1514" t="s">
        <v>149</v>
      </c>
      <c r="K1514">
        <f>VLOOKUP(J1514,Listas!$B$21:$C$52,2,FALSE)</f>
        <v>600018</v>
      </c>
      <c r="L1514">
        <v>-1</v>
      </c>
    </row>
    <row r="1515" spans="1:12">
      <c r="A1515">
        <v>116</v>
      </c>
      <c r="B1515" t="s">
        <v>4658</v>
      </c>
      <c r="C1515" s="96">
        <v>211740</v>
      </c>
      <c r="D1515" t="s">
        <v>4659</v>
      </c>
      <c r="E1515" s="96" t="s">
        <v>1467</v>
      </c>
      <c r="H1515" t="s">
        <v>361</v>
      </c>
      <c r="I1515">
        <f>VLOOKUP(H1515,Listas!$B$2:$C$20,2,FALSE)</f>
        <v>500001</v>
      </c>
      <c r="J1515" t="s">
        <v>149</v>
      </c>
      <c r="K1515">
        <f>VLOOKUP(J1515,Listas!$B$21:$C$52,2,FALSE)</f>
        <v>600018</v>
      </c>
      <c r="L1515">
        <v>-1</v>
      </c>
    </row>
    <row r="1516" spans="1:12">
      <c r="A1516">
        <v>116</v>
      </c>
      <c r="B1516" t="s">
        <v>4660</v>
      </c>
      <c r="C1516" s="96">
        <v>211741</v>
      </c>
      <c r="D1516" t="s">
        <v>4661</v>
      </c>
      <c r="E1516" s="96" t="s">
        <v>1467</v>
      </c>
      <c r="H1516" t="s">
        <v>361</v>
      </c>
      <c r="I1516">
        <f>VLOOKUP(H1516,Listas!$B$2:$C$20,2,FALSE)</f>
        <v>500001</v>
      </c>
      <c r="J1516" t="s">
        <v>149</v>
      </c>
      <c r="K1516">
        <f>VLOOKUP(J1516,Listas!$B$21:$C$52,2,FALSE)</f>
        <v>600018</v>
      </c>
      <c r="L1516">
        <v>-1</v>
      </c>
    </row>
    <row r="1517" spans="1:12">
      <c r="A1517">
        <v>116</v>
      </c>
      <c r="B1517" t="s">
        <v>4662</v>
      </c>
      <c r="C1517" s="96">
        <v>211742</v>
      </c>
      <c r="D1517" t="s">
        <v>4663</v>
      </c>
      <c r="E1517" s="96" t="s">
        <v>1467</v>
      </c>
      <c r="H1517" t="s">
        <v>361</v>
      </c>
      <c r="I1517">
        <f>VLOOKUP(H1517,Listas!$B$2:$C$20,2,FALSE)</f>
        <v>500001</v>
      </c>
      <c r="J1517" t="s">
        <v>149</v>
      </c>
      <c r="K1517">
        <f>VLOOKUP(J1517,Listas!$B$21:$C$52,2,FALSE)</f>
        <v>600018</v>
      </c>
      <c r="L1517">
        <v>-1</v>
      </c>
    </row>
    <row r="1518" spans="1:12">
      <c r="A1518">
        <v>116</v>
      </c>
      <c r="B1518" t="s">
        <v>4664</v>
      </c>
      <c r="C1518" s="96">
        <v>211743</v>
      </c>
      <c r="D1518" t="s">
        <v>4665</v>
      </c>
      <c r="E1518" s="96" t="s">
        <v>1467</v>
      </c>
      <c r="H1518" t="s">
        <v>361</v>
      </c>
      <c r="I1518">
        <f>VLOOKUP(H1518,Listas!$B$2:$C$20,2,FALSE)</f>
        <v>500001</v>
      </c>
      <c r="J1518" t="s">
        <v>149</v>
      </c>
      <c r="K1518">
        <f>VLOOKUP(J1518,Listas!$B$21:$C$52,2,FALSE)</f>
        <v>600018</v>
      </c>
      <c r="L1518">
        <v>-1</v>
      </c>
    </row>
    <row r="1519" spans="1:12">
      <c r="A1519">
        <v>116</v>
      </c>
      <c r="B1519" t="s">
        <v>4666</v>
      </c>
      <c r="C1519" s="96">
        <v>211744</v>
      </c>
      <c r="D1519" t="s">
        <v>4667</v>
      </c>
      <c r="E1519" s="96" t="s">
        <v>1467</v>
      </c>
      <c r="H1519" t="s">
        <v>361</v>
      </c>
      <c r="I1519">
        <f>VLOOKUP(H1519,Listas!$B$2:$C$20,2,FALSE)</f>
        <v>500001</v>
      </c>
      <c r="J1519" t="s">
        <v>149</v>
      </c>
      <c r="K1519">
        <f>VLOOKUP(J1519,Listas!$B$21:$C$52,2,FALSE)</f>
        <v>600018</v>
      </c>
      <c r="L1519">
        <v>-1</v>
      </c>
    </row>
    <row r="1520" spans="1:12">
      <c r="A1520">
        <v>116</v>
      </c>
      <c r="B1520" t="s">
        <v>4668</v>
      </c>
      <c r="C1520" s="96">
        <v>211745</v>
      </c>
      <c r="D1520" t="s">
        <v>4669</v>
      </c>
      <c r="E1520" s="96" t="s">
        <v>1467</v>
      </c>
      <c r="H1520" t="s">
        <v>361</v>
      </c>
      <c r="I1520">
        <f>VLOOKUP(H1520,Listas!$B$2:$C$20,2,FALSE)</f>
        <v>500001</v>
      </c>
      <c r="J1520" t="s">
        <v>149</v>
      </c>
      <c r="K1520">
        <f>VLOOKUP(J1520,Listas!$B$21:$C$52,2,FALSE)</f>
        <v>600018</v>
      </c>
      <c r="L1520">
        <v>-1</v>
      </c>
    </row>
    <row r="1521" spans="1:12">
      <c r="A1521">
        <v>116</v>
      </c>
      <c r="B1521" t="s">
        <v>4670</v>
      </c>
      <c r="C1521" s="96">
        <v>211746</v>
      </c>
      <c r="D1521" t="s">
        <v>4671</v>
      </c>
      <c r="E1521" s="96" t="s">
        <v>1467</v>
      </c>
      <c r="H1521" t="s">
        <v>361</v>
      </c>
      <c r="I1521">
        <f>VLOOKUP(H1521,Listas!$B$2:$C$20,2,FALSE)</f>
        <v>500001</v>
      </c>
      <c r="J1521" t="s">
        <v>149</v>
      </c>
      <c r="K1521">
        <f>VLOOKUP(J1521,Listas!$B$21:$C$52,2,FALSE)</f>
        <v>600018</v>
      </c>
      <c r="L1521">
        <v>-1</v>
      </c>
    </row>
    <row r="1522" spans="1:12">
      <c r="A1522">
        <v>116</v>
      </c>
      <c r="B1522" t="s">
        <v>4672</v>
      </c>
      <c r="C1522" s="96">
        <v>211747</v>
      </c>
      <c r="D1522" t="s">
        <v>4673</v>
      </c>
      <c r="E1522" s="96" t="s">
        <v>1467</v>
      </c>
      <c r="H1522" t="s">
        <v>361</v>
      </c>
      <c r="I1522">
        <f>VLOOKUP(H1522,Listas!$B$2:$C$20,2,FALSE)</f>
        <v>500001</v>
      </c>
      <c r="J1522" t="s">
        <v>149</v>
      </c>
      <c r="K1522">
        <f>VLOOKUP(J1522,Listas!$B$21:$C$52,2,FALSE)</f>
        <v>600018</v>
      </c>
      <c r="L1522">
        <v>-1</v>
      </c>
    </row>
    <row r="1523" spans="1:12">
      <c r="A1523">
        <v>116</v>
      </c>
      <c r="B1523" t="s">
        <v>4674</v>
      </c>
      <c r="C1523" s="96">
        <v>211748</v>
      </c>
      <c r="D1523" t="s">
        <v>4675</v>
      </c>
      <c r="E1523" s="96" t="s">
        <v>1467</v>
      </c>
      <c r="H1523" t="s">
        <v>361</v>
      </c>
      <c r="I1523">
        <f>VLOOKUP(H1523,Listas!$B$2:$C$20,2,FALSE)</f>
        <v>500001</v>
      </c>
      <c r="J1523" t="s">
        <v>149</v>
      </c>
      <c r="K1523">
        <f>VLOOKUP(J1523,Listas!$B$21:$C$52,2,FALSE)</f>
        <v>600018</v>
      </c>
      <c r="L1523">
        <v>-1</v>
      </c>
    </row>
    <row r="1524" spans="1:12">
      <c r="A1524">
        <v>116</v>
      </c>
      <c r="B1524" t="s">
        <v>4676</v>
      </c>
      <c r="C1524" s="96">
        <v>211749</v>
      </c>
      <c r="D1524" t="s">
        <v>4677</v>
      </c>
      <c r="E1524" s="96" t="s">
        <v>1467</v>
      </c>
      <c r="H1524" t="s">
        <v>361</v>
      </c>
      <c r="I1524">
        <f>VLOOKUP(H1524,Listas!$B$2:$C$20,2,FALSE)</f>
        <v>500001</v>
      </c>
      <c r="J1524" t="s">
        <v>149</v>
      </c>
      <c r="K1524">
        <f>VLOOKUP(J1524,Listas!$B$21:$C$52,2,FALSE)</f>
        <v>600018</v>
      </c>
      <c r="L1524">
        <v>-1</v>
      </c>
    </row>
    <row r="1525" spans="1:12">
      <c r="A1525">
        <v>116</v>
      </c>
      <c r="B1525" t="s">
        <v>4678</v>
      </c>
      <c r="C1525" s="96">
        <v>211750</v>
      </c>
      <c r="D1525" t="s">
        <v>4679</v>
      </c>
      <c r="E1525" s="96" t="s">
        <v>1467</v>
      </c>
      <c r="H1525" t="s">
        <v>361</v>
      </c>
      <c r="I1525">
        <f>VLOOKUP(H1525,Listas!$B$2:$C$20,2,FALSE)</f>
        <v>500001</v>
      </c>
      <c r="J1525" t="s">
        <v>149</v>
      </c>
      <c r="K1525">
        <f>VLOOKUP(J1525,Listas!$B$21:$C$52,2,FALSE)</f>
        <v>600018</v>
      </c>
      <c r="L1525">
        <v>-1</v>
      </c>
    </row>
    <row r="1526" spans="1:12">
      <c r="A1526">
        <v>116</v>
      </c>
      <c r="B1526" t="s">
        <v>4680</v>
      </c>
      <c r="C1526" s="96">
        <v>211751</v>
      </c>
      <c r="D1526" t="s">
        <v>4681</v>
      </c>
      <c r="E1526" s="96" t="s">
        <v>1467</v>
      </c>
      <c r="H1526" t="s">
        <v>361</v>
      </c>
      <c r="I1526">
        <f>VLOOKUP(H1526,Listas!$B$2:$C$20,2,FALSE)</f>
        <v>500001</v>
      </c>
      <c r="J1526" t="s">
        <v>149</v>
      </c>
      <c r="K1526">
        <f>VLOOKUP(J1526,Listas!$B$21:$C$52,2,FALSE)</f>
        <v>600018</v>
      </c>
      <c r="L1526">
        <v>-1</v>
      </c>
    </row>
    <row r="1527" spans="1:12">
      <c r="A1527">
        <v>116</v>
      </c>
      <c r="B1527" t="s">
        <v>4682</v>
      </c>
      <c r="C1527" s="96">
        <v>211752</v>
      </c>
      <c r="D1527" t="s">
        <v>4683</v>
      </c>
      <c r="E1527" s="96" t="s">
        <v>1467</v>
      </c>
      <c r="H1527" t="s">
        <v>361</v>
      </c>
      <c r="I1527">
        <f>VLOOKUP(H1527,Listas!$B$2:$C$20,2,FALSE)</f>
        <v>500001</v>
      </c>
      <c r="J1527" t="s">
        <v>149</v>
      </c>
      <c r="K1527">
        <f>VLOOKUP(J1527,Listas!$B$21:$C$52,2,FALSE)</f>
        <v>600018</v>
      </c>
      <c r="L1527">
        <v>-1</v>
      </c>
    </row>
    <row r="1528" spans="1:12">
      <c r="A1528">
        <v>116</v>
      </c>
      <c r="B1528" t="s">
        <v>4684</v>
      </c>
      <c r="C1528" s="96">
        <v>211753</v>
      </c>
      <c r="D1528" t="s">
        <v>4685</v>
      </c>
      <c r="E1528" s="96" t="s">
        <v>1467</v>
      </c>
      <c r="H1528" t="s">
        <v>361</v>
      </c>
      <c r="I1528">
        <f>VLOOKUP(H1528,Listas!$B$2:$C$20,2,FALSE)</f>
        <v>500001</v>
      </c>
      <c r="J1528" t="s">
        <v>149</v>
      </c>
      <c r="K1528">
        <f>VLOOKUP(J1528,Listas!$B$21:$C$52,2,FALSE)</f>
        <v>600018</v>
      </c>
      <c r="L1528">
        <v>-1</v>
      </c>
    </row>
    <row r="1529" spans="1:12">
      <c r="A1529">
        <v>116</v>
      </c>
      <c r="B1529" t="s">
        <v>4686</v>
      </c>
      <c r="C1529" s="96">
        <v>211754</v>
      </c>
      <c r="D1529" t="s">
        <v>4687</v>
      </c>
      <c r="E1529" s="96" t="s">
        <v>1467</v>
      </c>
      <c r="H1529" t="s">
        <v>361</v>
      </c>
      <c r="I1529">
        <f>VLOOKUP(H1529,Listas!$B$2:$C$20,2,FALSE)</f>
        <v>500001</v>
      </c>
      <c r="J1529" t="s">
        <v>149</v>
      </c>
      <c r="K1529">
        <f>VLOOKUP(J1529,Listas!$B$21:$C$52,2,FALSE)</f>
        <v>600018</v>
      </c>
      <c r="L1529">
        <v>-1</v>
      </c>
    </row>
    <row r="1530" spans="1:12">
      <c r="A1530">
        <v>116</v>
      </c>
      <c r="B1530" t="s">
        <v>4688</v>
      </c>
      <c r="C1530" s="96">
        <v>211755</v>
      </c>
      <c r="D1530" t="s">
        <v>4689</v>
      </c>
      <c r="E1530" s="96" t="s">
        <v>1467</v>
      </c>
      <c r="H1530" t="s">
        <v>361</v>
      </c>
      <c r="I1530">
        <f>VLOOKUP(H1530,Listas!$B$2:$C$20,2,FALSE)</f>
        <v>500001</v>
      </c>
      <c r="J1530" t="s">
        <v>149</v>
      </c>
      <c r="K1530">
        <f>VLOOKUP(J1530,Listas!$B$21:$C$52,2,FALSE)</f>
        <v>600018</v>
      </c>
      <c r="L1530">
        <v>-1</v>
      </c>
    </row>
    <row r="1531" spans="1:12">
      <c r="A1531">
        <v>116</v>
      </c>
      <c r="B1531" t="s">
        <v>4690</v>
      </c>
      <c r="C1531" s="96">
        <v>211756</v>
      </c>
      <c r="D1531" t="s">
        <v>4691</v>
      </c>
      <c r="E1531" s="96" t="s">
        <v>1467</v>
      </c>
      <c r="H1531" t="s">
        <v>361</v>
      </c>
      <c r="I1531">
        <f>VLOOKUP(H1531,Listas!$B$2:$C$20,2,FALSE)</f>
        <v>500001</v>
      </c>
      <c r="J1531" t="s">
        <v>149</v>
      </c>
      <c r="K1531">
        <f>VLOOKUP(J1531,Listas!$B$21:$C$52,2,FALSE)</f>
        <v>600018</v>
      </c>
      <c r="L1531">
        <v>-1</v>
      </c>
    </row>
    <row r="1532" spans="1:12">
      <c r="A1532">
        <v>116</v>
      </c>
      <c r="B1532" t="s">
        <v>4692</v>
      </c>
      <c r="C1532" s="96">
        <v>211757</v>
      </c>
      <c r="D1532" t="s">
        <v>4693</v>
      </c>
      <c r="E1532" s="96" t="s">
        <v>1467</v>
      </c>
      <c r="H1532" t="s">
        <v>361</v>
      </c>
      <c r="I1532">
        <f>VLOOKUP(H1532,Listas!$B$2:$C$20,2,FALSE)</f>
        <v>500001</v>
      </c>
      <c r="J1532" t="s">
        <v>149</v>
      </c>
      <c r="K1532">
        <f>VLOOKUP(J1532,Listas!$B$21:$C$52,2,FALSE)</f>
        <v>600018</v>
      </c>
      <c r="L1532">
        <v>-1</v>
      </c>
    </row>
    <row r="1533" spans="1:12">
      <c r="A1533">
        <v>116</v>
      </c>
      <c r="B1533" t="s">
        <v>4694</v>
      </c>
      <c r="C1533" s="96">
        <v>211758</v>
      </c>
      <c r="D1533" t="s">
        <v>4695</v>
      </c>
      <c r="E1533" s="96" t="s">
        <v>1467</v>
      </c>
      <c r="H1533" t="s">
        <v>361</v>
      </c>
      <c r="I1533">
        <f>VLOOKUP(H1533,Listas!$B$2:$C$20,2,FALSE)</f>
        <v>500001</v>
      </c>
      <c r="J1533" t="s">
        <v>149</v>
      </c>
      <c r="K1533">
        <f>VLOOKUP(J1533,Listas!$B$21:$C$52,2,FALSE)</f>
        <v>600018</v>
      </c>
      <c r="L1533">
        <v>-1</v>
      </c>
    </row>
    <row r="1534" spans="1:12">
      <c r="A1534">
        <v>116</v>
      </c>
      <c r="B1534" t="s">
        <v>4696</v>
      </c>
      <c r="C1534" s="96">
        <v>211759</v>
      </c>
      <c r="D1534" t="s">
        <v>4697</v>
      </c>
      <c r="E1534" s="96" t="s">
        <v>1467</v>
      </c>
      <c r="H1534" t="s">
        <v>361</v>
      </c>
      <c r="I1534">
        <f>VLOOKUP(H1534,Listas!$B$2:$C$20,2,FALSE)</f>
        <v>500001</v>
      </c>
      <c r="J1534" t="s">
        <v>149</v>
      </c>
      <c r="K1534">
        <f>VLOOKUP(J1534,Listas!$B$21:$C$52,2,FALSE)</f>
        <v>600018</v>
      </c>
      <c r="L1534">
        <v>-1</v>
      </c>
    </row>
    <row r="1535" spans="1:12">
      <c r="A1535">
        <v>116</v>
      </c>
      <c r="B1535" t="s">
        <v>4698</v>
      </c>
      <c r="C1535" s="96">
        <v>211760</v>
      </c>
      <c r="D1535" t="s">
        <v>4699</v>
      </c>
      <c r="E1535" s="96" t="s">
        <v>1467</v>
      </c>
      <c r="H1535" t="s">
        <v>361</v>
      </c>
      <c r="I1535">
        <f>VLOOKUP(H1535,Listas!$B$2:$C$20,2,FALSE)</f>
        <v>500001</v>
      </c>
      <c r="J1535" t="s">
        <v>149</v>
      </c>
      <c r="K1535">
        <f>VLOOKUP(J1535,Listas!$B$21:$C$52,2,FALSE)</f>
        <v>600018</v>
      </c>
      <c r="L1535">
        <v>-1</v>
      </c>
    </row>
    <row r="1536" spans="1:12">
      <c r="A1536">
        <v>116</v>
      </c>
      <c r="B1536" t="s">
        <v>4700</v>
      </c>
      <c r="C1536" s="96">
        <v>211761</v>
      </c>
      <c r="D1536" t="s">
        <v>4701</v>
      </c>
      <c r="E1536" s="96" t="s">
        <v>1467</v>
      </c>
      <c r="H1536" t="s">
        <v>361</v>
      </c>
      <c r="I1536">
        <f>VLOOKUP(H1536,Listas!$B$2:$C$20,2,FALSE)</f>
        <v>500001</v>
      </c>
      <c r="J1536" t="s">
        <v>149</v>
      </c>
      <c r="K1536">
        <f>VLOOKUP(J1536,Listas!$B$21:$C$52,2,FALSE)</f>
        <v>600018</v>
      </c>
      <c r="L1536">
        <v>-1</v>
      </c>
    </row>
    <row r="1537" spans="1:12">
      <c r="A1537">
        <v>116</v>
      </c>
      <c r="B1537" t="s">
        <v>4702</v>
      </c>
      <c r="C1537" s="96">
        <v>211762</v>
      </c>
      <c r="D1537" t="s">
        <v>4703</v>
      </c>
      <c r="E1537" s="96" t="s">
        <v>1467</v>
      </c>
      <c r="H1537" t="s">
        <v>361</v>
      </c>
      <c r="I1537">
        <f>VLOOKUP(H1537,Listas!$B$2:$C$20,2,FALSE)</f>
        <v>500001</v>
      </c>
      <c r="J1537" t="s">
        <v>149</v>
      </c>
      <c r="K1537">
        <f>VLOOKUP(J1537,Listas!$B$21:$C$52,2,FALSE)</f>
        <v>600018</v>
      </c>
      <c r="L1537">
        <v>-1</v>
      </c>
    </row>
    <row r="1538" spans="1:12">
      <c r="A1538">
        <v>116</v>
      </c>
      <c r="B1538" t="s">
        <v>4704</v>
      </c>
      <c r="C1538" s="96">
        <v>211763</v>
      </c>
      <c r="D1538" t="s">
        <v>4705</v>
      </c>
      <c r="E1538" s="96" t="s">
        <v>1467</v>
      </c>
      <c r="H1538" t="s">
        <v>361</v>
      </c>
      <c r="I1538">
        <f>VLOOKUP(H1538,Listas!$B$2:$C$20,2,FALSE)</f>
        <v>500001</v>
      </c>
      <c r="J1538" t="s">
        <v>149</v>
      </c>
      <c r="K1538">
        <f>VLOOKUP(J1538,Listas!$B$21:$C$52,2,FALSE)</f>
        <v>600018</v>
      </c>
      <c r="L1538">
        <v>-1</v>
      </c>
    </row>
    <row r="1539" spans="1:12">
      <c r="A1539">
        <v>116</v>
      </c>
      <c r="B1539" t="s">
        <v>4706</v>
      </c>
      <c r="C1539" s="96">
        <v>211764</v>
      </c>
      <c r="D1539" t="s">
        <v>4707</v>
      </c>
      <c r="E1539" s="96" t="s">
        <v>1467</v>
      </c>
      <c r="H1539" t="s">
        <v>361</v>
      </c>
      <c r="I1539">
        <f>VLOOKUP(H1539,Listas!$B$2:$C$20,2,FALSE)</f>
        <v>500001</v>
      </c>
      <c r="J1539" t="s">
        <v>149</v>
      </c>
      <c r="K1539">
        <f>VLOOKUP(J1539,Listas!$B$21:$C$52,2,FALSE)</f>
        <v>600018</v>
      </c>
      <c r="L1539">
        <v>-1</v>
      </c>
    </row>
    <row r="1540" spans="1:12">
      <c r="A1540">
        <v>116</v>
      </c>
      <c r="B1540" t="s">
        <v>4708</v>
      </c>
      <c r="C1540" s="96">
        <v>211765</v>
      </c>
      <c r="D1540" t="s">
        <v>4709</v>
      </c>
      <c r="E1540" s="96" t="s">
        <v>1467</v>
      </c>
      <c r="H1540" t="s">
        <v>361</v>
      </c>
      <c r="I1540">
        <f>VLOOKUP(H1540,Listas!$B$2:$C$20,2,FALSE)</f>
        <v>500001</v>
      </c>
      <c r="J1540" t="s">
        <v>149</v>
      </c>
      <c r="K1540">
        <f>VLOOKUP(J1540,Listas!$B$21:$C$52,2,FALSE)</f>
        <v>600018</v>
      </c>
      <c r="L1540">
        <v>-1</v>
      </c>
    </row>
    <row r="1541" spans="1:12">
      <c r="A1541">
        <v>116</v>
      </c>
      <c r="B1541" t="s">
        <v>4710</v>
      </c>
      <c r="C1541" s="96">
        <v>211766</v>
      </c>
      <c r="D1541" t="s">
        <v>4711</v>
      </c>
      <c r="E1541" s="96" t="s">
        <v>1467</v>
      </c>
      <c r="H1541" t="s">
        <v>361</v>
      </c>
      <c r="I1541">
        <f>VLOOKUP(H1541,Listas!$B$2:$C$20,2,FALSE)</f>
        <v>500001</v>
      </c>
      <c r="J1541" t="s">
        <v>149</v>
      </c>
      <c r="K1541">
        <f>VLOOKUP(J1541,Listas!$B$21:$C$52,2,FALSE)</f>
        <v>600018</v>
      </c>
      <c r="L1541">
        <v>-1</v>
      </c>
    </row>
    <row r="1542" spans="1:12">
      <c r="A1542">
        <v>116</v>
      </c>
      <c r="B1542" t="s">
        <v>4712</v>
      </c>
      <c r="C1542" s="96">
        <v>211767</v>
      </c>
      <c r="D1542" t="s">
        <v>4713</v>
      </c>
      <c r="E1542" s="96" t="s">
        <v>1467</v>
      </c>
      <c r="H1542" t="s">
        <v>361</v>
      </c>
      <c r="I1542">
        <f>VLOOKUP(H1542,Listas!$B$2:$C$20,2,FALSE)</f>
        <v>500001</v>
      </c>
      <c r="J1542" t="s">
        <v>149</v>
      </c>
      <c r="K1542">
        <f>VLOOKUP(J1542,Listas!$B$21:$C$52,2,FALSE)</f>
        <v>600018</v>
      </c>
      <c r="L1542">
        <v>-1</v>
      </c>
    </row>
    <row r="1543" spans="1:12">
      <c r="A1543">
        <v>116</v>
      </c>
      <c r="B1543" t="s">
        <v>4714</v>
      </c>
      <c r="C1543" s="96">
        <v>211768</v>
      </c>
      <c r="D1543" t="s">
        <v>4715</v>
      </c>
      <c r="E1543" s="96" t="s">
        <v>1467</v>
      </c>
      <c r="H1543" t="s">
        <v>361</v>
      </c>
      <c r="I1543">
        <f>VLOOKUP(H1543,Listas!$B$2:$C$20,2,FALSE)</f>
        <v>500001</v>
      </c>
      <c r="J1543" t="s">
        <v>149</v>
      </c>
      <c r="K1543">
        <f>VLOOKUP(J1543,Listas!$B$21:$C$52,2,FALSE)</f>
        <v>600018</v>
      </c>
      <c r="L1543">
        <v>-1</v>
      </c>
    </row>
    <row r="1544" spans="1:12">
      <c r="A1544">
        <v>116</v>
      </c>
      <c r="B1544" t="s">
        <v>4716</v>
      </c>
      <c r="C1544" s="96">
        <v>211769</v>
      </c>
      <c r="D1544" t="s">
        <v>4717</v>
      </c>
      <c r="E1544" s="96" t="s">
        <v>1467</v>
      </c>
      <c r="H1544" t="s">
        <v>361</v>
      </c>
      <c r="I1544">
        <f>VLOOKUP(H1544,Listas!$B$2:$C$20,2,FALSE)</f>
        <v>500001</v>
      </c>
      <c r="J1544" t="s">
        <v>149</v>
      </c>
      <c r="K1544">
        <f>VLOOKUP(J1544,Listas!$B$21:$C$52,2,FALSE)</f>
        <v>600018</v>
      </c>
      <c r="L1544">
        <v>-1</v>
      </c>
    </row>
    <row r="1545" spans="1:12">
      <c r="A1545">
        <v>116</v>
      </c>
      <c r="B1545" t="s">
        <v>4718</v>
      </c>
      <c r="C1545" s="96">
        <v>211770</v>
      </c>
      <c r="D1545" t="s">
        <v>4719</v>
      </c>
      <c r="E1545" s="96" t="s">
        <v>1467</v>
      </c>
      <c r="H1545" t="s">
        <v>361</v>
      </c>
      <c r="I1545">
        <f>VLOOKUP(H1545,Listas!$B$2:$C$20,2,FALSE)</f>
        <v>500001</v>
      </c>
      <c r="J1545" t="s">
        <v>149</v>
      </c>
      <c r="K1545">
        <f>VLOOKUP(J1545,Listas!$B$21:$C$52,2,FALSE)</f>
        <v>600018</v>
      </c>
      <c r="L1545">
        <v>-1</v>
      </c>
    </row>
    <row r="1546" spans="1:12">
      <c r="A1546">
        <v>116</v>
      </c>
      <c r="B1546" t="s">
        <v>4720</v>
      </c>
      <c r="C1546" s="96">
        <v>211771</v>
      </c>
      <c r="D1546" t="s">
        <v>4721</v>
      </c>
      <c r="E1546" s="96" t="s">
        <v>1467</v>
      </c>
      <c r="H1546" t="s">
        <v>361</v>
      </c>
      <c r="I1546">
        <f>VLOOKUP(H1546,Listas!$B$2:$C$20,2,FALSE)</f>
        <v>500001</v>
      </c>
      <c r="J1546" t="s">
        <v>149</v>
      </c>
      <c r="K1546">
        <f>VLOOKUP(J1546,Listas!$B$21:$C$52,2,FALSE)</f>
        <v>600018</v>
      </c>
      <c r="L1546">
        <v>-1</v>
      </c>
    </row>
    <row r="1547" spans="1:12">
      <c r="A1547">
        <v>116</v>
      </c>
      <c r="B1547" t="s">
        <v>4722</v>
      </c>
      <c r="C1547" s="96">
        <v>211772</v>
      </c>
      <c r="D1547" t="s">
        <v>4723</v>
      </c>
      <c r="E1547" s="96" t="s">
        <v>1467</v>
      </c>
      <c r="H1547" t="s">
        <v>361</v>
      </c>
      <c r="I1547">
        <f>VLOOKUP(H1547,Listas!$B$2:$C$20,2,FALSE)</f>
        <v>500001</v>
      </c>
      <c r="J1547" t="s">
        <v>149</v>
      </c>
      <c r="K1547">
        <f>VLOOKUP(J1547,Listas!$B$21:$C$52,2,FALSE)</f>
        <v>600018</v>
      </c>
      <c r="L1547">
        <v>-1</v>
      </c>
    </row>
    <row r="1548" spans="1:12">
      <c r="A1548">
        <v>116</v>
      </c>
      <c r="B1548" t="s">
        <v>885</v>
      </c>
      <c r="C1548" s="96">
        <v>211773</v>
      </c>
      <c r="D1548" t="s">
        <v>886</v>
      </c>
      <c r="E1548" s="96" t="s">
        <v>1467</v>
      </c>
      <c r="H1548" t="s">
        <v>361</v>
      </c>
      <c r="I1548">
        <f>VLOOKUP(H1548,Listas!$B$2:$C$20,2,FALSE)</f>
        <v>500001</v>
      </c>
      <c r="J1548" t="s">
        <v>149</v>
      </c>
      <c r="K1548">
        <f>VLOOKUP(J1548,Listas!$B$21:$C$52,2,FALSE)</f>
        <v>600018</v>
      </c>
      <c r="L1548">
        <v>-1</v>
      </c>
    </row>
    <row r="1549" spans="1:12">
      <c r="A1549">
        <v>116</v>
      </c>
      <c r="B1549" t="s">
        <v>887</v>
      </c>
      <c r="C1549" s="96">
        <v>211774</v>
      </c>
      <c r="D1549" t="s">
        <v>888</v>
      </c>
      <c r="E1549" s="96" t="s">
        <v>1467</v>
      </c>
      <c r="H1549" t="s">
        <v>361</v>
      </c>
      <c r="I1549">
        <f>VLOOKUP(H1549,Listas!$B$2:$C$20,2,FALSE)</f>
        <v>500001</v>
      </c>
      <c r="J1549" t="s">
        <v>149</v>
      </c>
      <c r="K1549">
        <f>VLOOKUP(J1549,Listas!$B$21:$C$52,2,FALSE)</f>
        <v>600018</v>
      </c>
      <c r="L1549">
        <v>-1</v>
      </c>
    </row>
    <row r="1550" spans="1:12">
      <c r="A1550">
        <v>116</v>
      </c>
      <c r="B1550" t="s">
        <v>4724</v>
      </c>
      <c r="C1550" s="96">
        <v>211775</v>
      </c>
      <c r="D1550" t="s">
        <v>4725</v>
      </c>
      <c r="E1550" s="96" t="s">
        <v>1467</v>
      </c>
      <c r="H1550" t="s">
        <v>361</v>
      </c>
      <c r="I1550">
        <f>VLOOKUP(H1550,Listas!$B$2:$C$20,2,FALSE)</f>
        <v>500001</v>
      </c>
      <c r="J1550" t="s">
        <v>149</v>
      </c>
      <c r="K1550">
        <f>VLOOKUP(J1550,Listas!$B$21:$C$52,2,FALSE)</f>
        <v>600018</v>
      </c>
      <c r="L1550">
        <v>-1</v>
      </c>
    </row>
    <row r="1551" spans="1:12">
      <c r="A1551">
        <v>116</v>
      </c>
      <c r="B1551" t="s">
        <v>4726</v>
      </c>
      <c r="C1551" s="96">
        <v>211776</v>
      </c>
      <c r="D1551" t="s">
        <v>4727</v>
      </c>
      <c r="E1551" s="96" t="s">
        <v>1467</v>
      </c>
      <c r="H1551" t="s">
        <v>361</v>
      </c>
      <c r="I1551">
        <f>VLOOKUP(H1551,Listas!$B$2:$C$20,2,FALSE)</f>
        <v>500001</v>
      </c>
      <c r="J1551" t="s">
        <v>149</v>
      </c>
      <c r="K1551">
        <f>VLOOKUP(J1551,Listas!$B$21:$C$52,2,FALSE)</f>
        <v>600018</v>
      </c>
      <c r="L1551">
        <v>-1</v>
      </c>
    </row>
    <row r="1552" spans="1:12">
      <c r="A1552">
        <v>116</v>
      </c>
      <c r="B1552" t="s">
        <v>4728</v>
      </c>
      <c r="C1552" s="96">
        <v>2117999</v>
      </c>
      <c r="D1552" t="s">
        <v>4729</v>
      </c>
      <c r="E1552" s="96" t="s">
        <v>1467</v>
      </c>
      <c r="H1552" t="s">
        <v>361</v>
      </c>
      <c r="I1552">
        <f>VLOOKUP(H1552,Listas!$B$2:$C$20,2,FALSE)</f>
        <v>500001</v>
      </c>
      <c r="J1552" t="s">
        <v>149</v>
      </c>
      <c r="K1552">
        <f>VLOOKUP(J1552,Listas!$B$21:$C$52,2,FALSE)</f>
        <v>600018</v>
      </c>
      <c r="L1552">
        <v>-1</v>
      </c>
    </row>
    <row r="1553" spans="1:12" s="336" customFormat="1">
      <c r="A1553" s="336">
        <v>116</v>
      </c>
      <c r="B1553" s="336" t="s">
        <v>889</v>
      </c>
      <c r="C1553" s="336">
        <v>2118</v>
      </c>
      <c r="D1553" s="336" t="s">
        <v>537</v>
      </c>
      <c r="E1553" s="337" t="s">
        <v>1462</v>
      </c>
    </row>
    <row r="1554" spans="1:12">
      <c r="A1554">
        <v>116</v>
      </c>
      <c r="B1554" t="s">
        <v>890</v>
      </c>
      <c r="C1554" s="96">
        <v>21181</v>
      </c>
      <c r="D1554" t="s">
        <v>891</v>
      </c>
      <c r="E1554" s="96" t="s">
        <v>1467</v>
      </c>
      <c r="H1554" t="s">
        <v>361</v>
      </c>
      <c r="I1554">
        <f>VLOOKUP(H1554,Listas!$B$2:$C$20,2,FALSE)</f>
        <v>500001</v>
      </c>
      <c r="J1554" t="s">
        <v>150</v>
      </c>
      <c r="K1554">
        <f>VLOOKUP(J1554,Listas!$B$21:$C$50,2,FALSE)</f>
        <v>600019</v>
      </c>
      <c r="L1554">
        <v>-1</v>
      </c>
    </row>
    <row r="1555" spans="1:12">
      <c r="A1555">
        <v>116</v>
      </c>
      <c r="B1555" t="s">
        <v>892</v>
      </c>
      <c r="C1555" s="96">
        <v>21182</v>
      </c>
      <c r="D1555" t="s">
        <v>893</v>
      </c>
      <c r="E1555" s="96" t="s">
        <v>1467</v>
      </c>
      <c r="H1555" t="s">
        <v>361</v>
      </c>
      <c r="I1555">
        <f>VLOOKUP(H1555,Listas!$B$2:$C$20,2,FALSE)</f>
        <v>500001</v>
      </c>
      <c r="J1555" t="s">
        <v>150</v>
      </c>
      <c r="K1555">
        <f>VLOOKUP(J1555,Listas!$B$21:$C$50,2,FALSE)</f>
        <v>600019</v>
      </c>
      <c r="L1555">
        <v>-1</v>
      </c>
    </row>
    <row r="1556" spans="1:12">
      <c r="A1556">
        <v>116</v>
      </c>
      <c r="B1556" t="s">
        <v>894</v>
      </c>
      <c r="C1556" s="96">
        <v>21183</v>
      </c>
      <c r="D1556" t="s">
        <v>895</v>
      </c>
      <c r="E1556" s="96" t="s">
        <v>1467</v>
      </c>
      <c r="H1556" t="s">
        <v>361</v>
      </c>
      <c r="I1556">
        <f>VLOOKUP(H1556,Listas!$B$2:$C$20,2,FALSE)</f>
        <v>500001</v>
      </c>
      <c r="J1556" t="s">
        <v>150</v>
      </c>
      <c r="K1556">
        <f>VLOOKUP(J1556,Listas!$B$21:$C$50,2,FALSE)</f>
        <v>600019</v>
      </c>
      <c r="L1556">
        <v>-1</v>
      </c>
    </row>
    <row r="1557" spans="1:12">
      <c r="A1557">
        <v>116</v>
      </c>
      <c r="B1557" t="s">
        <v>896</v>
      </c>
      <c r="C1557" s="96">
        <v>21184</v>
      </c>
      <c r="D1557" t="s">
        <v>897</v>
      </c>
      <c r="E1557" s="96" t="s">
        <v>1467</v>
      </c>
      <c r="H1557" t="s">
        <v>361</v>
      </c>
      <c r="I1557">
        <f>VLOOKUP(H1557,Listas!$B$2:$C$20,2,FALSE)</f>
        <v>500001</v>
      </c>
      <c r="J1557" t="s">
        <v>150</v>
      </c>
      <c r="K1557">
        <f>VLOOKUP(J1557,Listas!$B$21:$C$50,2,FALSE)</f>
        <v>600019</v>
      </c>
      <c r="L1557">
        <v>-1</v>
      </c>
    </row>
    <row r="1558" spans="1:12">
      <c r="A1558">
        <v>116</v>
      </c>
      <c r="B1558" t="s">
        <v>898</v>
      </c>
      <c r="C1558" s="96">
        <v>21185</v>
      </c>
      <c r="D1558" t="s">
        <v>899</v>
      </c>
      <c r="E1558" s="96" t="s">
        <v>1467</v>
      </c>
      <c r="H1558" t="s">
        <v>361</v>
      </c>
      <c r="I1558">
        <f>VLOOKUP(H1558,Listas!$B$2:$C$20,2,FALSE)</f>
        <v>500001</v>
      </c>
      <c r="J1558" t="s">
        <v>150</v>
      </c>
      <c r="K1558">
        <f>VLOOKUP(J1558,Listas!$B$21:$C$50,2,FALSE)</f>
        <v>600019</v>
      </c>
      <c r="L1558">
        <v>-1</v>
      </c>
    </row>
    <row r="1559" spans="1:12">
      <c r="A1559">
        <v>116</v>
      </c>
      <c r="B1559" t="s">
        <v>900</v>
      </c>
      <c r="C1559" s="96">
        <v>21186</v>
      </c>
      <c r="D1559" t="s">
        <v>901</v>
      </c>
      <c r="E1559" s="96" t="s">
        <v>1467</v>
      </c>
      <c r="H1559" t="s">
        <v>361</v>
      </c>
      <c r="I1559">
        <f>VLOOKUP(H1559,Listas!$B$2:$C$20,2,FALSE)</f>
        <v>500001</v>
      </c>
      <c r="J1559" t="s">
        <v>150</v>
      </c>
      <c r="K1559">
        <f>VLOOKUP(J1559,Listas!$B$21:$C$50,2,FALSE)</f>
        <v>600019</v>
      </c>
      <c r="L1559">
        <v>-1</v>
      </c>
    </row>
    <row r="1560" spans="1:12">
      <c r="A1560">
        <v>116</v>
      </c>
      <c r="B1560" t="s">
        <v>902</v>
      </c>
      <c r="C1560" s="96">
        <v>21187</v>
      </c>
      <c r="D1560" t="s">
        <v>903</v>
      </c>
      <c r="E1560" s="96" t="s">
        <v>1467</v>
      </c>
      <c r="H1560" t="s">
        <v>361</v>
      </c>
      <c r="I1560">
        <f>VLOOKUP(H1560,Listas!$B$2:$C$20,2,FALSE)</f>
        <v>500001</v>
      </c>
      <c r="J1560" t="s">
        <v>150</v>
      </c>
      <c r="K1560">
        <f>VLOOKUP(J1560,Listas!$B$21:$C$50,2,FALSE)</f>
        <v>600019</v>
      </c>
      <c r="L1560">
        <v>-1</v>
      </c>
    </row>
    <row r="1561" spans="1:12">
      <c r="A1561">
        <v>116</v>
      </c>
      <c r="B1561" t="s">
        <v>904</v>
      </c>
      <c r="C1561" s="96">
        <v>21188</v>
      </c>
      <c r="D1561" t="s">
        <v>905</v>
      </c>
      <c r="E1561" s="96" t="s">
        <v>1467</v>
      </c>
      <c r="H1561" t="s">
        <v>361</v>
      </c>
      <c r="I1561">
        <f>VLOOKUP(H1561,Listas!$B$2:$C$20,2,FALSE)</f>
        <v>500001</v>
      </c>
      <c r="J1561" t="s">
        <v>150</v>
      </c>
      <c r="K1561">
        <f>VLOOKUP(J1561,Listas!$B$21:$C$50,2,FALSE)</f>
        <v>600019</v>
      </c>
      <c r="L1561">
        <v>-1</v>
      </c>
    </row>
    <row r="1562" spans="1:12">
      <c r="A1562">
        <v>116</v>
      </c>
      <c r="B1562" t="s">
        <v>906</v>
      </c>
      <c r="C1562" s="96">
        <v>21189</v>
      </c>
      <c r="D1562" t="s">
        <v>907</v>
      </c>
      <c r="E1562" s="96" t="s">
        <v>1467</v>
      </c>
      <c r="H1562" t="s">
        <v>361</v>
      </c>
      <c r="I1562">
        <f>VLOOKUP(H1562,Listas!$B$2:$C$20,2,FALSE)</f>
        <v>500001</v>
      </c>
      <c r="J1562" t="s">
        <v>81</v>
      </c>
      <c r="K1562">
        <f>VLOOKUP(J1562,Listas!$B$21:$C$53,2,FALSE)</f>
        <v>600032</v>
      </c>
      <c r="L1562">
        <v>-1</v>
      </c>
    </row>
    <row r="1563" spans="1:12">
      <c r="A1563">
        <v>116</v>
      </c>
      <c r="B1563" t="s">
        <v>908</v>
      </c>
      <c r="C1563" s="96">
        <v>211810</v>
      </c>
      <c r="D1563" t="s">
        <v>909</v>
      </c>
      <c r="E1563" s="96" t="s">
        <v>1467</v>
      </c>
      <c r="H1563" t="s">
        <v>361</v>
      </c>
      <c r="I1563">
        <f>VLOOKUP(H1563,Listas!$B$2:$C$20,2,FALSE)</f>
        <v>500001</v>
      </c>
      <c r="J1563" t="s">
        <v>150</v>
      </c>
      <c r="K1563">
        <f>VLOOKUP(J1563,Listas!$B$21:$C$50,2,FALSE)</f>
        <v>600019</v>
      </c>
      <c r="L1563">
        <v>-1</v>
      </c>
    </row>
    <row r="1564" spans="1:12">
      <c r="A1564">
        <v>116</v>
      </c>
      <c r="B1564" t="s">
        <v>910</v>
      </c>
      <c r="C1564" s="96">
        <v>211811</v>
      </c>
      <c r="D1564" t="s">
        <v>911</v>
      </c>
      <c r="E1564" s="96" t="s">
        <v>1467</v>
      </c>
      <c r="H1564" t="s">
        <v>361</v>
      </c>
      <c r="I1564">
        <f>VLOOKUP(H1564,Listas!$B$2:$C$20,2,FALSE)</f>
        <v>500001</v>
      </c>
      <c r="J1564" t="s">
        <v>150</v>
      </c>
      <c r="K1564">
        <f>VLOOKUP(J1564,Listas!$B$21:$C$50,2,FALSE)</f>
        <v>600019</v>
      </c>
      <c r="L1564">
        <v>-1</v>
      </c>
    </row>
    <row r="1565" spans="1:12">
      <c r="A1565">
        <v>116</v>
      </c>
      <c r="B1565" t="s">
        <v>912</v>
      </c>
      <c r="C1565" s="96">
        <v>211812</v>
      </c>
      <c r="D1565" t="s">
        <v>913</v>
      </c>
      <c r="E1565" s="96" t="s">
        <v>1467</v>
      </c>
      <c r="H1565" t="s">
        <v>361</v>
      </c>
      <c r="I1565">
        <f>VLOOKUP(H1565,Listas!$B$2:$C$20,2,FALSE)</f>
        <v>500001</v>
      </c>
      <c r="J1565" t="s">
        <v>150</v>
      </c>
      <c r="K1565">
        <f>VLOOKUP(J1565,Listas!$B$21:$C$50,2,FALSE)</f>
        <v>600019</v>
      </c>
      <c r="L1565">
        <v>-1</v>
      </c>
    </row>
    <row r="1566" spans="1:12">
      <c r="A1566">
        <v>116</v>
      </c>
      <c r="B1566" t="s">
        <v>914</v>
      </c>
      <c r="C1566" s="96">
        <v>211813</v>
      </c>
      <c r="D1566" t="s">
        <v>915</v>
      </c>
      <c r="E1566" s="96" t="s">
        <v>1467</v>
      </c>
      <c r="H1566" t="s">
        <v>361</v>
      </c>
      <c r="I1566">
        <f>VLOOKUP(H1566,Listas!$B$2:$C$20,2,FALSE)</f>
        <v>500001</v>
      </c>
      <c r="J1566" t="s">
        <v>150</v>
      </c>
      <c r="K1566">
        <f>VLOOKUP(J1566,Listas!$B$21:$C$50,2,FALSE)</f>
        <v>600019</v>
      </c>
      <c r="L1566">
        <v>-1</v>
      </c>
    </row>
    <row r="1567" spans="1:12">
      <c r="A1567">
        <v>116</v>
      </c>
      <c r="B1567" t="s">
        <v>4730</v>
      </c>
      <c r="C1567" s="96">
        <v>211814</v>
      </c>
      <c r="D1567" t="s">
        <v>598</v>
      </c>
      <c r="E1567" s="96" t="s">
        <v>1467</v>
      </c>
      <c r="H1567" t="s">
        <v>361</v>
      </c>
      <c r="I1567">
        <f>VLOOKUP(H1567,Listas!$B$2:$C$20,2,FALSE)</f>
        <v>500001</v>
      </c>
      <c r="J1567" t="s">
        <v>150</v>
      </c>
      <c r="K1567">
        <f>VLOOKUP(J1567,Listas!$B$21:$C$50,2,FALSE)</f>
        <v>600019</v>
      </c>
      <c r="L1567">
        <v>-1</v>
      </c>
    </row>
    <row r="1568" spans="1:12">
      <c r="A1568">
        <v>116</v>
      </c>
      <c r="B1568" t="s">
        <v>4731</v>
      </c>
      <c r="C1568" s="96">
        <v>211815</v>
      </c>
      <c r="D1568" t="s">
        <v>458</v>
      </c>
      <c r="E1568" s="96" t="s">
        <v>1467</v>
      </c>
      <c r="H1568" t="s">
        <v>361</v>
      </c>
      <c r="I1568">
        <f>VLOOKUP(H1568,Listas!$B$2:$C$20,2,FALSE)</f>
        <v>500001</v>
      </c>
      <c r="J1568" t="s">
        <v>150</v>
      </c>
      <c r="K1568">
        <f>VLOOKUP(J1568,Listas!$B$21:$C$50,2,FALSE)</f>
        <v>600019</v>
      </c>
      <c r="L1568">
        <v>-1</v>
      </c>
    </row>
    <row r="1569" spans="1:12">
      <c r="A1569">
        <v>116</v>
      </c>
      <c r="B1569" t="s">
        <v>4732</v>
      </c>
      <c r="C1569" s="96">
        <v>211816</v>
      </c>
      <c r="D1569" t="s">
        <v>4733</v>
      </c>
      <c r="E1569" s="96" t="s">
        <v>1467</v>
      </c>
      <c r="H1569" t="s">
        <v>361</v>
      </c>
      <c r="I1569">
        <f>VLOOKUP(H1569,Listas!$B$2:$C$20,2,FALSE)</f>
        <v>500001</v>
      </c>
      <c r="J1569" t="s">
        <v>150</v>
      </c>
      <c r="K1569">
        <f>VLOOKUP(J1569,Listas!$B$21:$C$50,2,FALSE)</f>
        <v>600019</v>
      </c>
      <c r="L1569">
        <v>-1</v>
      </c>
    </row>
    <row r="1570" spans="1:12">
      <c r="A1570">
        <v>116</v>
      </c>
      <c r="B1570" t="s">
        <v>4734</v>
      </c>
      <c r="C1570" s="96">
        <v>211817</v>
      </c>
      <c r="D1570" t="s">
        <v>4735</v>
      </c>
      <c r="E1570" s="96" t="s">
        <v>1467</v>
      </c>
      <c r="H1570" t="s">
        <v>361</v>
      </c>
      <c r="I1570">
        <f>VLOOKUP(H1570,Listas!$B$2:$C$20,2,FALSE)</f>
        <v>500001</v>
      </c>
      <c r="J1570" t="s">
        <v>150</v>
      </c>
      <c r="K1570">
        <f>VLOOKUP(J1570,Listas!$B$21:$C$50,2,FALSE)</f>
        <v>600019</v>
      </c>
      <c r="L1570">
        <v>-1</v>
      </c>
    </row>
    <row r="1571" spans="1:12" s="336" customFormat="1">
      <c r="A1571" s="336">
        <v>116</v>
      </c>
      <c r="B1571" s="336" t="s">
        <v>4736</v>
      </c>
      <c r="C1571" s="336">
        <v>2119</v>
      </c>
      <c r="D1571" s="336" t="s">
        <v>4737</v>
      </c>
      <c r="E1571" s="337" t="s">
        <v>1462</v>
      </c>
    </row>
    <row r="1572" spans="1:12">
      <c r="A1572">
        <v>116</v>
      </c>
      <c r="B1572" t="s">
        <v>4738</v>
      </c>
      <c r="C1572" s="96">
        <v>21191</v>
      </c>
      <c r="D1572" t="s">
        <v>4739</v>
      </c>
      <c r="E1572" s="96" t="s">
        <v>1467</v>
      </c>
      <c r="H1572" t="s">
        <v>361</v>
      </c>
      <c r="I1572">
        <f>VLOOKUP(H1572,Listas!$B$2:$C$20,2,FALSE)</f>
        <v>500001</v>
      </c>
      <c r="J1572" t="s">
        <v>1688</v>
      </c>
      <c r="K1572">
        <f>VLOOKUP(J1572,Listas!$B$21:$C$50,2,FALSE)</f>
        <v>600021</v>
      </c>
      <c r="L1572">
        <v>-1</v>
      </c>
    </row>
    <row r="1573" spans="1:12">
      <c r="A1573">
        <v>116</v>
      </c>
      <c r="B1573" t="s">
        <v>4740</v>
      </c>
      <c r="C1573" s="96">
        <v>21192</v>
      </c>
      <c r="D1573" t="s">
        <v>4741</v>
      </c>
      <c r="E1573" s="96" t="s">
        <v>1467</v>
      </c>
      <c r="H1573" t="s">
        <v>361</v>
      </c>
      <c r="I1573">
        <f>VLOOKUP(H1573,Listas!$B$2:$C$20,2,FALSE)</f>
        <v>500001</v>
      </c>
      <c r="J1573" t="s">
        <v>1688</v>
      </c>
      <c r="K1573">
        <f>VLOOKUP(J1573,Listas!$B$21:$C$50,2,FALSE)</f>
        <v>600021</v>
      </c>
      <c r="L1573">
        <v>-1</v>
      </c>
    </row>
    <row r="1574" spans="1:12">
      <c r="A1574">
        <v>116</v>
      </c>
      <c r="B1574" t="s">
        <v>4742</v>
      </c>
      <c r="C1574" s="96">
        <v>21193</v>
      </c>
      <c r="D1574" t="s">
        <v>1061</v>
      </c>
      <c r="E1574" s="96" t="s">
        <v>1467</v>
      </c>
      <c r="H1574" t="s">
        <v>361</v>
      </c>
      <c r="I1574">
        <f>VLOOKUP(H1574,Listas!$B$2:$C$20,2,FALSE)</f>
        <v>500001</v>
      </c>
      <c r="J1574" t="s">
        <v>1688</v>
      </c>
      <c r="K1574">
        <f>VLOOKUP(J1574,Listas!$B$21:$C$50,2,FALSE)</f>
        <v>600021</v>
      </c>
      <c r="L1574">
        <v>-1</v>
      </c>
    </row>
    <row r="1575" spans="1:12">
      <c r="A1575">
        <v>116</v>
      </c>
      <c r="B1575" t="s">
        <v>4743</v>
      </c>
      <c r="C1575" s="96">
        <v>21194</v>
      </c>
      <c r="D1575" t="s">
        <v>4744</v>
      </c>
      <c r="E1575" s="96" t="s">
        <v>1467</v>
      </c>
      <c r="H1575" t="s">
        <v>361</v>
      </c>
      <c r="I1575">
        <f>VLOOKUP(H1575,Listas!$B$2:$C$20,2,FALSE)</f>
        <v>500001</v>
      </c>
      <c r="J1575" t="s">
        <v>1688</v>
      </c>
      <c r="K1575">
        <f>VLOOKUP(J1575,Listas!$B$21:$C$50,2,FALSE)</f>
        <v>600021</v>
      </c>
      <c r="L1575">
        <v>-1</v>
      </c>
    </row>
    <row r="1576" spans="1:12">
      <c r="A1576">
        <v>116</v>
      </c>
      <c r="B1576" t="s">
        <v>4745</v>
      </c>
      <c r="C1576" s="96">
        <v>21195</v>
      </c>
      <c r="D1576" t="s">
        <v>4746</v>
      </c>
      <c r="E1576" s="96" t="s">
        <v>1467</v>
      </c>
      <c r="H1576" t="s">
        <v>361</v>
      </c>
      <c r="I1576">
        <f>VLOOKUP(H1576,Listas!$B$2:$C$20,2,FALSE)</f>
        <v>500001</v>
      </c>
      <c r="J1576" t="s">
        <v>1688</v>
      </c>
      <c r="K1576">
        <f>VLOOKUP(J1576,Listas!$B$21:$C$50,2,FALSE)</f>
        <v>600021</v>
      </c>
      <c r="L1576">
        <v>-1</v>
      </c>
    </row>
    <row r="1577" spans="1:12">
      <c r="A1577">
        <v>116</v>
      </c>
      <c r="B1577" t="s">
        <v>4747</v>
      </c>
      <c r="C1577" s="96">
        <v>21196</v>
      </c>
      <c r="D1577" t="s">
        <v>4748</v>
      </c>
      <c r="E1577" s="96" t="s">
        <v>1467</v>
      </c>
      <c r="H1577" t="s">
        <v>361</v>
      </c>
      <c r="I1577">
        <f>VLOOKUP(H1577,Listas!$B$2:$C$20,2,FALSE)</f>
        <v>500001</v>
      </c>
      <c r="J1577" t="s">
        <v>1688</v>
      </c>
      <c r="K1577">
        <f>VLOOKUP(J1577,Listas!$B$21:$C$50,2,FALSE)</f>
        <v>600021</v>
      </c>
      <c r="L1577">
        <v>-1</v>
      </c>
    </row>
    <row r="1578" spans="1:12">
      <c r="A1578">
        <v>116</v>
      </c>
      <c r="B1578" t="s">
        <v>4749</v>
      </c>
      <c r="C1578" s="96">
        <v>211920</v>
      </c>
      <c r="D1578" t="s">
        <v>456</v>
      </c>
      <c r="E1578" s="96" t="s">
        <v>4235</v>
      </c>
      <c r="H1578" t="s">
        <v>361</v>
      </c>
      <c r="I1578">
        <f>VLOOKUP(H1578,Listas!$B$2:$C$20,2,FALSE)</f>
        <v>500001</v>
      </c>
      <c r="J1578" t="s">
        <v>150</v>
      </c>
      <c r="K1578">
        <f>VLOOKUP(J1578,Listas!$B$21:$C$50,2,FALSE)</f>
        <v>600019</v>
      </c>
      <c r="L1578">
        <v>-1</v>
      </c>
    </row>
    <row r="1579" spans="1:12" s="336" customFormat="1">
      <c r="A1579" s="336">
        <v>116</v>
      </c>
      <c r="B1579" s="336" t="s">
        <v>4750</v>
      </c>
      <c r="C1579" s="336">
        <v>21110</v>
      </c>
      <c r="D1579" s="336" t="s">
        <v>4751</v>
      </c>
      <c r="E1579" s="337" t="s">
        <v>1462</v>
      </c>
    </row>
    <row r="1580" spans="1:12">
      <c r="A1580">
        <v>116</v>
      </c>
      <c r="B1580" t="s">
        <v>4752</v>
      </c>
      <c r="C1580" s="96">
        <v>211101</v>
      </c>
      <c r="D1580" t="s">
        <v>4753</v>
      </c>
      <c r="E1580" s="96" t="s">
        <v>1467</v>
      </c>
      <c r="H1580" t="s">
        <v>361</v>
      </c>
      <c r="I1580">
        <f>VLOOKUP(H1580,Listas!$B$2:$C$20,2,FALSE)</f>
        <v>500001</v>
      </c>
      <c r="J1580" t="s">
        <v>1688</v>
      </c>
      <c r="K1580">
        <f>VLOOKUP(J1580,Listas!$B$21:$C$50,2,FALSE)</f>
        <v>600021</v>
      </c>
      <c r="L1580">
        <v>-1</v>
      </c>
    </row>
    <row r="1581" spans="1:12">
      <c r="A1581">
        <v>116</v>
      </c>
      <c r="B1581" t="s">
        <v>4754</v>
      </c>
      <c r="C1581" s="96">
        <v>211102</v>
      </c>
      <c r="D1581" t="s">
        <v>4755</v>
      </c>
      <c r="E1581" s="96" t="s">
        <v>1467</v>
      </c>
      <c r="H1581" t="s">
        <v>361</v>
      </c>
      <c r="I1581">
        <f>VLOOKUP(H1581,Listas!$B$2:$C$20,2,FALSE)</f>
        <v>500001</v>
      </c>
      <c r="J1581" t="s">
        <v>1688</v>
      </c>
      <c r="K1581">
        <f>VLOOKUP(J1581,Listas!$B$21:$C$50,2,FALSE)</f>
        <v>600021</v>
      </c>
      <c r="L1581">
        <v>-1</v>
      </c>
    </row>
    <row r="1582" spans="1:12">
      <c r="A1582">
        <v>116</v>
      </c>
      <c r="B1582" t="s">
        <v>4756</v>
      </c>
      <c r="C1582" s="96">
        <v>211103</v>
      </c>
      <c r="D1582" t="s">
        <v>4757</v>
      </c>
      <c r="E1582" s="96" t="s">
        <v>1467</v>
      </c>
      <c r="H1582" t="s">
        <v>361</v>
      </c>
      <c r="I1582">
        <f>VLOOKUP(H1582,Listas!$B$2:$C$20,2,FALSE)</f>
        <v>500001</v>
      </c>
      <c r="J1582" t="s">
        <v>1688</v>
      </c>
      <c r="K1582">
        <f>VLOOKUP(J1582,Listas!$B$21:$C$50,2,FALSE)</f>
        <v>600021</v>
      </c>
      <c r="L1582">
        <v>-1</v>
      </c>
    </row>
    <row r="1583" spans="1:12" s="336" customFormat="1">
      <c r="A1583" s="336">
        <v>116</v>
      </c>
      <c r="B1583" s="336" t="s">
        <v>4758</v>
      </c>
      <c r="C1583" s="336">
        <v>211110</v>
      </c>
      <c r="D1583" s="336" t="s">
        <v>924</v>
      </c>
      <c r="E1583" s="337" t="s">
        <v>1462</v>
      </c>
    </row>
    <row r="1584" spans="1:12">
      <c r="A1584">
        <v>116</v>
      </c>
      <c r="B1584" t="s">
        <v>4759</v>
      </c>
      <c r="C1584" s="96">
        <v>211111</v>
      </c>
      <c r="D1584" t="s">
        <v>926</v>
      </c>
      <c r="E1584" s="96" t="s">
        <v>1467</v>
      </c>
      <c r="H1584" t="s">
        <v>361</v>
      </c>
      <c r="I1584">
        <f>VLOOKUP(H1584,Listas!$B$2:$C$20,2,FALSE)</f>
        <v>500001</v>
      </c>
      <c r="J1584" t="s">
        <v>139</v>
      </c>
      <c r="K1584">
        <f>VLOOKUP(J1584,Listas!$B$21:$C$50,2,FALSE)</f>
        <v>600008</v>
      </c>
      <c r="L1584">
        <v>-1</v>
      </c>
    </row>
    <row r="1585" spans="1:12">
      <c r="A1585">
        <v>116</v>
      </c>
      <c r="B1585" t="s">
        <v>4760</v>
      </c>
      <c r="C1585" s="96">
        <v>211112</v>
      </c>
      <c r="D1585" t="s">
        <v>928</v>
      </c>
      <c r="E1585" s="96" t="s">
        <v>1467</v>
      </c>
      <c r="H1585" t="s">
        <v>361</v>
      </c>
      <c r="I1585">
        <f>VLOOKUP(H1585,Listas!$B$2:$C$20,2,FALSE)</f>
        <v>500001</v>
      </c>
      <c r="J1585" t="s">
        <v>139</v>
      </c>
      <c r="K1585">
        <f>VLOOKUP(J1585,Listas!$B$21:$C$50,2,FALSE)</f>
        <v>600008</v>
      </c>
      <c r="L1585">
        <v>-1</v>
      </c>
    </row>
    <row r="1586" spans="1:12">
      <c r="A1586">
        <v>116</v>
      </c>
      <c r="B1586" t="s">
        <v>4761</v>
      </c>
      <c r="C1586" s="96">
        <v>211113</v>
      </c>
      <c r="D1586" t="s">
        <v>930</v>
      </c>
      <c r="E1586" s="96" t="s">
        <v>1467</v>
      </c>
      <c r="H1586" t="s">
        <v>361</v>
      </c>
      <c r="I1586">
        <f>VLOOKUP(H1586,Listas!$B$2:$C$20,2,FALSE)</f>
        <v>500001</v>
      </c>
      <c r="J1586" t="s">
        <v>139</v>
      </c>
      <c r="K1586">
        <f>VLOOKUP(J1586,Listas!$B$21:$C$50,2,FALSE)</f>
        <v>600008</v>
      </c>
      <c r="L1586">
        <v>-1</v>
      </c>
    </row>
    <row r="1587" spans="1:12" s="336" customFormat="1">
      <c r="A1587" s="336">
        <v>116</v>
      </c>
      <c r="B1587" s="336" t="s">
        <v>4762</v>
      </c>
      <c r="C1587" s="336">
        <v>211012</v>
      </c>
      <c r="D1587" s="336" t="s">
        <v>4763</v>
      </c>
      <c r="E1587" s="337" t="s">
        <v>1462</v>
      </c>
    </row>
    <row r="1588" spans="1:12">
      <c r="A1588">
        <v>116</v>
      </c>
      <c r="B1588" t="s">
        <v>4764</v>
      </c>
      <c r="C1588" s="96">
        <v>211121</v>
      </c>
      <c r="D1588" t="s">
        <v>4765</v>
      </c>
      <c r="E1588" s="96" t="s">
        <v>1467</v>
      </c>
      <c r="H1588" t="s">
        <v>361</v>
      </c>
      <c r="I1588">
        <f>VLOOKUP(H1588,Listas!$B$2:$C$20,2,FALSE)</f>
        <v>500001</v>
      </c>
      <c r="J1588" t="s">
        <v>1688</v>
      </c>
      <c r="K1588">
        <f>VLOOKUP(J1588,Listas!$B$21:$C$50,2,FALSE)</f>
        <v>600021</v>
      </c>
      <c r="L1588">
        <v>-1</v>
      </c>
    </row>
    <row r="1589" spans="1:12">
      <c r="A1589">
        <v>116</v>
      </c>
      <c r="B1589" t="s">
        <v>4766</v>
      </c>
      <c r="C1589" s="96">
        <v>211122</v>
      </c>
      <c r="D1589" t="s">
        <v>4767</v>
      </c>
      <c r="E1589" s="96" t="s">
        <v>1467</v>
      </c>
      <c r="H1589" t="s">
        <v>361</v>
      </c>
      <c r="I1589">
        <f>VLOOKUP(H1589,Listas!$B$2:$C$20,2,FALSE)</f>
        <v>500001</v>
      </c>
      <c r="J1589" t="s">
        <v>1688</v>
      </c>
      <c r="K1589">
        <f>VLOOKUP(J1589,Listas!$B$21:$C$50,2,FALSE)</f>
        <v>600021</v>
      </c>
      <c r="L1589">
        <v>-1</v>
      </c>
    </row>
    <row r="1590" spans="1:12">
      <c r="A1590">
        <v>116</v>
      </c>
      <c r="B1590" t="s">
        <v>4768</v>
      </c>
      <c r="C1590" s="96">
        <v>211123</v>
      </c>
      <c r="D1590" t="s">
        <v>4769</v>
      </c>
      <c r="E1590" s="96" t="s">
        <v>1467</v>
      </c>
      <c r="H1590" t="s">
        <v>361</v>
      </c>
      <c r="I1590">
        <f>VLOOKUP(H1590,Listas!$B$2:$C$20,2,FALSE)</f>
        <v>500001</v>
      </c>
      <c r="J1590" t="s">
        <v>1688</v>
      </c>
      <c r="K1590">
        <f>VLOOKUP(J1590,Listas!$B$21:$C$50,2,FALSE)</f>
        <v>600021</v>
      </c>
      <c r="L1590">
        <v>-1</v>
      </c>
    </row>
    <row r="1591" spans="1:12">
      <c r="A1591">
        <v>116</v>
      </c>
      <c r="B1591" t="s">
        <v>4770</v>
      </c>
      <c r="C1591" s="96">
        <v>211124</v>
      </c>
      <c r="D1591" t="s">
        <v>4771</v>
      </c>
      <c r="E1591" s="96" t="s">
        <v>1467</v>
      </c>
      <c r="H1591" t="s">
        <v>361</v>
      </c>
      <c r="I1591">
        <f>VLOOKUP(H1591,Listas!$B$2:$C$20,2,FALSE)</f>
        <v>500001</v>
      </c>
      <c r="J1591" t="s">
        <v>1688</v>
      </c>
      <c r="K1591">
        <f>VLOOKUP(J1591,Listas!$B$21:$C$50,2,FALSE)</f>
        <v>600021</v>
      </c>
      <c r="L1591">
        <v>-1</v>
      </c>
    </row>
    <row r="1592" spans="1:12">
      <c r="A1592">
        <v>116</v>
      </c>
      <c r="B1592" t="s">
        <v>4772</v>
      </c>
      <c r="C1592" s="96">
        <v>211125</v>
      </c>
      <c r="D1592" t="s">
        <v>4773</v>
      </c>
      <c r="E1592" s="96" t="s">
        <v>1467</v>
      </c>
      <c r="H1592" t="s">
        <v>361</v>
      </c>
      <c r="I1592">
        <f>VLOOKUP(H1592,Listas!$B$2:$C$20,2,FALSE)</f>
        <v>500001</v>
      </c>
      <c r="J1592" t="s">
        <v>1688</v>
      </c>
      <c r="K1592">
        <f>VLOOKUP(J1592,Listas!$B$21:$C$50,2,FALSE)</f>
        <v>600021</v>
      </c>
      <c r="L1592">
        <v>-1</v>
      </c>
    </row>
    <row r="1593" spans="1:12">
      <c r="A1593">
        <v>116</v>
      </c>
      <c r="B1593" t="s">
        <v>4774</v>
      </c>
      <c r="C1593" s="96">
        <v>211126</v>
      </c>
      <c r="D1593" t="s">
        <v>4775</v>
      </c>
      <c r="E1593" s="96" t="s">
        <v>1467</v>
      </c>
      <c r="H1593" t="s">
        <v>361</v>
      </c>
      <c r="I1593">
        <f>VLOOKUP(H1593,Listas!$B$2:$C$20,2,FALSE)</f>
        <v>500001</v>
      </c>
      <c r="J1593" t="s">
        <v>1688</v>
      </c>
      <c r="K1593">
        <f>VLOOKUP(J1593,Listas!$B$21:$C$50,2,FALSE)</f>
        <v>600021</v>
      </c>
      <c r="L1593">
        <v>-1</v>
      </c>
    </row>
    <row r="1594" spans="1:12">
      <c r="A1594">
        <v>116</v>
      </c>
      <c r="B1594" t="s">
        <v>4776</v>
      </c>
      <c r="C1594" s="96">
        <v>211127</v>
      </c>
      <c r="D1594" t="s">
        <v>4777</v>
      </c>
      <c r="E1594" s="96" t="s">
        <v>1467</v>
      </c>
      <c r="H1594" t="s">
        <v>361</v>
      </c>
      <c r="I1594">
        <f>VLOOKUP(H1594,Listas!$B$2:$C$20,2,FALSE)</f>
        <v>500001</v>
      </c>
      <c r="J1594" t="s">
        <v>1688</v>
      </c>
      <c r="K1594">
        <f>VLOOKUP(J1594,Listas!$B$21:$C$50,2,FALSE)</f>
        <v>600021</v>
      </c>
      <c r="L1594">
        <v>-1</v>
      </c>
    </row>
    <row r="1595" spans="1:12">
      <c r="A1595">
        <v>116</v>
      </c>
      <c r="B1595" t="s">
        <v>4778</v>
      </c>
      <c r="C1595" s="96">
        <v>211128</v>
      </c>
      <c r="D1595" t="s">
        <v>4779</v>
      </c>
      <c r="E1595" s="96" t="s">
        <v>1467</v>
      </c>
      <c r="H1595" t="s">
        <v>361</v>
      </c>
      <c r="I1595">
        <f>VLOOKUP(H1595,Listas!$B$2:$C$20,2,FALSE)</f>
        <v>500001</v>
      </c>
      <c r="J1595" t="s">
        <v>1688</v>
      </c>
      <c r="K1595">
        <f>VLOOKUP(J1595,Listas!$B$21:$C$50,2,FALSE)</f>
        <v>600021</v>
      </c>
      <c r="L1595">
        <v>-1</v>
      </c>
    </row>
    <row r="1596" spans="1:12">
      <c r="A1596">
        <v>116</v>
      </c>
      <c r="B1596" t="s">
        <v>4780</v>
      </c>
      <c r="C1596" s="96">
        <v>211129</v>
      </c>
      <c r="D1596" t="s">
        <v>4781</v>
      </c>
      <c r="E1596" s="96" t="s">
        <v>1467</v>
      </c>
      <c r="H1596" t="s">
        <v>361</v>
      </c>
      <c r="I1596">
        <f>VLOOKUP(H1596,Listas!$B$2:$C$20,2,FALSE)</f>
        <v>500001</v>
      </c>
      <c r="J1596" t="s">
        <v>1688</v>
      </c>
      <c r="K1596">
        <f>VLOOKUP(J1596,Listas!$B$21:$C$50,2,FALSE)</f>
        <v>600021</v>
      </c>
      <c r="L1596">
        <v>-1</v>
      </c>
    </row>
    <row r="1597" spans="1:12">
      <c r="A1597">
        <v>116</v>
      </c>
      <c r="B1597" t="s">
        <v>4782</v>
      </c>
      <c r="C1597" s="96">
        <v>2111210</v>
      </c>
      <c r="D1597" t="s">
        <v>4783</v>
      </c>
      <c r="E1597" s="96" t="s">
        <v>1467</v>
      </c>
      <c r="H1597" t="s">
        <v>361</v>
      </c>
      <c r="I1597">
        <f>VLOOKUP(H1597,Listas!$B$2:$C$20,2,FALSE)</f>
        <v>500001</v>
      </c>
      <c r="J1597" t="s">
        <v>1688</v>
      </c>
      <c r="K1597">
        <f>VLOOKUP(J1597,Listas!$B$21:$C$50,2,FALSE)</f>
        <v>600021</v>
      </c>
      <c r="L1597">
        <v>-1</v>
      </c>
    </row>
    <row r="1598" spans="1:12">
      <c r="A1598">
        <v>116</v>
      </c>
      <c r="B1598" t="s">
        <v>4784</v>
      </c>
      <c r="C1598" s="96">
        <v>2111311</v>
      </c>
      <c r="D1598" t="s">
        <v>4785</v>
      </c>
      <c r="E1598" s="96" t="s">
        <v>1467</v>
      </c>
      <c r="H1598" t="s">
        <v>361</v>
      </c>
      <c r="I1598">
        <f>VLOOKUP(H1598,Listas!$B$2:$C$20,2,FALSE)</f>
        <v>500001</v>
      </c>
      <c r="J1598" t="s">
        <v>1688</v>
      </c>
      <c r="K1598">
        <f>VLOOKUP(J1598,Listas!$B$21:$C$50,2,FALSE)</f>
        <v>600021</v>
      </c>
      <c r="L1598">
        <v>-1</v>
      </c>
    </row>
    <row r="1599" spans="1:12">
      <c r="A1599">
        <v>116</v>
      </c>
      <c r="B1599" t="s">
        <v>4786</v>
      </c>
      <c r="C1599" s="96">
        <v>2111212</v>
      </c>
      <c r="D1599" t="s">
        <v>4787</v>
      </c>
      <c r="E1599" s="96" t="s">
        <v>1467</v>
      </c>
      <c r="H1599" t="s">
        <v>361</v>
      </c>
      <c r="I1599">
        <f>VLOOKUP(H1599,Listas!$B$2:$C$20,2,FALSE)</f>
        <v>500001</v>
      </c>
      <c r="J1599" t="s">
        <v>1688</v>
      </c>
      <c r="K1599">
        <f>VLOOKUP(J1599,Listas!$B$21:$C$50,2,FALSE)</f>
        <v>600021</v>
      </c>
      <c r="L1599">
        <v>-1</v>
      </c>
    </row>
    <row r="1600" spans="1:12">
      <c r="A1600">
        <v>116</v>
      </c>
      <c r="B1600" t="s">
        <v>4788</v>
      </c>
      <c r="C1600" s="96">
        <v>2111213</v>
      </c>
      <c r="D1600" t="s">
        <v>4789</v>
      </c>
      <c r="E1600" s="96" t="s">
        <v>1467</v>
      </c>
      <c r="H1600" t="s">
        <v>361</v>
      </c>
      <c r="I1600">
        <f>VLOOKUP(H1600,Listas!$B$2:$C$20,2,FALSE)</f>
        <v>500001</v>
      </c>
      <c r="J1600" t="s">
        <v>1688</v>
      </c>
      <c r="K1600">
        <f>VLOOKUP(J1600,Listas!$B$21:$C$50,2,FALSE)</f>
        <v>600021</v>
      </c>
      <c r="L1600">
        <v>-1</v>
      </c>
    </row>
    <row r="1601" spans="1:12">
      <c r="A1601">
        <v>116</v>
      </c>
      <c r="B1601" t="s">
        <v>4790</v>
      </c>
      <c r="C1601" s="96">
        <v>2111214</v>
      </c>
      <c r="D1601" t="s">
        <v>4791</v>
      </c>
      <c r="E1601" s="96" t="s">
        <v>1467</v>
      </c>
      <c r="H1601" t="s">
        <v>361</v>
      </c>
      <c r="I1601">
        <f>VLOOKUP(H1601,Listas!$B$2:$C$20,2,FALSE)</f>
        <v>500001</v>
      </c>
      <c r="J1601" t="s">
        <v>1688</v>
      </c>
      <c r="K1601">
        <f>VLOOKUP(J1601,Listas!$B$21:$C$50,2,FALSE)</f>
        <v>600021</v>
      </c>
      <c r="L1601">
        <v>-1</v>
      </c>
    </row>
    <row r="1602" spans="1:12">
      <c r="A1602">
        <v>116</v>
      </c>
      <c r="B1602" t="s">
        <v>4792</v>
      </c>
      <c r="C1602" s="96">
        <v>2111215</v>
      </c>
      <c r="D1602" t="s">
        <v>4793</v>
      </c>
      <c r="E1602" s="96" t="s">
        <v>1467</v>
      </c>
      <c r="H1602" t="s">
        <v>361</v>
      </c>
      <c r="I1602">
        <f>VLOOKUP(H1602,Listas!$B$2:$C$20,2,FALSE)</f>
        <v>500001</v>
      </c>
      <c r="J1602" t="s">
        <v>1688</v>
      </c>
      <c r="K1602">
        <f>VLOOKUP(J1602,Listas!$B$21:$C$50,2,FALSE)</f>
        <v>600021</v>
      </c>
      <c r="L1602">
        <v>-1</v>
      </c>
    </row>
    <row r="1603" spans="1:12">
      <c r="A1603">
        <v>116</v>
      </c>
      <c r="B1603" t="s">
        <v>4794</v>
      </c>
      <c r="C1603" s="96">
        <v>2111216</v>
      </c>
      <c r="D1603" t="s">
        <v>4795</v>
      </c>
      <c r="E1603" s="96" t="s">
        <v>1467</v>
      </c>
      <c r="H1603" t="s">
        <v>361</v>
      </c>
      <c r="I1603">
        <f>VLOOKUP(H1603,Listas!$B$2:$C$20,2,FALSE)</f>
        <v>500001</v>
      </c>
      <c r="J1603" t="s">
        <v>1688</v>
      </c>
      <c r="K1603">
        <f>VLOOKUP(J1603,Listas!$B$21:$C$50,2,FALSE)</f>
        <v>600021</v>
      </c>
      <c r="L1603">
        <v>-1</v>
      </c>
    </row>
    <row r="1604" spans="1:12">
      <c r="A1604">
        <v>116</v>
      </c>
      <c r="B1604" t="s">
        <v>4796</v>
      </c>
      <c r="C1604" s="96">
        <v>2111217</v>
      </c>
      <c r="D1604" t="s">
        <v>4797</v>
      </c>
      <c r="E1604" s="96" t="s">
        <v>1467</v>
      </c>
      <c r="H1604" t="s">
        <v>361</v>
      </c>
      <c r="I1604">
        <f>VLOOKUP(H1604,Listas!$B$2:$C$20,2,FALSE)</f>
        <v>500001</v>
      </c>
      <c r="J1604" t="s">
        <v>1688</v>
      </c>
      <c r="K1604">
        <f>VLOOKUP(J1604,Listas!$B$21:$C$50,2,FALSE)</f>
        <v>600021</v>
      </c>
      <c r="L1604">
        <v>-1</v>
      </c>
    </row>
    <row r="1605" spans="1:12">
      <c r="A1605">
        <v>116</v>
      </c>
      <c r="B1605" t="s">
        <v>4798</v>
      </c>
      <c r="C1605" s="96">
        <v>2111218</v>
      </c>
      <c r="D1605" t="s">
        <v>4799</v>
      </c>
      <c r="E1605" s="96" t="s">
        <v>1467</v>
      </c>
      <c r="H1605" t="s">
        <v>361</v>
      </c>
      <c r="I1605">
        <f>VLOOKUP(H1605,Listas!$B$2:$C$20,2,FALSE)</f>
        <v>500001</v>
      </c>
      <c r="J1605" t="s">
        <v>1688</v>
      </c>
      <c r="K1605">
        <f>VLOOKUP(J1605,Listas!$B$21:$C$50,2,FALSE)</f>
        <v>600021</v>
      </c>
      <c r="L1605">
        <v>-1</v>
      </c>
    </row>
    <row r="1606" spans="1:12" s="336" customFormat="1">
      <c r="A1606" s="336">
        <v>116</v>
      </c>
      <c r="B1606" s="336" t="s">
        <v>4800</v>
      </c>
      <c r="C1606" s="336">
        <v>21113</v>
      </c>
      <c r="D1606" s="336" t="s">
        <v>4801</v>
      </c>
      <c r="E1606" s="337" t="s">
        <v>1462</v>
      </c>
    </row>
    <row r="1607" spans="1:12">
      <c r="A1607">
        <v>116</v>
      </c>
      <c r="B1607" t="s">
        <v>4802</v>
      </c>
      <c r="C1607" s="96">
        <v>211131</v>
      </c>
      <c r="D1607" t="s">
        <v>4803</v>
      </c>
      <c r="E1607" s="96" t="s">
        <v>1467</v>
      </c>
      <c r="H1607" t="s">
        <v>361</v>
      </c>
      <c r="I1607">
        <f>VLOOKUP(H1607,Listas!$B$2:$C$20,2,FALSE)</f>
        <v>500001</v>
      </c>
      <c r="J1607" t="s">
        <v>1688</v>
      </c>
      <c r="K1607">
        <f>VLOOKUP(J1607,Listas!$B$21:$C$50,2,FALSE)</f>
        <v>600021</v>
      </c>
      <c r="L1607">
        <v>-1</v>
      </c>
    </row>
    <row r="1608" spans="1:12">
      <c r="A1608">
        <v>116</v>
      </c>
      <c r="B1608" t="s">
        <v>4804</v>
      </c>
      <c r="C1608" s="96">
        <v>211132</v>
      </c>
      <c r="D1608" t="s">
        <v>4805</v>
      </c>
      <c r="E1608" s="96" t="s">
        <v>1467</v>
      </c>
      <c r="H1608" t="s">
        <v>361</v>
      </c>
      <c r="I1608">
        <f>VLOOKUP(H1608,Listas!$B$2:$C$20,2,FALSE)</f>
        <v>500001</v>
      </c>
      <c r="J1608" t="s">
        <v>1688</v>
      </c>
      <c r="K1608">
        <f>VLOOKUP(J1608,Listas!$B$21:$C$50,2,FALSE)</f>
        <v>600021</v>
      </c>
      <c r="L1608">
        <v>-1</v>
      </c>
    </row>
    <row r="1609" spans="1:12" s="336" customFormat="1">
      <c r="A1609" s="336">
        <v>116</v>
      </c>
      <c r="B1609" s="336" t="s">
        <v>80</v>
      </c>
      <c r="C1609" s="336">
        <v>21114</v>
      </c>
      <c r="D1609" s="336" t="s">
        <v>79</v>
      </c>
      <c r="E1609" s="337" t="s">
        <v>1462</v>
      </c>
    </row>
    <row r="1610" spans="1:12">
      <c r="A1610">
        <v>116</v>
      </c>
      <c r="B1610" t="s">
        <v>4806</v>
      </c>
      <c r="C1610" s="96">
        <v>211141</v>
      </c>
      <c r="D1610" t="s">
        <v>4807</v>
      </c>
      <c r="E1610" s="96" t="s">
        <v>1467</v>
      </c>
      <c r="H1610" t="s">
        <v>361</v>
      </c>
      <c r="I1610">
        <f>VLOOKUP(H1610,Listas!$B$2:$C$20,2,FALSE)</f>
        <v>500001</v>
      </c>
      <c r="J1610" t="s">
        <v>1688</v>
      </c>
      <c r="K1610">
        <f>VLOOKUP(J1610,Listas!$B$21:$C$50,2,FALSE)</f>
        <v>600021</v>
      </c>
      <c r="L1610">
        <v>-1</v>
      </c>
    </row>
    <row r="1611" spans="1:12">
      <c r="A1611">
        <v>116</v>
      </c>
      <c r="B1611" t="s">
        <v>4808</v>
      </c>
      <c r="C1611" s="96">
        <v>211142</v>
      </c>
      <c r="D1611" t="s">
        <v>4809</v>
      </c>
      <c r="E1611" s="96" t="s">
        <v>1467</v>
      </c>
      <c r="H1611" t="s">
        <v>361</v>
      </c>
      <c r="I1611">
        <f>VLOOKUP(H1611,Listas!$B$2:$C$20,2,FALSE)</f>
        <v>500001</v>
      </c>
      <c r="J1611" t="s">
        <v>1688</v>
      </c>
      <c r="K1611">
        <f>VLOOKUP(J1611,Listas!$B$21:$C$50,2,FALSE)</f>
        <v>600021</v>
      </c>
      <c r="L1611">
        <v>-1</v>
      </c>
    </row>
    <row r="1612" spans="1:12">
      <c r="A1612">
        <v>116</v>
      </c>
      <c r="B1612" t="s">
        <v>4810</v>
      </c>
      <c r="C1612" s="96">
        <v>211143</v>
      </c>
      <c r="D1612" t="s">
        <v>4811</v>
      </c>
      <c r="E1612" s="96" t="s">
        <v>1467</v>
      </c>
      <c r="H1612" t="s">
        <v>361</v>
      </c>
      <c r="I1612">
        <f>VLOOKUP(H1612,Listas!$B$2:$C$20,2,FALSE)</f>
        <v>500001</v>
      </c>
      <c r="J1612" t="s">
        <v>1688</v>
      </c>
      <c r="K1612">
        <f>VLOOKUP(J1612,Listas!$B$21:$C$50,2,FALSE)</f>
        <v>600021</v>
      </c>
      <c r="L1612">
        <v>-1</v>
      </c>
    </row>
    <row r="1613" spans="1:12">
      <c r="A1613">
        <v>116</v>
      </c>
      <c r="B1613" t="s">
        <v>4812</v>
      </c>
      <c r="C1613" s="96">
        <v>211144</v>
      </c>
      <c r="D1613" t="s">
        <v>4813</v>
      </c>
      <c r="E1613" s="96" t="s">
        <v>1467</v>
      </c>
      <c r="H1613" t="s">
        <v>361</v>
      </c>
      <c r="I1613">
        <f>VLOOKUP(H1613,Listas!$B$2:$C$20,2,FALSE)</f>
        <v>500001</v>
      </c>
      <c r="J1613" t="s">
        <v>1688</v>
      </c>
      <c r="K1613">
        <f>VLOOKUP(J1613,Listas!$B$21:$C$50,2,FALSE)</f>
        <v>600021</v>
      </c>
      <c r="L1613">
        <v>-1</v>
      </c>
    </row>
    <row r="1614" spans="1:12">
      <c r="A1614">
        <v>116</v>
      </c>
      <c r="B1614" t="s">
        <v>916</v>
      </c>
      <c r="C1614" s="96">
        <v>211145</v>
      </c>
      <c r="D1614" t="s">
        <v>917</v>
      </c>
      <c r="E1614" s="96" t="s">
        <v>1467</v>
      </c>
      <c r="H1614" t="s">
        <v>361</v>
      </c>
      <c r="I1614">
        <f>VLOOKUP(H1614,Listas!$B$2:$C$20,2,FALSE)</f>
        <v>500001</v>
      </c>
      <c r="J1614" t="s">
        <v>1688</v>
      </c>
      <c r="K1614">
        <f>VLOOKUP(J1614,Listas!$B$21:$C$50,2,FALSE)</f>
        <v>600021</v>
      </c>
      <c r="L1614">
        <v>-1</v>
      </c>
    </row>
    <row r="1615" spans="1:12">
      <c r="A1615">
        <v>116</v>
      </c>
      <c r="B1615" t="s">
        <v>4814</v>
      </c>
      <c r="C1615" s="96">
        <v>211146</v>
      </c>
      <c r="D1615" t="s">
        <v>4815</v>
      </c>
      <c r="E1615" s="96" t="s">
        <v>1467</v>
      </c>
      <c r="H1615" t="s">
        <v>361</v>
      </c>
      <c r="I1615">
        <f>VLOOKUP(H1615,Listas!$B$2:$C$20,2,FALSE)</f>
        <v>500001</v>
      </c>
      <c r="J1615" t="s">
        <v>1688</v>
      </c>
      <c r="K1615">
        <f>VLOOKUP(J1615,Listas!$B$21:$C$50,2,FALSE)</f>
        <v>600021</v>
      </c>
      <c r="L1615">
        <v>-1</v>
      </c>
    </row>
    <row r="1616" spans="1:12">
      <c r="A1616">
        <v>116</v>
      </c>
      <c r="B1616" t="s">
        <v>4816</v>
      </c>
      <c r="C1616" s="96">
        <v>211147</v>
      </c>
      <c r="D1616" t="s">
        <v>4817</v>
      </c>
      <c r="E1616" s="96" t="s">
        <v>1467</v>
      </c>
      <c r="H1616" t="s">
        <v>361</v>
      </c>
      <c r="I1616">
        <f>VLOOKUP(H1616,Listas!$B$2:$C$20,2,FALSE)</f>
        <v>500001</v>
      </c>
      <c r="J1616" t="s">
        <v>1688</v>
      </c>
      <c r="K1616">
        <f>VLOOKUP(J1616,Listas!$B$21:$C$50,2,FALSE)</f>
        <v>600021</v>
      </c>
      <c r="L1616">
        <v>-1</v>
      </c>
    </row>
    <row r="1617" spans="1:12">
      <c r="A1617">
        <v>116</v>
      </c>
      <c r="B1617" t="s">
        <v>4818</v>
      </c>
      <c r="C1617" s="96">
        <v>211148</v>
      </c>
      <c r="D1617" t="s">
        <v>4819</v>
      </c>
      <c r="E1617" s="96" t="s">
        <v>1467</v>
      </c>
      <c r="H1617" t="s">
        <v>361</v>
      </c>
      <c r="I1617">
        <f>VLOOKUP(H1617,Listas!$B$2:$C$20,2,FALSE)</f>
        <v>500001</v>
      </c>
      <c r="J1617" t="s">
        <v>1688</v>
      </c>
      <c r="K1617">
        <f>VLOOKUP(J1617,Listas!$B$21:$C$50,2,FALSE)</f>
        <v>600021</v>
      </c>
      <c r="L1617">
        <v>-1</v>
      </c>
    </row>
    <row r="1618" spans="1:12" s="336" customFormat="1">
      <c r="A1618" s="336">
        <v>116</v>
      </c>
      <c r="B1618" s="336" t="s">
        <v>918</v>
      </c>
      <c r="C1618" s="336">
        <v>21115</v>
      </c>
      <c r="D1618" s="336" t="s">
        <v>907</v>
      </c>
      <c r="E1618" s="337" t="s">
        <v>1462</v>
      </c>
    </row>
    <row r="1619" spans="1:12">
      <c r="A1619">
        <v>116</v>
      </c>
      <c r="B1619" t="s">
        <v>919</v>
      </c>
      <c r="C1619" s="96">
        <v>211151</v>
      </c>
      <c r="D1619" t="s">
        <v>920</v>
      </c>
      <c r="E1619" s="96" t="s">
        <v>1467</v>
      </c>
      <c r="H1619" t="s">
        <v>361</v>
      </c>
      <c r="I1619">
        <f>VLOOKUP(H1619,Listas!$B$2:$C$20,2,FALSE)</f>
        <v>500001</v>
      </c>
      <c r="J1619" t="s">
        <v>81</v>
      </c>
      <c r="K1619">
        <f>VLOOKUP(J1619,Listas!$B$21:$C$53,2,FALSE)</f>
        <v>600032</v>
      </c>
      <c r="L1619">
        <v>-1</v>
      </c>
    </row>
    <row r="1620" spans="1:12" s="336" customFormat="1">
      <c r="A1620" s="336">
        <v>116</v>
      </c>
      <c r="B1620" s="336" t="s">
        <v>84</v>
      </c>
      <c r="C1620" s="336">
        <v>21116</v>
      </c>
      <c r="D1620" s="336" t="s">
        <v>181</v>
      </c>
      <c r="E1620" s="337" t="s">
        <v>1462</v>
      </c>
    </row>
    <row r="1621" spans="1:12">
      <c r="A1621">
        <v>116</v>
      </c>
      <c r="B1621" t="s">
        <v>4820</v>
      </c>
      <c r="C1621" s="96">
        <v>211161</v>
      </c>
      <c r="D1621" t="s">
        <v>1677</v>
      </c>
      <c r="E1621" s="96" t="s">
        <v>1467</v>
      </c>
      <c r="H1621" t="s">
        <v>361</v>
      </c>
      <c r="I1621">
        <f>VLOOKUP(H1621,Listas!$B$2:$C$20,2,FALSE)</f>
        <v>500001</v>
      </c>
      <c r="J1621" t="s">
        <v>164</v>
      </c>
      <c r="K1621">
        <f>VLOOKUP(J1621,Listas!$B$21:$C$50,2,FALSE)</f>
        <v>600026</v>
      </c>
      <c r="L1621">
        <v>-1</v>
      </c>
    </row>
    <row r="1622" spans="1:12">
      <c r="A1622">
        <v>116</v>
      </c>
      <c r="B1622" t="s">
        <v>4821</v>
      </c>
      <c r="C1622" s="96">
        <v>211162</v>
      </c>
      <c r="D1622" t="s">
        <v>4822</v>
      </c>
      <c r="E1622" s="96" t="s">
        <v>1467</v>
      </c>
      <c r="H1622" t="s">
        <v>361</v>
      </c>
      <c r="I1622">
        <f>VLOOKUP(H1622,Listas!$B$2:$C$20,2,FALSE)</f>
        <v>500001</v>
      </c>
      <c r="J1622" t="s">
        <v>137</v>
      </c>
      <c r="K1622">
        <f>VLOOKUP(J1622,Listas!$B$21:$C$50,2,FALSE)</f>
        <v>600007</v>
      </c>
      <c r="L1622">
        <v>-1</v>
      </c>
    </row>
    <row r="1623" spans="1:12" s="336" customFormat="1">
      <c r="A1623" s="336">
        <v>116</v>
      </c>
      <c r="B1623" s="336" t="s">
        <v>4823</v>
      </c>
      <c r="C1623" s="336">
        <v>21198</v>
      </c>
      <c r="D1623" s="336" t="s">
        <v>4824</v>
      </c>
      <c r="E1623" s="337" t="s">
        <v>1462</v>
      </c>
    </row>
    <row r="1624" spans="1:12" s="336" customFormat="1">
      <c r="A1624" s="336">
        <v>116</v>
      </c>
      <c r="B1624" s="336" t="s">
        <v>4825</v>
      </c>
      <c r="C1624" s="336">
        <v>21199</v>
      </c>
      <c r="D1624" s="336" t="s">
        <v>4826</v>
      </c>
      <c r="E1624" s="337" t="s">
        <v>1462</v>
      </c>
    </row>
    <row r="1625" spans="1:12">
      <c r="A1625">
        <v>116</v>
      </c>
      <c r="B1625" t="s">
        <v>4827</v>
      </c>
      <c r="C1625" s="96">
        <v>211991</v>
      </c>
      <c r="D1625" t="s">
        <v>4828</v>
      </c>
      <c r="E1625" s="96" t="s">
        <v>1467</v>
      </c>
      <c r="H1625" t="s">
        <v>361</v>
      </c>
      <c r="I1625">
        <f>VLOOKUP(H1625,Listas!$B$2:$C$20,2,FALSE)</f>
        <v>500001</v>
      </c>
      <c r="J1625" t="s">
        <v>1688</v>
      </c>
      <c r="K1625">
        <f>VLOOKUP(J1625,Listas!$B$21:$C$50,2,FALSE)</f>
        <v>600021</v>
      </c>
      <c r="L1625">
        <v>-1</v>
      </c>
    </row>
    <row r="1626" spans="1:12">
      <c r="A1626">
        <v>116</v>
      </c>
      <c r="B1626" t="s">
        <v>4829</v>
      </c>
      <c r="C1626" s="96">
        <v>211992</v>
      </c>
      <c r="D1626" t="s">
        <v>4830</v>
      </c>
      <c r="E1626" s="96" t="s">
        <v>1467</v>
      </c>
      <c r="H1626" t="s">
        <v>361</v>
      </c>
      <c r="I1626">
        <f>VLOOKUP(H1626,Listas!$B$2:$C$20,2,FALSE)</f>
        <v>500001</v>
      </c>
      <c r="J1626" t="s">
        <v>1688</v>
      </c>
      <c r="K1626">
        <f>VLOOKUP(J1626,Listas!$B$21:$C$50,2,FALSE)</f>
        <v>600021</v>
      </c>
      <c r="L1626">
        <v>-1</v>
      </c>
    </row>
    <row r="1627" spans="1:12">
      <c r="A1627">
        <v>116</v>
      </c>
      <c r="B1627" t="s">
        <v>4831</v>
      </c>
      <c r="C1627" s="96">
        <v>211993</v>
      </c>
      <c r="D1627" t="s">
        <v>4832</v>
      </c>
      <c r="E1627" s="96" t="s">
        <v>1467</v>
      </c>
      <c r="H1627" t="s">
        <v>361</v>
      </c>
      <c r="I1627">
        <f>VLOOKUP(H1627,Listas!$B$2:$C$20,2,FALSE)</f>
        <v>500001</v>
      </c>
      <c r="J1627" t="s">
        <v>1688</v>
      </c>
      <c r="K1627">
        <f>VLOOKUP(J1627,Listas!$B$21:$C$50,2,FALSE)</f>
        <v>600021</v>
      </c>
      <c r="L1627">
        <v>-1</v>
      </c>
    </row>
    <row r="1628" spans="1:12">
      <c r="A1628">
        <v>116</v>
      </c>
      <c r="B1628" t="s">
        <v>4833</v>
      </c>
      <c r="C1628" s="96">
        <v>211994</v>
      </c>
      <c r="D1628" t="s">
        <v>4834</v>
      </c>
      <c r="E1628" s="96" t="s">
        <v>1467</v>
      </c>
      <c r="H1628" t="s">
        <v>361</v>
      </c>
      <c r="I1628">
        <f>VLOOKUP(H1628,Listas!$B$2:$C$20,2,FALSE)</f>
        <v>500001</v>
      </c>
      <c r="J1628" t="s">
        <v>1688</v>
      </c>
      <c r="K1628">
        <f>VLOOKUP(J1628,Listas!$B$21:$C$50,2,FALSE)</f>
        <v>600021</v>
      </c>
      <c r="L1628">
        <v>-1</v>
      </c>
    </row>
    <row r="1629" spans="1:12">
      <c r="A1629">
        <v>116</v>
      </c>
      <c r="B1629" t="s">
        <v>4835</v>
      </c>
      <c r="C1629" s="96">
        <v>211995</v>
      </c>
      <c r="D1629" t="s">
        <v>4836</v>
      </c>
      <c r="E1629" s="96" t="s">
        <v>1467</v>
      </c>
      <c r="H1629" t="s">
        <v>361</v>
      </c>
      <c r="I1629">
        <f>VLOOKUP(H1629,Listas!$B$2:$C$20,2,FALSE)</f>
        <v>500001</v>
      </c>
      <c r="J1629" t="s">
        <v>1688</v>
      </c>
      <c r="K1629">
        <f>VLOOKUP(J1629,Listas!$B$21:$C$50,2,FALSE)</f>
        <v>600021</v>
      </c>
      <c r="L1629">
        <v>-1</v>
      </c>
    </row>
    <row r="1630" spans="1:12">
      <c r="A1630">
        <v>116</v>
      </c>
      <c r="B1630" t="s">
        <v>4837</v>
      </c>
      <c r="C1630" s="96">
        <v>21199998</v>
      </c>
      <c r="D1630" t="s">
        <v>4838</v>
      </c>
      <c r="E1630" s="96" t="s">
        <v>1467</v>
      </c>
      <c r="H1630" t="s">
        <v>361</v>
      </c>
      <c r="I1630">
        <f>VLOOKUP(H1630,Listas!$B$2:$C$20,2,FALSE)</f>
        <v>500001</v>
      </c>
      <c r="J1630" t="s">
        <v>1688</v>
      </c>
      <c r="K1630">
        <f>VLOOKUP(J1630,Listas!$B$21:$C$50,2,FALSE)</f>
        <v>600021</v>
      </c>
      <c r="L1630">
        <v>-1</v>
      </c>
    </row>
    <row r="1631" spans="1:12">
      <c r="A1631">
        <v>116</v>
      </c>
      <c r="B1631" t="s">
        <v>4839</v>
      </c>
      <c r="C1631" s="96">
        <v>21199999</v>
      </c>
      <c r="D1631" t="s">
        <v>4840</v>
      </c>
      <c r="E1631" s="96" t="s">
        <v>1467</v>
      </c>
      <c r="H1631" t="s">
        <v>361</v>
      </c>
      <c r="I1631">
        <f>VLOOKUP(H1631,Listas!$B$2:$C$20,2,FALSE)</f>
        <v>500001</v>
      </c>
      <c r="J1631" t="s">
        <v>1688</v>
      </c>
      <c r="K1631">
        <f>VLOOKUP(J1631,Listas!$B$21:$C$50,2,FALSE)</f>
        <v>600021</v>
      </c>
      <c r="L1631">
        <v>-1</v>
      </c>
    </row>
    <row r="1632" spans="1:12" s="336" customFormat="1">
      <c r="A1632" s="336">
        <v>116</v>
      </c>
      <c r="B1632" s="336" t="s">
        <v>4841</v>
      </c>
      <c r="C1632" s="336">
        <v>212</v>
      </c>
      <c r="D1632" s="336" t="s">
        <v>4842</v>
      </c>
      <c r="E1632" s="337" t="s">
        <v>1462</v>
      </c>
    </row>
    <row r="1633" spans="1:12" s="336" customFormat="1">
      <c r="A1633" s="336">
        <v>116</v>
      </c>
      <c r="B1633" s="336" t="s">
        <v>921</v>
      </c>
      <c r="C1633" s="336">
        <v>22</v>
      </c>
      <c r="D1633" s="336" t="s">
        <v>369</v>
      </c>
      <c r="E1633" s="337" t="s">
        <v>1462</v>
      </c>
    </row>
    <row r="1634" spans="1:12" s="336" customFormat="1">
      <c r="A1634" s="336">
        <v>116</v>
      </c>
      <c r="B1634" s="336" t="s">
        <v>922</v>
      </c>
      <c r="C1634" s="336">
        <v>221</v>
      </c>
      <c r="D1634" s="336" t="s">
        <v>923</v>
      </c>
      <c r="E1634" s="337" t="s">
        <v>1462</v>
      </c>
    </row>
    <row r="1635" spans="1:12" s="336" customFormat="1">
      <c r="A1635" s="336">
        <v>116</v>
      </c>
      <c r="B1635" s="336" t="s">
        <v>4843</v>
      </c>
      <c r="C1635" s="336">
        <v>2211</v>
      </c>
      <c r="D1635" s="336" t="s">
        <v>1685</v>
      </c>
      <c r="E1635" s="337" t="s">
        <v>1462</v>
      </c>
    </row>
    <row r="1636" spans="1:12">
      <c r="A1636">
        <v>116</v>
      </c>
      <c r="B1636" t="s">
        <v>4844</v>
      </c>
      <c r="C1636" s="96">
        <v>22111</v>
      </c>
      <c r="D1636" t="s">
        <v>1687</v>
      </c>
      <c r="E1636" s="96" t="s">
        <v>1467</v>
      </c>
      <c r="H1636" t="s">
        <v>361</v>
      </c>
      <c r="I1636">
        <f>VLOOKUP(H1636,Listas!$B$2:$C$20,2,FALSE)</f>
        <v>500001</v>
      </c>
      <c r="J1636" t="s">
        <v>1688</v>
      </c>
      <c r="K1636">
        <f>VLOOKUP(J1636,Listas!$B$21:$C$50,2,FALSE)</f>
        <v>600021</v>
      </c>
      <c r="L1636">
        <v>-1</v>
      </c>
    </row>
    <row r="1637" spans="1:12">
      <c r="A1637">
        <v>116</v>
      </c>
      <c r="B1637" t="s">
        <v>4845</v>
      </c>
      <c r="C1637" s="96">
        <v>22112</v>
      </c>
      <c r="D1637" t="s">
        <v>1690</v>
      </c>
      <c r="E1637" s="96" t="s">
        <v>1467</v>
      </c>
      <c r="H1637" t="s">
        <v>361</v>
      </c>
      <c r="I1637">
        <f>VLOOKUP(H1637,Listas!$B$2:$C$20,2,FALSE)</f>
        <v>500001</v>
      </c>
      <c r="J1637" t="s">
        <v>1688</v>
      </c>
      <c r="K1637">
        <f>VLOOKUP(J1637,Listas!$B$21:$C$50,2,FALSE)</f>
        <v>600021</v>
      </c>
      <c r="L1637">
        <v>-1</v>
      </c>
    </row>
    <row r="1638" spans="1:12" s="336" customFormat="1">
      <c r="A1638" s="336">
        <v>116</v>
      </c>
      <c r="B1638" s="336" t="s">
        <v>4846</v>
      </c>
      <c r="C1638" s="336">
        <v>2212</v>
      </c>
      <c r="D1638" s="336" t="s">
        <v>1685</v>
      </c>
      <c r="E1638" s="337" t="s">
        <v>1462</v>
      </c>
    </row>
    <row r="1639" spans="1:12">
      <c r="A1639">
        <v>116</v>
      </c>
      <c r="B1639" t="s">
        <v>4847</v>
      </c>
      <c r="C1639" s="96">
        <v>22121</v>
      </c>
      <c r="D1639" t="s">
        <v>1695</v>
      </c>
      <c r="E1639" s="96" t="s">
        <v>1467</v>
      </c>
      <c r="H1639" t="s">
        <v>361</v>
      </c>
      <c r="I1639">
        <f>VLOOKUP(H1639,Listas!$B$2:$C$20,2,FALSE)</f>
        <v>500001</v>
      </c>
      <c r="J1639" t="s">
        <v>1688</v>
      </c>
      <c r="K1639">
        <f>VLOOKUP(J1639,Listas!$B$21:$C$50,2,FALSE)</f>
        <v>600021</v>
      </c>
      <c r="L1639">
        <v>-1</v>
      </c>
    </row>
    <row r="1640" spans="1:12">
      <c r="A1640">
        <v>116</v>
      </c>
      <c r="B1640" t="s">
        <v>4848</v>
      </c>
      <c r="C1640" s="96">
        <v>22122</v>
      </c>
      <c r="D1640" t="s">
        <v>1697</v>
      </c>
      <c r="E1640" s="96" t="s">
        <v>1467</v>
      </c>
      <c r="H1640" t="s">
        <v>361</v>
      </c>
      <c r="I1640">
        <f>VLOOKUP(H1640,Listas!$B$2:$C$20,2,FALSE)</f>
        <v>500001</v>
      </c>
      <c r="J1640" t="s">
        <v>1688</v>
      </c>
      <c r="K1640">
        <f>VLOOKUP(J1640,Listas!$B$21:$C$50,2,FALSE)</f>
        <v>600021</v>
      </c>
      <c r="L1640">
        <v>-1</v>
      </c>
    </row>
    <row r="1641" spans="1:12" s="336" customFormat="1">
      <c r="A1641" s="336">
        <v>116</v>
      </c>
      <c r="B1641" s="336" t="s">
        <v>4849</v>
      </c>
      <c r="C1641" s="336">
        <v>2213</v>
      </c>
      <c r="D1641" s="336" t="s">
        <v>1693</v>
      </c>
      <c r="E1641" s="337" t="s">
        <v>1462</v>
      </c>
    </row>
    <row r="1642" spans="1:12" s="336" customFormat="1">
      <c r="A1642" s="336">
        <v>116</v>
      </c>
      <c r="B1642" s="336" t="s">
        <v>85</v>
      </c>
      <c r="C1642" s="336">
        <v>2215</v>
      </c>
      <c r="D1642" s="336" t="s">
        <v>924</v>
      </c>
      <c r="E1642" s="337" t="s">
        <v>1462</v>
      </c>
    </row>
    <row r="1643" spans="1:12">
      <c r="A1643">
        <v>116</v>
      </c>
      <c r="B1643" t="s">
        <v>925</v>
      </c>
      <c r="C1643" s="96">
        <v>22151</v>
      </c>
      <c r="D1643" t="s">
        <v>926</v>
      </c>
      <c r="E1643" s="96" t="s">
        <v>1467</v>
      </c>
      <c r="H1643" t="s">
        <v>361</v>
      </c>
      <c r="I1643">
        <f>VLOOKUP(H1643,Listas!$B$2:$C$20,2,FALSE)</f>
        <v>500001</v>
      </c>
      <c r="J1643" t="s">
        <v>139</v>
      </c>
      <c r="K1643">
        <f>VLOOKUP(J1643,Listas!$B$21:$C$50,2,FALSE)</f>
        <v>600008</v>
      </c>
      <c r="L1643">
        <v>-1</v>
      </c>
    </row>
    <row r="1644" spans="1:12">
      <c r="A1644">
        <v>116</v>
      </c>
      <c r="B1644" t="s">
        <v>927</v>
      </c>
      <c r="C1644" s="96">
        <v>22152</v>
      </c>
      <c r="D1644" t="s">
        <v>928</v>
      </c>
      <c r="E1644" s="96" t="s">
        <v>1467</v>
      </c>
      <c r="H1644" t="s">
        <v>361</v>
      </c>
      <c r="I1644">
        <f>VLOOKUP(H1644,Listas!$B$2:$C$20,2,FALSE)</f>
        <v>500001</v>
      </c>
      <c r="J1644" t="s">
        <v>139</v>
      </c>
      <c r="K1644">
        <f>VLOOKUP(J1644,Listas!$B$21:$C$50,2,FALSE)</f>
        <v>600008</v>
      </c>
      <c r="L1644">
        <v>-1</v>
      </c>
    </row>
    <row r="1645" spans="1:12">
      <c r="A1645">
        <v>116</v>
      </c>
      <c r="B1645" t="s">
        <v>929</v>
      </c>
      <c r="C1645" s="96">
        <v>22153</v>
      </c>
      <c r="D1645" t="s">
        <v>930</v>
      </c>
      <c r="E1645" s="96" t="s">
        <v>1467</v>
      </c>
      <c r="H1645" t="s">
        <v>361</v>
      </c>
      <c r="I1645">
        <f>VLOOKUP(H1645,Listas!$B$2:$C$20,2,FALSE)</f>
        <v>500001</v>
      </c>
      <c r="J1645" t="s">
        <v>139</v>
      </c>
      <c r="K1645">
        <f>VLOOKUP(J1645,Listas!$B$21:$C$50,2,FALSE)</f>
        <v>600008</v>
      </c>
      <c r="L1645">
        <v>-1</v>
      </c>
    </row>
    <row r="1646" spans="1:12">
      <c r="A1646">
        <v>116</v>
      </c>
      <c r="B1646" t="s">
        <v>4850</v>
      </c>
      <c r="C1646" s="96">
        <v>22154</v>
      </c>
      <c r="D1646" t="s">
        <v>4851</v>
      </c>
      <c r="E1646" s="96" t="s">
        <v>1467</v>
      </c>
      <c r="H1646" t="s">
        <v>361</v>
      </c>
      <c r="I1646">
        <f>VLOOKUP(H1646,Listas!$B$2:$C$20,2,FALSE)</f>
        <v>500001</v>
      </c>
      <c r="J1646" t="s">
        <v>139</v>
      </c>
      <c r="K1646">
        <f>VLOOKUP(J1646,Listas!$B$21:$C$50,2,FALSE)</f>
        <v>600008</v>
      </c>
      <c r="L1646">
        <v>-1</v>
      </c>
    </row>
    <row r="1647" spans="1:12" s="336" customFormat="1">
      <c r="A1647" s="336">
        <v>116</v>
      </c>
      <c r="B1647" s="336" t="s">
        <v>4852</v>
      </c>
      <c r="C1647" s="336">
        <v>2216</v>
      </c>
      <c r="D1647" s="336" t="s">
        <v>907</v>
      </c>
      <c r="E1647" s="337" t="s">
        <v>1462</v>
      </c>
    </row>
    <row r="1648" spans="1:12">
      <c r="A1648">
        <v>116</v>
      </c>
      <c r="B1648" t="s">
        <v>4853</v>
      </c>
      <c r="C1648" s="96">
        <v>22161</v>
      </c>
      <c r="D1648" t="s">
        <v>920</v>
      </c>
      <c r="E1648" s="96" t="s">
        <v>1467</v>
      </c>
      <c r="H1648" t="s">
        <v>361</v>
      </c>
      <c r="I1648">
        <f>VLOOKUP(H1648,Listas!$B$2:$C$20,2,FALSE)</f>
        <v>500001</v>
      </c>
      <c r="J1648" t="s">
        <v>1688</v>
      </c>
      <c r="K1648">
        <f>VLOOKUP(J1648,Listas!$B$21:$C$50,2,FALSE)</f>
        <v>600021</v>
      </c>
      <c r="L1648">
        <v>-1</v>
      </c>
    </row>
    <row r="1649" spans="1:12" s="336" customFormat="1">
      <c r="A1649" s="336">
        <v>116</v>
      </c>
      <c r="B1649" s="336" t="s">
        <v>4854</v>
      </c>
      <c r="C1649" s="336">
        <v>2217</v>
      </c>
      <c r="D1649" s="336" t="s">
        <v>949</v>
      </c>
      <c r="E1649" s="337" t="s">
        <v>1462</v>
      </c>
    </row>
    <row r="1650" spans="1:12">
      <c r="A1650">
        <v>116</v>
      </c>
      <c r="B1650" t="s">
        <v>4855</v>
      </c>
      <c r="C1650" s="96">
        <v>22171</v>
      </c>
      <c r="D1650" t="s">
        <v>949</v>
      </c>
      <c r="E1650" s="96" t="s">
        <v>1467</v>
      </c>
      <c r="H1650" t="s">
        <v>361</v>
      </c>
      <c r="I1650">
        <f>VLOOKUP(H1650,Listas!$B$2:$C$20,2,FALSE)</f>
        <v>500001</v>
      </c>
      <c r="J1650" t="s">
        <v>166</v>
      </c>
      <c r="K1650">
        <f>VLOOKUP(J1650,Listas!$B$21:$C$50,2,FALSE)</f>
        <v>600028</v>
      </c>
      <c r="L1650">
        <v>-1</v>
      </c>
    </row>
    <row r="1651" spans="1:12" s="336" customFormat="1">
      <c r="A1651" s="336">
        <v>116</v>
      </c>
      <c r="B1651" s="336" t="s">
        <v>86</v>
      </c>
      <c r="C1651" s="336">
        <v>2218</v>
      </c>
      <c r="D1651" s="336" t="s">
        <v>181</v>
      </c>
      <c r="E1651" s="337" t="s">
        <v>1462</v>
      </c>
    </row>
    <row r="1652" spans="1:12">
      <c r="A1652">
        <v>116</v>
      </c>
      <c r="B1652" t="s">
        <v>4856</v>
      </c>
      <c r="C1652" s="96">
        <v>22181</v>
      </c>
      <c r="D1652" t="s">
        <v>1677</v>
      </c>
      <c r="E1652" s="96" t="s">
        <v>1467</v>
      </c>
      <c r="H1652" t="s">
        <v>361</v>
      </c>
      <c r="I1652">
        <f>VLOOKUP(H1652,Listas!$B$2:$C$20,2,FALSE)</f>
        <v>500001</v>
      </c>
      <c r="J1652" t="s">
        <v>164</v>
      </c>
      <c r="K1652">
        <f>VLOOKUP(J1652,Listas!$B$21:$C$50,2,FALSE)</f>
        <v>600026</v>
      </c>
      <c r="L1652">
        <v>-1</v>
      </c>
    </row>
    <row r="1653" spans="1:12">
      <c r="A1653">
        <v>116</v>
      </c>
      <c r="B1653" t="s">
        <v>4857</v>
      </c>
      <c r="C1653" s="96">
        <v>22182</v>
      </c>
      <c r="D1653" t="s">
        <v>4858</v>
      </c>
      <c r="E1653" s="96" t="s">
        <v>1467</v>
      </c>
      <c r="H1653" t="s">
        <v>361</v>
      </c>
      <c r="I1653">
        <f>VLOOKUP(H1653,Listas!$B$2:$C$20,2,FALSE)</f>
        <v>500001</v>
      </c>
      <c r="J1653" t="s">
        <v>137</v>
      </c>
      <c r="K1653">
        <f>VLOOKUP(J1653,Listas!$B$21:$C$50,2,FALSE)</f>
        <v>600007</v>
      </c>
      <c r="L1653">
        <v>-1</v>
      </c>
    </row>
    <row r="1654" spans="1:12" s="336" customFormat="1">
      <c r="A1654" s="336">
        <v>116</v>
      </c>
      <c r="B1654" s="336" t="s">
        <v>4859</v>
      </c>
      <c r="C1654" s="336">
        <v>22198</v>
      </c>
      <c r="D1654" s="336" t="s">
        <v>4824</v>
      </c>
      <c r="E1654" s="337" t="s">
        <v>1462</v>
      </c>
    </row>
    <row r="1655" spans="1:12" s="336" customFormat="1">
      <c r="A1655" s="336">
        <v>116</v>
      </c>
      <c r="B1655" s="336" t="s">
        <v>4860</v>
      </c>
      <c r="C1655" s="336">
        <v>22199</v>
      </c>
      <c r="D1655" s="336" t="s">
        <v>4861</v>
      </c>
      <c r="E1655" s="337" t="s">
        <v>1462</v>
      </c>
    </row>
    <row r="1656" spans="1:12">
      <c r="A1656">
        <v>116</v>
      </c>
      <c r="B1656" t="s">
        <v>4862</v>
      </c>
      <c r="C1656" s="96">
        <v>221991</v>
      </c>
      <c r="D1656" t="s">
        <v>1516</v>
      </c>
      <c r="E1656" s="96" t="s">
        <v>1467</v>
      </c>
      <c r="H1656" t="s">
        <v>361</v>
      </c>
      <c r="I1656">
        <f>VLOOKUP(H1656,Listas!$B$2:$C$20,2,FALSE)</f>
        <v>500001</v>
      </c>
      <c r="J1656" t="s">
        <v>149</v>
      </c>
      <c r="K1656">
        <f>VLOOKUP(J1656,Listas!$B$21:$C$52,2,FALSE)</f>
        <v>600018</v>
      </c>
      <c r="L1656">
        <v>-1</v>
      </c>
    </row>
    <row r="1657" spans="1:12">
      <c r="A1657">
        <v>116</v>
      </c>
      <c r="B1657" t="s">
        <v>4863</v>
      </c>
      <c r="C1657" s="96">
        <v>221992</v>
      </c>
      <c r="D1657" t="s">
        <v>4864</v>
      </c>
      <c r="E1657" s="96" t="s">
        <v>1467</v>
      </c>
      <c r="H1657" t="s">
        <v>361</v>
      </c>
      <c r="I1657">
        <f>VLOOKUP(H1657,Listas!$B$2:$C$20,2,FALSE)</f>
        <v>500001</v>
      </c>
      <c r="J1657" t="s">
        <v>149</v>
      </c>
      <c r="K1657">
        <f>VLOOKUP(J1657,Listas!$B$21:$C$52,2,FALSE)</f>
        <v>600018</v>
      </c>
      <c r="L1657">
        <v>-1</v>
      </c>
    </row>
    <row r="1658" spans="1:12" s="336" customFormat="1">
      <c r="A1658" s="336">
        <v>116</v>
      </c>
      <c r="B1658" s="336" t="s">
        <v>4865</v>
      </c>
      <c r="C1658" s="336">
        <v>23</v>
      </c>
      <c r="D1658" s="336" t="s">
        <v>4866</v>
      </c>
      <c r="E1658" s="337" t="s">
        <v>1462</v>
      </c>
    </row>
    <row r="1659" spans="1:12" s="336" customFormat="1">
      <c r="A1659" s="336">
        <v>116</v>
      </c>
      <c r="B1659" s="336" t="s">
        <v>931</v>
      </c>
      <c r="C1659" s="336" t="s">
        <v>932</v>
      </c>
      <c r="D1659" s="336" t="s">
        <v>371</v>
      </c>
      <c r="E1659" s="337" t="s">
        <v>1462</v>
      </c>
    </row>
    <row r="1660" spans="1:12" s="336" customFormat="1">
      <c r="A1660" s="336">
        <v>116</v>
      </c>
      <c r="B1660" s="336" t="s">
        <v>89</v>
      </c>
      <c r="C1660" s="336">
        <v>241</v>
      </c>
      <c r="D1660" s="336" t="s">
        <v>88</v>
      </c>
      <c r="E1660" s="337" t="s">
        <v>1462</v>
      </c>
    </row>
    <row r="1661" spans="1:12" s="336" customFormat="1">
      <c r="A1661" s="336">
        <v>116</v>
      </c>
      <c r="B1661" s="336" t="s">
        <v>933</v>
      </c>
      <c r="C1661" s="336">
        <v>2411</v>
      </c>
      <c r="D1661" s="336" t="s">
        <v>934</v>
      </c>
      <c r="E1661" s="337" t="s">
        <v>1462</v>
      </c>
    </row>
    <row r="1662" spans="1:12">
      <c r="A1662">
        <v>116</v>
      </c>
      <c r="B1662" t="s">
        <v>935</v>
      </c>
      <c r="C1662" s="96">
        <v>24111</v>
      </c>
      <c r="D1662" t="s">
        <v>934</v>
      </c>
      <c r="E1662" s="96" t="s">
        <v>1467</v>
      </c>
      <c r="H1662" t="s">
        <v>361</v>
      </c>
      <c r="I1662">
        <f>VLOOKUP(H1662,Listas!$B$2:$C$20,2,FALSE)</f>
        <v>500001</v>
      </c>
      <c r="J1662" t="s">
        <v>166</v>
      </c>
      <c r="K1662">
        <f>VLOOKUP(J1662,Listas!$B$21:$C$50,2,FALSE)</f>
        <v>600028</v>
      </c>
      <c r="L1662">
        <v>-1</v>
      </c>
    </row>
    <row r="1663" spans="1:12" s="336" customFormat="1">
      <c r="A1663" s="336">
        <v>116</v>
      </c>
      <c r="B1663" s="336" t="s">
        <v>4867</v>
      </c>
      <c r="C1663" s="336">
        <v>2412</v>
      </c>
      <c r="D1663" s="336" t="s">
        <v>4868</v>
      </c>
      <c r="E1663" s="337" t="s">
        <v>1462</v>
      </c>
    </row>
    <row r="1664" spans="1:12">
      <c r="A1664">
        <v>116</v>
      </c>
      <c r="B1664" t="s">
        <v>4869</v>
      </c>
      <c r="C1664" s="96">
        <v>24121</v>
      </c>
      <c r="D1664" t="s">
        <v>4868</v>
      </c>
      <c r="E1664" s="96" t="s">
        <v>1467</v>
      </c>
      <c r="H1664" t="s">
        <v>361</v>
      </c>
      <c r="I1664">
        <f>VLOOKUP(H1664,Listas!$B$2:$C$20,2,FALSE)</f>
        <v>500001</v>
      </c>
      <c r="J1664" t="s">
        <v>166</v>
      </c>
      <c r="K1664">
        <f>VLOOKUP(J1664,Listas!$B$21:$C$50,2,FALSE)</f>
        <v>600028</v>
      </c>
      <c r="L1664">
        <v>-1</v>
      </c>
    </row>
    <row r="1665" spans="1:12" s="336" customFormat="1">
      <c r="A1665" s="336">
        <v>116</v>
      </c>
      <c r="B1665" s="336" t="s">
        <v>4870</v>
      </c>
      <c r="C1665" s="336">
        <v>242</v>
      </c>
      <c r="D1665" s="336" t="s">
        <v>4871</v>
      </c>
      <c r="E1665" s="337" t="s">
        <v>1462</v>
      </c>
    </row>
    <row r="1666" spans="1:12" s="336" customFormat="1">
      <c r="A1666" s="336">
        <v>116</v>
      </c>
      <c r="B1666" s="336" t="s">
        <v>4872</v>
      </c>
      <c r="C1666" s="336">
        <v>2421</v>
      </c>
      <c r="D1666" s="336" t="s">
        <v>4873</v>
      </c>
      <c r="E1666" s="337" t="s">
        <v>1462</v>
      </c>
    </row>
    <row r="1667" spans="1:12">
      <c r="A1667">
        <v>116</v>
      </c>
      <c r="B1667" t="s">
        <v>4874</v>
      </c>
      <c r="C1667" s="96">
        <v>24211</v>
      </c>
      <c r="D1667" t="s">
        <v>4873</v>
      </c>
      <c r="E1667" s="96" t="s">
        <v>1467</v>
      </c>
      <c r="H1667" t="s">
        <v>361</v>
      </c>
      <c r="I1667">
        <f>VLOOKUP(H1667,Listas!$B$2:$C$20,2,FALSE)</f>
        <v>500001</v>
      </c>
      <c r="J1667" t="s">
        <v>1688</v>
      </c>
      <c r="K1667">
        <f>VLOOKUP(J1667,Listas!$B$21:$C$50,2,FALSE)</f>
        <v>600021</v>
      </c>
      <c r="L1667">
        <v>-1</v>
      </c>
    </row>
    <row r="1668" spans="1:12" s="336" customFormat="1">
      <c r="A1668" s="336">
        <v>116</v>
      </c>
      <c r="B1668" s="336" t="s">
        <v>4875</v>
      </c>
      <c r="C1668" s="336">
        <v>2422</v>
      </c>
      <c r="D1668" s="336" t="s">
        <v>4876</v>
      </c>
      <c r="E1668" s="337" t="s">
        <v>1462</v>
      </c>
    </row>
    <row r="1669" spans="1:12" s="336" customFormat="1">
      <c r="A1669" s="336">
        <v>116</v>
      </c>
      <c r="B1669" s="336" t="s">
        <v>4877</v>
      </c>
      <c r="C1669" s="336">
        <v>2423</v>
      </c>
      <c r="D1669" s="336" t="s">
        <v>4878</v>
      </c>
      <c r="E1669" s="337" t="s">
        <v>1462</v>
      </c>
    </row>
    <row r="1670" spans="1:12" s="336" customFormat="1">
      <c r="A1670" s="336">
        <v>116</v>
      </c>
      <c r="B1670" s="336" t="s">
        <v>4879</v>
      </c>
      <c r="C1670" s="336">
        <v>2424</v>
      </c>
      <c r="D1670" s="336" t="s">
        <v>4880</v>
      </c>
      <c r="E1670" s="337" t="s">
        <v>1462</v>
      </c>
    </row>
    <row r="1671" spans="1:12">
      <c r="A1671">
        <v>116</v>
      </c>
      <c r="B1671" t="s">
        <v>4881</v>
      </c>
      <c r="C1671" s="96">
        <v>24241</v>
      </c>
      <c r="D1671" t="s">
        <v>4880</v>
      </c>
      <c r="E1671" s="96" t="s">
        <v>1467</v>
      </c>
      <c r="H1671" t="s">
        <v>361</v>
      </c>
      <c r="I1671">
        <f>VLOOKUP(H1671,Listas!$B$2:$C$20,2,FALSE)</f>
        <v>500001</v>
      </c>
      <c r="J1671" t="s">
        <v>1688</v>
      </c>
      <c r="K1671">
        <f>VLOOKUP(J1671,Listas!$B$21:$C$50,2,FALSE)</f>
        <v>600021</v>
      </c>
      <c r="L1671">
        <v>-1</v>
      </c>
    </row>
    <row r="1672" spans="1:12" s="336" customFormat="1">
      <c r="A1672" s="336">
        <v>116</v>
      </c>
      <c r="B1672" s="336" t="s">
        <v>4882</v>
      </c>
      <c r="C1672" s="336">
        <v>2425</v>
      </c>
      <c r="D1672" s="336" t="s">
        <v>4883</v>
      </c>
      <c r="E1672" s="337" t="s">
        <v>1462</v>
      </c>
    </row>
    <row r="1673" spans="1:12">
      <c r="A1673">
        <v>116</v>
      </c>
      <c r="B1673" t="s">
        <v>4884</v>
      </c>
      <c r="C1673" s="96">
        <v>24251</v>
      </c>
      <c r="D1673" t="s">
        <v>4883</v>
      </c>
      <c r="E1673" s="96" t="s">
        <v>1467</v>
      </c>
      <c r="H1673" t="s">
        <v>361</v>
      </c>
      <c r="I1673">
        <f>VLOOKUP(H1673,Listas!$B$2:$C$20,2,FALSE)</f>
        <v>500001</v>
      </c>
      <c r="J1673" t="s">
        <v>1688</v>
      </c>
      <c r="K1673">
        <f>VLOOKUP(J1673,Listas!$B$21:$C$50,2,FALSE)</f>
        <v>600021</v>
      </c>
      <c r="L1673">
        <v>-1</v>
      </c>
    </row>
    <row r="1674" spans="1:12" s="336" customFormat="1">
      <c r="A1674" s="336">
        <v>116</v>
      </c>
      <c r="B1674" s="336" t="s">
        <v>4885</v>
      </c>
      <c r="C1674" s="336">
        <v>2427</v>
      </c>
      <c r="D1674" s="336" t="s">
        <v>4886</v>
      </c>
      <c r="E1674" s="337" t="s">
        <v>1462</v>
      </c>
    </row>
    <row r="1675" spans="1:12">
      <c r="A1675">
        <v>116</v>
      </c>
      <c r="B1675" t="s">
        <v>4887</v>
      </c>
      <c r="C1675" s="96">
        <v>24271</v>
      </c>
      <c r="D1675" t="s">
        <v>4886</v>
      </c>
      <c r="E1675" s="96" t="s">
        <v>1467</v>
      </c>
      <c r="H1675" t="s">
        <v>361</v>
      </c>
      <c r="I1675">
        <f>VLOOKUP(H1675,Listas!$B$2:$C$20,2,FALSE)</f>
        <v>500001</v>
      </c>
      <c r="J1675" t="s">
        <v>1688</v>
      </c>
      <c r="K1675">
        <f>VLOOKUP(J1675,Listas!$B$21:$C$50,2,FALSE)</f>
        <v>600021</v>
      </c>
      <c r="L1675">
        <v>-1</v>
      </c>
    </row>
    <row r="1676" spans="1:12" s="336" customFormat="1">
      <c r="A1676" s="336">
        <v>116</v>
      </c>
      <c r="B1676" s="336" t="s">
        <v>936</v>
      </c>
      <c r="C1676" s="336">
        <v>243</v>
      </c>
      <c r="D1676" s="336" t="s">
        <v>937</v>
      </c>
      <c r="E1676" s="337" t="s">
        <v>1462</v>
      </c>
    </row>
    <row r="1677" spans="1:12" s="336" customFormat="1">
      <c r="A1677" s="336">
        <v>116</v>
      </c>
      <c r="B1677" s="336" t="s">
        <v>938</v>
      </c>
      <c r="C1677" s="336">
        <v>2431</v>
      </c>
      <c r="D1677" s="336" t="s">
        <v>939</v>
      </c>
      <c r="E1677" s="337" t="s">
        <v>1462</v>
      </c>
    </row>
    <row r="1678" spans="1:12">
      <c r="A1678">
        <v>116</v>
      </c>
      <c r="B1678" t="s">
        <v>940</v>
      </c>
      <c r="C1678" s="96">
        <v>24311</v>
      </c>
      <c r="D1678" t="s">
        <v>941</v>
      </c>
      <c r="E1678" s="96" t="s">
        <v>1467</v>
      </c>
      <c r="H1678" t="s">
        <v>361</v>
      </c>
      <c r="I1678">
        <f>VLOOKUP(H1678,Listas!$B$2:$C$20,2,FALSE)</f>
        <v>500001</v>
      </c>
      <c r="J1678" t="s">
        <v>1688</v>
      </c>
      <c r="K1678">
        <f>VLOOKUP(J1678,Listas!$B$21:$C$50,2,FALSE)</f>
        <v>600021</v>
      </c>
      <c r="L1678">
        <v>-1</v>
      </c>
    </row>
    <row r="1679" spans="1:12" s="336" customFormat="1">
      <c r="A1679" s="336">
        <v>116</v>
      </c>
      <c r="B1679" s="336" t="s">
        <v>4888</v>
      </c>
      <c r="C1679" s="336">
        <v>244</v>
      </c>
      <c r="D1679" s="336" t="s">
        <v>4889</v>
      </c>
      <c r="E1679" s="337" t="s">
        <v>1462</v>
      </c>
    </row>
    <row r="1680" spans="1:12" s="336" customFormat="1">
      <c r="A1680" s="336">
        <v>116</v>
      </c>
      <c r="B1680" s="336" t="s">
        <v>4890</v>
      </c>
      <c r="C1680" s="336">
        <v>2441</v>
      </c>
      <c r="D1680" s="336" t="s">
        <v>4891</v>
      </c>
      <c r="E1680" s="337" t="s">
        <v>1462</v>
      </c>
    </row>
    <row r="1681" spans="1:12" s="336" customFormat="1">
      <c r="A1681" s="336">
        <v>116</v>
      </c>
      <c r="B1681" s="336" t="s">
        <v>4892</v>
      </c>
      <c r="C1681" s="336">
        <v>245</v>
      </c>
      <c r="D1681" s="336" t="s">
        <v>4893</v>
      </c>
      <c r="E1681" s="337" t="s">
        <v>1462</v>
      </c>
    </row>
    <row r="1682" spans="1:12" s="336" customFormat="1">
      <c r="A1682" s="336">
        <v>116</v>
      </c>
      <c r="B1682" s="336" t="s">
        <v>94</v>
      </c>
      <c r="C1682" s="336">
        <v>246</v>
      </c>
      <c r="D1682" s="336" t="s">
        <v>942</v>
      </c>
      <c r="E1682" s="337" t="s">
        <v>1462</v>
      </c>
    </row>
    <row r="1683" spans="1:12" s="336" customFormat="1">
      <c r="A1683" s="336">
        <v>116</v>
      </c>
      <c r="B1683" s="336" t="s">
        <v>4894</v>
      </c>
      <c r="C1683" s="336">
        <v>24601</v>
      </c>
      <c r="D1683" s="336" t="s">
        <v>4895</v>
      </c>
      <c r="E1683" s="337" t="s">
        <v>1462</v>
      </c>
    </row>
    <row r="1684" spans="1:12">
      <c r="A1684">
        <v>116</v>
      </c>
      <c r="B1684" t="s">
        <v>4896</v>
      </c>
      <c r="C1684" s="96">
        <v>24611</v>
      </c>
      <c r="D1684" t="s">
        <v>4895</v>
      </c>
      <c r="E1684" s="96" t="s">
        <v>1467</v>
      </c>
      <c r="H1684" t="s">
        <v>361</v>
      </c>
      <c r="I1684">
        <f>VLOOKUP(H1684,Listas!$B$2:$C$20,2,FALSE)</f>
        <v>500001</v>
      </c>
      <c r="J1684" t="s">
        <v>121</v>
      </c>
      <c r="K1684">
        <f>VLOOKUP(J1684,Listas!$B$21:$C$50,2,FALSE)</f>
        <v>600002</v>
      </c>
      <c r="L1684">
        <v>-1</v>
      </c>
    </row>
    <row r="1685" spans="1:12">
      <c r="A1685">
        <v>116</v>
      </c>
      <c r="B1685" t="s">
        <v>4897</v>
      </c>
      <c r="C1685" s="96">
        <v>24612</v>
      </c>
      <c r="D1685" t="s">
        <v>4898</v>
      </c>
      <c r="E1685" s="96" t="s">
        <v>1467</v>
      </c>
      <c r="H1685" t="s">
        <v>361</v>
      </c>
      <c r="I1685">
        <f>VLOOKUP(H1685,Listas!$B$2:$C$20,2,FALSE)</f>
        <v>500001</v>
      </c>
      <c r="J1685" t="s">
        <v>121</v>
      </c>
      <c r="K1685">
        <f>VLOOKUP(J1685,Listas!$B$21:$C$50,2,FALSE)</f>
        <v>600002</v>
      </c>
      <c r="L1685">
        <v>-1</v>
      </c>
    </row>
    <row r="1686" spans="1:12">
      <c r="A1686">
        <v>116</v>
      </c>
      <c r="B1686" t="s">
        <v>4899</v>
      </c>
      <c r="C1686" s="96">
        <v>24613</v>
      </c>
      <c r="D1686" t="s">
        <v>4900</v>
      </c>
      <c r="E1686" s="96" t="s">
        <v>1467</v>
      </c>
      <c r="H1686" t="s">
        <v>361</v>
      </c>
      <c r="I1686">
        <f>VLOOKUP(H1686,Listas!$B$2:$C$20,2,FALSE)</f>
        <v>500001</v>
      </c>
      <c r="J1686" t="s">
        <v>121</v>
      </c>
      <c r="K1686">
        <f>VLOOKUP(J1686,Listas!$B$21:$C$50,2,FALSE)</f>
        <v>600002</v>
      </c>
      <c r="L1686">
        <v>-1</v>
      </c>
    </row>
    <row r="1687" spans="1:12" s="336" customFormat="1">
      <c r="A1687" s="336">
        <v>116</v>
      </c>
      <c r="B1687" s="336" t="s">
        <v>943</v>
      </c>
      <c r="C1687" s="336">
        <v>2462</v>
      </c>
      <c r="D1687" s="336" t="s">
        <v>944</v>
      </c>
      <c r="E1687" s="337" t="s">
        <v>1462</v>
      </c>
    </row>
    <row r="1688" spans="1:12">
      <c r="A1688">
        <v>116</v>
      </c>
      <c r="B1688" t="s">
        <v>4901</v>
      </c>
      <c r="C1688" s="96">
        <v>24621</v>
      </c>
      <c r="D1688" t="s">
        <v>4902</v>
      </c>
      <c r="E1688" s="96" t="s">
        <v>1467</v>
      </c>
      <c r="H1688" t="s">
        <v>361</v>
      </c>
      <c r="I1688">
        <f>VLOOKUP(H1688,Listas!$B$2:$C$20,2,FALSE)</f>
        <v>500001</v>
      </c>
      <c r="J1688" t="s">
        <v>121</v>
      </c>
      <c r="K1688">
        <f>VLOOKUP(J1688,Listas!$B$21:$C$50,2,FALSE)</f>
        <v>600002</v>
      </c>
      <c r="L1688">
        <v>-1</v>
      </c>
    </row>
    <row r="1689" spans="1:12">
      <c r="A1689">
        <v>116</v>
      </c>
      <c r="B1689" t="s">
        <v>945</v>
      </c>
      <c r="C1689" s="96">
        <v>24622</v>
      </c>
      <c r="D1689" t="s">
        <v>946</v>
      </c>
      <c r="E1689" s="96" t="s">
        <v>1467</v>
      </c>
      <c r="H1689" t="s">
        <v>361</v>
      </c>
      <c r="I1689">
        <f>VLOOKUP(H1689,Listas!$B$2:$C$20,2,FALSE)</f>
        <v>500001</v>
      </c>
      <c r="J1689" t="s">
        <v>121</v>
      </c>
      <c r="K1689">
        <f>VLOOKUP(J1689,Listas!$B$21:$C$50,2,FALSE)</f>
        <v>600002</v>
      </c>
      <c r="L1689">
        <v>-1</v>
      </c>
    </row>
    <row r="1690" spans="1:12">
      <c r="A1690">
        <v>116</v>
      </c>
      <c r="B1690" t="s">
        <v>4903</v>
      </c>
      <c r="C1690" s="96">
        <v>24623</v>
      </c>
      <c r="D1690" t="s">
        <v>4904</v>
      </c>
      <c r="E1690" s="96" t="s">
        <v>1467</v>
      </c>
      <c r="H1690" t="s">
        <v>361</v>
      </c>
      <c r="I1690">
        <f>VLOOKUP(H1690,Listas!$B$2:$C$20,2,FALSE)</f>
        <v>500001</v>
      </c>
      <c r="J1690" t="s">
        <v>121</v>
      </c>
      <c r="K1690">
        <f>VLOOKUP(J1690,Listas!$B$21:$C$50,2,FALSE)</f>
        <v>600002</v>
      </c>
      <c r="L1690">
        <v>-1</v>
      </c>
    </row>
    <row r="1691" spans="1:12">
      <c r="A1691">
        <v>116</v>
      </c>
      <c r="B1691" t="s">
        <v>4905</v>
      </c>
      <c r="C1691" s="96">
        <v>24624</v>
      </c>
      <c r="D1691" t="s">
        <v>4906</v>
      </c>
      <c r="E1691" s="96" t="s">
        <v>1467</v>
      </c>
      <c r="H1691" t="s">
        <v>361</v>
      </c>
      <c r="I1691">
        <f>VLOOKUP(H1691,Listas!$B$2:$C$20,2,FALSE)</f>
        <v>500001</v>
      </c>
      <c r="J1691" t="s">
        <v>120</v>
      </c>
      <c r="K1691">
        <f>VLOOKUP(J1691,Listas!$B$21:$C$50,2,FALSE)</f>
        <v>600004</v>
      </c>
      <c r="L1691">
        <v>-1</v>
      </c>
    </row>
    <row r="1692" spans="1:12" s="336" customFormat="1">
      <c r="A1692" s="336">
        <v>116</v>
      </c>
      <c r="B1692" s="336" t="s">
        <v>4907</v>
      </c>
      <c r="C1692" s="336">
        <v>2463</v>
      </c>
      <c r="D1692" s="336" t="s">
        <v>4908</v>
      </c>
      <c r="E1692" s="337" t="s">
        <v>1462</v>
      </c>
    </row>
    <row r="1693" spans="1:12">
      <c r="A1693">
        <v>116</v>
      </c>
      <c r="B1693" t="s">
        <v>4909</v>
      </c>
      <c r="C1693" s="96">
        <v>24631</v>
      </c>
      <c r="D1693" t="s">
        <v>4910</v>
      </c>
      <c r="E1693" s="96" t="s">
        <v>1467</v>
      </c>
      <c r="H1693" t="s">
        <v>361</v>
      </c>
      <c r="I1693">
        <f>VLOOKUP(H1693,Listas!$B$2:$C$20,2,FALSE)</f>
        <v>500001</v>
      </c>
      <c r="J1693" t="s">
        <v>120</v>
      </c>
      <c r="K1693">
        <f>VLOOKUP(J1693,Listas!$B$21:$C$50,2,FALSE)</f>
        <v>600004</v>
      </c>
      <c r="L1693">
        <v>-1</v>
      </c>
    </row>
    <row r="1694" spans="1:12">
      <c r="A1694">
        <v>116</v>
      </c>
      <c r="B1694" t="s">
        <v>4911</v>
      </c>
      <c r="C1694" s="96">
        <v>24632</v>
      </c>
      <c r="D1694" t="s">
        <v>4912</v>
      </c>
      <c r="E1694" s="96" t="s">
        <v>1467</v>
      </c>
      <c r="H1694" t="s">
        <v>361</v>
      </c>
      <c r="I1694">
        <f>VLOOKUP(H1694,Listas!$B$2:$C$20,2,FALSE)</f>
        <v>500001</v>
      </c>
      <c r="J1694" t="s">
        <v>120</v>
      </c>
      <c r="K1694">
        <f>VLOOKUP(J1694,Listas!$B$21:$C$50,2,FALSE)</f>
        <v>600004</v>
      </c>
      <c r="L1694">
        <v>-1</v>
      </c>
    </row>
    <row r="1695" spans="1:12" s="336" customFormat="1">
      <c r="A1695" s="336">
        <v>116</v>
      </c>
      <c r="B1695" s="336" t="s">
        <v>947</v>
      </c>
      <c r="C1695" s="336">
        <v>24699</v>
      </c>
      <c r="D1695" s="336" t="s">
        <v>121</v>
      </c>
      <c r="E1695" s="337" t="s">
        <v>1462</v>
      </c>
    </row>
    <row r="1696" spans="1:12">
      <c r="A1696">
        <v>116</v>
      </c>
      <c r="B1696" t="s">
        <v>948</v>
      </c>
      <c r="C1696" s="96">
        <v>246991</v>
      </c>
      <c r="D1696" t="s">
        <v>121</v>
      </c>
      <c r="E1696" s="96" t="s">
        <v>1467</v>
      </c>
      <c r="H1696" t="s">
        <v>361</v>
      </c>
      <c r="I1696">
        <f>VLOOKUP(H1696,Listas!$B$2:$C$20,2,FALSE)</f>
        <v>500001</v>
      </c>
      <c r="J1696" t="s">
        <v>121</v>
      </c>
      <c r="K1696">
        <f>VLOOKUP(J1696,Listas!$B$21:$C$50,2,FALSE)</f>
        <v>600002</v>
      </c>
      <c r="L1696">
        <v>-1</v>
      </c>
    </row>
    <row r="1697" spans="1:12" s="336" customFormat="1">
      <c r="A1697" s="336">
        <v>116</v>
      </c>
      <c r="B1697" s="336" t="s">
        <v>92</v>
      </c>
      <c r="C1697" s="336">
        <v>247</v>
      </c>
      <c r="D1697" s="336" t="s">
        <v>949</v>
      </c>
      <c r="E1697" s="337" t="s">
        <v>1462</v>
      </c>
    </row>
    <row r="1698" spans="1:12" s="336" customFormat="1">
      <c r="A1698" s="336">
        <v>116</v>
      </c>
      <c r="B1698" s="336" t="s">
        <v>950</v>
      </c>
      <c r="C1698" s="336">
        <v>2471</v>
      </c>
      <c r="D1698" s="336" t="s">
        <v>949</v>
      </c>
      <c r="E1698" s="337" t="s">
        <v>1462</v>
      </c>
    </row>
    <row r="1699" spans="1:12">
      <c r="A1699">
        <v>116</v>
      </c>
      <c r="B1699" t="s">
        <v>951</v>
      </c>
      <c r="C1699" s="96">
        <v>24711</v>
      </c>
      <c r="D1699" t="s">
        <v>949</v>
      </c>
      <c r="E1699" s="96" t="s">
        <v>1467</v>
      </c>
      <c r="H1699" t="s">
        <v>361</v>
      </c>
      <c r="I1699">
        <f>VLOOKUP(H1699,Listas!$B$2:$C$20,2,FALSE)</f>
        <v>500001</v>
      </c>
      <c r="J1699" t="s">
        <v>166</v>
      </c>
      <c r="K1699">
        <f>VLOOKUP(J1699,Listas!$B$21:$C$50,2,FALSE)</f>
        <v>600028</v>
      </c>
      <c r="L1699">
        <v>-1</v>
      </c>
    </row>
    <row r="1700" spans="1:12" s="336" customFormat="1">
      <c r="A1700" s="336">
        <v>116</v>
      </c>
      <c r="B1700" s="336" t="s">
        <v>4913</v>
      </c>
      <c r="C1700" s="336">
        <v>248</v>
      </c>
      <c r="D1700" s="336" t="s">
        <v>4908</v>
      </c>
      <c r="E1700" s="337" t="s">
        <v>1462</v>
      </c>
    </row>
    <row r="1701" spans="1:12" s="336" customFormat="1">
      <c r="A1701" s="336">
        <v>116</v>
      </c>
      <c r="B1701" s="336" t="s">
        <v>4914</v>
      </c>
      <c r="C1701" s="336">
        <v>2481</v>
      </c>
      <c r="D1701" s="336" t="s">
        <v>4915</v>
      </c>
      <c r="E1701" s="337" t="s">
        <v>1462</v>
      </c>
    </row>
    <row r="1702" spans="1:12" s="336" customFormat="1">
      <c r="A1702" s="336">
        <v>116</v>
      </c>
      <c r="B1702" s="336" t="s">
        <v>4916</v>
      </c>
      <c r="C1702" s="336">
        <v>249</v>
      </c>
      <c r="D1702" s="336" t="s">
        <v>4917</v>
      </c>
      <c r="E1702" s="337" t="s">
        <v>1462</v>
      </c>
    </row>
    <row r="1703" spans="1:12" s="336" customFormat="1">
      <c r="A1703" s="336">
        <v>116</v>
      </c>
      <c r="B1703" s="336" t="s">
        <v>4918</v>
      </c>
      <c r="C1703" s="336">
        <v>2491</v>
      </c>
      <c r="D1703" s="336" t="s">
        <v>4917</v>
      </c>
      <c r="E1703" s="337" t="s">
        <v>1462</v>
      </c>
    </row>
    <row r="1704" spans="1:12" s="336" customFormat="1">
      <c r="A1704" s="336">
        <v>116</v>
      </c>
      <c r="B1704" s="336">
        <v>3</v>
      </c>
      <c r="C1704" s="336">
        <v>3</v>
      </c>
      <c r="D1704" s="336" t="s">
        <v>184</v>
      </c>
      <c r="E1704" s="337" t="s">
        <v>1462</v>
      </c>
    </row>
    <row r="1705" spans="1:12" s="336" customFormat="1">
      <c r="A1705" s="336">
        <v>116</v>
      </c>
      <c r="B1705" s="336" t="s">
        <v>952</v>
      </c>
      <c r="C1705" s="336">
        <v>31</v>
      </c>
      <c r="D1705" s="336" t="s">
        <v>185</v>
      </c>
      <c r="E1705" s="337" t="s">
        <v>1462</v>
      </c>
    </row>
    <row r="1706" spans="1:12" s="336" customFormat="1">
      <c r="A1706" s="336">
        <v>116</v>
      </c>
      <c r="B1706" s="336" t="s">
        <v>953</v>
      </c>
      <c r="C1706" s="336">
        <v>311</v>
      </c>
      <c r="D1706" s="336" t="s">
        <v>954</v>
      </c>
      <c r="E1706" s="337" t="s">
        <v>1462</v>
      </c>
    </row>
    <row r="1707" spans="1:12" s="336" customFormat="1">
      <c r="A1707" s="336">
        <v>116</v>
      </c>
      <c r="B1707" s="336" t="s">
        <v>30</v>
      </c>
      <c r="C1707" s="336">
        <v>3111</v>
      </c>
      <c r="D1707" s="336" t="s">
        <v>954</v>
      </c>
      <c r="E1707" s="337" t="s">
        <v>1462</v>
      </c>
    </row>
    <row r="1708" spans="1:12">
      <c r="A1708">
        <v>116</v>
      </c>
      <c r="B1708" t="s">
        <v>955</v>
      </c>
      <c r="C1708" s="96">
        <v>31111</v>
      </c>
      <c r="D1708" t="s">
        <v>29</v>
      </c>
      <c r="E1708" s="96" t="s">
        <v>1467</v>
      </c>
      <c r="H1708" t="s">
        <v>185</v>
      </c>
      <c r="I1708">
        <f>VLOOKUP(H1708,Listas!$B$2:$C$20,2,FALSE)</f>
        <v>500002</v>
      </c>
      <c r="J1708" t="s">
        <v>134</v>
      </c>
      <c r="K1708">
        <f>VLOOKUP(J1708,Listas!$B$21:$C$50,2,FALSE)</f>
        <v>600003</v>
      </c>
      <c r="L1708">
        <v>1</v>
      </c>
    </row>
    <row r="1709" spans="1:12" s="336" customFormat="1">
      <c r="A1709" s="336">
        <v>116</v>
      </c>
      <c r="B1709" s="336" t="s">
        <v>4919</v>
      </c>
      <c r="C1709" s="336">
        <v>32</v>
      </c>
      <c r="D1709" s="336" t="s">
        <v>4920</v>
      </c>
      <c r="E1709" s="337" t="s">
        <v>1462</v>
      </c>
    </row>
    <row r="1710" spans="1:12" s="336" customFormat="1">
      <c r="A1710" s="336">
        <v>116</v>
      </c>
      <c r="B1710" s="336" t="s">
        <v>4921</v>
      </c>
      <c r="C1710" s="336">
        <v>321</v>
      </c>
      <c r="D1710" s="336" t="s">
        <v>4922</v>
      </c>
      <c r="E1710" s="337" t="s">
        <v>1462</v>
      </c>
    </row>
    <row r="1711" spans="1:12" s="336" customFormat="1">
      <c r="A1711" s="336">
        <v>116</v>
      </c>
      <c r="B1711" s="336" t="s">
        <v>4923</v>
      </c>
      <c r="C1711" s="336">
        <v>3211</v>
      </c>
      <c r="D1711" s="336" t="s">
        <v>4924</v>
      </c>
      <c r="E1711" s="337" t="s">
        <v>1462</v>
      </c>
    </row>
    <row r="1712" spans="1:12">
      <c r="A1712">
        <v>116</v>
      </c>
      <c r="B1712" t="s">
        <v>4925</v>
      </c>
      <c r="C1712" s="96">
        <v>32111</v>
      </c>
      <c r="D1712" t="s">
        <v>4926</v>
      </c>
      <c r="E1712" s="96" t="s">
        <v>1467</v>
      </c>
      <c r="H1712" t="s">
        <v>186</v>
      </c>
      <c r="I1712">
        <f>VLOOKUP(H1712,Listas!$B$2:$C$20,2,FALSE)</f>
        <v>500003</v>
      </c>
      <c r="J1712" t="s">
        <v>361</v>
      </c>
      <c r="K1712">
        <f>VLOOKUP(J1712,Listas!$B$21:$C$50,2,FALSE)</f>
        <v>600001</v>
      </c>
      <c r="L1712">
        <v>0</v>
      </c>
    </row>
    <row r="1713" spans="1:12" s="336" customFormat="1">
      <c r="A1713" s="336">
        <v>116</v>
      </c>
      <c r="B1713" s="336" t="s">
        <v>4927</v>
      </c>
      <c r="C1713" s="336">
        <v>3212</v>
      </c>
      <c r="D1713" s="336" t="s">
        <v>4928</v>
      </c>
      <c r="E1713" s="337" t="s">
        <v>1462</v>
      </c>
    </row>
    <row r="1714" spans="1:12">
      <c r="A1714">
        <v>116</v>
      </c>
      <c r="B1714" t="s">
        <v>4929</v>
      </c>
      <c r="C1714" s="96">
        <v>32121</v>
      </c>
      <c r="D1714" t="s">
        <v>4930</v>
      </c>
      <c r="E1714" s="96" t="s">
        <v>1467</v>
      </c>
      <c r="H1714" t="s">
        <v>186</v>
      </c>
      <c r="I1714">
        <f>VLOOKUP(H1714,Listas!$B$2:$C$20,2,FALSE)</f>
        <v>500003</v>
      </c>
      <c r="J1714" t="s">
        <v>361</v>
      </c>
      <c r="K1714">
        <f>VLOOKUP(J1714,Listas!$B$21:$C$50,2,FALSE)</f>
        <v>600001</v>
      </c>
      <c r="L1714">
        <v>0</v>
      </c>
    </row>
    <row r="1715" spans="1:12" s="336" customFormat="1">
      <c r="A1715" s="336">
        <v>116</v>
      </c>
      <c r="B1715" s="336" t="s">
        <v>4931</v>
      </c>
      <c r="C1715" s="336">
        <v>3213</v>
      </c>
      <c r="D1715" s="336" t="s">
        <v>4932</v>
      </c>
      <c r="E1715" s="337" t="s">
        <v>1462</v>
      </c>
    </row>
    <row r="1716" spans="1:12">
      <c r="A1716">
        <v>116</v>
      </c>
      <c r="B1716" t="s">
        <v>4933</v>
      </c>
      <c r="C1716" s="96">
        <v>32131</v>
      </c>
      <c r="D1716" t="s">
        <v>4934</v>
      </c>
      <c r="E1716" s="96" t="s">
        <v>1467</v>
      </c>
      <c r="H1716" t="s">
        <v>186</v>
      </c>
      <c r="I1716">
        <f>VLOOKUP(H1716,Listas!$B$2:$C$20,2,FALSE)</f>
        <v>500003</v>
      </c>
      <c r="J1716" t="s">
        <v>361</v>
      </c>
      <c r="K1716">
        <f>VLOOKUP(J1716,Listas!$B$21:$C$50,2,FALSE)</f>
        <v>600001</v>
      </c>
      <c r="L1716">
        <v>0</v>
      </c>
    </row>
    <row r="1717" spans="1:12" s="336" customFormat="1">
      <c r="A1717" s="336">
        <v>116</v>
      </c>
      <c r="B1717" s="336" t="s">
        <v>4935</v>
      </c>
      <c r="C1717" s="336">
        <v>322</v>
      </c>
      <c r="D1717" s="336" t="s">
        <v>4936</v>
      </c>
      <c r="E1717" s="337" t="s">
        <v>1462</v>
      </c>
    </row>
    <row r="1718" spans="1:12" s="336" customFormat="1">
      <c r="A1718" s="336">
        <v>116</v>
      </c>
      <c r="B1718" s="336" t="s">
        <v>4937</v>
      </c>
      <c r="C1718" s="336">
        <v>3221</v>
      </c>
      <c r="D1718" s="336" t="s">
        <v>4938</v>
      </c>
      <c r="E1718" s="337" t="s">
        <v>1462</v>
      </c>
    </row>
    <row r="1719" spans="1:12">
      <c r="A1719">
        <v>116</v>
      </c>
      <c r="B1719" t="s">
        <v>4939</v>
      </c>
      <c r="C1719" s="96">
        <v>32211</v>
      </c>
      <c r="D1719" t="s">
        <v>883</v>
      </c>
      <c r="E1719" s="96" t="s">
        <v>1467</v>
      </c>
      <c r="H1719" t="s">
        <v>204</v>
      </c>
      <c r="I1719">
        <f>VLOOKUP(H1719,Listas!$B$2:$C$20,2,FALSE)</f>
        <v>500014</v>
      </c>
      <c r="J1719" t="s">
        <v>361</v>
      </c>
      <c r="K1719">
        <f>VLOOKUP(J1719,Listas!$B$21:$C$50,2,FALSE)</f>
        <v>600001</v>
      </c>
      <c r="L1719">
        <v>0</v>
      </c>
    </row>
    <row r="1720" spans="1:12">
      <c r="A1720">
        <v>116</v>
      </c>
      <c r="B1720" t="s">
        <v>4940</v>
      </c>
      <c r="C1720" s="96">
        <v>32212</v>
      </c>
      <c r="D1720" t="s">
        <v>4941</v>
      </c>
      <c r="E1720" s="96" t="s">
        <v>1467</v>
      </c>
      <c r="H1720" t="s">
        <v>202</v>
      </c>
      <c r="I1720">
        <f>VLOOKUP(H1720,Listas!$B$2:$C$20,2,FALSE)</f>
        <v>500012</v>
      </c>
      <c r="J1720" t="s">
        <v>361</v>
      </c>
      <c r="K1720">
        <f>VLOOKUP(J1720,Listas!$B$21:$C$50,2,FALSE)</f>
        <v>600001</v>
      </c>
      <c r="L1720">
        <v>0</v>
      </c>
    </row>
    <row r="1721" spans="1:12">
      <c r="A1721">
        <v>116</v>
      </c>
      <c r="B1721" t="s">
        <v>4942</v>
      </c>
      <c r="C1721" s="96">
        <v>32213</v>
      </c>
      <c r="D1721" t="s">
        <v>4596</v>
      </c>
      <c r="E1721" s="96" t="s">
        <v>1467</v>
      </c>
      <c r="H1721" t="s">
        <v>202</v>
      </c>
      <c r="I1721">
        <f>VLOOKUP(H1721,Listas!$B$2:$C$20,2,FALSE)</f>
        <v>500012</v>
      </c>
      <c r="J1721" t="s">
        <v>361</v>
      </c>
      <c r="K1721">
        <f>VLOOKUP(J1721,Listas!$B$21:$C$50,2,FALSE)</f>
        <v>600001</v>
      </c>
      <c r="L1721">
        <v>0</v>
      </c>
    </row>
    <row r="1722" spans="1:12" s="336" customFormat="1">
      <c r="A1722" s="336">
        <v>116</v>
      </c>
      <c r="B1722" s="336" t="s">
        <v>4943</v>
      </c>
      <c r="C1722" s="336">
        <v>3222</v>
      </c>
      <c r="D1722" s="336" t="s">
        <v>4944</v>
      </c>
      <c r="E1722" s="337" t="s">
        <v>1462</v>
      </c>
    </row>
    <row r="1723" spans="1:12" s="336" customFormat="1">
      <c r="A1723" s="336">
        <v>116</v>
      </c>
      <c r="B1723" s="336" t="s">
        <v>4945</v>
      </c>
      <c r="C1723" s="336">
        <v>323</v>
      </c>
      <c r="D1723" s="336" t="s">
        <v>4946</v>
      </c>
      <c r="E1723" s="337" t="s">
        <v>1462</v>
      </c>
    </row>
    <row r="1724" spans="1:12" s="336" customFormat="1">
      <c r="A1724" s="336">
        <v>116</v>
      </c>
      <c r="B1724" s="336" t="s">
        <v>4947</v>
      </c>
      <c r="C1724" s="336">
        <v>32301</v>
      </c>
      <c r="D1724" s="336" t="s">
        <v>1480</v>
      </c>
      <c r="E1724" s="337" t="s">
        <v>1462</v>
      </c>
    </row>
    <row r="1725" spans="1:12">
      <c r="A1725">
        <v>116</v>
      </c>
      <c r="B1725" t="s">
        <v>4948</v>
      </c>
      <c r="C1725" s="96">
        <v>32311</v>
      </c>
      <c r="D1725" t="s">
        <v>4949</v>
      </c>
      <c r="E1725" s="96" t="s">
        <v>1467</v>
      </c>
      <c r="H1725" t="s">
        <v>186</v>
      </c>
      <c r="I1725">
        <f>VLOOKUP(H1725,Listas!$B$2:$C$20,2,FALSE)</f>
        <v>500003</v>
      </c>
      <c r="J1725" t="s">
        <v>361</v>
      </c>
      <c r="K1725">
        <f>VLOOKUP(J1725,Listas!$B$21:$C$50,2,FALSE)</f>
        <v>600001</v>
      </c>
      <c r="L1725">
        <v>0</v>
      </c>
    </row>
    <row r="1726" spans="1:12">
      <c r="A1726">
        <v>116</v>
      </c>
      <c r="B1726" t="s">
        <v>4950</v>
      </c>
      <c r="C1726" s="96">
        <v>32312</v>
      </c>
      <c r="D1726" t="s">
        <v>4951</v>
      </c>
      <c r="E1726" s="96" t="s">
        <v>1467</v>
      </c>
      <c r="H1726" t="s">
        <v>186</v>
      </c>
      <c r="I1726">
        <f>VLOOKUP(H1726,Listas!$B$2:$C$20,2,FALSE)</f>
        <v>500003</v>
      </c>
      <c r="J1726" t="s">
        <v>361</v>
      </c>
      <c r="K1726">
        <f>VLOOKUP(J1726,Listas!$B$21:$C$50,2,FALSE)</f>
        <v>600001</v>
      </c>
      <c r="L1726">
        <v>0</v>
      </c>
    </row>
    <row r="1727" spans="1:12">
      <c r="A1727">
        <v>116</v>
      </c>
      <c r="B1727" t="s">
        <v>4952</v>
      </c>
      <c r="C1727" s="96">
        <v>32313</v>
      </c>
      <c r="D1727" t="s">
        <v>4953</v>
      </c>
      <c r="E1727" s="96" t="s">
        <v>1467</v>
      </c>
      <c r="H1727" t="s">
        <v>186</v>
      </c>
      <c r="I1727">
        <f>VLOOKUP(H1727,Listas!$B$2:$C$20,2,FALSE)</f>
        <v>500003</v>
      </c>
      <c r="J1727" t="s">
        <v>361</v>
      </c>
      <c r="K1727">
        <f>VLOOKUP(J1727,Listas!$B$21:$C$50,2,FALSE)</f>
        <v>600001</v>
      </c>
      <c r="L1727">
        <v>0</v>
      </c>
    </row>
    <row r="1728" spans="1:12" s="336" customFormat="1">
      <c r="A1728" s="336">
        <v>116</v>
      </c>
      <c r="B1728" s="336" t="s">
        <v>956</v>
      </c>
      <c r="C1728" s="336">
        <v>33</v>
      </c>
      <c r="D1728" s="336" t="s">
        <v>957</v>
      </c>
      <c r="E1728" s="337" t="s">
        <v>1462</v>
      </c>
    </row>
    <row r="1729" spans="1:12" s="336" customFormat="1">
      <c r="A1729" s="336">
        <v>116</v>
      </c>
      <c r="B1729" s="336" t="s">
        <v>37</v>
      </c>
      <c r="C1729" s="336">
        <v>331</v>
      </c>
      <c r="D1729" s="336" t="s">
        <v>36</v>
      </c>
      <c r="E1729" s="337" t="s">
        <v>1462</v>
      </c>
    </row>
    <row r="1730" spans="1:12" s="336" customFormat="1">
      <c r="A1730" s="336">
        <v>116</v>
      </c>
      <c r="B1730" s="336" t="s">
        <v>958</v>
      </c>
      <c r="C1730" s="336">
        <v>3311</v>
      </c>
      <c r="D1730" s="336" t="s">
        <v>959</v>
      </c>
      <c r="E1730" s="337" t="s">
        <v>1462</v>
      </c>
    </row>
    <row r="1731" spans="1:12">
      <c r="A1731">
        <v>116</v>
      </c>
      <c r="B1731" t="s">
        <v>4954</v>
      </c>
      <c r="C1731" s="96">
        <v>33111</v>
      </c>
      <c r="D1731" t="s">
        <v>4955</v>
      </c>
      <c r="E1731" s="96" t="s">
        <v>1467</v>
      </c>
      <c r="H1731" t="s">
        <v>36</v>
      </c>
      <c r="I1731">
        <f>VLOOKUP(H1731,Listas!$B$2:$C$20,2,FALSE)</f>
        <v>500006</v>
      </c>
      <c r="J1731" t="s">
        <v>361</v>
      </c>
      <c r="K1731">
        <f>VLOOKUP(J1731,Listas!$B$21:$C$50,2,FALSE)</f>
        <v>600001</v>
      </c>
      <c r="L1731">
        <v>0</v>
      </c>
    </row>
    <row r="1732" spans="1:12">
      <c r="A1732">
        <v>116</v>
      </c>
      <c r="B1732" t="s">
        <v>4956</v>
      </c>
      <c r="C1732" s="96">
        <v>33112</v>
      </c>
      <c r="D1732" t="s">
        <v>4957</v>
      </c>
      <c r="E1732" s="96" t="s">
        <v>1467</v>
      </c>
      <c r="H1732" t="s">
        <v>36</v>
      </c>
      <c r="I1732">
        <f>VLOOKUP(H1732,Listas!$B$2:$C$20,2,FALSE)</f>
        <v>500006</v>
      </c>
      <c r="J1732" t="s">
        <v>361</v>
      </c>
      <c r="K1732">
        <f>VLOOKUP(J1732,Listas!$B$21:$C$50,2,FALSE)</f>
        <v>600001</v>
      </c>
      <c r="L1732">
        <v>0</v>
      </c>
    </row>
    <row r="1733" spans="1:12">
      <c r="A1733">
        <v>116</v>
      </c>
      <c r="B1733" t="s">
        <v>960</v>
      </c>
      <c r="C1733" s="96">
        <v>33113</v>
      </c>
      <c r="D1733" t="s">
        <v>324</v>
      </c>
      <c r="E1733" s="96" t="s">
        <v>1467</v>
      </c>
      <c r="H1733" t="s">
        <v>36</v>
      </c>
      <c r="I1733">
        <f>VLOOKUP(H1733,Listas!$B$2:$C$20,2,FALSE)</f>
        <v>500006</v>
      </c>
      <c r="J1733" t="s">
        <v>361</v>
      </c>
      <c r="K1733">
        <f>VLOOKUP(J1733,Listas!$B$21:$C$50,2,FALSE)</f>
        <v>600001</v>
      </c>
      <c r="L1733">
        <v>0</v>
      </c>
    </row>
    <row r="1734" spans="1:12">
      <c r="A1734">
        <v>116</v>
      </c>
      <c r="B1734" t="s">
        <v>961</v>
      </c>
      <c r="C1734" s="96">
        <v>33114</v>
      </c>
      <c r="D1734" t="s">
        <v>962</v>
      </c>
      <c r="E1734" s="96" t="s">
        <v>1467</v>
      </c>
      <c r="H1734" t="s">
        <v>36</v>
      </c>
      <c r="I1734">
        <f>VLOOKUP(H1734,Listas!$B$2:$C$20,2,FALSE)</f>
        <v>500006</v>
      </c>
      <c r="J1734" t="s">
        <v>361</v>
      </c>
      <c r="K1734">
        <f>VLOOKUP(J1734,Listas!$B$21:$C$50,2,FALSE)</f>
        <v>600001</v>
      </c>
      <c r="L1734">
        <v>0</v>
      </c>
    </row>
    <row r="1735" spans="1:12">
      <c r="A1735">
        <v>116</v>
      </c>
      <c r="B1735" t="s">
        <v>4958</v>
      </c>
      <c r="C1735" s="96">
        <v>33115</v>
      </c>
      <c r="D1735" t="s">
        <v>4959</v>
      </c>
      <c r="E1735" s="96" t="s">
        <v>1467</v>
      </c>
      <c r="H1735" t="s">
        <v>36</v>
      </c>
      <c r="I1735">
        <f>VLOOKUP(H1735,Listas!$B$2:$C$20,2,FALSE)</f>
        <v>500006</v>
      </c>
      <c r="J1735" t="s">
        <v>361</v>
      </c>
      <c r="K1735">
        <f>VLOOKUP(J1735,Listas!$B$21:$C$50,2,FALSE)</f>
        <v>600001</v>
      </c>
      <c r="L1735">
        <v>0</v>
      </c>
    </row>
    <row r="1736" spans="1:12">
      <c r="A1736">
        <v>116</v>
      </c>
      <c r="B1736" t="s">
        <v>4960</v>
      </c>
      <c r="C1736" s="96">
        <v>33116</v>
      </c>
      <c r="D1736" t="s">
        <v>4961</v>
      </c>
      <c r="E1736" s="96" t="s">
        <v>1467</v>
      </c>
      <c r="H1736" t="s">
        <v>36</v>
      </c>
      <c r="I1736">
        <f>VLOOKUP(H1736,Listas!$B$2:$C$20,2,FALSE)</f>
        <v>500006</v>
      </c>
      <c r="J1736" t="s">
        <v>361</v>
      </c>
      <c r="K1736">
        <f>VLOOKUP(J1736,Listas!$B$21:$C$50,2,FALSE)</f>
        <v>600001</v>
      </c>
      <c r="L1736">
        <v>0</v>
      </c>
    </row>
    <row r="1737" spans="1:12">
      <c r="A1737">
        <v>116</v>
      </c>
      <c r="B1737" t="s">
        <v>4962</v>
      </c>
      <c r="C1737" s="96">
        <v>33117</v>
      </c>
      <c r="D1737" t="s">
        <v>4963</v>
      </c>
      <c r="E1737" s="96" t="s">
        <v>1467</v>
      </c>
      <c r="H1737" t="s">
        <v>36</v>
      </c>
      <c r="I1737">
        <f>VLOOKUP(H1737,Listas!$B$2:$C$20,2,FALSE)</f>
        <v>500006</v>
      </c>
      <c r="J1737" t="s">
        <v>361</v>
      </c>
      <c r="K1737">
        <f>VLOOKUP(J1737,Listas!$B$21:$C$50,2,FALSE)</f>
        <v>600001</v>
      </c>
      <c r="L1737">
        <v>0</v>
      </c>
    </row>
    <row r="1738" spans="1:12">
      <c r="A1738">
        <v>116</v>
      </c>
      <c r="B1738" t="s">
        <v>4964</v>
      </c>
      <c r="C1738" s="96">
        <v>3311999</v>
      </c>
      <c r="D1738" t="s">
        <v>4965</v>
      </c>
      <c r="E1738" s="96" t="s">
        <v>1467</v>
      </c>
      <c r="H1738" t="s">
        <v>36</v>
      </c>
      <c r="I1738">
        <f>VLOOKUP(H1738,Listas!$B$2:$C$20,2,FALSE)</f>
        <v>500006</v>
      </c>
      <c r="J1738" t="s">
        <v>361</v>
      </c>
      <c r="K1738">
        <f>VLOOKUP(J1738,Listas!$B$21:$C$50,2,FALSE)</f>
        <v>600001</v>
      </c>
      <c r="L1738">
        <v>0</v>
      </c>
    </row>
    <row r="1739" spans="1:12" s="336" customFormat="1">
      <c r="A1739" s="336">
        <v>116</v>
      </c>
      <c r="B1739" s="336" t="s">
        <v>4966</v>
      </c>
      <c r="C1739" s="336">
        <v>3312</v>
      </c>
      <c r="D1739" s="336" t="s">
        <v>4967</v>
      </c>
      <c r="E1739" s="337" t="s">
        <v>1462</v>
      </c>
    </row>
    <row r="1740" spans="1:12">
      <c r="A1740">
        <v>116</v>
      </c>
      <c r="B1740" t="s">
        <v>4968</v>
      </c>
      <c r="C1740" s="96">
        <v>33121</v>
      </c>
      <c r="D1740" t="s">
        <v>4969</v>
      </c>
      <c r="E1740" s="96" t="s">
        <v>1467</v>
      </c>
      <c r="H1740" t="s">
        <v>36</v>
      </c>
      <c r="I1740">
        <f>VLOOKUP(H1740,Listas!$B$2:$C$20,2,FALSE)</f>
        <v>500006</v>
      </c>
      <c r="J1740" t="s">
        <v>361</v>
      </c>
      <c r="K1740">
        <f>VLOOKUP(J1740,Listas!$B$21:$C$50,2,FALSE)</f>
        <v>600001</v>
      </c>
      <c r="L1740">
        <v>0</v>
      </c>
    </row>
    <row r="1741" spans="1:12">
      <c r="A1741">
        <v>116</v>
      </c>
      <c r="B1741" t="s">
        <v>4970</v>
      </c>
      <c r="C1741" s="96">
        <v>3312999</v>
      </c>
      <c r="D1741" t="s">
        <v>4965</v>
      </c>
      <c r="E1741" s="96" t="s">
        <v>1467</v>
      </c>
      <c r="H1741" t="s">
        <v>36</v>
      </c>
      <c r="I1741">
        <f>VLOOKUP(H1741,Listas!$B$2:$C$20,2,FALSE)</f>
        <v>500006</v>
      </c>
      <c r="J1741" t="s">
        <v>361</v>
      </c>
      <c r="K1741">
        <f>VLOOKUP(J1741,Listas!$B$21:$C$50,2,FALSE)</f>
        <v>600001</v>
      </c>
      <c r="L1741">
        <v>0</v>
      </c>
    </row>
    <row r="1742" spans="1:12" s="336" customFormat="1">
      <c r="A1742" s="336">
        <v>116</v>
      </c>
      <c r="B1742" s="336" t="s">
        <v>4971</v>
      </c>
      <c r="C1742" s="336">
        <v>3313</v>
      </c>
      <c r="D1742" s="336" t="s">
        <v>4972</v>
      </c>
      <c r="E1742" s="337" t="s">
        <v>1462</v>
      </c>
    </row>
    <row r="1743" spans="1:12">
      <c r="A1743">
        <v>116</v>
      </c>
      <c r="B1743" t="s">
        <v>4973</v>
      </c>
      <c r="C1743" s="96">
        <v>33131</v>
      </c>
      <c r="D1743" t="s">
        <v>4974</v>
      </c>
      <c r="E1743" s="96" t="s">
        <v>1467</v>
      </c>
      <c r="H1743" t="s">
        <v>36</v>
      </c>
      <c r="I1743">
        <f>VLOOKUP(H1743,Listas!$B$2:$C$20,2,FALSE)</f>
        <v>500006</v>
      </c>
      <c r="J1743" t="s">
        <v>361</v>
      </c>
      <c r="K1743">
        <f>VLOOKUP(J1743,Listas!$B$21:$C$50,2,FALSE)</f>
        <v>600001</v>
      </c>
      <c r="L1743">
        <v>0</v>
      </c>
    </row>
    <row r="1744" spans="1:12">
      <c r="A1744">
        <v>116</v>
      </c>
      <c r="B1744" t="s">
        <v>4975</v>
      </c>
      <c r="C1744" s="96">
        <v>33132</v>
      </c>
      <c r="D1744" t="s">
        <v>4976</v>
      </c>
      <c r="E1744" s="96" t="s">
        <v>1467</v>
      </c>
      <c r="H1744" t="s">
        <v>36</v>
      </c>
      <c r="I1744">
        <f>VLOOKUP(H1744,Listas!$B$2:$C$20,2,FALSE)</f>
        <v>500006</v>
      </c>
      <c r="J1744" t="s">
        <v>361</v>
      </c>
      <c r="K1744">
        <f>VLOOKUP(J1744,Listas!$B$21:$C$50,2,FALSE)</f>
        <v>600001</v>
      </c>
      <c r="L1744">
        <v>0</v>
      </c>
    </row>
    <row r="1745" spans="1:12" s="336" customFormat="1">
      <c r="A1745" s="336">
        <v>116</v>
      </c>
      <c r="B1745" s="336" t="s">
        <v>4977</v>
      </c>
      <c r="C1745" s="336">
        <v>33105</v>
      </c>
      <c r="D1745" s="336" t="s">
        <v>4978</v>
      </c>
      <c r="E1745" s="337" t="s">
        <v>1462</v>
      </c>
    </row>
    <row r="1746" spans="1:12">
      <c r="A1746">
        <v>116</v>
      </c>
      <c r="B1746" t="s">
        <v>4979</v>
      </c>
      <c r="C1746" s="96">
        <v>33151</v>
      </c>
      <c r="D1746" t="s">
        <v>4980</v>
      </c>
      <c r="E1746" s="96" t="s">
        <v>1467</v>
      </c>
      <c r="H1746" t="s">
        <v>36</v>
      </c>
      <c r="I1746">
        <f>VLOOKUP(H1746,Listas!$B$2:$C$20,2,FALSE)</f>
        <v>500006</v>
      </c>
      <c r="J1746" t="s">
        <v>361</v>
      </c>
      <c r="K1746">
        <f>VLOOKUP(J1746,Listas!$B$21:$C$50,2,FALSE)</f>
        <v>600001</v>
      </c>
      <c r="L1746">
        <v>0</v>
      </c>
    </row>
    <row r="1747" spans="1:12">
      <c r="A1747">
        <v>116</v>
      </c>
      <c r="B1747" t="s">
        <v>4981</v>
      </c>
      <c r="C1747" s="96">
        <v>33152</v>
      </c>
      <c r="D1747" t="s">
        <v>4982</v>
      </c>
      <c r="E1747" s="96" t="s">
        <v>1467</v>
      </c>
      <c r="H1747" t="s">
        <v>36</v>
      </c>
      <c r="I1747">
        <f>VLOOKUP(H1747,Listas!$B$2:$C$20,2,FALSE)</f>
        <v>500006</v>
      </c>
      <c r="J1747" t="s">
        <v>361</v>
      </c>
      <c r="K1747">
        <f>VLOOKUP(J1747,Listas!$B$21:$C$50,2,FALSE)</f>
        <v>600001</v>
      </c>
      <c r="L1747">
        <v>0</v>
      </c>
    </row>
    <row r="1748" spans="1:12">
      <c r="A1748">
        <v>116</v>
      </c>
      <c r="B1748" t="s">
        <v>4983</v>
      </c>
      <c r="C1748" s="96">
        <v>33153</v>
      </c>
      <c r="D1748" t="s">
        <v>4984</v>
      </c>
      <c r="E1748" s="96" t="s">
        <v>1467</v>
      </c>
      <c r="H1748" t="s">
        <v>36</v>
      </c>
      <c r="I1748">
        <f>VLOOKUP(H1748,Listas!$B$2:$C$20,2,FALSE)</f>
        <v>500006</v>
      </c>
      <c r="J1748" t="s">
        <v>361</v>
      </c>
      <c r="K1748">
        <f>VLOOKUP(J1748,Listas!$B$21:$C$50,2,FALSE)</f>
        <v>600001</v>
      </c>
      <c r="L1748">
        <v>0</v>
      </c>
    </row>
    <row r="1749" spans="1:12" s="336" customFormat="1">
      <c r="A1749" s="336">
        <v>116</v>
      </c>
      <c r="B1749" s="336" t="s">
        <v>4985</v>
      </c>
      <c r="C1749" s="336">
        <v>33199</v>
      </c>
      <c r="D1749" s="336" t="s">
        <v>4986</v>
      </c>
      <c r="E1749" s="337" t="s">
        <v>1462</v>
      </c>
    </row>
    <row r="1750" spans="1:12">
      <c r="A1750">
        <v>116</v>
      </c>
      <c r="B1750" t="s">
        <v>4987</v>
      </c>
      <c r="C1750" s="96">
        <v>331999</v>
      </c>
      <c r="D1750" t="s">
        <v>4986</v>
      </c>
      <c r="E1750" s="96" t="s">
        <v>1467</v>
      </c>
      <c r="H1750" t="s">
        <v>36</v>
      </c>
      <c r="I1750">
        <f>VLOOKUP(H1750,Listas!$B$2:$C$20,2,FALSE)</f>
        <v>500006</v>
      </c>
      <c r="J1750" t="s">
        <v>361</v>
      </c>
      <c r="K1750">
        <f>VLOOKUP(J1750,Listas!$B$21:$C$50,2,FALSE)</f>
        <v>600001</v>
      </c>
      <c r="L1750">
        <v>0</v>
      </c>
    </row>
    <row r="1751" spans="1:12" s="336" customFormat="1">
      <c r="A1751" s="336">
        <v>116</v>
      </c>
      <c r="B1751" s="336" t="s">
        <v>963</v>
      </c>
      <c r="C1751" s="336">
        <v>332</v>
      </c>
      <c r="D1751" s="336" t="s">
        <v>964</v>
      </c>
      <c r="E1751" s="337" t="s">
        <v>1462</v>
      </c>
    </row>
    <row r="1752" spans="1:12" s="336" customFormat="1">
      <c r="A1752" s="336">
        <v>116</v>
      </c>
      <c r="B1752" s="336" t="s">
        <v>965</v>
      </c>
      <c r="C1752" s="336">
        <v>3321</v>
      </c>
      <c r="D1752" s="336" t="s">
        <v>193</v>
      </c>
      <c r="E1752" s="337" t="s">
        <v>1462</v>
      </c>
    </row>
    <row r="1753" spans="1:12">
      <c r="A1753">
        <v>116</v>
      </c>
      <c r="B1753" t="s">
        <v>4988</v>
      </c>
      <c r="C1753" s="96">
        <v>33211</v>
      </c>
      <c r="D1753" t="s">
        <v>4989</v>
      </c>
      <c r="E1753" s="96" t="s">
        <v>1467</v>
      </c>
      <c r="H1753" t="s">
        <v>186</v>
      </c>
      <c r="I1753">
        <f>VLOOKUP(H1753,Listas!$B$2:$C$20,2,FALSE)</f>
        <v>500003</v>
      </c>
      <c r="J1753" t="s">
        <v>361</v>
      </c>
      <c r="K1753">
        <f>VLOOKUP(J1753,Listas!$B$21:$C$50,2,FALSE)</f>
        <v>600001</v>
      </c>
      <c r="L1753">
        <v>0</v>
      </c>
    </row>
    <row r="1754" spans="1:12">
      <c r="A1754">
        <v>116</v>
      </c>
      <c r="B1754" t="s">
        <v>966</v>
      </c>
      <c r="C1754" s="96">
        <v>33212</v>
      </c>
      <c r="D1754" t="s">
        <v>967</v>
      </c>
      <c r="E1754" s="96" t="s">
        <v>1467</v>
      </c>
      <c r="H1754" t="s">
        <v>186</v>
      </c>
      <c r="I1754">
        <f>VLOOKUP(H1754,Listas!$B$2:$C$20,2,FALSE)</f>
        <v>500003</v>
      </c>
      <c r="J1754" t="s">
        <v>361</v>
      </c>
      <c r="K1754">
        <f>VLOOKUP(J1754,Listas!$B$21:$C$50,2,FALSE)</f>
        <v>600001</v>
      </c>
      <c r="L1754">
        <v>0</v>
      </c>
    </row>
    <row r="1755" spans="1:12">
      <c r="A1755">
        <v>116</v>
      </c>
      <c r="B1755" t="s">
        <v>968</v>
      </c>
      <c r="C1755" s="96">
        <v>33213</v>
      </c>
      <c r="D1755" t="s">
        <v>969</v>
      </c>
      <c r="E1755" s="96" t="s">
        <v>1467</v>
      </c>
      <c r="H1755" t="s">
        <v>186</v>
      </c>
      <c r="I1755">
        <f>VLOOKUP(H1755,Listas!$B$2:$C$20,2,FALSE)</f>
        <v>500003</v>
      </c>
      <c r="J1755" t="s">
        <v>361</v>
      </c>
      <c r="K1755">
        <f>VLOOKUP(J1755,Listas!$B$21:$C$50,2,FALSE)</f>
        <v>600001</v>
      </c>
      <c r="L1755">
        <v>0</v>
      </c>
    </row>
    <row r="1756" spans="1:12" s="336" customFormat="1">
      <c r="A1756" s="336">
        <v>116</v>
      </c>
      <c r="B1756" s="336" t="s">
        <v>33</v>
      </c>
      <c r="C1756" s="336">
        <v>336</v>
      </c>
      <c r="D1756" s="336" t="s">
        <v>4990</v>
      </c>
      <c r="E1756" s="337" t="s">
        <v>1462</v>
      </c>
    </row>
    <row r="1757" spans="1:12" s="336" customFormat="1">
      <c r="A1757" s="336">
        <v>116</v>
      </c>
      <c r="B1757" s="336" t="s">
        <v>4991</v>
      </c>
      <c r="C1757" s="336">
        <v>3361</v>
      </c>
      <c r="D1757" s="336" t="s">
        <v>4992</v>
      </c>
      <c r="E1757" s="337" t="s">
        <v>1462</v>
      </c>
    </row>
    <row r="1758" spans="1:12">
      <c r="A1758">
        <v>116</v>
      </c>
      <c r="B1758" t="s">
        <v>4993</v>
      </c>
      <c r="C1758" s="96">
        <v>33611</v>
      </c>
      <c r="D1758" t="s">
        <v>4994</v>
      </c>
      <c r="E1758" s="96" t="s">
        <v>1467</v>
      </c>
      <c r="H1758" t="s">
        <v>186</v>
      </c>
      <c r="I1758">
        <f>VLOOKUP(H1758,Listas!$B$2:$C$20,2,FALSE)</f>
        <v>500003</v>
      </c>
      <c r="J1758" t="s">
        <v>361</v>
      </c>
      <c r="K1758">
        <f>VLOOKUP(J1758,Listas!$B$21:$C$50,2,FALSE)</f>
        <v>600001</v>
      </c>
      <c r="L1758">
        <v>0</v>
      </c>
    </row>
    <row r="1759" spans="1:12">
      <c r="A1759">
        <v>116</v>
      </c>
      <c r="B1759" t="s">
        <v>4995</v>
      </c>
      <c r="C1759" s="96">
        <v>33612</v>
      </c>
      <c r="D1759" t="s">
        <v>4996</v>
      </c>
      <c r="E1759" s="96" t="s">
        <v>1467</v>
      </c>
      <c r="H1759" t="s">
        <v>186</v>
      </c>
      <c r="I1759">
        <f>VLOOKUP(H1759,Listas!$B$2:$C$20,2,FALSE)</f>
        <v>500003</v>
      </c>
      <c r="J1759" t="s">
        <v>361</v>
      </c>
      <c r="K1759">
        <f>VLOOKUP(J1759,Listas!$B$21:$C$50,2,FALSE)</f>
        <v>600001</v>
      </c>
      <c r="L1759">
        <v>0</v>
      </c>
    </row>
    <row r="1760" spans="1:12">
      <c r="A1760">
        <v>116</v>
      </c>
      <c r="B1760" t="s">
        <v>4997</v>
      </c>
      <c r="C1760" s="96">
        <v>33613</v>
      </c>
      <c r="D1760" t="s">
        <v>4998</v>
      </c>
      <c r="E1760" s="96" t="s">
        <v>1467</v>
      </c>
      <c r="H1760" t="s">
        <v>186</v>
      </c>
      <c r="I1760">
        <f>VLOOKUP(H1760,Listas!$B$2:$C$20,2,FALSE)</f>
        <v>500003</v>
      </c>
      <c r="J1760" t="s">
        <v>361</v>
      </c>
      <c r="K1760">
        <f>VLOOKUP(J1760,Listas!$B$21:$C$50,2,FALSE)</f>
        <v>600001</v>
      </c>
      <c r="L1760">
        <v>0</v>
      </c>
    </row>
    <row r="1761" spans="1:12">
      <c r="A1761">
        <v>116</v>
      </c>
      <c r="B1761" t="s">
        <v>4999</v>
      </c>
      <c r="C1761" s="96">
        <v>33614</v>
      </c>
      <c r="D1761" t="s">
        <v>5000</v>
      </c>
      <c r="E1761" s="96" t="s">
        <v>1467</v>
      </c>
      <c r="H1761" t="s">
        <v>186</v>
      </c>
      <c r="I1761">
        <f>VLOOKUP(H1761,Listas!$B$2:$C$20,2,FALSE)</f>
        <v>500003</v>
      </c>
      <c r="J1761" t="s">
        <v>361</v>
      </c>
      <c r="K1761">
        <f>VLOOKUP(J1761,Listas!$B$21:$C$50,2,FALSE)</f>
        <v>600001</v>
      </c>
      <c r="L1761">
        <v>0</v>
      </c>
    </row>
    <row r="1762" spans="1:12" s="336" customFormat="1">
      <c r="A1762" s="336">
        <v>116</v>
      </c>
      <c r="B1762" s="336" t="s">
        <v>5001</v>
      </c>
      <c r="C1762" s="336">
        <v>3362</v>
      </c>
      <c r="D1762" s="336" t="s">
        <v>5002</v>
      </c>
      <c r="E1762" s="337" t="s">
        <v>1462</v>
      </c>
    </row>
    <row r="1763" spans="1:12" s="336" customFormat="1">
      <c r="A1763" s="336">
        <v>116</v>
      </c>
      <c r="B1763" s="336" t="s">
        <v>5003</v>
      </c>
      <c r="C1763" s="336">
        <v>339</v>
      </c>
      <c r="D1763" s="336" t="s">
        <v>186</v>
      </c>
      <c r="E1763" s="337" t="s">
        <v>1462</v>
      </c>
    </row>
    <row r="1764" spans="1:12" s="336" customFormat="1">
      <c r="A1764" s="336">
        <v>116</v>
      </c>
      <c r="B1764" s="336" t="s">
        <v>5004</v>
      </c>
      <c r="C1764" s="336">
        <v>3391</v>
      </c>
      <c r="D1764" s="336" t="s">
        <v>5005</v>
      </c>
      <c r="E1764" s="337" t="s">
        <v>1462</v>
      </c>
    </row>
    <row r="1765" spans="1:12">
      <c r="A1765">
        <v>116</v>
      </c>
      <c r="B1765" t="s">
        <v>5006</v>
      </c>
      <c r="C1765" s="96">
        <v>33911</v>
      </c>
      <c r="D1765" t="s">
        <v>5007</v>
      </c>
      <c r="E1765" s="96" t="s">
        <v>1467</v>
      </c>
      <c r="H1765" t="s">
        <v>186</v>
      </c>
      <c r="I1765">
        <f>VLOOKUP(H1765,Listas!$B$2:$C$20,2,FALSE)</f>
        <v>500003</v>
      </c>
      <c r="J1765" t="s">
        <v>361</v>
      </c>
      <c r="K1765">
        <f>VLOOKUP(J1765,Listas!$B$21:$C$50,2,FALSE)</f>
        <v>600001</v>
      </c>
      <c r="L1765">
        <v>0</v>
      </c>
    </row>
    <row r="1766" spans="1:12">
      <c r="A1766">
        <v>116</v>
      </c>
      <c r="B1766" t="s">
        <v>5008</v>
      </c>
      <c r="C1766" s="96">
        <v>33912</v>
      </c>
      <c r="D1766" t="s">
        <v>5009</v>
      </c>
      <c r="E1766" s="96" t="s">
        <v>1467</v>
      </c>
      <c r="H1766" t="s">
        <v>186</v>
      </c>
      <c r="I1766">
        <f>VLOOKUP(H1766,Listas!$B$2:$C$20,2,FALSE)</f>
        <v>500003</v>
      </c>
      <c r="J1766" t="s">
        <v>361</v>
      </c>
      <c r="K1766">
        <f>VLOOKUP(J1766,Listas!$B$21:$C$50,2,FALSE)</f>
        <v>600001</v>
      </c>
      <c r="L1766">
        <v>0</v>
      </c>
    </row>
    <row r="1767" spans="1:12">
      <c r="A1767">
        <v>116</v>
      </c>
      <c r="B1767" t="s">
        <v>5010</v>
      </c>
      <c r="C1767" s="96">
        <v>33913</v>
      </c>
      <c r="D1767" t="s">
        <v>5011</v>
      </c>
      <c r="E1767" s="96" t="s">
        <v>1467</v>
      </c>
      <c r="H1767" t="s">
        <v>186</v>
      </c>
      <c r="I1767">
        <f>VLOOKUP(H1767,Listas!$B$2:$C$20,2,FALSE)</f>
        <v>500003</v>
      </c>
      <c r="J1767" t="s">
        <v>361</v>
      </c>
      <c r="K1767">
        <f>VLOOKUP(J1767,Listas!$B$21:$C$50,2,FALSE)</f>
        <v>600001</v>
      </c>
      <c r="L1767">
        <v>0</v>
      </c>
    </row>
    <row r="1768" spans="1:12" s="336" customFormat="1">
      <c r="A1768" s="336">
        <v>116</v>
      </c>
      <c r="B1768" s="336" t="s">
        <v>5012</v>
      </c>
      <c r="C1768" s="336">
        <v>3392</v>
      </c>
      <c r="D1768" s="336" t="s">
        <v>5013</v>
      </c>
      <c r="E1768" s="337" t="s">
        <v>1462</v>
      </c>
    </row>
    <row r="1769" spans="1:12">
      <c r="A1769">
        <v>116</v>
      </c>
      <c r="B1769" t="s">
        <v>5014</v>
      </c>
      <c r="C1769" s="96">
        <v>33921</v>
      </c>
      <c r="D1769" t="s">
        <v>5015</v>
      </c>
      <c r="E1769" s="96" t="s">
        <v>1467</v>
      </c>
      <c r="H1769" t="s">
        <v>186</v>
      </c>
      <c r="I1769">
        <f>VLOOKUP(H1769,Listas!$B$2:$C$20,2,FALSE)</f>
        <v>500003</v>
      </c>
      <c r="J1769" t="s">
        <v>361</v>
      </c>
      <c r="K1769">
        <f>VLOOKUP(J1769,Listas!$B$21:$C$50,2,FALSE)</f>
        <v>600001</v>
      </c>
      <c r="L1769">
        <v>0</v>
      </c>
    </row>
    <row r="1770" spans="1:12" s="336" customFormat="1">
      <c r="A1770" s="336">
        <v>116</v>
      </c>
      <c r="B1770" s="336" t="s">
        <v>5016</v>
      </c>
      <c r="C1770" s="336">
        <v>3393</v>
      </c>
      <c r="D1770" s="336" t="s">
        <v>5017</v>
      </c>
      <c r="E1770" s="337" t="s">
        <v>1462</v>
      </c>
    </row>
    <row r="1771" spans="1:12">
      <c r="A1771">
        <v>116</v>
      </c>
      <c r="B1771" t="s">
        <v>5018</v>
      </c>
      <c r="C1771" s="96">
        <v>33931</v>
      </c>
      <c r="D1771" t="s">
        <v>969</v>
      </c>
      <c r="E1771" s="96" t="s">
        <v>1467</v>
      </c>
      <c r="H1771" t="s">
        <v>186</v>
      </c>
      <c r="I1771">
        <f>VLOOKUP(H1771,Listas!$B$2:$C$20,2,FALSE)</f>
        <v>500003</v>
      </c>
      <c r="J1771" t="s">
        <v>361</v>
      </c>
      <c r="K1771">
        <f>VLOOKUP(J1771,Listas!$B$21:$C$50,2,FALSE)</f>
        <v>600001</v>
      </c>
      <c r="L1771">
        <v>0</v>
      </c>
    </row>
    <row r="1772" spans="1:12">
      <c r="A1772">
        <v>116</v>
      </c>
      <c r="B1772" t="s">
        <v>5019</v>
      </c>
      <c r="C1772" s="96">
        <v>33932</v>
      </c>
      <c r="D1772" t="s">
        <v>5020</v>
      </c>
      <c r="E1772" s="96" t="s">
        <v>1467</v>
      </c>
      <c r="H1772" t="s">
        <v>193</v>
      </c>
      <c r="I1772">
        <f>VLOOKUP(H1772,Listas!$B$2:$C$20,2,FALSE)</f>
        <v>500007</v>
      </c>
      <c r="J1772" t="s">
        <v>361</v>
      </c>
      <c r="K1772">
        <f>VLOOKUP(J1772,Listas!$B$21:$C$50,2,FALSE)</f>
        <v>600001</v>
      </c>
      <c r="L1772">
        <v>0</v>
      </c>
    </row>
    <row r="1773" spans="1:12" s="336" customFormat="1">
      <c r="A1773" s="336">
        <v>116</v>
      </c>
      <c r="B1773" s="336" t="s">
        <v>5021</v>
      </c>
      <c r="C1773" s="336">
        <v>3394</v>
      </c>
      <c r="D1773" s="336" t="s">
        <v>5022</v>
      </c>
      <c r="E1773" s="337" t="s">
        <v>1462</v>
      </c>
    </row>
    <row r="1774" spans="1:12">
      <c r="A1774">
        <v>116</v>
      </c>
      <c r="B1774" t="s">
        <v>5023</v>
      </c>
      <c r="C1774" s="96">
        <v>33941</v>
      </c>
      <c r="D1774" t="s">
        <v>5024</v>
      </c>
      <c r="E1774" s="96" t="s">
        <v>1467</v>
      </c>
      <c r="H1774" t="s">
        <v>186</v>
      </c>
      <c r="I1774">
        <f>VLOOKUP(H1774,Listas!$B$2:$C$20,2,FALSE)</f>
        <v>500003</v>
      </c>
      <c r="J1774" t="s">
        <v>361</v>
      </c>
      <c r="K1774">
        <f>VLOOKUP(J1774,Listas!$B$21:$C$50,2,FALSE)</f>
        <v>600001</v>
      </c>
      <c r="L1774">
        <v>0</v>
      </c>
    </row>
    <row r="1775" spans="1:12" s="336" customFormat="1">
      <c r="A1775" s="336">
        <v>116</v>
      </c>
      <c r="B1775" s="336" t="s">
        <v>5025</v>
      </c>
      <c r="C1775" s="336">
        <v>3395</v>
      </c>
      <c r="D1775" s="336" t="s">
        <v>5026</v>
      </c>
      <c r="E1775" s="337" t="s">
        <v>1462</v>
      </c>
    </row>
    <row r="1776" spans="1:12">
      <c r="A1776">
        <v>116</v>
      </c>
      <c r="B1776" t="s">
        <v>5027</v>
      </c>
      <c r="C1776" s="96">
        <v>33951</v>
      </c>
      <c r="D1776" t="s">
        <v>5028</v>
      </c>
      <c r="E1776" s="96" t="s">
        <v>1467</v>
      </c>
      <c r="H1776" t="s">
        <v>186</v>
      </c>
      <c r="I1776">
        <f>VLOOKUP(H1776,Listas!$B$2:$C$20,2,FALSE)</f>
        <v>500003</v>
      </c>
      <c r="J1776" t="s">
        <v>361</v>
      </c>
      <c r="K1776">
        <f>VLOOKUP(J1776,Listas!$B$21:$C$50,2,FALSE)</f>
        <v>600001</v>
      </c>
      <c r="L1776">
        <v>0</v>
      </c>
    </row>
    <row r="1777" spans="1:12" s="336" customFormat="1">
      <c r="A1777" s="336">
        <v>116</v>
      </c>
      <c r="B1777" s="336" t="s">
        <v>5029</v>
      </c>
      <c r="C1777" s="336">
        <v>3396</v>
      </c>
      <c r="D1777" s="336" t="s">
        <v>5030</v>
      </c>
      <c r="E1777" s="337" t="s">
        <v>1462</v>
      </c>
    </row>
    <row r="1778" spans="1:12">
      <c r="A1778">
        <v>116</v>
      </c>
      <c r="B1778" t="s">
        <v>5031</v>
      </c>
      <c r="C1778" s="96">
        <v>33961</v>
      </c>
      <c r="D1778" t="s">
        <v>5032</v>
      </c>
      <c r="E1778" s="96" t="s">
        <v>1467</v>
      </c>
      <c r="H1778" t="s">
        <v>186</v>
      </c>
      <c r="I1778">
        <f>VLOOKUP(H1778,Listas!$B$2:$C$20,2,FALSE)</f>
        <v>500003</v>
      </c>
      <c r="J1778" t="s">
        <v>361</v>
      </c>
      <c r="K1778">
        <f>VLOOKUP(J1778,Listas!$B$21:$C$50,2,FALSE)</f>
        <v>600001</v>
      </c>
      <c r="L1778">
        <v>0</v>
      </c>
    </row>
    <row r="1779" spans="1:12" s="336" customFormat="1">
      <c r="A1779" s="336">
        <v>116</v>
      </c>
      <c r="B1779" s="336" t="s">
        <v>5033</v>
      </c>
      <c r="C1779" s="336">
        <v>3397</v>
      </c>
      <c r="D1779" s="336" t="s">
        <v>5034</v>
      </c>
      <c r="E1779" s="337" t="s">
        <v>1462</v>
      </c>
    </row>
    <row r="1780" spans="1:12">
      <c r="A1780">
        <v>116</v>
      </c>
      <c r="B1780" t="s">
        <v>5035</v>
      </c>
      <c r="C1780" s="96">
        <v>33971</v>
      </c>
      <c r="D1780" t="s">
        <v>5036</v>
      </c>
      <c r="E1780" s="96" t="s">
        <v>1467</v>
      </c>
      <c r="H1780" t="s">
        <v>186</v>
      </c>
      <c r="I1780">
        <f>VLOOKUP(H1780,Listas!$B$2:$C$20,2,FALSE)</f>
        <v>500003</v>
      </c>
      <c r="J1780" t="s">
        <v>361</v>
      </c>
      <c r="K1780">
        <f>VLOOKUP(J1780,Listas!$B$21:$C$50,2,FALSE)</f>
        <v>600001</v>
      </c>
      <c r="L1780">
        <v>0</v>
      </c>
    </row>
    <row r="1781" spans="1:12" s="336" customFormat="1">
      <c r="A1781" s="336">
        <v>116</v>
      </c>
      <c r="B1781" s="336" t="s">
        <v>5037</v>
      </c>
      <c r="C1781" s="336">
        <v>3398</v>
      </c>
      <c r="D1781" s="336" t="s">
        <v>5038</v>
      </c>
      <c r="E1781" s="337" t="s">
        <v>1462</v>
      </c>
    </row>
    <row r="1782" spans="1:12">
      <c r="A1782">
        <v>116</v>
      </c>
      <c r="B1782" t="s">
        <v>5039</v>
      </c>
      <c r="C1782" s="96">
        <v>33981</v>
      </c>
      <c r="D1782" t="s">
        <v>5038</v>
      </c>
      <c r="E1782" s="96" t="s">
        <v>1467</v>
      </c>
      <c r="H1782" t="s">
        <v>193</v>
      </c>
      <c r="I1782">
        <f>VLOOKUP(H1782,Listas!$B$2:$C$20,2,FALSE)</f>
        <v>500007</v>
      </c>
      <c r="J1782" t="s">
        <v>361</v>
      </c>
      <c r="K1782">
        <f>VLOOKUP(J1782,Listas!$B$21:$C$50,2,FALSE)</f>
        <v>600001</v>
      </c>
      <c r="L1782">
        <v>0</v>
      </c>
    </row>
    <row r="1783" spans="1:12" s="336" customFormat="1">
      <c r="A1783" s="336">
        <v>116</v>
      </c>
      <c r="B1783" s="336" t="s">
        <v>5040</v>
      </c>
      <c r="C1783" s="336">
        <v>3399</v>
      </c>
      <c r="D1783" s="336" t="s">
        <v>5041</v>
      </c>
      <c r="E1783" s="337" t="s">
        <v>1462</v>
      </c>
    </row>
    <row r="1784" spans="1:12">
      <c r="A1784">
        <v>116</v>
      </c>
      <c r="B1784" t="s">
        <v>5042</v>
      </c>
      <c r="C1784" s="96">
        <v>33991</v>
      </c>
      <c r="D1784" t="s">
        <v>5043</v>
      </c>
      <c r="E1784" s="96" t="s">
        <v>1467</v>
      </c>
      <c r="H1784" t="s">
        <v>186</v>
      </c>
      <c r="I1784">
        <f>VLOOKUP(H1784,Listas!$B$2:$C$20,2,FALSE)</f>
        <v>500003</v>
      </c>
      <c r="J1784" t="s">
        <v>361</v>
      </c>
      <c r="K1784">
        <f>VLOOKUP(J1784,Listas!$B$21:$C$50,2,FALSE)</f>
        <v>600001</v>
      </c>
      <c r="L1784">
        <v>0</v>
      </c>
    </row>
    <row r="1785" spans="1:12" s="336" customFormat="1">
      <c r="A1785" s="336">
        <v>116</v>
      </c>
      <c r="B1785" s="336" t="s">
        <v>5044</v>
      </c>
      <c r="C1785" s="336">
        <v>33999</v>
      </c>
      <c r="D1785" s="336" t="s">
        <v>186</v>
      </c>
      <c r="E1785" s="337" t="s">
        <v>1462</v>
      </c>
    </row>
    <row r="1786" spans="1:12">
      <c r="A1786">
        <v>116</v>
      </c>
      <c r="B1786" t="s">
        <v>5045</v>
      </c>
      <c r="C1786" s="96">
        <v>339991</v>
      </c>
      <c r="D1786" t="s">
        <v>186</v>
      </c>
      <c r="E1786" s="96" t="s">
        <v>1467</v>
      </c>
      <c r="H1786" t="s">
        <v>186</v>
      </c>
      <c r="I1786">
        <f>VLOOKUP(H1786,Listas!$B$2:$C$20,2,FALSE)</f>
        <v>500003</v>
      </c>
      <c r="J1786" t="s">
        <v>361</v>
      </c>
      <c r="K1786">
        <f>VLOOKUP(J1786,Listas!$B$21:$C$50,2,FALSE)</f>
        <v>600001</v>
      </c>
      <c r="L1786">
        <v>0</v>
      </c>
    </row>
    <row r="1787" spans="1:12">
      <c r="A1787">
        <v>116</v>
      </c>
      <c r="B1787" t="s">
        <v>5046</v>
      </c>
      <c r="C1787" s="96">
        <v>339992</v>
      </c>
      <c r="D1787" t="s">
        <v>5043</v>
      </c>
      <c r="E1787" s="96" t="s">
        <v>1467</v>
      </c>
      <c r="H1787" t="s">
        <v>186</v>
      </c>
      <c r="I1787">
        <f>VLOOKUP(H1787,Listas!$B$2:$C$20,2,FALSE)</f>
        <v>500003</v>
      </c>
      <c r="J1787" t="s">
        <v>361</v>
      </c>
      <c r="K1787">
        <f>VLOOKUP(J1787,Listas!$B$21:$C$50,2,FALSE)</f>
        <v>600001</v>
      </c>
      <c r="L1787">
        <v>0</v>
      </c>
    </row>
    <row r="1788" spans="1:12">
      <c r="A1788">
        <v>116</v>
      </c>
      <c r="B1788" t="s">
        <v>5047</v>
      </c>
      <c r="C1788" s="96">
        <v>339101</v>
      </c>
      <c r="D1788" t="s">
        <v>4957</v>
      </c>
      <c r="E1788" s="96" t="s">
        <v>1467</v>
      </c>
      <c r="H1788" t="s">
        <v>186</v>
      </c>
      <c r="I1788">
        <v>500003</v>
      </c>
      <c r="J1788" t="s">
        <v>361</v>
      </c>
      <c r="K1788">
        <v>600001</v>
      </c>
      <c r="L1788">
        <v>0</v>
      </c>
    </row>
    <row r="1789" spans="1:12" s="336" customFormat="1">
      <c r="A1789" s="336">
        <v>116</v>
      </c>
      <c r="B1789" s="336">
        <v>4</v>
      </c>
      <c r="C1789" s="336">
        <v>4</v>
      </c>
      <c r="D1789" s="336" t="s">
        <v>970</v>
      </c>
      <c r="E1789" s="337" t="s">
        <v>1462</v>
      </c>
    </row>
    <row r="1790" spans="1:12" s="336" customFormat="1">
      <c r="A1790" s="336">
        <v>116</v>
      </c>
      <c r="B1790" s="336" t="s">
        <v>971</v>
      </c>
      <c r="C1790" s="336">
        <v>41</v>
      </c>
      <c r="D1790" s="336" t="s">
        <v>972</v>
      </c>
      <c r="E1790" s="337" t="s">
        <v>1462</v>
      </c>
    </row>
    <row r="1791" spans="1:12" s="336" customFormat="1">
      <c r="A1791" s="336">
        <v>116</v>
      </c>
      <c r="B1791" s="336" t="s">
        <v>973</v>
      </c>
      <c r="C1791" s="336">
        <v>411</v>
      </c>
      <c r="D1791" s="336" t="s">
        <v>974</v>
      </c>
      <c r="E1791" s="337" t="s">
        <v>1462</v>
      </c>
    </row>
    <row r="1792" spans="1:12" s="336" customFormat="1">
      <c r="A1792" s="336">
        <v>116</v>
      </c>
      <c r="B1792" s="336" t="s">
        <v>975</v>
      </c>
      <c r="C1792" s="336">
        <v>4111</v>
      </c>
      <c r="D1792" s="336" t="s">
        <v>976</v>
      </c>
      <c r="E1792" s="337" t="s">
        <v>1462</v>
      </c>
    </row>
    <row r="1793" spans="1:12">
      <c r="A1793">
        <v>116</v>
      </c>
      <c r="B1793" t="s">
        <v>977</v>
      </c>
      <c r="C1793" s="96">
        <v>41111</v>
      </c>
      <c r="D1793" t="s">
        <v>978</v>
      </c>
      <c r="E1793" s="96" t="s">
        <v>1467</v>
      </c>
      <c r="H1793" t="s">
        <v>197</v>
      </c>
      <c r="I1793">
        <f>VLOOKUP(H1793,Listas!$B$2:$C$20,2,FALSE)</f>
        <v>500008</v>
      </c>
      <c r="J1793" t="s">
        <v>361</v>
      </c>
      <c r="K1793">
        <f>VLOOKUP(J1793,Listas!$B$21:$C$50,2,FALSE)</f>
        <v>600001</v>
      </c>
      <c r="L1793">
        <v>0</v>
      </c>
    </row>
    <row r="1794" spans="1:12">
      <c r="A1794">
        <v>116</v>
      </c>
      <c r="B1794" t="s">
        <v>5048</v>
      </c>
      <c r="C1794" s="96">
        <v>41112</v>
      </c>
      <c r="D1794" t="s">
        <v>5049</v>
      </c>
      <c r="E1794" s="96" t="s">
        <v>1467</v>
      </c>
      <c r="H1794" t="s">
        <v>197</v>
      </c>
      <c r="I1794">
        <f>VLOOKUP(H1794,Listas!$B$2:$C$20,2,FALSE)</f>
        <v>500008</v>
      </c>
      <c r="J1794" t="s">
        <v>361</v>
      </c>
      <c r="K1794">
        <f>VLOOKUP(J1794,Listas!$B$21:$C$50,2,FALSE)</f>
        <v>600001</v>
      </c>
      <c r="L1794">
        <v>0</v>
      </c>
    </row>
    <row r="1795" spans="1:12">
      <c r="A1795">
        <v>116</v>
      </c>
      <c r="B1795" t="s">
        <v>5050</v>
      </c>
      <c r="C1795" s="96">
        <v>41113</v>
      </c>
      <c r="D1795" t="s">
        <v>5051</v>
      </c>
      <c r="E1795" s="96" t="s">
        <v>1467</v>
      </c>
      <c r="H1795" t="s">
        <v>197</v>
      </c>
      <c r="I1795">
        <f>VLOOKUP(H1795,Listas!$B$2:$C$20,2,FALSE)</f>
        <v>500008</v>
      </c>
      <c r="J1795" t="s">
        <v>361</v>
      </c>
      <c r="K1795">
        <f>VLOOKUP(J1795,Listas!$B$21:$C$50,2,FALSE)</f>
        <v>600001</v>
      </c>
      <c r="L1795">
        <v>0</v>
      </c>
    </row>
    <row r="1796" spans="1:12">
      <c r="A1796">
        <v>116</v>
      </c>
      <c r="B1796" t="s">
        <v>5052</v>
      </c>
      <c r="C1796" s="96">
        <v>41114</v>
      </c>
      <c r="D1796" t="s">
        <v>5053</v>
      </c>
      <c r="E1796" s="96" t="s">
        <v>1467</v>
      </c>
      <c r="H1796" t="s">
        <v>197</v>
      </c>
      <c r="I1796">
        <f>VLOOKUP(H1796,Listas!$B$2:$C$20,2,FALSE)</f>
        <v>500008</v>
      </c>
      <c r="J1796" t="s">
        <v>361</v>
      </c>
      <c r="K1796">
        <f>VLOOKUP(J1796,Listas!$B$21:$C$50,2,FALSE)</f>
        <v>600001</v>
      </c>
      <c r="L1796">
        <v>0</v>
      </c>
    </row>
    <row r="1797" spans="1:12">
      <c r="A1797">
        <v>116</v>
      </c>
      <c r="B1797" t="s">
        <v>5054</v>
      </c>
      <c r="C1797" s="96">
        <v>41115</v>
      </c>
      <c r="D1797" t="s">
        <v>5055</v>
      </c>
      <c r="E1797" s="96" t="s">
        <v>1467</v>
      </c>
      <c r="H1797" t="s">
        <v>197</v>
      </c>
      <c r="I1797">
        <f>VLOOKUP(H1797,Listas!$B$2:$C$20,2,FALSE)</f>
        <v>500008</v>
      </c>
      <c r="J1797" t="s">
        <v>361</v>
      </c>
      <c r="K1797">
        <f>VLOOKUP(J1797,Listas!$B$21:$C$50,2,FALSE)</f>
        <v>600001</v>
      </c>
      <c r="L1797">
        <v>0</v>
      </c>
    </row>
    <row r="1798" spans="1:12">
      <c r="A1798">
        <v>116</v>
      </c>
      <c r="B1798" t="s">
        <v>5056</v>
      </c>
      <c r="C1798" s="96">
        <v>41116</v>
      </c>
      <c r="D1798" t="s">
        <v>5057</v>
      </c>
      <c r="E1798" s="96" t="s">
        <v>1467</v>
      </c>
      <c r="H1798" t="s">
        <v>199</v>
      </c>
      <c r="I1798">
        <f>VLOOKUP(H1798,Listas!$B$2:$C$20,2,FALSE)</f>
        <v>500011</v>
      </c>
      <c r="J1798" t="s">
        <v>361</v>
      </c>
      <c r="K1798">
        <f>VLOOKUP(J1798,Listas!$B$21:$C$50,2,FALSE)</f>
        <v>600001</v>
      </c>
      <c r="L1798">
        <v>0</v>
      </c>
    </row>
    <row r="1799" spans="1:12">
      <c r="A1799">
        <v>116</v>
      </c>
      <c r="B1799" t="s">
        <v>979</v>
      </c>
      <c r="C1799" s="96">
        <v>41117</v>
      </c>
      <c r="D1799" t="s">
        <v>980</v>
      </c>
      <c r="E1799" s="96" t="s">
        <v>1467</v>
      </c>
      <c r="H1799" t="s">
        <v>197</v>
      </c>
      <c r="I1799">
        <f>VLOOKUP(H1799,Listas!$B$2:$C$20,2,FALSE)</f>
        <v>500008</v>
      </c>
      <c r="J1799" t="s">
        <v>361</v>
      </c>
      <c r="K1799">
        <f>VLOOKUP(J1799,Listas!$B$21:$C$50,2,FALSE)</f>
        <v>600001</v>
      </c>
      <c r="L1799">
        <v>0</v>
      </c>
    </row>
    <row r="1800" spans="1:12">
      <c r="A1800">
        <v>116</v>
      </c>
      <c r="B1800" t="s">
        <v>981</v>
      </c>
      <c r="C1800" s="96">
        <v>41118</v>
      </c>
      <c r="D1800" t="s">
        <v>982</v>
      </c>
      <c r="E1800" s="96" t="s">
        <v>1467</v>
      </c>
      <c r="H1800" t="s">
        <v>197</v>
      </c>
      <c r="I1800">
        <f>VLOOKUP(H1800,Listas!$B$2:$C$20,2,FALSE)</f>
        <v>500008</v>
      </c>
      <c r="J1800" t="s">
        <v>361</v>
      </c>
      <c r="K1800">
        <f>VLOOKUP(J1800,Listas!$B$21:$C$50,2,FALSE)</f>
        <v>600001</v>
      </c>
      <c r="L1800">
        <v>0</v>
      </c>
    </row>
    <row r="1801" spans="1:12">
      <c r="A1801">
        <v>116</v>
      </c>
      <c r="B1801" t="s">
        <v>983</v>
      </c>
      <c r="C1801" s="96">
        <v>41119</v>
      </c>
      <c r="D1801" t="s">
        <v>984</v>
      </c>
      <c r="E1801" s="96" t="s">
        <v>1467</v>
      </c>
      <c r="H1801" t="s">
        <v>197</v>
      </c>
      <c r="I1801">
        <f>VLOOKUP(H1801,Listas!$B$2:$C$20,2,FALSE)</f>
        <v>500008</v>
      </c>
      <c r="J1801" t="s">
        <v>361</v>
      </c>
      <c r="K1801">
        <f>VLOOKUP(J1801,Listas!$B$21:$C$50,2,FALSE)</f>
        <v>600001</v>
      </c>
      <c r="L1801">
        <v>0</v>
      </c>
    </row>
    <row r="1802" spans="1:12">
      <c r="A1802">
        <v>116</v>
      </c>
      <c r="B1802" t="s">
        <v>5058</v>
      </c>
      <c r="C1802" s="96">
        <v>411110</v>
      </c>
      <c r="D1802" t="s">
        <v>986</v>
      </c>
      <c r="E1802" s="96" t="s">
        <v>1467</v>
      </c>
      <c r="H1802" t="s">
        <v>197</v>
      </c>
      <c r="I1802">
        <f>VLOOKUP(H1802,Listas!$B$2:$C$20,2,FALSE)</f>
        <v>500008</v>
      </c>
      <c r="J1802" t="s">
        <v>361</v>
      </c>
      <c r="K1802">
        <f>VLOOKUP(J1802,Listas!$B$21:$C$50,2,FALSE)</f>
        <v>600001</v>
      </c>
      <c r="L1802">
        <v>0</v>
      </c>
    </row>
    <row r="1803" spans="1:12">
      <c r="A1803">
        <v>116</v>
      </c>
      <c r="B1803" t="s">
        <v>985</v>
      </c>
      <c r="C1803" s="96">
        <v>411111</v>
      </c>
      <c r="D1803" t="s">
        <v>986</v>
      </c>
      <c r="E1803" s="96" t="s">
        <v>1467</v>
      </c>
      <c r="H1803" t="s">
        <v>197</v>
      </c>
      <c r="I1803">
        <f>VLOOKUP(H1803,Listas!$B$2:$C$20,2,FALSE)</f>
        <v>500008</v>
      </c>
      <c r="J1803" t="s">
        <v>361</v>
      </c>
      <c r="K1803">
        <f>VLOOKUP(J1803,Listas!$B$21:$C$50,2,FALSE)</f>
        <v>600001</v>
      </c>
      <c r="L1803">
        <v>0</v>
      </c>
    </row>
    <row r="1804" spans="1:12">
      <c r="A1804">
        <v>116</v>
      </c>
      <c r="B1804" t="s">
        <v>987</v>
      </c>
      <c r="C1804" s="96">
        <v>411113</v>
      </c>
      <c r="D1804" t="s">
        <v>988</v>
      </c>
      <c r="E1804" s="96" t="s">
        <v>1467</v>
      </c>
      <c r="H1804" t="s">
        <v>197</v>
      </c>
      <c r="I1804">
        <f>VLOOKUP(H1804,Listas!$B$2:$C$20,2,FALSE)</f>
        <v>500008</v>
      </c>
      <c r="J1804" t="s">
        <v>361</v>
      </c>
      <c r="K1804">
        <f>VLOOKUP(J1804,Listas!$B$21:$C$50,2,FALSE)</f>
        <v>600001</v>
      </c>
      <c r="L1804">
        <v>0</v>
      </c>
    </row>
    <row r="1805" spans="1:12">
      <c r="A1805">
        <v>116</v>
      </c>
      <c r="B1805" t="s">
        <v>989</v>
      </c>
      <c r="C1805" s="96">
        <v>411114</v>
      </c>
      <c r="D1805" t="s">
        <v>990</v>
      </c>
      <c r="E1805" s="96" t="s">
        <v>1467</v>
      </c>
      <c r="H1805" t="s">
        <v>197</v>
      </c>
      <c r="I1805">
        <f>VLOOKUP(H1805,Listas!$B$2:$C$20,2,FALSE)</f>
        <v>500008</v>
      </c>
      <c r="J1805" t="s">
        <v>361</v>
      </c>
      <c r="K1805">
        <f>VLOOKUP(J1805,Listas!$B$21:$C$50,2,FALSE)</f>
        <v>600001</v>
      </c>
      <c r="L1805">
        <v>0</v>
      </c>
    </row>
    <row r="1806" spans="1:12">
      <c r="A1806">
        <v>116</v>
      </c>
      <c r="B1806" t="s">
        <v>5059</v>
      </c>
      <c r="C1806" s="96">
        <v>4111999</v>
      </c>
      <c r="D1806" t="s">
        <v>5060</v>
      </c>
      <c r="E1806" s="96" t="s">
        <v>1467</v>
      </c>
      <c r="H1806" t="s">
        <v>197</v>
      </c>
      <c r="I1806">
        <f>VLOOKUP(H1806,Listas!$B$2:$C$20,2,FALSE)</f>
        <v>500008</v>
      </c>
      <c r="J1806" t="s">
        <v>361</v>
      </c>
      <c r="K1806">
        <f>VLOOKUP(J1806,Listas!$B$21:$C$50,2,FALSE)</f>
        <v>600001</v>
      </c>
      <c r="L1806">
        <v>0</v>
      </c>
    </row>
    <row r="1807" spans="1:12" s="336" customFormat="1">
      <c r="A1807" s="336">
        <v>116</v>
      </c>
      <c r="B1807" s="336" t="s">
        <v>991</v>
      </c>
      <c r="C1807" s="336">
        <v>4112</v>
      </c>
      <c r="D1807" s="336" t="s">
        <v>8</v>
      </c>
      <c r="E1807" s="337" t="s">
        <v>1462</v>
      </c>
    </row>
    <row r="1808" spans="1:12">
      <c r="A1808">
        <v>116</v>
      </c>
      <c r="B1808" t="s">
        <v>992</v>
      </c>
      <c r="C1808" s="96">
        <v>41121</v>
      </c>
      <c r="D1808" t="s">
        <v>874</v>
      </c>
      <c r="E1808" s="96" t="s">
        <v>1467</v>
      </c>
      <c r="H1808" t="s">
        <v>202</v>
      </c>
      <c r="I1808">
        <f>VLOOKUP(H1808,Listas!$B$2:$C$20,2,FALSE)</f>
        <v>500012</v>
      </c>
      <c r="J1808" t="s">
        <v>361</v>
      </c>
      <c r="K1808">
        <f>VLOOKUP(J1808,Listas!$B$21:$C$50,2,FALSE)</f>
        <v>600001</v>
      </c>
      <c r="L1808">
        <v>0</v>
      </c>
    </row>
    <row r="1809" spans="1:12">
      <c r="A1809">
        <v>116</v>
      </c>
      <c r="B1809" t="s">
        <v>993</v>
      </c>
      <c r="C1809" s="96">
        <v>41122</v>
      </c>
      <c r="D1809" t="s">
        <v>198</v>
      </c>
      <c r="E1809" s="96" t="s">
        <v>1467</v>
      </c>
      <c r="H1809" t="s">
        <v>198</v>
      </c>
      <c r="I1809">
        <f>VLOOKUP(H1809,Listas!$B$2:$C$20,2,FALSE)</f>
        <v>500010</v>
      </c>
      <c r="J1809" t="s">
        <v>361</v>
      </c>
      <c r="K1809">
        <f>VLOOKUP(J1809,Listas!$B$21:$C$50,2,FALSE)</f>
        <v>600001</v>
      </c>
      <c r="L1809">
        <v>0</v>
      </c>
    </row>
    <row r="1810" spans="1:12">
      <c r="A1810">
        <v>116</v>
      </c>
      <c r="B1810" t="s">
        <v>5061</v>
      </c>
      <c r="C1810" s="96">
        <v>41123</v>
      </c>
      <c r="D1810" t="s">
        <v>5062</v>
      </c>
      <c r="E1810" s="96" t="s">
        <v>1467</v>
      </c>
      <c r="H1810" t="s">
        <v>9</v>
      </c>
      <c r="I1810">
        <f>VLOOKUP(H1810,Listas!$B$2:$C$20,2,FALSE)</f>
        <v>500009</v>
      </c>
      <c r="J1810" t="s">
        <v>361</v>
      </c>
      <c r="K1810">
        <f>VLOOKUP(J1810,Listas!$B$21:$C$50,2,FALSE)</f>
        <v>600001</v>
      </c>
      <c r="L1810">
        <v>0</v>
      </c>
    </row>
    <row r="1811" spans="1:12">
      <c r="A1811">
        <v>116</v>
      </c>
      <c r="B1811" t="s">
        <v>994</v>
      </c>
      <c r="C1811" s="96">
        <v>41124</v>
      </c>
      <c r="D1811" t="s">
        <v>995</v>
      </c>
      <c r="E1811" s="96" t="s">
        <v>1467</v>
      </c>
      <c r="H1811" t="s">
        <v>202</v>
      </c>
      <c r="I1811">
        <f>VLOOKUP(H1811,Listas!$B$2:$C$20,2,FALSE)</f>
        <v>500012</v>
      </c>
      <c r="J1811" t="s">
        <v>361</v>
      </c>
      <c r="K1811">
        <f>VLOOKUP(J1811,Listas!$B$21:$C$50,2,FALSE)</f>
        <v>600001</v>
      </c>
      <c r="L1811">
        <v>0</v>
      </c>
    </row>
    <row r="1812" spans="1:12">
      <c r="A1812">
        <v>116</v>
      </c>
      <c r="B1812" t="s">
        <v>996</v>
      </c>
      <c r="C1812" s="96">
        <v>41125</v>
      </c>
      <c r="D1812" t="s">
        <v>997</v>
      </c>
      <c r="E1812" s="96" t="s">
        <v>1467</v>
      </c>
      <c r="H1812" t="s">
        <v>202</v>
      </c>
      <c r="I1812">
        <f>VLOOKUP(H1812,Listas!$B$2:$C$20,2,FALSE)</f>
        <v>500012</v>
      </c>
      <c r="J1812" t="s">
        <v>361</v>
      </c>
      <c r="K1812">
        <f>VLOOKUP(J1812,Listas!$B$21:$C$50,2,FALSE)</f>
        <v>600001</v>
      </c>
      <c r="L1812">
        <v>0</v>
      </c>
    </row>
    <row r="1813" spans="1:12">
      <c r="A1813">
        <v>116</v>
      </c>
      <c r="B1813" t="s">
        <v>998</v>
      </c>
      <c r="C1813" s="96">
        <v>41126</v>
      </c>
      <c r="D1813" t="s">
        <v>999</v>
      </c>
      <c r="E1813" s="96" t="s">
        <v>1467</v>
      </c>
      <c r="H1813" t="s">
        <v>198</v>
      </c>
      <c r="I1813">
        <f>VLOOKUP(H1813,Listas!$B$2:$C$20,2,FALSE)</f>
        <v>500010</v>
      </c>
      <c r="J1813" t="s">
        <v>361</v>
      </c>
      <c r="K1813">
        <f>VLOOKUP(J1813,Listas!$B$21:$C$50,2,FALSE)</f>
        <v>600001</v>
      </c>
      <c r="L1813">
        <v>0</v>
      </c>
    </row>
    <row r="1814" spans="1:12">
      <c r="A1814">
        <v>116</v>
      </c>
      <c r="B1814" t="s">
        <v>1000</v>
      </c>
      <c r="C1814" s="96">
        <v>41127</v>
      </c>
      <c r="D1814" t="s">
        <v>1001</v>
      </c>
      <c r="E1814" s="96" t="s">
        <v>1467</v>
      </c>
      <c r="H1814" t="s">
        <v>198</v>
      </c>
      <c r="I1814">
        <f>VLOOKUP(H1814,Listas!$B$2:$C$20,2,FALSE)</f>
        <v>500010</v>
      </c>
      <c r="J1814" t="s">
        <v>361</v>
      </c>
      <c r="K1814">
        <f>VLOOKUP(J1814,Listas!$B$21:$C$50,2,FALSE)</f>
        <v>600001</v>
      </c>
      <c r="L1814">
        <v>0</v>
      </c>
    </row>
    <row r="1815" spans="1:12">
      <c r="A1815">
        <v>116</v>
      </c>
      <c r="B1815" t="s">
        <v>5063</v>
      </c>
      <c r="C1815" s="96">
        <v>4112999</v>
      </c>
      <c r="D1815" t="s">
        <v>5064</v>
      </c>
      <c r="E1815" s="96" t="s">
        <v>1467</v>
      </c>
      <c r="H1815" t="s">
        <v>202</v>
      </c>
      <c r="I1815">
        <f>VLOOKUP(H1815,Listas!$B$2:$C$20,2,FALSE)</f>
        <v>500012</v>
      </c>
      <c r="J1815" t="s">
        <v>361</v>
      </c>
      <c r="K1815">
        <f>VLOOKUP(J1815,Listas!$B$21:$C$50,2,FALSE)</f>
        <v>600001</v>
      </c>
      <c r="L1815">
        <v>0</v>
      </c>
    </row>
    <row r="1816" spans="1:12" s="336" customFormat="1">
      <c r="A1816" s="336">
        <v>116</v>
      </c>
      <c r="B1816" s="336" t="s">
        <v>1002</v>
      </c>
      <c r="C1816" s="336">
        <v>4113</v>
      </c>
      <c r="D1816" s="336" t="s">
        <v>9</v>
      </c>
      <c r="E1816" s="337" t="s">
        <v>1462</v>
      </c>
    </row>
    <row r="1817" spans="1:12">
      <c r="A1817">
        <v>116</v>
      </c>
      <c r="B1817" t="s">
        <v>1003</v>
      </c>
      <c r="C1817" s="96">
        <v>41131</v>
      </c>
      <c r="D1817" t="s">
        <v>907</v>
      </c>
      <c r="E1817" s="96" t="s">
        <v>1467</v>
      </c>
      <c r="H1817" t="s">
        <v>9</v>
      </c>
      <c r="I1817">
        <f>VLOOKUP(H1817,Listas!$B$2:$C$20,2,FALSE)</f>
        <v>500009</v>
      </c>
      <c r="J1817" t="s">
        <v>361</v>
      </c>
      <c r="K1817">
        <f>VLOOKUP(J1817,Listas!$B$21:$C$50,2,FALSE)</f>
        <v>600001</v>
      </c>
      <c r="L1817">
        <v>0</v>
      </c>
    </row>
    <row r="1818" spans="1:12">
      <c r="A1818">
        <v>116</v>
      </c>
      <c r="B1818" t="s">
        <v>1004</v>
      </c>
      <c r="C1818" s="96">
        <v>41132</v>
      </c>
      <c r="D1818" t="s">
        <v>1005</v>
      </c>
      <c r="E1818" s="96" t="s">
        <v>1467</v>
      </c>
      <c r="H1818" t="s">
        <v>9</v>
      </c>
      <c r="I1818">
        <f>VLOOKUP(H1818,Listas!$B$2:$C$20,2,FALSE)</f>
        <v>500009</v>
      </c>
      <c r="J1818" t="s">
        <v>361</v>
      </c>
      <c r="K1818">
        <f>VLOOKUP(J1818,Listas!$B$21:$C$50,2,FALSE)</f>
        <v>600001</v>
      </c>
      <c r="L1818">
        <v>0</v>
      </c>
    </row>
    <row r="1819" spans="1:12">
      <c r="A1819">
        <v>116</v>
      </c>
      <c r="B1819" t="s">
        <v>1006</v>
      </c>
      <c r="C1819" s="96">
        <v>41133</v>
      </c>
      <c r="D1819" t="s">
        <v>1007</v>
      </c>
      <c r="E1819" s="96" t="s">
        <v>1467</v>
      </c>
      <c r="H1819" t="s">
        <v>9</v>
      </c>
      <c r="I1819">
        <f>VLOOKUP(H1819,Listas!$B$2:$C$20,2,FALSE)</f>
        <v>500009</v>
      </c>
      <c r="J1819" t="s">
        <v>361</v>
      </c>
      <c r="K1819">
        <f>VLOOKUP(J1819,Listas!$B$21:$C$50,2,FALSE)</f>
        <v>600001</v>
      </c>
      <c r="L1819">
        <v>0</v>
      </c>
    </row>
    <row r="1820" spans="1:12">
      <c r="A1820">
        <v>116</v>
      </c>
      <c r="B1820" t="s">
        <v>5065</v>
      </c>
      <c r="C1820" s="96">
        <v>41134</v>
      </c>
      <c r="D1820" t="s">
        <v>1096</v>
      </c>
      <c r="E1820" s="96" t="s">
        <v>1467</v>
      </c>
      <c r="H1820" t="s">
        <v>9</v>
      </c>
      <c r="I1820">
        <f>VLOOKUP(H1820,Listas!$B$2:$C$20,2,FALSE)</f>
        <v>500009</v>
      </c>
      <c r="J1820" t="s">
        <v>361</v>
      </c>
      <c r="K1820">
        <f>VLOOKUP(J1820,Listas!$B$21:$C$50,2,FALSE)</f>
        <v>600001</v>
      </c>
      <c r="L1820">
        <v>0</v>
      </c>
    </row>
    <row r="1821" spans="1:12">
      <c r="A1821">
        <v>116</v>
      </c>
      <c r="B1821" t="s">
        <v>1008</v>
      </c>
      <c r="C1821" s="96">
        <v>41135</v>
      </c>
      <c r="D1821" t="s">
        <v>1009</v>
      </c>
      <c r="E1821" s="96" t="s">
        <v>1467</v>
      </c>
      <c r="H1821" t="s">
        <v>9</v>
      </c>
      <c r="I1821">
        <f>VLOOKUP(H1821,Listas!$B$2:$C$20,2,FALSE)</f>
        <v>500009</v>
      </c>
      <c r="J1821" t="s">
        <v>361</v>
      </c>
      <c r="K1821">
        <f>VLOOKUP(J1821,Listas!$B$21:$C$50,2,FALSE)</f>
        <v>600001</v>
      </c>
      <c r="L1821">
        <v>0</v>
      </c>
    </row>
    <row r="1822" spans="1:12">
      <c r="A1822">
        <v>116</v>
      </c>
      <c r="B1822" t="s">
        <v>1010</v>
      </c>
      <c r="C1822" s="96">
        <v>41136</v>
      </c>
      <c r="D1822" t="s">
        <v>1011</v>
      </c>
      <c r="E1822" s="96" t="s">
        <v>1467</v>
      </c>
      <c r="H1822" t="s">
        <v>9</v>
      </c>
      <c r="I1822">
        <f>VLOOKUP(H1822,Listas!$B$2:$C$20,2,FALSE)</f>
        <v>500009</v>
      </c>
      <c r="J1822" t="s">
        <v>361</v>
      </c>
      <c r="K1822">
        <f>VLOOKUP(J1822,Listas!$B$21:$C$50,2,FALSE)</f>
        <v>600001</v>
      </c>
      <c r="L1822">
        <v>0</v>
      </c>
    </row>
    <row r="1823" spans="1:12">
      <c r="A1823">
        <v>116</v>
      </c>
      <c r="B1823" t="s">
        <v>5066</v>
      </c>
      <c r="C1823" s="96">
        <v>41137</v>
      </c>
      <c r="D1823" t="s">
        <v>5067</v>
      </c>
      <c r="E1823" s="96" t="s">
        <v>1467</v>
      </c>
      <c r="H1823" t="s">
        <v>9</v>
      </c>
      <c r="I1823">
        <f>VLOOKUP(H1823,Listas!$B$2:$C$20,2,FALSE)</f>
        <v>500009</v>
      </c>
      <c r="J1823" t="s">
        <v>361</v>
      </c>
      <c r="K1823">
        <f>VLOOKUP(J1823,Listas!$B$21:$C$50,2,FALSE)</f>
        <v>600001</v>
      </c>
      <c r="L1823">
        <v>0</v>
      </c>
    </row>
    <row r="1824" spans="1:12">
      <c r="A1824">
        <v>116</v>
      </c>
      <c r="B1824" t="s">
        <v>5068</v>
      </c>
      <c r="C1824" s="96">
        <v>41138</v>
      </c>
      <c r="D1824" t="s">
        <v>5069</v>
      </c>
      <c r="E1824" s="96" t="s">
        <v>1467</v>
      </c>
      <c r="H1824" t="s">
        <v>9</v>
      </c>
      <c r="I1824">
        <f>VLOOKUP(H1824,Listas!$B$2:$C$20,2,FALSE)</f>
        <v>500009</v>
      </c>
      <c r="J1824" t="s">
        <v>361</v>
      </c>
      <c r="K1824">
        <f>VLOOKUP(J1824,Listas!$B$21:$C$50,2,FALSE)</f>
        <v>600001</v>
      </c>
      <c r="L1824">
        <v>0</v>
      </c>
    </row>
    <row r="1825" spans="1:12">
      <c r="A1825">
        <v>116</v>
      </c>
      <c r="B1825" t="s">
        <v>5070</v>
      </c>
      <c r="C1825" s="96">
        <v>41139</v>
      </c>
      <c r="D1825" t="s">
        <v>5071</v>
      </c>
      <c r="E1825" s="96" t="s">
        <v>1467</v>
      </c>
      <c r="H1825" t="s">
        <v>9</v>
      </c>
      <c r="I1825">
        <f>VLOOKUP(H1825,Listas!$B$2:$C$20,2,FALSE)</f>
        <v>500009</v>
      </c>
      <c r="J1825" t="s">
        <v>361</v>
      </c>
      <c r="K1825">
        <f>VLOOKUP(J1825,Listas!$B$21:$C$50,2,FALSE)</f>
        <v>600001</v>
      </c>
      <c r="L1825">
        <v>0</v>
      </c>
    </row>
    <row r="1826" spans="1:12">
      <c r="A1826">
        <v>116</v>
      </c>
      <c r="B1826" t="s">
        <v>1012</v>
      </c>
      <c r="C1826" s="96">
        <v>411310</v>
      </c>
      <c r="D1826" t="s">
        <v>1013</v>
      </c>
      <c r="E1826" s="96" t="s">
        <v>1467</v>
      </c>
      <c r="H1826" t="s">
        <v>9</v>
      </c>
      <c r="I1826">
        <f>VLOOKUP(H1826,Listas!$B$2:$C$20,2,FALSE)</f>
        <v>500009</v>
      </c>
      <c r="J1826" t="s">
        <v>361</v>
      </c>
      <c r="K1826">
        <f>VLOOKUP(J1826,Listas!$B$21:$C$50,2,FALSE)</f>
        <v>600001</v>
      </c>
      <c r="L1826">
        <v>0</v>
      </c>
    </row>
    <row r="1827" spans="1:12">
      <c r="A1827">
        <v>116</v>
      </c>
      <c r="B1827" t="s">
        <v>1014</v>
      </c>
      <c r="C1827" s="96">
        <v>411311</v>
      </c>
      <c r="D1827" t="s">
        <v>1015</v>
      </c>
      <c r="E1827" s="96" t="s">
        <v>1467</v>
      </c>
      <c r="H1827" t="s">
        <v>9</v>
      </c>
      <c r="I1827">
        <f>VLOOKUP(H1827,Listas!$B$2:$C$20,2,FALSE)</f>
        <v>500009</v>
      </c>
      <c r="J1827" t="s">
        <v>361</v>
      </c>
      <c r="K1827">
        <f>VLOOKUP(J1827,Listas!$B$21:$C$50,2,FALSE)</f>
        <v>600001</v>
      </c>
      <c r="L1827">
        <v>0</v>
      </c>
    </row>
    <row r="1828" spans="1:12">
      <c r="A1828">
        <v>116</v>
      </c>
      <c r="B1828" t="s">
        <v>5072</v>
      </c>
      <c r="C1828" s="96">
        <v>411313</v>
      </c>
      <c r="D1828" t="s">
        <v>5073</v>
      </c>
      <c r="E1828" s="96" t="s">
        <v>1467</v>
      </c>
      <c r="H1828" t="s">
        <v>9</v>
      </c>
      <c r="I1828">
        <f>VLOOKUP(H1828,Listas!$B$2:$C$20,2,FALSE)</f>
        <v>500009</v>
      </c>
      <c r="J1828" t="s">
        <v>361</v>
      </c>
      <c r="K1828">
        <f>VLOOKUP(J1828,Listas!$B$21:$C$50,2,FALSE)</f>
        <v>600001</v>
      </c>
      <c r="L1828">
        <v>0</v>
      </c>
    </row>
    <row r="1829" spans="1:12">
      <c r="A1829">
        <v>116</v>
      </c>
      <c r="B1829" t="s">
        <v>5074</v>
      </c>
      <c r="C1829" s="96">
        <v>4113999</v>
      </c>
      <c r="D1829" t="s">
        <v>5075</v>
      </c>
      <c r="E1829" s="96" t="s">
        <v>1467</v>
      </c>
      <c r="H1829" t="s">
        <v>9</v>
      </c>
      <c r="I1829">
        <f>VLOOKUP(H1829,Listas!$B$2:$C$20,2,FALSE)</f>
        <v>500009</v>
      </c>
      <c r="J1829" t="s">
        <v>361</v>
      </c>
      <c r="K1829">
        <f>VLOOKUP(J1829,Listas!$B$21:$C$50,2,FALSE)</f>
        <v>600001</v>
      </c>
      <c r="L1829">
        <v>0</v>
      </c>
    </row>
    <row r="1830" spans="1:12" s="336" customFormat="1">
      <c r="A1830" s="336">
        <v>116</v>
      </c>
      <c r="B1830" s="336" t="s">
        <v>5076</v>
      </c>
      <c r="C1830" s="336">
        <v>4119</v>
      </c>
      <c r="D1830" s="336" t="s">
        <v>5077</v>
      </c>
      <c r="E1830" s="337" t="s">
        <v>1462</v>
      </c>
    </row>
    <row r="1831" spans="1:12">
      <c r="A1831">
        <v>116</v>
      </c>
      <c r="B1831" t="s">
        <v>5078</v>
      </c>
      <c r="C1831" s="96">
        <v>4119999</v>
      </c>
      <c r="D1831" t="s">
        <v>5079</v>
      </c>
      <c r="E1831" s="96" t="s">
        <v>1467</v>
      </c>
      <c r="H1831" t="s">
        <v>188</v>
      </c>
      <c r="I1831">
        <f>VLOOKUP(H1831,Listas!$B$2:$C$20,2,FALSE)</f>
        <v>500004</v>
      </c>
      <c r="J1831" t="s">
        <v>361</v>
      </c>
      <c r="K1831">
        <f>VLOOKUP(J1831,Listas!$B$21:$C$50,2,FALSE)</f>
        <v>600001</v>
      </c>
      <c r="L1831">
        <v>0</v>
      </c>
    </row>
    <row r="1832" spans="1:12" s="336" customFormat="1">
      <c r="A1832" s="336">
        <v>116</v>
      </c>
      <c r="B1832" s="336" t="s">
        <v>1016</v>
      </c>
      <c r="C1832" s="336">
        <v>41110</v>
      </c>
      <c r="D1832" s="336" t="s">
        <v>1017</v>
      </c>
      <c r="E1832" s="337" t="s">
        <v>1462</v>
      </c>
    </row>
    <row r="1833" spans="1:12">
      <c r="A1833">
        <v>116</v>
      </c>
      <c r="B1833" t="s">
        <v>1018</v>
      </c>
      <c r="C1833" s="96">
        <v>411101</v>
      </c>
      <c r="D1833" t="s">
        <v>1019</v>
      </c>
      <c r="E1833" s="96" t="s">
        <v>1467</v>
      </c>
      <c r="H1833" t="s">
        <v>199</v>
      </c>
      <c r="I1833">
        <f>VLOOKUP(H1833,Listas!$B$2:$C$20,2,FALSE)</f>
        <v>500011</v>
      </c>
      <c r="J1833" t="s">
        <v>361</v>
      </c>
      <c r="K1833">
        <f>VLOOKUP(J1833,Listas!$B$21:$C$50,2,FALSE)</f>
        <v>600001</v>
      </c>
      <c r="L1833">
        <v>0</v>
      </c>
    </row>
    <row r="1834" spans="1:12" s="336" customFormat="1">
      <c r="A1834" s="336">
        <v>116</v>
      </c>
      <c r="B1834" s="336" t="s">
        <v>5080</v>
      </c>
      <c r="C1834" s="336">
        <v>41199</v>
      </c>
      <c r="D1834" s="336" t="s">
        <v>5081</v>
      </c>
      <c r="E1834" s="337" t="s">
        <v>1462</v>
      </c>
    </row>
    <row r="1835" spans="1:12">
      <c r="A1835">
        <v>116</v>
      </c>
      <c r="B1835" t="s">
        <v>5082</v>
      </c>
      <c r="C1835" s="96">
        <v>41199998</v>
      </c>
      <c r="D1835" t="s">
        <v>5083</v>
      </c>
      <c r="E1835" s="96" t="s">
        <v>1467</v>
      </c>
      <c r="H1835" t="s">
        <v>186</v>
      </c>
      <c r="I1835">
        <f>VLOOKUP(H1835,Listas!$B$2:$C$20,2,FALSE)</f>
        <v>500003</v>
      </c>
      <c r="J1835" t="s">
        <v>361</v>
      </c>
      <c r="K1835">
        <f>VLOOKUP(J1835,Listas!$B$21:$C$50,2,FALSE)</f>
        <v>600001</v>
      </c>
      <c r="L1835">
        <v>0</v>
      </c>
    </row>
    <row r="1836" spans="1:12" s="336" customFormat="1">
      <c r="A1836" s="336">
        <v>116</v>
      </c>
      <c r="B1836" s="336" t="s">
        <v>5084</v>
      </c>
      <c r="C1836" s="336">
        <v>412</v>
      </c>
      <c r="D1836" s="336" t="s">
        <v>5085</v>
      </c>
      <c r="E1836" s="337" t="s">
        <v>1462</v>
      </c>
    </row>
    <row r="1837" spans="1:12" s="336" customFormat="1">
      <c r="A1837" s="336">
        <v>116</v>
      </c>
      <c r="B1837" s="336" t="s">
        <v>5086</v>
      </c>
      <c r="C1837" s="336">
        <v>4121</v>
      </c>
      <c r="D1837" s="336" t="s">
        <v>5087</v>
      </c>
      <c r="E1837" s="337" t="s">
        <v>1462</v>
      </c>
    </row>
    <row r="1838" spans="1:12">
      <c r="A1838">
        <v>116</v>
      </c>
      <c r="B1838" t="s">
        <v>5088</v>
      </c>
      <c r="C1838" s="96">
        <v>41211</v>
      </c>
      <c r="D1838" t="s">
        <v>1105</v>
      </c>
      <c r="E1838" s="96" t="s">
        <v>1467</v>
      </c>
      <c r="H1838" t="s">
        <v>188</v>
      </c>
      <c r="I1838">
        <f>VLOOKUP(H1838,Listas!$B$2:$C$20,2,FALSE)</f>
        <v>500004</v>
      </c>
      <c r="J1838" t="s">
        <v>361</v>
      </c>
      <c r="K1838">
        <f>VLOOKUP(J1838,Listas!$B$21:$C$50,2,FALSE)</f>
        <v>600001</v>
      </c>
      <c r="L1838">
        <v>0</v>
      </c>
    </row>
    <row r="1839" spans="1:12">
      <c r="A1839">
        <v>116</v>
      </c>
      <c r="B1839" t="s">
        <v>5089</v>
      </c>
      <c r="C1839" s="96">
        <v>41212</v>
      </c>
      <c r="D1839" t="s">
        <v>5090</v>
      </c>
      <c r="E1839" s="96" t="s">
        <v>1467</v>
      </c>
      <c r="H1839" t="s">
        <v>188</v>
      </c>
      <c r="I1839">
        <f>VLOOKUP(H1839,Listas!$B$2:$C$20,2,FALSE)</f>
        <v>500004</v>
      </c>
      <c r="J1839" t="s">
        <v>361</v>
      </c>
      <c r="K1839">
        <f>VLOOKUP(J1839,Listas!$B$21:$C$50,2,FALSE)</f>
        <v>600001</v>
      </c>
      <c r="L1839">
        <v>0</v>
      </c>
    </row>
    <row r="1840" spans="1:12">
      <c r="A1840">
        <v>116</v>
      </c>
      <c r="B1840" t="s">
        <v>5091</v>
      </c>
      <c r="C1840" s="96">
        <v>41213</v>
      </c>
      <c r="D1840" t="s">
        <v>5092</v>
      </c>
      <c r="E1840" s="96" t="s">
        <v>1467</v>
      </c>
      <c r="H1840" t="s">
        <v>188</v>
      </c>
      <c r="I1840">
        <f>VLOOKUP(H1840,Listas!$B$2:$C$20,2,FALSE)</f>
        <v>500004</v>
      </c>
      <c r="J1840" t="s">
        <v>361</v>
      </c>
      <c r="K1840">
        <f>VLOOKUP(J1840,Listas!$B$21:$C$50,2,FALSE)</f>
        <v>600001</v>
      </c>
      <c r="L1840">
        <v>0</v>
      </c>
    </row>
    <row r="1841" spans="1:12">
      <c r="A1841">
        <v>116</v>
      </c>
      <c r="B1841" t="s">
        <v>5093</v>
      </c>
      <c r="C1841" s="96">
        <v>4121998</v>
      </c>
      <c r="D1841" t="s">
        <v>5094</v>
      </c>
      <c r="E1841" s="96" t="s">
        <v>1467</v>
      </c>
      <c r="H1841" t="s">
        <v>186</v>
      </c>
      <c r="I1841">
        <f>VLOOKUP(H1841,Listas!$B$2:$C$20,2,FALSE)</f>
        <v>500003</v>
      </c>
      <c r="J1841" t="s">
        <v>361</v>
      </c>
      <c r="K1841">
        <f>VLOOKUP(J1841,Listas!$B$21:$C$50,2,FALSE)</f>
        <v>600001</v>
      </c>
      <c r="L1841">
        <v>0</v>
      </c>
    </row>
    <row r="1842" spans="1:12">
      <c r="A1842">
        <v>116</v>
      </c>
      <c r="B1842" t="s">
        <v>5095</v>
      </c>
      <c r="C1842" s="96">
        <v>4121999</v>
      </c>
      <c r="D1842" t="s">
        <v>5096</v>
      </c>
      <c r="E1842" s="96" t="s">
        <v>1467</v>
      </c>
      <c r="H1842" t="s">
        <v>188</v>
      </c>
      <c r="I1842">
        <f>VLOOKUP(H1842,Listas!$B$2:$C$20,2,FALSE)</f>
        <v>500004</v>
      </c>
      <c r="J1842" t="s">
        <v>361</v>
      </c>
      <c r="K1842">
        <f>VLOOKUP(J1842,Listas!$B$21:$C$50,2,FALSE)</f>
        <v>600001</v>
      </c>
      <c r="L1842">
        <v>0</v>
      </c>
    </row>
    <row r="1843" spans="1:12" s="336" customFormat="1">
      <c r="A1843" s="336">
        <v>116</v>
      </c>
      <c r="B1843" s="336" t="s">
        <v>5097</v>
      </c>
      <c r="C1843" s="336">
        <v>4122</v>
      </c>
      <c r="D1843" s="336" t="s">
        <v>5098</v>
      </c>
      <c r="E1843" s="337" t="s">
        <v>1462</v>
      </c>
    </row>
    <row r="1844" spans="1:12">
      <c r="A1844">
        <v>116</v>
      </c>
      <c r="B1844" t="s">
        <v>5099</v>
      </c>
      <c r="C1844" s="96">
        <v>41221</v>
      </c>
      <c r="D1844" t="s">
        <v>5092</v>
      </c>
      <c r="E1844" s="96" t="s">
        <v>1467</v>
      </c>
      <c r="H1844" t="s">
        <v>188</v>
      </c>
      <c r="I1844">
        <f>VLOOKUP(H1844,Listas!$B$2:$C$20,2,FALSE)</f>
        <v>500004</v>
      </c>
      <c r="J1844" t="s">
        <v>361</v>
      </c>
      <c r="K1844">
        <f>VLOOKUP(J1844,Listas!$B$21:$C$50,2,FALSE)</f>
        <v>600001</v>
      </c>
      <c r="L1844">
        <v>0</v>
      </c>
    </row>
    <row r="1845" spans="1:12">
      <c r="A1845">
        <v>116</v>
      </c>
      <c r="B1845" t="s">
        <v>5100</v>
      </c>
      <c r="C1845" s="96">
        <v>4122999</v>
      </c>
      <c r="D1845" t="s">
        <v>5101</v>
      </c>
      <c r="E1845" s="96" t="s">
        <v>1467</v>
      </c>
      <c r="H1845" t="s">
        <v>188</v>
      </c>
      <c r="I1845">
        <f>VLOOKUP(H1845,Listas!$B$2:$C$20,2,FALSE)</f>
        <v>500004</v>
      </c>
      <c r="J1845" t="s">
        <v>361</v>
      </c>
      <c r="K1845">
        <f>VLOOKUP(J1845,Listas!$B$21:$C$50,2,FALSE)</f>
        <v>600001</v>
      </c>
      <c r="L1845">
        <v>0</v>
      </c>
    </row>
    <row r="1846" spans="1:12" s="336" customFormat="1">
      <c r="A1846" s="336">
        <v>116</v>
      </c>
      <c r="B1846" s="336" t="s">
        <v>5102</v>
      </c>
      <c r="C1846" s="336">
        <v>41299</v>
      </c>
      <c r="D1846" s="336" t="s">
        <v>5103</v>
      </c>
      <c r="E1846" s="337" t="s">
        <v>1462</v>
      </c>
    </row>
    <row r="1847" spans="1:12">
      <c r="A1847">
        <v>116</v>
      </c>
      <c r="B1847" t="s">
        <v>5104</v>
      </c>
      <c r="C1847" s="96">
        <v>41299998</v>
      </c>
      <c r="D1847" t="s">
        <v>5105</v>
      </c>
      <c r="E1847" s="96" t="s">
        <v>1467</v>
      </c>
      <c r="H1847" t="s">
        <v>186</v>
      </c>
      <c r="I1847">
        <f>VLOOKUP(H1847,Listas!$B$2:$C$20,2,FALSE)</f>
        <v>500003</v>
      </c>
      <c r="J1847" t="s">
        <v>361</v>
      </c>
      <c r="K1847">
        <f>VLOOKUP(J1847,Listas!$B$21:$C$50,2,FALSE)</f>
        <v>600001</v>
      </c>
      <c r="L1847">
        <v>0</v>
      </c>
    </row>
    <row r="1848" spans="1:12" s="336" customFormat="1">
      <c r="A1848" s="336">
        <v>116</v>
      </c>
      <c r="B1848" s="336" t="s">
        <v>1020</v>
      </c>
      <c r="C1848" s="336">
        <v>413</v>
      </c>
      <c r="D1848" s="336" t="s">
        <v>1021</v>
      </c>
      <c r="E1848" s="337" t="s">
        <v>1462</v>
      </c>
    </row>
    <row r="1849" spans="1:12" s="336" customFormat="1">
      <c r="A1849" s="336">
        <v>116</v>
      </c>
      <c r="B1849" s="336" t="s">
        <v>12</v>
      </c>
      <c r="C1849" s="336">
        <v>4131</v>
      </c>
      <c r="D1849" s="336" t="s">
        <v>11</v>
      </c>
      <c r="E1849" s="337" t="s">
        <v>1462</v>
      </c>
    </row>
    <row r="1850" spans="1:12">
      <c r="A1850">
        <v>116</v>
      </c>
      <c r="B1850" t="s">
        <v>1022</v>
      </c>
      <c r="C1850" s="96">
        <v>41311</v>
      </c>
      <c r="D1850" t="s">
        <v>1023</v>
      </c>
      <c r="E1850" s="96" t="s">
        <v>1467</v>
      </c>
      <c r="H1850" t="s">
        <v>188</v>
      </c>
      <c r="I1850">
        <f>VLOOKUP(H1850,Listas!$B$2:$C$20,2,FALSE)</f>
        <v>500004</v>
      </c>
      <c r="J1850" t="s">
        <v>361</v>
      </c>
      <c r="K1850">
        <f>VLOOKUP(J1850,Listas!$B$21:$C$50,2,FALSE)</f>
        <v>600001</v>
      </c>
      <c r="L1850">
        <v>0</v>
      </c>
    </row>
    <row r="1851" spans="1:12">
      <c r="A1851">
        <v>116</v>
      </c>
      <c r="B1851" t="s">
        <v>1024</v>
      </c>
      <c r="C1851" s="96">
        <v>41312</v>
      </c>
      <c r="D1851" t="s">
        <v>1025</v>
      </c>
      <c r="E1851" s="96" t="s">
        <v>1467</v>
      </c>
      <c r="H1851" t="s">
        <v>188</v>
      </c>
      <c r="I1851">
        <f>VLOOKUP(H1851,Listas!$B$2:$C$20,2,FALSE)</f>
        <v>500004</v>
      </c>
      <c r="J1851" t="s">
        <v>361</v>
      </c>
      <c r="K1851">
        <f>VLOOKUP(J1851,Listas!$B$21:$C$50,2,FALSE)</f>
        <v>600001</v>
      </c>
      <c r="L1851">
        <v>0</v>
      </c>
    </row>
    <row r="1852" spans="1:12">
      <c r="A1852">
        <v>116</v>
      </c>
      <c r="B1852" t="s">
        <v>5106</v>
      </c>
      <c r="C1852" s="96">
        <v>41313</v>
      </c>
      <c r="D1852" t="s">
        <v>1111</v>
      </c>
      <c r="E1852" s="96" t="s">
        <v>1467</v>
      </c>
      <c r="H1852" t="s">
        <v>186</v>
      </c>
      <c r="I1852">
        <f>VLOOKUP(H1852,Listas!$B$2:$C$20,2,FALSE)</f>
        <v>500003</v>
      </c>
      <c r="J1852" t="s">
        <v>361</v>
      </c>
      <c r="K1852">
        <f>VLOOKUP(J1852,Listas!$B$21:$C$50,2,FALSE)</f>
        <v>600001</v>
      </c>
      <c r="L1852">
        <v>0</v>
      </c>
    </row>
    <row r="1853" spans="1:12">
      <c r="A1853">
        <v>116</v>
      </c>
      <c r="B1853" t="s">
        <v>5107</v>
      </c>
      <c r="C1853" s="96">
        <v>41314</v>
      </c>
      <c r="D1853" t="s">
        <v>5108</v>
      </c>
      <c r="E1853" s="96" t="s">
        <v>1467</v>
      </c>
      <c r="H1853" t="s">
        <v>188</v>
      </c>
      <c r="I1853">
        <f>VLOOKUP(H1853,Listas!$B$2:$C$20,2,FALSE)</f>
        <v>500004</v>
      </c>
      <c r="J1853" t="s">
        <v>361</v>
      </c>
      <c r="K1853">
        <f>VLOOKUP(J1853,Listas!$B$21:$C$50,2,FALSE)</f>
        <v>600001</v>
      </c>
      <c r="L1853">
        <v>0</v>
      </c>
    </row>
    <row r="1854" spans="1:12">
      <c r="A1854">
        <v>116</v>
      </c>
      <c r="B1854" t="s">
        <v>1026</v>
      </c>
      <c r="C1854" s="96">
        <v>41315</v>
      </c>
      <c r="D1854" t="s">
        <v>1027</v>
      </c>
      <c r="E1854" s="96" t="s">
        <v>1467</v>
      </c>
      <c r="H1854" t="s">
        <v>188</v>
      </c>
      <c r="I1854">
        <f>VLOOKUP(H1854,Listas!$B$2:$C$20,2,FALSE)</f>
        <v>500004</v>
      </c>
      <c r="J1854" t="s">
        <v>361</v>
      </c>
      <c r="K1854">
        <f>VLOOKUP(J1854,Listas!$B$21:$C$50,2,FALSE)</f>
        <v>600001</v>
      </c>
      <c r="L1854">
        <v>0</v>
      </c>
    </row>
    <row r="1855" spans="1:12">
      <c r="A1855">
        <v>116</v>
      </c>
      <c r="B1855" t="s">
        <v>5109</v>
      </c>
      <c r="C1855" s="96">
        <v>41316</v>
      </c>
      <c r="D1855" t="s">
        <v>1114</v>
      </c>
      <c r="E1855" s="96" t="s">
        <v>1467</v>
      </c>
      <c r="H1855" t="s">
        <v>188</v>
      </c>
      <c r="I1855">
        <f>VLOOKUP(H1855,Listas!$B$2:$C$20,2,FALSE)</f>
        <v>500004</v>
      </c>
      <c r="J1855" t="s">
        <v>361</v>
      </c>
      <c r="K1855">
        <f>VLOOKUP(J1855,Listas!$B$21:$C$50,2,FALSE)</f>
        <v>600001</v>
      </c>
      <c r="L1855">
        <v>0</v>
      </c>
    </row>
    <row r="1856" spans="1:12">
      <c r="A1856">
        <v>116</v>
      </c>
      <c r="B1856" t="s">
        <v>5110</v>
      </c>
      <c r="C1856" s="96">
        <v>41317</v>
      </c>
      <c r="D1856" t="s">
        <v>5111</v>
      </c>
      <c r="E1856" s="96" t="s">
        <v>1467</v>
      </c>
      <c r="H1856" t="s">
        <v>188</v>
      </c>
      <c r="I1856">
        <f>VLOOKUP(H1856,Listas!$B$2:$C$20,2,FALSE)</f>
        <v>500004</v>
      </c>
      <c r="J1856" t="s">
        <v>361</v>
      </c>
      <c r="K1856">
        <f>VLOOKUP(J1856,Listas!$B$21:$C$50,2,FALSE)</f>
        <v>600001</v>
      </c>
      <c r="L1856">
        <v>0</v>
      </c>
    </row>
    <row r="1857" spans="1:12">
      <c r="A1857">
        <v>116</v>
      </c>
      <c r="B1857" t="s">
        <v>5112</v>
      </c>
      <c r="C1857" s="96">
        <v>41318</v>
      </c>
      <c r="D1857" t="s">
        <v>5113</v>
      </c>
      <c r="E1857" s="96" t="s">
        <v>1467</v>
      </c>
      <c r="H1857" t="s">
        <v>188</v>
      </c>
      <c r="I1857">
        <f>VLOOKUP(H1857,Listas!$B$2:$C$20,2,FALSE)</f>
        <v>500004</v>
      </c>
      <c r="J1857" t="s">
        <v>361</v>
      </c>
      <c r="K1857">
        <f>VLOOKUP(J1857,Listas!$B$21:$C$50,2,FALSE)</f>
        <v>600001</v>
      </c>
      <c r="L1857">
        <v>0</v>
      </c>
    </row>
    <row r="1858" spans="1:12">
      <c r="A1858">
        <v>116</v>
      </c>
      <c r="B1858" t="s">
        <v>5114</v>
      </c>
      <c r="C1858" s="96">
        <v>41319</v>
      </c>
      <c r="D1858" t="s">
        <v>5115</v>
      </c>
      <c r="E1858" s="96" t="s">
        <v>1467</v>
      </c>
      <c r="H1858" t="s">
        <v>188</v>
      </c>
      <c r="I1858">
        <f>VLOOKUP(H1858,Listas!$B$2:$C$20,2,FALSE)</f>
        <v>500004</v>
      </c>
      <c r="J1858" t="s">
        <v>361</v>
      </c>
      <c r="K1858">
        <f>VLOOKUP(J1858,Listas!$B$21:$C$50,2,FALSE)</f>
        <v>600001</v>
      </c>
      <c r="L1858">
        <v>0</v>
      </c>
    </row>
    <row r="1859" spans="1:12">
      <c r="A1859">
        <v>116</v>
      </c>
      <c r="B1859" t="s">
        <v>5116</v>
      </c>
      <c r="C1859" s="96">
        <v>413110</v>
      </c>
      <c r="D1859" t="s">
        <v>5117</v>
      </c>
      <c r="E1859" s="96" t="s">
        <v>1467</v>
      </c>
      <c r="H1859" t="s">
        <v>188</v>
      </c>
      <c r="I1859">
        <f>VLOOKUP(H1859,Listas!$B$2:$C$20,2,FALSE)</f>
        <v>500004</v>
      </c>
      <c r="J1859" t="s">
        <v>361</v>
      </c>
      <c r="K1859">
        <f>VLOOKUP(J1859,Listas!$B$21:$C$50,2,FALSE)</f>
        <v>600001</v>
      </c>
      <c r="L1859">
        <v>0</v>
      </c>
    </row>
    <row r="1860" spans="1:12">
      <c r="A1860">
        <v>116</v>
      </c>
      <c r="B1860" t="s">
        <v>5118</v>
      </c>
      <c r="C1860" s="96">
        <v>413111</v>
      </c>
      <c r="D1860" t="s">
        <v>5119</v>
      </c>
      <c r="E1860" s="96" t="s">
        <v>1467</v>
      </c>
      <c r="H1860" t="s">
        <v>188</v>
      </c>
      <c r="I1860">
        <f>VLOOKUP(H1860,Listas!$B$2:$C$20,2,FALSE)</f>
        <v>500004</v>
      </c>
      <c r="J1860" t="s">
        <v>361</v>
      </c>
      <c r="K1860">
        <f>VLOOKUP(J1860,Listas!$B$21:$C$50,2,FALSE)</f>
        <v>600001</v>
      </c>
      <c r="L1860">
        <v>0</v>
      </c>
    </row>
    <row r="1861" spans="1:12">
      <c r="A1861">
        <v>116</v>
      </c>
      <c r="B1861" t="s">
        <v>5120</v>
      </c>
      <c r="C1861" s="96">
        <v>413112</v>
      </c>
      <c r="D1861" t="s">
        <v>1056</v>
      </c>
      <c r="E1861" s="96" t="s">
        <v>1467</v>
      </c>
      <c r="H1861" t="s">
        <v>188</v>
      </c>
      <c r="I1861">
        <f>VLOOKUP(H1861,Listas!$B$2:$C$20,2,FALSE)</f>
        <v>500004</v>
      </c>
      <c r="J1861" t="s">
        <v>361</v>
      </c>
      <c r="K1861">
        <f>VLOOKUP(J1861,Listas!$B$21:$C$50,2,FALSE)</f>
        <v>600001</v>
      </c>
      <c r="L1861">
        <v>0</v>
      </c>
    </row>
    <row r="1862" spans="1:12">
      <c r="A1862">
        <v>116</v>
      </c>
      <c r="B1862" t="s">
        <v>5121</v>
      </c>
      <c r="C1862" s="96">
        <v>413113</v>
      </c>
      <c r="D1862" t="s">
        <v>1120</v>
      </c>
      <c r="E1862" s="96" t="s">
        <v>1467</v>
      </c>
      <c r="H1862" t="s">
        <v>208</v>
      </c>
      <c r="I1862">
        <f>VLOOKUP(H1862,Listas!$B$2:$C$20,2,FALSE)</f>
        <v>500017</v>
      </c>
      <c r="J1862" t="s">
        <v>361</v>
      </c>
      <c r="K1862">
        <f>VLOOKUP(J1862,Listas!$B$21:$C$50,2,FALSE)</f>
        <v>600001</v>
      </c>
      <c r="L1862">
        <v>0</v>
      </c>
    </row>
    <row r="1863" spans="1:12">
      <c r="A1863">
        <v>116</v>
      </c>
      <c r="B1863" t="s">
        <v>1028</v>
      </c>
      <c r="C1863" s="96">
        <v>413114</v>
      </c>
      <c r="D1863" t="s">
        <v>1029</v>
      </c>
      <c r="E1863" s="96" t="s">
        <v>1467</v>
      </c>
      <c r="H1863" t="s">
        <v>188</v>
      </c>
      <c r="I1863">
        <f>VLOOKUP(H1863,Listas!$B$2:$C$20,2,FALSE)</f>
        <v>500004</v>
      </c>
      <c r="J1863" t="s">
        <v>361</v>
      </c>
      <c r="K1863">
        <f>VLOOKUP(J1863,Listas!$B$21:$C$50,2,FALSE)</f>
        <v>600001</v>
      </c>
      <c r="L1863">
        <v>0</v>
      </c>
    </row>
    <row r="1864" spans="1:12">
      <c r="A1864">
        <v>116</v>
      </c>
      <c r="B1864" t="s">
        <v>5122</v>
      </c>
      <c r="C1864" s="96">
        <v>413115</v>
      </c>
      <c r="D1864" t="s">
        <v>5123</v>
      </c>
      <c r="E1864" s="96" t="s">
        <v>1467</v>
      </c>
      <c r="H1864" t="s">
        <v>188</v>
      </c>
      <c r="I1864">
        <f>VLOOKUP(H1864,Listas!$B$2:$C$20,2,FALSE)</f>
        <v>500004</v>
      </c>
      <c r="J1864" t="s">
        <v>361</v>
      </c>
      <c r="K1864">
        <f>VLOOKUP(J1864,Listas!$B$21:$C$50,2,FALSE)</f>
        <v>600001</v>
      </c>
      <c r="L1864">
        <v>0</v>
      </c>
    </row>
    <row r="1865" spans="1:12">
      <c r="A1865">
        <v>116</v>
      </c>
      <c r="B1865" t="s">
        <v>1030</v>
      </c>
      <c r="C1865" s="96">
        <v>413117</v>
      </c>
      <c r="D1865" t="s">
        <v>1031</v>
      </c>
      <c r="E1865" s="96" t="s">
        <v>1467</v>
      </c>
      <c r="H1865" t="s">
        <v>197</v>
      </c>
      <c r="I1865">
        <f>VLOOKUP(H1865,Listas!$B$2:$C$20,2,FALSE)</f>
        <v>500008</v>
      </c>
      <c r="J1865" t="s">
        <v>361</v>
      </c>
      <c r="K1865">
        <f>VLOOKUP(J1865,Listas!$B$21:$C$50,2,FALSE)</f>
        <v>600001</v>
      </c>
      <c r="L1865">
        <v>0</v>
      </c>
    </row>
    <row r="1866" spans="1:12">
      <c r="A1866">
        <v>116</v>
      </c>
      <c r="B1866" t="s">
        <v>5124</v>
      </c>
      <c r="C1866" s="96">
        <v>413118</v>
      </c>
      <c r="D1866" t="s">
        <v>5125</v>
      </c>
      <c r="E1866" s="96" t="s">
        <v>1467</v>
      </c>
      <c r="H1866" t="s">
        <v>197</v>
      </c>
      <c r="I1866">
        <f>VLOOKUP(H1866,Listas!$B$2:$C$20,2,FALSE)</f>
        <v>500008</v>
      </c>
      <c r="J1866" t="s">
        <v>361</v>
      </c>
      <c r="K1866">
        <f>VLOOKUP(J1866,Listas!$B$21:$C$50,2,FALSE)</f>
        <v>600001</v>
      </c>
      <c r="L1866">
        <v>0</v>
      </c>
    </row>
    <row r="1867" spans="1:12">
      <c r="A1867">
        <v>116</v>
      </c>
      <c r="B1867" t="s">
        <v>1032</v>
      </c>
      <c r="C1867" s="96">
        <v>4131997</v>
      </c>
      <c r="D1867" t="s">
        <v>1033</v>
      </c>
      <c r="E1867" s="96" t="s">
        <v>1467</v>
      </c>
      <c r="H1867" t="s">
        <v>188</v>
      </c>
      <c r="I1867">
        <f>VLOOKUP(H1867,Listas!$B$2:$C$20,2,FALSE)</f>
        <v>500004</v>
      </c>
      <c r="J1867" t="s">
        <v>361</v>
      </c>
      <c r="K1867">
        <f>VLOOKUP(J1867,Listas!$B$21:$C$50,2,FALSE)</f>
        <v>600001</v>
      </c>
      <c r="L1867">
        <v>0</v>
      </c>
    </row>
    <row r="1868" spans="1:12">
      <c r="A1868">
        <v>116</v>
      </c>
      <c r="B1868" t="s">
        <v>5126</v>
      </c>
      <c r="C1868" s="96">
        <v>4131998</v>
      </c>
      <c r="D1868" t="s">
        <v>5127</v>
      </c>
      <c r="E1868" s="96" t="s">
        <v>1467</v>
      </c>
      <c r="H1868" t="s">
        <v>186</v>
      </c>
      <c r="I1868">
        <f>VLOOKUP(H1868,Listas!$B$2:$C$20,2,FALSE)</f>
        <v>500003</v>
      </c>
      <c r="J1868" t="s">
        <v>361</v>
      </c>
      <c r="K1868">
        <f>VLOOKUP(J1868,Listas!$B$21:$C$50,2,FALSE)</f>
        <v>600001</v>
      </c>
      <c r="L1868">
        <v>0</v>
      </c>
    </row>
    <row r="1869" spans="1:12">
      <c r="A1869">
        <v>116</v>
      </c>
      <c r="B1869" t="s">
        <v>5128</v>
      </c>
      <c r="C1869" s="96">
        <v>4131999</v>
      </c>
      <c r="D1869" t="s">
        <v>5129</v>
      </c>
      <c r="E1869" s="96" t="s">
        <v>1467</v>
      </c>
      <c r="H1869" t="s">
        <v>188</v>
      </c>
      <c r="I1869">
        <f>VLOOKUP(H1869,Listas!$B$2:$C$20,2,FALSE)</f>
        <v>500004</v>
      </c>
      <c r="J1869" t="s">
        <v>361</v>
      </c>
      <c r="K1869">
        <f>VLOOKUP(J1869,Listas!$B$21:$C$50,2,FALSE)</f>
        <v>600001</v>
      </c>
      <c r="L1869">
        <v>0</v>
      </c>
    </row>
    <row r="1870" spans="1:12" s="336" customFormat="1">
      <c r="A1870" s="336">
        <v>116</v>
      </c>
      <c r="B1870" s="336" t="s">
        <v>5130</v>
      </c>
      <c r="C1870" s="336">
        <v>4132</v>
      </c>
      <c r="D1870" s="336" t="s">
        <v>5131</v>
      </c>
      <c r="E1870" s="337" t="s">
        <v>1462</v>
      </c>
    </row>
    <row r="1871" spans="1:12">
      <c r="A1871">
        <v>116</v>
      </c>
      <c r="B1871" t="s">
        <v>5132</v>
      </c>
      <c r="C1871" s="96">
        <v>41321</v>
      </c>
      <c r="D1871" t="s">
        <v>1023</v>
      </c>
      <c r="E1871" s="96" t="s">
        <v>1467</v>
      </c>
      <c r="H1871" t="s">
        <v>188</v>
      </c>
      <c r="I1871">
        <f>VLOOKUP(H1871,Listas!$B$2:$C$20,2,FALSE)</f>
        <v>500004</v>
      </c>
      <c r="J1871" t="s">
        <v>361</v>
      </c>
      <c r="K1871">
        <f>VLOOKUP(J1871,Listas!$B$21:$C$50,2,FALSE)</f>
        <v>600001</v>
      </c>
      <c r="L1871">
        <v>0</v>
      </c>
    </row>
    <row r="1872" spans="1:12">
      <c r="A1872">
        <v>116</v>
      </c>
      <c r="B1872" t="s">
        <v>5133</v>
      </c>
      <c r="C1872" s="96">
        <v>41322</v>
      </c>
      <c r="D1872" t="s">
        <v>1029</v>
      </c>
      <c r="E1872" s="96" t="s">
        <v>1467</v>
      </c>
      <c r="H1872" t="s">
        <v>188</v>
      </c>
      <c r="I1872">
        <f>VLOOKUP(H1872,Listas!$B$2:$C$20,2,FALSE)</f>
        <v>500004</v>
      </c>
      <c r="J1872" t="s">
        <v>361</v>
      </c>
      <c r="K1872">
        <f>VLOOKUP(J1872,Listas!$B$21:$C$50,2,FALSE)</f>
        <v>600001</v>
      </c>
      <c r="L1872">
        <v>0</v>
      </c>
    </row>
    <row r="1873" spans="1:12">
      <c r="A1873">
        <v>116</v>
      </c>
      <c r="B1873" t="s">
        <v>5134</v>
      </c>
      <c r="C1873" s="96">
        <v>4132999</v>
      </c>
      <c r="D1873" t="s">
        <v>5129</v>
      </c>
      <c r="E1873" s="96" t="s">
        <v>1467</v>
      </c>
      <c r="H1873" t="s">
        <v>188</v>
      </c>
      <c r="I1873">
        <f>VLOOKUP(H1873,Listas!$B$2:$C$20,2,FALSE)</f>
        <v>500004</v>
      </c>
      <c r="J1873" t="s">
        <v>361</v>
      </c>
      <c r="K1873">
        <f>VLOOKUP(J1873,Listas!$B$21:$C$50,2,FALSE)</f>
        <v>600001</v>
      </c>
      <c r="L1873">
        <v>0</v>
      </c>
    </row>
    <row r="1874" spans="1:12" s="336" customFormat="1">
      <c r="A1874" s="336">
        <v>116</v>
      </c>
      <c r="B1874" s="336" t="s">
        <v>18</v>
      </c>
      <c r="C1874" s="336">
        <v>414</v>
      </c>
      <c r="D1874" s="336" t="s">
        <v>1034</v>
      </c>
      <c r="E1874" s="337" t="s">
        <v>1462</v>
      </c>
    </row>
    <row r="1875" spans="1:12" s="336" customFormat="1">
      <c r="A1875" s="336">
        <v>116</v>
      </c>
      <c r="B1875" s="336" t="s">
        <v>1035</v>
      </c>
      <c r="C1875" s="336">
        <v>4141</v>
      </c>
      <c r="D1875" s="336" t="s">
        <v>17</v>
      </c>
      <c r="E1875" s="337" t="s">
        <v>1462</v>
      </c>
    </row>
    <row r="1876" spans="1:12">
      <c r="A1876">
        <v>116</v>
      </c>
      <c r="B1876" t="s">
        <v>5135</v>
      </c>
      <c r="C1876" s="96">
        <v>41411</v>
      </c>
      <c r="D1876" t="s">
        <v>5136</v>
      </c>
      <c r="E1876" s="96" t="s">
        <v>1467</v>
      </c>
      <c r="H1876" t="s">
        <v>202</v>
      </c>
      <c r="I1876">
        <f>VLOOKUP(H1876,Listas!$B$2:$C$20,2,FALSE)</f>
        <v>500012</v>
      </c>
      <c r="J1876" t="s">
        <v>361</v>
      </c>
      <c r="K1876">
        <f>VLOOKUP(J1876,Listas!$B$21:$C$50,2,FALSE)</f>
        <v>600001</v>
      </c>
      <c r="L1876">
        <v>0</v>
      </c>
    </row>
    <row r="1877" spans="1:12">
      <c r="A1877">
        <v>116</v>
      </c>
      <c r="B1877" t="s">
        <v>1036</v>
      </c>
      <c r="C1877" s="96">
        <v>41412</v>
      </c>
      <c r="D1877" t="s">
        <v>1037</v>
      </c>
      <c r="E1877" s="96" t="s">
        <v>1467</v>
      </c>
      <c r="H1877" t="s">
        <v>204</v>
      </c>
      <c r="I1877">
        <f>VLOOKUP(H1877,Listas!$B$2:$C$20,2,FALSE)</f>
        <v>500014</v>
      </c>
      <c r="J1877" t="s">
        <v>361</v>
      </c>
      <c r="K1877">
        <f>VLOOKUP(J1877,Listas!$B$21:$C$50,2,FALSE)</f>
        <v>600001</v>
      </c>
      <c r="L1877">
        <v>0</v>
      </c>
    </row>
    <row r="1878" spans="1:12">
      <c r="A1878">
        <v>116</v>
      </c>
      <c r="B1878" t="s">
        <v>5137</v>
      </c>
      <c r="C1878" s="96">
        <v>41413</v>
      </c>
      <c r="D1878" t="s">
        <v>5138</v>
      </c>
      <c r="E1878" s="96" t="s">
        <v>1467</v>
      </c>
      <c r="H1878" t="s">
        <v>203</v>
      </c>
      <c r="I1878">
        <f>VLOOKUP(H1878,Listas!$B$2:$C$20,2,FALSE)</f>
        <v>500013</v>
      </c>
      <c r="J1878" t="s">
        <v>361</v>
      </c>
      <c r="K1878">
        <f>VLOOKUP(J1878,Listas!$B$21:$C$50,2,FALSE)</f>
        <v>600001</v>
      </c>
      <c r="L1878">
        <v>0</v>
      </c>
    </row>
    <row r="1879" spans="1:12">
      <c r="A1879">
        <v>116</v>
      </c>
      <c r="B1879" t="s">
        <v>5139</v>
      </c>
      <c r="C1879" s="96">
        <v>41414</v>
      </c>
      <c r="D1879" t="s">
        <v>5140</v>
      </c>
      <c r="E1879" s="96" t="s">
        <v>1467</v>
      </c>
      <c r="H1879" t="s">
        <v>204</v>
      </c>
      <c r="I1879">
        <f>VLOOKUP(H1879,Listas!$B$2:$C$20,2,FALSE)</f>
        <v>500014</v>
      </c>
      <c r="J1879" t="s">
        <v>361</v>
      </c>
      <c r="K1879">
        <f>VLOOKUP(J1879,Listas!$B$21:$C$50,2,FALSE)</f>
        <v>600001</v>
      </c>
      <c r="L1879">
        <v>0</v>
      </c>
    </row>
    <row r="1880" spans="1:12">
      <c r="A1880">
        <v>116</v>
      </c>
      <c r="B1880" t="s">
        <v>5141</v>
      </c>
      <c r="C1880" s="96">
        <v>41415</v>
      </c>
      <c r="D1880" t="s">
        <v>5142</v>
      </c>
      <c r="E1880" s="96" t="s">
        <v>1467</v>
      </c>
      <c r="H1880" t="s">
        <v>204</v>
      </c>
      <c r="I1880">
        <f>VLOOKUP(H1880,Listas!$B$2:$C$20,2,FALSE)</f>
        <v>500014</v>
      </c>
      <c r="J1880" t="s">
        <v>361</v>
      </c>
      <c r="K1880">
        <f>VLOOKUP(J1880,Listas!$B$21:$C$50,2,FALSE)</f>
        <v>600001</v>
      </c>
      <c r="L1880">
        <v>0</v>
      </c>
    </row>
    <row r="1881" spans="1:12">
      <c r="A1881">
        <v>116</v>
      </c>
      <c r="B1881" t="s">
        <v>5143</v>
      </c>
      <c r="C1881" s="96">
        <v>41416</v>
      </c>
      <c r="D1881" t="s">
        <v>5144</v>
      </c>
      <c r="E1881" s="96" t="s">
        <v>1467</v>
      </c>
      <c r="H1881" t="s">
        <v>202</v>
      </c>
      <c r="I1881">
        <f>VLOOKUP(H1881,Listas!$B$2:$C$20,2,FALSE)</f>
        <v>500012</v>
      </c>
      <c r="J1881" t="s">
        <v>361</v>
      </c>
      <c r="K1881">
        <f>VLOOKUP(J1881,Listas!$B$21:$C$50,2,FALSE)</f>
        <v>600001</v>
      </c>
      <c r="L1881">
        <v>0</v>
      </c>
    </row>
    <row r="1882" spans="1:12">
      <c r="A1882">
        <v>116</v>
      </c>
      <c r="B1882" t="s">
        <v>5145</v>
      </c>
      <c r="C1882" s="96">
        <v>41417</v>
      </c>
      <c r="D1882" t="s">
        <v>5146</v>
      </c>
      <c r="E1882" s="96" t="s">
        <v>1467</v>
      </c>
      <c r="H1882" t="s">
        <v>203</v>
      </c>
      <c r="I1882">
        <f>VLOOKUP(H1882,Listas!$B$2:$C$20,2,FALSE)</f>
        <v>500013</v>
      </c>
      <c r="J1882" t="s">
        <v>361</v>
      </c>
      <c r="K1882">
        <f>VLOOKUP(J1882,Listas!$B$21:$C$50,2,FALSE)</f>
        <v>600001</v>
      </c>
      <c r="L1882">
        <v>0</v>
      </c>
    </row>
    <row r="1883" spans="1:12">
      <c r="A1883">
        <v>116</v>
      </c>
      <c r="B1883" t="s">
        <v>1038</v>
      </c>
      <c r="C1883" s="96">
        <v>41418</v>
      </c>
      <c r="D1883" t="s">
        <v>1039</v>
      </c>
      <c r="E1883" s="96" t="s">
        <v>1467</v>
      </c>
      <c r="H1883" t="s">
        <v>203</v>
      </c>
      <c r="I1883">
        <f>VLOOKUP(H1883,Listas!$B$2:$C$20,2,FALSE)</f>
        <v>500013</v>
      </c>
      <c r="J1883" t="s">
        <v>361</v>
      </c>
      <c r="K1883">
        <f>VLOOKUP(J1883,Listas!$B$21:$C$50,2,FALSE)</f>
        <v>600001</v>
      </c>
      <c r="L1883">
        <v>0</v>
      </c>
    </row>
    <row r="1884" spans="1:12" s="336" customFormat="1">
      <c r="A1884" s="336">
        <v>116</v>
      </c>
      <c r="B1884" s="336" t="s">
        <v>5147</v>
      </c>
      <c r="C1884" s="336">
        <v>415</v>
      </c>
      <c r="D1884" s="336" t="s">
        <v>5148</v>
      </c>
      <c r="E1884" s="337" t="s">
        <v>1462</v>
      </c>
    </row>
    <row r="1885" spans="1:12" s="336" customFormat="1">
      <c r="A1885" s="336">
        <v>116</v>
      </c>
      <c r="B1885" s="336" t="s">
        <v>5149</v>
      </c>
      <c r="C1885" s="336">
        <v>4151</v>
      </c>
      <c r="D1885" s="336" t="s">
        <v>5150</v>
      </c>
      <c r="E1885" s="337" t="s">
        <v>1462</v>
      </c>
    </row>
    <row r="1886" spans="1:12">
      <c r="A1886">
        <v>116</v>
      </c>
      <c r="B1886" t="s">
        <v>5151</v>
      </c>
      <c r="C1886" s="96">
        <v>41511</v>
      </c>
      <c r="D1886" t="s">
        <v>1151</v>
      </c>
      <c r="E1886" s="96" t="s">
        <v>1467</v>
      </c>
      <c r="H1886" t="s">
        <v>199</v>
      </c>
      <c r="I1886">
        <f>VLOOKUP(H1886,Listas!$B$2:$C$20,2,FALSE)</f>
        <v>500011</v>
      </c>
      <c r="J1886" t="s">
        <v>361</v>
      </c>
      <c r="K1886">
        <f>VLOOKUP(J1886,Listas!$B$21:$C$50,2,FALSE)</f>
        <v>600001</v>
      </c>
      <c r="L1886">
        <v>0</v>
      </c>
    </row>
    <row r="1887" spans="1:12">
      <c r="A1887">
        <v>116</v>
      </c>
      <c r="B1887" t="s">
        <v>5152</v>
      </c>
      <c r="C1887" s="96">
        <v>41512</v>
      </c>
      <c r="D1887" t="s">
        <v>5153</v>
      </c>
      <c r="E1887" s="96" t="s">
        <v>1467</v>
      </c>
      <c r="H1887" t="s">
        <v>5154</v>
      </c>
      <c r="I1887">
        <f>VLOOKUP(H1887,Listas!$B$2:$C$20,2,FALSE)</f>
        <v>500015</v>
      </c>
      <c r="J1887" t="s">
        <v>361</v>
      </c>
      <c r="K1887">
        <f>VLOOKUP(J1887,Listas!$B$21:$C$50,2,FALSE)</f>
        <v>600001</v>
      </c>
      <c r="L1887">
        <v>0</v>
      </c>
    </row>
    <row r="1888" spans="1:12">
      <c r="A1888">
        <v>116</v>
      </c>
      <c r="B1888" t="s">
        <v>5155</v>
      </c>
      <c r="C1888" s="96">
        <v>41513</v>
      </c>
      <c r="D1888" t="s">
        <v>5156</v>
      </c>
      <c r="E1888" s="96" t="s">
        <v>1467</v>
      </c>
      <c r="H1888" t="s">
        <v>5154</v>
      </c>
      <c r="I1888">
        <f>VLOOKUP(H1888,Listas!$B$2:$C$20,2,FALSE)</f>
        <v>500015</v>
      </c>
      <c r="J1888" t="s">
        <v>361</v>
      </c>
      <c r="K1888">
        <f>VLOOKUP(J1888,Listas!$B$21:$C$50,2,FALSE)</f>
        <v>600001</v>
      </c>
      <c r="L1888">
        <v>0</v>
      </c>
    </row>
    <row r="1889" spans="1:12">
      <c r="A1889">
        <v>116</v>
      </c>
      <c r="B1889" t="s">
        <v>5157</v>
      </c>
      <c r="C1889" s="96">
        <v>4151999</v>
      </c>
      <c r="D1889" t="s">
        <v>5158</v>
      </c>
      <c r="E1889" s="96" t="s">
        <v>1467</v>
      </c>
      <c r="H1889" t="s">
        <v>5159</v>
      </c>
      <c r="I1889">
        <f>VLOOKUP(H1889,Listas!$B$2:$C$20,2,FALSE)</f>
        <v>500018</v>
      </c>
      <c r="J1889" t="s">
        <v>361</v>
      </c>
      <c r="K1889">
        <f>VLOOKUP(J1889,Listas!$B$21:$C$50,2,FALSE)</f>
        <v>600001</v>
      </c>
      <c r="L1889">
        <v>0</v>
      </c>
    </row>
    <row r="1890" spans="1:12" s="336" customFormat="1">
      <c r="A1890" s="336">
        <v>116</v>
      </c>
      <c r="B1890" s="336" t="s">
        <v>1040</v>
      </c>
      <c r="C1890" s="336">
        <v>416</v>
      </c>
      <c r="D1890" s="336" t="s">
        <v>1041</v>
      </c>
      <c r="E1890" s="337" t="s">
        <v>1462</v>
      </c>
    </row>
    <row r="1891" spans="1:12" s="336" customFormat="1">
      <c r="A1891" s="336">
        <v>116</v>
      </c>
      <c r="B1891" s="336" t="s">
        <v>14</v>
      </c>
      <c r="C1891" s="336">
        <v>4161</v>
      </c>
      <c r="D1891" s="336" t="s">
        <v>1042</v>
      </c>
      <c r="E1891" s="337" t="s">
        <v>1462</v>
      </c>
    </row>
    <row r="1892" spans="1:12">
      <c r="A1892">
        <v>116</v>
      </c>
      <c r="B1892" t="s">
        <v>1043</v>
      </c>
      <c r="C1892" s="96">
        <v>41611</v>
      </c>
      <c r="D1892" t="s">
        <v>1044</v>
      </c>
      <c r="E1892" s="96" t="s">
        <v>1467</v>
      </c>
      <c r="H1892" t="s">
        <v>208</v>
      </c>
      <c r="I1892">
        <f>VLOOKUP(H1892,Listas!$B$2:$C$20,2,FALSE)</f>
        <v>500017</v>
      </c>
      <c r="J1892" t="s">
        <v>361</v>
      </c>
      <c r="K1892">
        <f>VLOOKUP(J1892,Listas!$B$21:$C$50,2,FALSE)</f>
        <v>600001</v>
      </c>
      <c r="L1892">
        <v>0</v>
      </c>
    </row>
    <row r="1893" spans="1:12">
      <c r="A1893">
        <v>116</v>
      </c>
      <c r="B1893" t="s">
        <v>5160</v>
      </c>
      <c r="C1893" s="96">
        <v>41612</v>
      </c>
      <c r="D1893" t="s">
        <v>181</v>
      </c>
      <c r="E1893" s="96" t="s">
        <v>1467</v>
      </c>
      <c r="H1893" t="s">
        <v>208</v>
      </c>
      <c r="I1893">
        <f>VLOOKUP(H1893,Listas!$B$2:$C$20,2,FALSE)</f>
        <v>500017</v>
      </c>
      <c r="J1893" t="s">
        <v>361</v>
      </c>
      <c r="K1893">
        <f>VLOOKUP(J1893,Listas!$B$21:$C$50,2,FALSE)</f>
        <v>600001</v>
      </c>
      <c r="L1893">
        <v>0</v>
      </c>
    </row>
    <row r="1894" spans="1:12">
      <c r="A1894">
        <v>116</v>
      </c>
      <c r="B1894" t="s">
        <v>5161</v>
      </c>
      <c r="C1894" s="96">
        <v>41613</v>
      </c>
      <c r="D1894" t="s">
        <v>1157</v>
      </c>
      <c r="E1894" s="96" t="s">
        <v>1467</v>
      </c>
      <c r="H1894" t="s">
        <v>188</v>
      </c>
      <c r="I1894">
        <f>VLOOKUP(H1894,Listas!$B$2:$C$20,2,FALSE)</f>
        <v>500004</v>
      </c>
      <c r="J1894" t="s">
        <v>361</v>
      </c>
      <c r="K1894">
        <f>VLOOKUP(J1894,Listas!$B$21:$C$50,2,FALSE)</f>
        <v>600001</v>
      </c>
      <c r="L1894">
        <v>0</v>
      </c>
    </row>
    <row r="1895" spans="1:12">
      <c r="A1895">
        <v>116</v>
      </c>
      <c r="B1895" t="s">
        <v>1045</v>
      </c>
      <c r="C1895" s="96">
        <v>41614</v>
      </c>
      <c r="D1895" t="s">
        <v>1046</v>
      </c>
      <c r="E1895" s="96" t="s">
        <v>1467</v>
      </c>
      <c r="H1895" t="s">
        <v>188</v>
      </c>
      <c r="I1895">
        <f>VLOOKUP(H1895,Listas!$B$2:$C$20,2,FALSE)</f>
        <v>500004</v>
      </c>
      <c r="J1895" t="s">
        <v>361</v>
      </c>
      <c r="K1895">
        <f>VLOOKUP(J1895,Listas!$B$21:$C$50,2,FALSE)</f>
        <v>600001</v>
      </c>
      <c r="L1895">
        <v>0</v>
      </c>
    </row>
    <row r="1896" spans="1:12">
      <c r="A1896">
        <v>116</v>
      </c>
      <c r="B1896" t="s">
        <v>5162</v>
      </c>
      <c r="C1896" s="96">
        <v>41615</v>
      </c>
      <c r="D1896" t="s">
        <v>5163</v>
      </c>
      <c r="E1896" s="96" t="s">
        <v>1467</v>
      </c>
      <c r="H1896" t="s">
        <v>188</v>
      </c>
      <c r="I1896">
        <f>VLOOKUP(H1896,Listas!$B$2:$C$20,2,FALSE)</f>
        <v>500004</v>
      </c>
      <c r="J1896" t="s">
        <v>361</v>
      </c>
      <c r="K1896">
        <f>VLOOKUP(J1896,Listas!$B$21:$C$50,2,FALSE)</f>
        <v>600001</v>
      </c>
      <c r="L1896">
        <v>0</v>
      </c>
    </row>
    <row r="1897" spans="1:12">
      <c r="A1897">
        <v>116</v>
      </c>
      <c r="B1897" t="s">
        <v>1047</v>
      </c>
      <c r="C1897" s="96">
        <v>41616</v>
      </c>
      <c r="D1897" t="s">
        <v>1048</v>
      </c>
      <c r="E1897" s="96" t="s">
        <v>1467</v>
      </c>
      <c r="H1897" t="s">
        <v>188</v>
      </c>
      <c r="I1897">
        <f>VLOOKUP(H1897,Listas!$B$2:$C$20,2,FALSE)</f>
        <v>500004</v>
      </c>
      <c r="J1897" t="s">
        <v>361</v>
      </c>
      <c r="K1897">
        <f>VLOOKUP(J1897,Listas!$B$21:$C$50,2,FALSE)</f>
        <v>600001</v>
      </c>
      <c r="L1897">
        <v>0</v>
      </c>
    </row>
    <row r="1898" spans="1:12">
      <c r="A1898">
        <v>116</v>
      </c>
      <c r="B1898" t="s">
        <v>5164</v>
      </c>
      <c r="C1898" s="96">
        <v>41617</v>
      </c>
      <c r="D1898" t="s">
        <v>1161</v>
      </c>
      <c r="E1898" s="96" t="s">
        <v>1467</v>
      </c>
      <c r="H1898" t="s">
        <v>188</v>
      </c>
      <c r="I1898">
        <f>VLOOKUP(H1898,Listas!$B$2:$C$20,2,FALSE)</f>
        <v>500004</v>
      </c>
      <c r="J1898" t="s">
        <v>361</v>
      </c>
      <c r="K1898">
        <f>VLOOKUP(J1898,Listas!$B$21:$C$50,2,FALSE)</f>
        <v>600001</v>
      </c>
      <c r="L1898">
        <v>0</v>
      </c>
    </row>
    <row r="1899" spans="1:12">
      <c r="A1899">
        <v>116</v>
      </c>
      <c r="B1899" t="s">
        <v>5165</v>
      </c>
      <c r="C1899" s="96">
        <v>41618</v>
      </c>
      <c r="D1899" t="s">
        <v>5166</v>
      </c>
      <c r="E1899" s="96" t="s">
        <v>1467</v>
      </c>
      <c r="H1899" t="s">
        <v>188</v>
      </c>
      <c r="I1899">
        <f>VLOOKUP(H1899,Listas!$B$2:$C$20,2,FALSE)</f>
        <v>500004</v>
      </c>
      <c r="J1899" t="s">
        <v>361</v>
      </c>
      <c r="K1899">
        <f>VLOOKUP(J1899,Listas!$B$21:$C$50,2,FALSE)</f>
        <v>600001</v>
      </c>
      <c r="L1899">
        <v>0</v>
      </c>
    </row>
    <row r="1900" spans="1:12">
      <c r="A1900">
        <v>116</v>
      </c>
      <c r="B1900" t="s">
        <v>5167</v>
      </c>
      <c r="C1900" s="96">
        <v>41619</v>
      </c>
      <c r="D1900" t="s">
        <v>5168</v>
      </c>
      <c r="E1900" s="96" t="s">
        <v>1467</v>
      </c>
      <c r="H1900" t="s">
        <v>188</v>
      </c>
      <c r="I1900">
        <f>VLOOKUP(H1900,Listas!$B$2:$C$20,2,FALSE)</f>
        <v>500004</v>
      </c>
      <c r="J1900" t="s">
        <v>361</v>
      </c>
      <c r="K1900">
        <f>VLOOKUP(J1900,Listas!$B$21:$C$50,2,FALSE)</f>
        <v>600001</v>
      </c>
      <c r="L1900">
        <v>0</v>
      </c>
    </row>
    <row r="1901" spans="1:12">
      <c r="A1901">
        <v>116</v>
      </c>
      <c r="B1901" t="s">
        <v>1049</v>
      </c>
      <c r="C1901" s="96">
        <v>416110</v>
      </c>
      <c r="D1901" t="s">
        <v>1050</v>
      </c>
      <c r="E1901" s="96" t="s">
        <v>1467</v>
      </c>
      <c r="H1901" t="s">
        <v>188</v>
      </c>
      <c r="I1901">
        <f>VLOOKUP(H1901,Listas!$B$2:$C$20,2,FALSE)</f>
        <v>500004</v>
      </c>
      <c r="J1901" t="s">
        <v>361</v>
      </c>
      <c r="K1901">
        <f>VLOOKUP(J1901,Listas!$B$21:$C$50,2,FALSE)</f>
        <v>600001</v>
      </c>
      <c r="L1901">
        <v>0</v>
      </c>
    </row>
    <row r="1902" spans="1:12">
      <c r="A1902">
        <v>116</v>
      </c>
      <c r="B1902" t="s">
        <v>5169</v>
      </c>
      <c r="C1902" s="96">
        <v>416111</v>
      </c>
      <c r="D1902" t="s">
        <v>190</v>
      </c>
      <c r="E1902" s="96" t="s">
        <v>1467</v>
      </c>
      <c r="H1902" t="s">
        <v>190</v>
      </c>
      <c r="I1902">
        <f>VLOOKUP(H1902,Listas!$B$2:$C$20,2,FALSE)</f>
        <v>500005</v>
      </c>
      <c r="J1902" t="s">
        <v>361</v>
      </c>
      <c r="K1902">
        <f>VLOOKUP(J1902,Listas!$B$21:$C$50,2,FALSE)</f>
        <v>600001</v>
      </c>
      <c r="L1902">
        <v>0</v>
      </c>
    </row>
    <row r="1903" spans="1:12">
      <c r="A1903">
        <v>116</v>
      </c>
      <c r="B1903" t="s">
        <v>1051</v>
      </c>
      <c r="C1903" s="96">
        <v>416112</v>
      </c>
      <c r="D1903" t="s">
        <v>1052</v>
      </c>
      <c r="E1903" s="96" t="s">
        <v>1467</v>
      </c>
      <c r="H1903" t="s">
        <v>208</v>
      </c>
      <c r="I1903">
        <f>VLOOKUP(H1903,Listas!$B$2:$C$20,2,FALSE)</f>
        <v>500017</v>
      </c>
      <c r="J1903" t="s">
        <v>361</v>
      </c>
      <c r="K1903">
        <f>VLOOKUP(J1903,Listas!$B$21:$C$50,2,FALSE)</f>
        <v>600001</v>
      </c>
      <c r="L1903">
        <v>0</v>
      </c>
    </row>
    <row r="1904" spans="1:12">
      <c r="A1904">
        <v>116</v>
      </c>
      <c r="B1904" t="s">
        <v>5170</v>
      </c>
      <c r="C1904" s="96">
        <v>416113</v>
      </c>
      <c r="D1904" t="s">
        <v>5171</v>
      </c>
      <c r="E1904" s="96" t="s">
        <v>1467</v>
      </c>
      <c r="H1904" t="s">
        <v>208</v>
      </c>
      <c r="I1904">
        <f>VLOOKUP(H1904,Listas!$B$2:$C$20,2,FALSE)</f>
        <v>500017</v>
      </c>
      <c r="J1904" t="s">
        <v>361</v>
      </c>
      <c r="K1904">
        <f>VLOOKUP(J1904,Listas!$B$21:$C$50,2,FALSE)</f>
        <v>600001</v>
      </c>
      <c r="L1904">
        <v>0</v>
      </c>
    </row>
    <row r="1905" spans="1:12">
      <c r="A1905">
        <v>116</v>
      </c>
      <c r="B1905" t="s">
        <v>1053</v>
      </c>
      <c r="C1905" s="96">
        <v>416114</v>
      </c>
      <c r="D1905" t="s">
        <v>1054</v>
      </c>
      <c r="E1905" s="96" t="s">
        <v>1467</v>
      </c>
      <c r="H1905" t="s">
        <v>188</v>
      </c>
      <c r="I1905">
        <f>VLOOKUP(H1905,Listas!$B$2:$C$20,2,FALSE)</f>
        <v>500004</v>
      </c>
      <c r="J1905" t="s">
        <v>361</v>
      </c>
      <c r="K1905">
        <f>VLOOKUP(J1905,Listas!$B$21:$C$50,2,FALSE)</f>
        <v>600001</v>
      </c>
      <c r="L1905">
        <v>0</v>
      </c>
    </row>
    <row r="1906" spans="1:12">
      <c r="A1906">
        <v>116</v>
      </c>
      <c r="B1906" t="s">
        <v>1055</v>
      </c>
      <c r="C1906" s="96">
        <v>416115</v>
      </c>
      <c r="D1906" t="s">
        <v>1056</v>
      </c>
      <c r="E1906" s="96" t="s">
        <v>1467</v>
      </c>
      <c r="H1906" t="s">
        <v>188</v>
      </c>
      <c r="I1906">
        <f>VLOOKUP(H1906,Listas!$B$2:$C$20,2,FALSE)</f>
        <v>500004</v>
      </c>
      <c r="J1906" t="s">
        <v>361</v>
      </c>
      <c r="K1906">
        <f>VLOOKUP(J1906,Listas!$B$21:$C$50,2,FALSE)</f>
        <v>600001</v>
      </c>
      <c r="L1906">
        <v>0</v>
      </c>
    </row>
    <row r="1907" spans="1:12">
      <c r="A1907">
        <v>116</v>
      </c>
      <c r="B1907" t="s">
        <v>1057</v>
      </c>
      <c r="C1907" s="96">
        <v>416116</v>
      </c>
      <c r="D1907" t="s">
        <v>1058</v>
      </c>
      <c r="E1907" s="96" t="s">
        <v>1467</v>
      </c>
      <c r="H1907" t="s">
        <v>188</v>
      </c>
      <c r="I1907">
        <f>VLOOKUP(H1907,Listas!$B$2:$C$20,2,FALSE)</f>
        <v>500004</v>
      </c>
      <c r="J1907" t="s">
        <v>361</v>
      </c>
      <c r="K1907">
        <f>VLOOKUP(J1907,Listas!$B$21:$C$50,2,FALSE)</f>
        <v>600001</v>
      </c>
      <c r="L1907">
        <v>0</v>
      </c>
    </row>
    <row r="1908" spans="1:12">
      <c r="A1908">
        <v>116</v>
      </c>
      <c r="B1908" t="s">
        <v>5172</v>
      </c>
      <c r="C1908" s="96">
        <v>4161998</v>
      </c>
      <c r="D1908" t="s">
        <v>5127</v>
      </c>
      <c r="E1908" s="96" t="s">
        <v>1467</v>
      </c>
      <c r="H1908" t="s">
        <v>186</v>
      </c>
      <c r="I1908">
        <f>VLOOKUP(H1908,Listas!$B$2:$C$20,2,FALSE)</f>
        <v>500003</v>
      </c>
      <c r="J1908" t="s">
        <v>361</v>
      </c>
      <c r="K1908">
        <f>VLOOKUP(J1908,Listas!$B$21:$C$50,2,FALSE)</f>
        <v>600001</v>
      </c>
      <c r="L1908">
        <v>0</v>
      </c>
    </row>
    <row r="1909" spans="1:12">
      <c r="A1909">
        <v>116</v>
      </c>
      <c r="B1909" t="s">
        <v>5173</v>
      </c>
      <c r="C1909" s="96">
        <v>4161999</v>
      </c>
      <c r="D1909" t="s">
        <v>5174</v>
      </c>
      <c r="E1909" s="96" t="s">
        <v>1467</v>
      </c>
      <c r="H1909" t="s">
        <v>188</v>
      </c>
      <c r="I1909">
        <f>VLOOKUP(H1909,Listas!$B$2:$C$20,2,FALSE)</f>
        <v>500004</v>
      </c>
      <c r="J1909" t="s">
        <v>361</v>
      </c>
      <c r="K1909">
        <f>VLOOKUP(J1909,Listas!$B$21:$C$50,2,FALSE)</f>
        <v>600001</v>
      </c>
      <c r="L1909">
        <v>0</v>
      </c>
    </row>
    <row r="1910" spans="1:12" s="336" customFormat="1">
      <c r="A1910" s="336">
        <v>116</v>
      </c>
      <c r="B1910" s="336" t="s">
        <v>16</v>
      </c>
      <c r="C1910" s="336">
        <v>4162</v>
      </c>
      <c r="D1910" s="336" t="s">
        <v>1059</v>
      </c>
      <c r="E1910" s="337" t="s">
        <v>1462</v>
      </c>
    </row>
    <row r="1911" spans="1:12">
      <c r="A1911">
        <v>116</v>
      </c>
      <c r="B1911" t="s">
        <v>1060</v>
      </c>
      <c r="C1911" s="96">
        <v>41621</v>
      </c>
      <c r="D1911" t="s">
        <v>1061</v>
      </c>
      <c r="E1911" s="96" t="s">
        <v>1467</v>
      </c>
      <c r="H1911" t="s">
        <v>197</v>
      </c>
      <c r="I1911">
        <f>VLOOKUP(H1911,Listas!$B$2:$C$20,2,FALSE)</f>
        <v>500008</v>
      </c>
      <c r="J1911" t="s">
        <v>361</v>
      </c>
      <c r="K1911">
        <f>VLOOKUP(J1911,Listas!$B$21:$C$50,2,FALSE)</f>
        <v>600001</v>
      </c>
      <c r="L1911">
        <v>0</v>
      </c>
    </row>
    <row r="1912" spans="1:12">
      <c r="A1912">
        <v>116</v>
      </c>
      <c r="B1912" t="s">
        <v>1062</v>
      </c>
      <c r="C1912" s="96">
        <v>41622</v>
      </c>
      <c r="D1912" t="s">
        <v>1063</v>
      </c>
      <c r="E1912" s="96" t="s">
        <v>1467</v>
      </c>
      <c r="H1912" t="s">
        <v>197</v>
      </c>
      <c r="I1912">
        <f>VLOOKUP(H1912,Listas!$B$2:$C$20,2,FALSE)</f>
        <v>500008</v>
      </c>
      <c r="J1912" t="s">
        <v>361</v>
      </c>
      <c r="K1912">
        <f>VLOOKUP(J1912,Listas!$B$21:$C$50,2,FALSE)</f>
        <v>600001</v>
      </c>
      <c r="L1912">
        <v>0</v>
      </c>
    </row>
    <row r="1913" spans="1:12">
      <c r="A1913">
        <v>116</v>
      </c>
      <c r="B1913" t="s">
        <v>5175</v>
      </c>
      <c r="C1913" s="96">
        <v>41623</v>
      </c>
      <c r="D1913" t="s">
        <v>5176</v>
      </c>
      <c r="E1913" s="96" t="s">
        <v>1467</v>
      </c>
      <c r="H1913" t="s">
        <v>188</v>
      </c>
      <c r="I1913">
        <f>VLOOKUP(H1913,Listas!$B$2:$C$20,2,FALSE)</f>
        <v>500004</v>
      </c>
      <c r="J1913" t="s">
        <v>361</v>
      </c>
      <c r="K1913">
        <f>VLOOKUP(J1913,Listas!$B$21:$C$50,2,FALSE)</f>
        <v>600001</v>
      </c>
      <c r="L1913">
        <v>0</v>
      </c>
    </row>
    <row r="1914" spans="1:12">
      <c r="A1914">
        <v>116</v>
      </c>
      <c r="B1914" t="s">
        <v>1064</v>
      </c>
      <c r="C1914" s="96">
        <v>41624</v>
      </c>
      <c r="D1914" t="s">
        <v>1065</v>
      </c>
      <c r="E1914" s="96" t="s">
        <v>1467</v>
      </c>
      <c r="H1914" t="s">
        <v>188</v>
      </c>
      <c r="I1914">
        <f>VLOOKUP(H1914,Listas!$B$2:$C$20,2,FALSE)</f>
        <v>500004</v>
      </c>
      <c r="J1914" t="s">
        <v>361</v>
      </c>
      <c r="K1914">
        <f>VLOOKUP(J1914,Listas!$B$21:$C$50,2,FALSE)</f>
        <v>600001</v>
      </c>
      <c r="L1914">
        <v>0</v>
      </c>
    </row>
    <row r="1915" spans="1:12">
      <c r="A1915">
        <v>116</v>
      </c>
      <c r="B1915" t="s">
        <v>5177</v>
      </c>
      <c r="C1915" s="96">
        <v>41625</v>
      </c>
      <c r="D1915" t="s">
        <v>5178</v>
      </c>
      <c r="E1915" s="96" t="s">
        <v>1467</v>
      </c>
      <c r="H1915" t="s">
        <v>188</v>
      </c>
      <c r="I1915">
        <f>VLOOKUP(H1915,Listas!$B$2:$C$20,2,FALSE)</f>
        <v>500004</v>
      </c>
      <c r="J1915" t="s">
        <v>361</v>
      </c>
      <c r="K1915">
        <f>VLOOKUP(J1915,Listas!$B$21:$C$50,2,FALSE)</f>
        <v>600001</v>
      </c>
      <c r="L1915">
        <v>0</v>
      </c>
    </row>
    <row r="1916" spans="1:12">
      <c r="A1916">
        <v>116</v>
      </c>
      <c r="B1916" t="s">
        <v>1066</v>
      </c>
      <c r="C1916" s="96">
        <v>41626</v>
      </c>
      <c r="D1916" t="s">
        <v>1067</v>
      </c>
      <c r="E1916" s="96" t="s">
        <v>1467</v>
      </c>
      <c r="H1916" t="s">
        <v>188</v>
      </c>
      <c r="I1916">
        <f>VLOOKUP(H1916,Listas!$B$2:$C$20,2,FALSE)</f>
        <v>500004</v>
      </c>
      <c r="J1916" t="s">
        <v>361</v>
      </c>
      <c r="K1916">
        <f>VLOOKUP(J1916,Listas!$B$21:$C$50,2,FALSE)</f>
        <v>600001</v>
      </c>
      <c r="L1916">
        <v>0</v>
      </c>
    </row>
    <row r="1917" spans="1:12">
      <c r="A1917">
        <v>116</v>
      </c>
      <c r="B1917" t="s">
        <v>1068</v>
      </c>
      <c r="C1917" s="96">
        <v>41627</v>
      </c>
      <c r="D1917" t="s">
        <v>5179</v>
      </c>
      <c r="E1917" s="96" t="s">
        <v>1467</v>
      </c>
      <c r="H1917" t="s">
        <v>188</v>
      </c>
      <c r="I1917">
        <f>VLOOKUP(H1917,Listas!$B$2:$C$20,2,FALSE)</f>
        <v>500004</v>
      </c>
      <c r="J1917" t="s">
        <v>361</v>
      </c>
      <c r="K1917">
        <f>VLOOKUP(J1917,Listas!$B$21:$C$50,2,FALSE)</f>
        <v>600001</v>
      </c>
      <c r="L1917">
        <v>0</v>
      </c>
    </row>
    <row r="1918" spans="1:12">
      <c r="A1918">
        <v>116</v>
      </c>
      <c r="B1918" t="s">
        <v>5180</v>
      </c>
      <c r="C1918" s="96">
        <v>41628</v>
      </c>
      <c r="D1918" t="s">
        <v>5181</v>
      </c>
      <c r="E1918" s="96" t="s">
        <v>1467</v>
      </c>
      <c r="H1918" t="s">
        <v>188</v>
      </c>
      <c r="I1918">
        <f>VLOOKUP(H1918,Listas!$B$2:$C$20,2,FALSE)</f>
        <v>500004</v>
      </c>
      <c r="J1918" t="s">
        <v>361</v>
      </c>
      <c r="K1918">
        <f>VLOOKUP(J1918,Listas!$B$21:$C$50,2,FALSE)</f>
        <v>600001</v>
      </c>
      <c r="L1918">
        <v>0</v>
      </c>
    </row>
    <row r="1919" spans="1:12">
      <c r="A1919">
        <v>116</v>
      </c>
      <c r="B1919" t="s">
        <v>5182</v>
      </c>
      <c r="C1919" s="96">
        <v>41629</v>
      </c>
      <c r="D1919" t="s">
        <v>5183</v>
      </c>
      <c r="E1919" s="96" t="s">
        <v>1467</v>
      </c>
      <c r="H1919" t="s">
        <v>188</v>
      </c>
      <c r="I1919">
        <f>VLOOKUP(H1919,Listas!$B$2:$C$20,2,FALSE)</f>
        <v>500004</v>
      </c>
      <c r="J1919" t="s">
        <v>361</v>
      </c>
      <c r="K1919">
        <f>VLOOKUP(J1919,Listas!$B$21:$C$50,2,FALSE)</f>
        <v>600001</v>
      </c>
      <c r="L1919">
        <v>0</v>
      </c>
    </row>
    <row r="1920" spans="1:12">
      <c r="A1920">
        <v>116</v>
      </c>
      <c r="B1920" t="s">
        <v>1070</v>
      </c>
      <c r="C1920" s="96">
        <v>416210</v>
      </c>
      <c r="D1920" t="s">
        <v>1071</v>
      </c>
      <c r="E1920" s="96" t="s">
        <v>1467</v>
      </c>
      <c r="H1920" t="s">
        <v>188</v>
      </c>
      <c r="I1920">
        <f>VLOOKUP(H1920,Listas!$B$2:$C$20,2,FALSE)</f>
        <v>500004</v>
      </c>
      <c r="J1920" t="s">
        <v>361</v>
      </c>
      <c r="K1920">
        <f>VLOOKUP(J1920,Listas!$B$21:$C$50,2,FALSE)</f>
        <v>600001</v>
      </c>
      <c r="L1920">
        <v>0</v>
      </c>
    </row>
    <row r="1921" spans="1:12">
      <c r="A1921">
        <v>116</v>
      </c>
      <c r="B1921" t="s">
        <v>5184</v>
      </c>
      <c r="C1921" s="96">
        <v>416211</v>
      </c>
      <c r="D1921" t="s">
        <v>5185</v>
      </c>
      <c r="E1921" s="96" t="s">
        <v>1467</v>
      </c>
      <c r="H1921" t="s">
        <v>188</v>
      </c>
      <c r="I1921">
        <f>VLOOKUP(H1921,Listas!$B$2:$C$20,2,FALSE)</f>
        <v>500004</v>
      </c>
      <c r="J1921" t="s">
        <v>361</v>
      </c>
      <c r="K1921">
        <f>VLOOKUP(J1921,Listas!$B$21:$C$50,2,FALSE)</f>
        <v>600001</v>
      </c>
      <c r="L1921">
        <v>0</v>
      </c>
    </row>
    <row r="1922" spans="1:12">
      <c r="A1922">
        <v>116</v>
      </c>
      <c r="B1922" t="s">
        <v>5186</v>
      </c>
      <c r="C1922" s="96">
        <v>4162998</v>
      </c>
      <c r="D1922" t="s">
        <v>5127</v>
      </c>
      <c r="E1922" s="96" t="s">
        <v>1467</v>
      </c>
      <c r="H1922" t="s">
        <v>186</v>
      </c>
      <c r="I1922">
        <f>VLOOKUP(H1922,Listas!$B$2:$C$20,2,FALSE)</f>
        <v>500003</v>
      </c>
      <c r="J1922" t="s">
        <v>361</v>
      </c>
      <c r="K1922">
        <f>VLOOKUP(J1922,Listas!$B$21:$C$50,2,FALSE)</f>
        <v>600001</v>
      </c>
      <c r="L1922">
        <v>0</v>
      </c>
    </row>
    <row r="1923" spans="1:12">
      <c r="A1923">
        <v>116</v>
      </c>
      <c r="B1923" t="s">
        <v>5187</v>
      </c>
      <c r="C1923" s="96">
        <v>4162999</v>
      </c>
      <c r="D1923" t="s">
        <v>5188</v>
      </c>
      <c r="E1923" s="96" t="s">
        <v>1467</v>
      </c>
      <c r="H1923" t="s">
        <v>188</v>
      </c>
      <c r="I1923">
        <f>VLOOKUP(H1923,Listas!$B$2:$C$20,2,FALSE)</f>
        <v>500004</v>
      </c>
      <c r="J1923" t="s">
        <v>361</v>
      </c>
      <c r="K1923">
        <f>VLOOKUP(J1923,Listas!$B$21:$C$50,2,FALSE)</f>
        <v>600001</v>
      </c>
      <c r="L1923">
        <v>0</v>
      </c>
    </row>
    <row r="1924" spans="1:12">
      <c r="A1924">
        <v>116</v>
      </c>
      <c r="B1924" t="s">
        <v>5189</v>
      </c>
      <c r="C1924" s="96">
        <v>416220</v>
      </c>
      <c r="D1924" t="s">
        <v>456</v>
      </c>
      <c r="E1924" s="96" t="s">
        <v>1467</v>
      </c>
      <c r="H1924" t="s">
        <v>197</v>
      </c>
      <c r="I1924">
        <f>VLOOKUP(H1924,Listas!$B$2:$C$20,2,FALSE)</f>
        <v>500008</v>
      </c>
      <c r="J1924" t="s">
        <v>361</v>
      </c>
      <c r="K1924">
        <f>VLOOKUP(J1924,Listas!$B$21:$C$50,2,FALSE)</f>
        <v>600001</v>
      </c>
      <c r="L1924">
        <v>0</v>
      </c>
    </row>
    <row r="1925" spans="1:12">
      <c r="A1925">
        <v>116</v>
      </c>
      <c r="B1925" t="s">
        <v>5190</v>
      </c>
      <c r="C1925" s="96">
        <v>416221</v>
      </c>
      <c r="D1925" t="s">
        <v>456</v>
      </c>
      <c r="E1925" s="96" t="s">
        <v>1467</v>
      </c>
      <c r="H1925" t="s">
        <v>197</v>
      </c>
      <c r="I1925">
        <f>VLOOKUP(H1925,Listas!$B$2:$C$20,2,FALSE)</f>
        <v>500008</v>
      </c>
      <c r="J1925" t="s">
        <v>361</v>
      </c>
      <c r="K1925">
        <f>VLOOKUP(J1925,Listas!$B$21:$C$50,2,FALSE)</f>
        <v>600001</v>
      </c>
      <c r="L1925">
        <v>0</v>
      </c>
    </row>
    <row r="1926" spans="1:12" s="336" customFormat="1">
      <c r="A1926" s="336">
        <v>116</v>
      </c>
      <c r="B1926" s="336" t="s">
        <v>5191</v>
      </c>
      <c r="C1926" s="336">
        <v>4163</v>
      </c>
      <c r="D1926" s="336" t="s">
        <v>1017</v>
      </c>
      <c r="E1926" s="337" t="s">
        <v>1462</v>
      </c>
    </row>
    <row r="1927" spans="1:12">
      <c r="A1927">
        <v>116</v>
      </c>
      <c r="B1927" t="s">
        <v>5192</v>
      </c>
      <c r="C1927" s="96">
        <v>416031</v>
      </c>
      <c r="D1927" t="s">
        <v>5193</v>
      </c>
      <c r="E1927" s="96" t="s">
        <v>1467</v>
      </c>
      <c r="H1927" t="s">
        <v>5159</v>
      </c>
      <c r="I1927">
        <f>VLOOKUP(H1927,Listas!$B$2:$C$20,2,FALSE)</f>
        <v>500018</v>
      </c>
      <c r="J1927" t="s">
        <v>361</v>
      </c>
      <c r="K1927">
        <f>VLOOKUP(J1927,Listas!$B$21:$C$50,2,FALSE)</f>
        <v>600001</v>
      </c>
      <c r="L1927">
        <v>0</v>
      </c>
    </row>
    <row r="1928" spans="1:12" s="336" customFormat="1">
      <c r="A1928" s="336">
        <v>116</v>
      </c>
      <c r="B1928" s="336" t="s">
        <v>5194</v>
      </c>
      <c r="C1928" s="336">
        <v>417</v>
      </c>
      <c r="D1928" s="336" t="s">
        <v>5079</v>
      </c>
      <c r="E1928" s="337" t="s">
        <v>1462</v>
      </c>
    </row>
    <row r="1929" spans="1:12" s="336" customFormat="1">
      <c r="A1929" s="336">
        <v>116</v>
      </c>
      <c r="B1929" s="336" t="s">
        <v>5195</v>
      </c>
      <c r="C1929" s="336">
        <v>41701</v>
      </c>
      <c r="D1929" s="336" t="s">
        <v>5196</v>
      </c>
      <c r="E1929" s="337" t="s">
        <v>1462</v>
      </c>
    </row>
    <row r="1930" spans="1:12">
      <c r="A1930">
        <v>116</v>
      </c>
      <c r="B1930" t="s">
        <v>5197</v>
      </c>
      <c r="C1930" s="96">
        <v>41711</v>
      </c>
      <c r="D1930" t="s">
        <v>5196</v>
      </c>
      <c r="E1930" s="96" t="s">
        <v>1467</v>
      </c>
      <c r="H1930" t="s">
        <v>5159</v>
      </c>
      <c r="I1930">
        <f>VLOOKUP(H1930,Listas!$B$2:$C$20,2,FALSE)</f>
        <v>500018</v>
      </c>
      <c r="J1930" t="s">
        <v>361</v>
      </c>
      <c r="K1930">
        <f>VLOOKUP(J1930,Listas!$B$21:$C$50,2,FALSE)</f>
        <v>600001</v>
      </c>
      <c r="L1930">
        <v>0</v>
      </c>
    </row>
    <row r="1931" spans="1:12" s="336" customFormat="1">
      <c r="A1931" s="336">
        <v>116</v>
      </c>
      <c r="B1931" s="336" t="s">
        <v>5198</v>
      </c>
      <c r="C1931" s="336">
        <v>419</v>
      </c>
      <c r="D1931" s="336" t="s">
        <v>5199</v>
      </c>
      <c r="E1931" s="337" t="s">
        <v>1462</v>
      </c>
    </row>
    <row r="1932" spans="1:12" s="336" customFormat="1">
      <c r="A1932" s="336">
        <v>116</v>
      </c>
      <c r="B1932" s="336" t="s">
        <v>5200</v>
      </c>
      <c r="C1932" s="336">
        <v>4191</v>
      </c>
      <c r="D1932" s="336" t="s">
        <v>5199</v>
      </c>
      <c r="E1932" s="337" t="s">
        <v>1462</v>
      </c>
    </row>
    <row r="1933" spans="1:12">
      <c r="A1933">
        <v>116</v>
      </c>
      <c r="B1933" t="s">
        <v>5201</v>
      </c>
      <c r="C1933" s="96">
        <v>41911</v>
      </c>
      <c r="D1933" t="s">
        <v>5199</v>
      </c>
      <c r="E1933" s="96" t="s">
        <v>1467</v>
      </c>
      <c r="H1933" t="s">
        <v>188</v>
      </c>
      <c r="I1933">
        <f>VLOOKUP(H1933,Listas!$B$2:$C$20,2,FALSE)</f>
        <v>500004</v>
      </c>
      <c r="J1933" t="s">
        <v>361</v>
      </c>
      <c r="K1933">
        <f>VLOOKUP(J1933,Listas!$B$21:$C$50,2,FALSE)</f>
        <v>600001</v>
      </c>
      <c r="L1933">
        <v>0</v>
      </c>
    </row>
    <row r="1934" spans="1:12" s="336" customFormat="1">
      <c r="A1934" s="336">
        <v>116</v>
      </c>
      <c r="B1934" s="336" t="s">
        <v>1072</v>
      </c>
      <c r="C1934" s="336">
        <v>42</v>
      </c>
      <c r="D1934" s="336" t="s">
        <v>1073</v>
      </c>
      <c r="E1934" s="337" t="s">
        <v>1462</v>
      </c>
    </row>
    <row r="1935" spans="1:12" s="336" customFormat="1">
      <c r="A1935" s="336">
        <v>116</v>
      </c>
      <c r="B1935" s="336" t="s">
        <v>1074</v>
      </c>
      <c r="C1935" s="336">
        <v>421</v>
      </c>
      <c r="D1935" s="336" t="s">
        <v>1075</v>
      </c>
      <c r="E1935" s="337" t="s">
        <v>1462</v>
      </c>
    </row>
    <row r="1936" spans="1:12" s="336" customFormat="1">
      <c r="A1936" s="336">
        <v>116</v>
      </c>
      <c r="B1936" s="336" t="s">
        <v>1076</v>
      </c>
      <c r="C1936" s="336">
        <v>4211</v>
      </c>
      <c r="D1936" s="336" t="s">
        <v>976</v>
      </c>
      <c r="E1936" s="337" t="s">
        <v>1462</v>
      </c>
    </row>
    <row r="1937" spans="1:12">
      <c r="A1937">
        <v>116</v>
      </c>
      <c r="B1937" t="s">
        <v>1077</v>
      </c>
      <c r="C1937" s="96">
        <v>42111</v>
      </c>
      <c r="D1937" t="s">
        <v>978</v>
      </c>
      <c r="E1937" s="96" t="s">
        <v>1467</v>
      </c>
      <c r="H1937" t="s">
        <v>197</v>
      </c>
      <c r="I1937">
        <f>VLOOKUP(H1937,Listas!$B$2:$C$20,2,FALSE)</f>
        <v>500008</v>
      </c>
      <c r="J1937" t="s">
        <v>361</v>
      </c>
      <c r="K1937">
        <f>VLOOKUP(J1937,Listas!$B$21:$C$50,2,FALSE)</f>
        <v>600001</v>
      </c>
      <c r="L1937">
        <v>0</v>
      </c>
    </row>
    <row r="1938" spans="1:12">
      <c r="A1938">
        <v>116</v>
      </c>
      <c r="B1938" t="s">
        <v>5202</v>
      </c>
      <c r="C1938" s="96">
        <v>42112</v>
      </c>
      <c r="D1938" t="s">
        <v>5049</v>
      </c>
      <c r="E1938" s="96" t="s">
        <v>1467</v>
      </c>
      <c r="H1938" t="s">
        <v>197</v>
      </c>
      <c r="I1938">
        <f>VLOOKUP(H1938,Listas!$B$2:$C$20,2,FALSE)</f>
        <v>500008</v>
      </c>
      <c r="J1938" t="s">
        <v>361</v>
      </c>
      <c r="K1938">
        <f>VLOOKUP(J1938,Listas!$B$21:$C$50,2,FALSE)</f>
        <v>600001</v>
      </c>
      <c r="L1938">
        <v>0</v>
      </c>
    </row>
    <row r="1939" spans="1:12">
      <c r="A1939">
        <v>116</v>
      </c>
      <c r="B1939" t="s">
        <v>5203</v>
      </c>
      <c r="C1939" s="96">
        <v>42113</v>
      </c>
      <c r="D1939" t="s">
        <v>5051</v>
      </c>
      <c r="E1939" s="96" t="s">
        <v>1467</v>
      </c>
      <c r="H1939" t="s">
        <v>197</v>
      </c>
      <c r="I1939">
        <f>VLOOKUP(H1939,Listas!$B$2:$C$20,2,FALSE)</f>
        <v>500008</v>
      </c>
      <c r="J1939" t="s">
        <v>361</v>
      </c>
      <c r="K1939">
        <f>VLOOKUP(J1939,Listas!$B$21:$C$50,2,FALSE)</f>
        <v>600001</v>
      </c>
      <c r="L1939">
        <v>0</v>
      </c>
    </row>
    <row r="1940" spans="1:12">
      <c r="A1940">
        <v>116</v>
      </c>
      <c r="B1940" t="s">
        <v>5204</v>
      </c>
      <c r="C1940" s="96">
        <v>42114</v>
      </c>
      <c r="D1940" t="s">
        <v>5053</v>
      </c>
      <c r="E1940" s="96" t="s">
        <v>1467</v>
      </c>
      <c r="H1940" t="s">
        <v>197</v>
      </c>
      <c r="I1940">
        <f>VLOOKUP(H1940,Listas!$B$2:$C$20,2,FALSE)</f>
        <v>500008</v>
      </c>
      <c r="J1940" t="s">
        <v>361</v>
      </c>
      <c r="K1940">
        <f>VLOOKUP(J1940,Listas!$B$21:$C$50,2,FALSE)</f>
        <v>600001</v>
      </c>
      <c r="L1940">
        <v>0</v>
      </c>
    </row>
    <row r="1941" spans="1:12">
      <c r="A1941">
        <v>116</v>
      </c>
      <c r="B1941" t="s">
        <v>5205</v>
      </c>
      <c r="C1941" s="96">
        <v>42115</v>
      </c>
      <c r="D1941" t="s">
        <v>5055</v>
      </c>
      <c r="E1941" s="96" t="s">
        <v>1467</v>
      </c>
      <c r="H1941" t="s">
        <v>197</v>
      </c>
      <c r="I1941">
        <f>VLOOKUP(H1941,Listas!$B$2:$C$20,2,FALSE)</f>
        <v>500008</v>
      </c>
      <c r="J1941" t="s">
        <v>361</v>
      </c>
      <c r="K1941">
        <f>VLOOKUP(J1941,Listas!$B$21:$C$50,2,FALSE)</f>
        <v>600001</v>
      </c>
      <c r="L1941">
        <v>0</v>
      </c>
    </row>
    <row r="1942" spans="1:12">
      <c r="A1942">
        <v>116</v>
      </c>
      <c r="B1942" t="s">
        <v>5206</v>
      </c>
      <c r="C1942" s="96">
        <v>42116</v>
      </c>
      <c r="D1942" t="s">
        <v>5057</v>
      </c>
      <c r="E1942" s="96" t="s">
        <v>1467</v>
      </c>
      <c r="H1942" t="s">
        <v>199</v>
      </c>
      <c r="I1942">
        <f>VLOOKUP(H1942,Listas!$B$2:$C$20,2,FALSE)</f>
        <v>500011</v>
      </c>
      <c r="J1942" t="s">
        <v>361</v>
      </c>
      <c r="K1942">
        <f>VLOOKUP(J1942,Listas!$B$21:$C$50,2,FALSE)</f>
        <v>600001</v>
      </c>
      <c r="L1942">
        <v>0</v>
      </c>
    </row>
    <row r="1943" spans="1:12">
      <c r="A1943">
        <v>116</v>
      </c>
      <c r="B1943" t="s">
        <v>1078</v>
      </c>
      <c r="C1943" s="96">
        <v>42117</v>
      </c>
      <c r="D1943" t="s">
        <v>980</v>
      </c>
      <c r="E1943" s="96" t="s">
        <v>1467</v>
      </c>
      <c r="H1943" t="s">
        <v>197</v>
      </c>
      <c r="I1943">
        <f>VLOOKUP(H1943,Listas!$B$2:$C$20,2,FALSE)</f>
        <v>500008</v>
      </c>
      <c r="J1943" t="s">
        <v>361</v>
      </c>
      <c r="K1943">
        <f>VLOOKUP(J1943,Listas!$B$21:$C$50,2,FALSE)</f>
        <v>600001</v>
      </c>
      <c r="L1943">
        <v>0</v>
      </c>
    </row>
    <row r="1944" spans="1:12">
      <c r="A1944">
        <v>116</v>
      </c>
      <c r="B1944" t="s">
        <v>1079</v>
      </c>
      <c r="C1944" s="96">
        <v>42118</v>
      </c>
      <c r="D1944" t="s">
        <v>982</v>
      </c>
      <c r="E1944" s="96" t="s">
        <v>1467</v>
      </c>
      <c r="H1944" t="s">
        <v>197</v>
      </c>
      <c r="I1944">
        <f>VLOOKUP(H1944,Listas!$B$2:$C$20,2,FALSE)</f>
        <v>500008</v>
      </c>
      <c r="J1944" t="s">
        <v>361</v>
      </c>
      <c r="K1944">
        <f>VLOOKUP(J1944,Listas!$B$21:$C$50,2,FALSE)</f>
        <v>600001</v>
      </c>
      <c r="L1944">
        <v>0</v>
      </c>
    </row>
    <row r="1945" spans="1:12">
      <c r="A1945">
        <v>116</v>
      </c>
      <c r="B1945" t="s">
        <v>1080</v>
      </c>
      <c r="C1945" s="96">
        <v>42119</v>
      </c>
      <c r="D1945" t="s">
        <v>1081</v>
      </c>
      <c r="E1945" s="96" t="s">
        <v>1467</v>
      </c>
      <c r="H1945" t="s">
        <v>197</v>
      </c>
      <c r="I1945">
        <f>VLOOKUP(H1945,Listas!$B$2:$C$20,2,FALSE)</f>
        <v>500008</v>
      </c>
      <c r="J1945" t="s">
        <v>361</v>
      </c>
      <c r="K1945">
        <f>VLOOKUP(J1945,Listas!$B$21:$C$50,2,FALSE)</f>
        <v>600001</v>
      </c>
      <c r="L1945">
        <v>0</v>
      </c>
    </row>
    <row r="1946" spans="1:12">
      <c r="A1946">
        <v>116</v>
      </c>
      <c r="B1946" t="s">
        <v>1082</v>
      </c>
      <c r="C1946" s="96">
        <v>421110</v>
      </c>
      <c r="D1946" t="s">
        <v>986</v>
      </c>
      <c r="E1946" s="96" t="s">
        <v>1467</v>
      </c>
      <c r="H1946" t="s">
        <v>197</v>
      </c>
      <c r="I1946">
        <f>VLOOKUP(H1946,Listas!$B$2:$C$20,2,FALSE)</f>
        <v>500008</v>
      </c>
      <c r="J1946" t="s">
        <v>361</v>
      </c>
      <c r="K1946">
        <f>VLOOKUP(J1946,Listas!$B$21:$C$50,2,FALSE)</f>
        <v>600001</v>
      </c>
      <c r="L1946">
        <v>0</v>
      </c>
    </row>
    <row r="1947" spans="1:12">
      <c r="A1947">
        <v>116</v>
      </c>
      <c r="B1947" t="s">
        <v>1083</v>
      </c>
      <c r="C1947" s="96">
        <v>421112</v>
      </c>
      <c r="D1947" t="s">
        <v>988</v>
      </c>
      <c r="E1947" s="96" t="s">
        <v>1467</v>
      </c>
      <c r="H1947" t="s">
        <v>197</v>
      </c>
      <c r="I1947">
        <f>VLOOKUP(H1947,Listas!$B$2:$C$20,2,FALSE)</f>
        <v>500008</v>
      </c>
      <c r="J1947" t="s">
        <v>361</v>
      </c>
      <c r="K1947">
        <f>VLOOKUP(J1947,Listas!$B$21:$C$50,2,FALSE)</f>
        <v>600001</v>
      </c>
      <c r="L1947">
        <v>0</v>
      </c>
    </row>
    <row r="1948" spans="1:12">
      <c r="A1948">
        <v>116</v>
      </c>
      <c r="B1948" t="s">
        <v>5207</v>
      </c>
      <c r="C1948" s="96">
        <v>421114</v>
      </c>
      <c r="D1948" t="s">
        <v>990</v>
      </c>
      <c r="E1948" s="96" t="s">
        <v>1467</v>
      </c>
      <c r="H1948" t="s">
        <v>197</v>
      </c>
      <c r="I1948">
        <f>VLOOKUP(H1948,Listas!$B$2:$C$20,2,FALSE)</f>
        <v>500008</v>
      </c>
      <c r="J1948" t="s">
        <v>361</v>
      </c>
      <c r="K1948">
        <f>VLOOKUP(J1948,Listas!$B$21:$C$50,2,FALSE)</f>
        <v>600001</v>
      </c>
      <c r="L1948">
        <v>0</v>
      </c>
    </row>
    <row r="1949" spans="1:12">
      <c r="A1949">
        <v>116</v>
      </c>
      <c r="B1949" t="s">
        <v>5208</v>
      </c>
      <c r="C1949" s="96">
        <v>4211998</v>
      </c>
      <c r="D1949" t="s">
        <v>5209</v>
      </c>
      <c r="E1949" s="96" t="s">
        <v>1467</v>
      </c>
      <c r="H1949" t="s">
        <v>186</v>
      </c>
      <c r="I1949">
        <f>VLOOKUP(H1949,Listas!$B$2:$C$20,2,FALSE)</f>
        <v>500003</v>
      </c>
      <c r="J1949" t="s">
        <v>361</v>
      </c>
      <c r="K1949">
        <f>VLOOKUP(J1949,Listas!$B$21:$C$50,2,FALSE)</f>
        <v>600001</v>
      </c>
      <c r="L1949">
        <v>0</v>
      </c>
    </row>
    <row r="1950" spans="1:12">
      <c r="A1950">
        <v>116</v>
      </c>
      <c r="B1950" t="s">
        <v>5210</v>
      </c>
      <c r="C1950" s="96">
        <v>4211999</v>
      </c>
      <c r="D1950" t="s">
        <v>5060</v>
      </c>
      <c r="E1950" s="96" t="s">
        <v>1467</v>
      </c>
      <c r="H1950" t="s">
        <v>197</v>
      </c>
      <c r="I1950">
        <f>VLOOKUP(H1950,Listas!$B$2:$C$20,2,FALSE)</f>
        <v>500008</v>
      </c>
      <c r="J1950" t="s">
        <v>361</v>
      </c>
      <c r="K1950">
        <f>VLOOKUP(J1950,Listas!$B$21:$C$50,2,FALSE)</f>
        <v>600001</v>
      </c>
      <c r="L1950">
        <v>0</v>
      </c>
    </row>
    <row r="1951" spans="1:12" s="336" customFormat="1">
      <c r="A1951" s="336">
        <v>116</v>
      </c>
      <c r="B1951" s="336" t="s">
        <v>1084</v>
      </c>
      <c r="C1951" s="336">
        <v>4212</v>
      </c>
      <c r="D1951" s="336" t="s">
        <v>8</v>
      </c>
      <c r="E1951" s="337" t="s">
        <v>1462</v>
      </c>
    </row>
    <row r="1952" spans="1:12">
      <c r="A1952">
        <v>116</v>
      </c>
      <c r="B1952" t="s">
        <v>1085</v>
      </c>
      <c r="C1952" s="96">
        <v>42121</v>
      </c>
      <c r="D1952" t="s">
        <v>874</v>
      </c>
      <c r="E1952" s="96" t="s">
        <v>1467</v>
      </c>
      <c r="H1952" t="s">
        <v>202</v>
      </c>
      <c r="I1952">
        <f>VLOOKUP(H1952,Listas!$B$2:$C$20,2,FALSE)</f>
        <v>500012</v>
      </c>
      <c r="J1952" t="s">
        <v>361</v>
      </c>
      <c r="K1952">
        <f>VLOOKUP(J1952,Listas!$B$21:$C$50,2,FALSE)</f>
        <v>600001</v>
      </c>
      <c r="L1952">
        <v>0</v>
      </c>
    </row>
    <row r="1953" spans="1:12">
      <c r="A1953">
        <v>116</v>
      </c>
      <c r="B1953" t="s">
        <v>1086</v>
      </c>
      <c r="C1953" s="96">
        <v>42122</v>
      </c>
      <c r="D1953" t="s">
        <v>198</v>
      </c>
      <c r="E1953" s="96" t="s">
        <v>1467</v>
      </c>
      <c r="H1953" t="s">
        <v>198</v>
      </c>
      <c r="I1953">
        <f>VLOOKUP(H1953,Listas!$B$2:$C$20,2,FALSE)</f>
        <v>500010</v>
      </c>
      <c r="J1953" t="s">
        <v>361</v>
      </c>
      <c r="K1953">
        <f>VLOOKUP(J1953,Listas!$B$21:$C$50,2,FALSE)</f>
        <v>600001</v>
      </c>
      <c r="L1953">
        <v>0</v>
      </c>
    </row>
    <row r="1954" spans="1:12">
      <c r="A1954">
        <v>116</v>
      </c>
      <c r="B1954" t="s">
        <v>5211</v>
      </c>
      <c r="C1954" s="96">
        <v>42123</v>
      </c>
      <c r="D1954" t="s">
        <v>5062</v>
      </c>
      <c r="E1954" s="96" t="s">
        <v>1467</v>
      </c>
      <c r="H1954" t="s">
        <v>9</v>
      </c>
      <c r="I1954">
        <f>VLOOKUP(H1954,Listas!$B$2:$C$20,2,FALSE)</f>
        <v>500009</v>
      </c>
      <c r="J1954" t="s">
        <v>361</v>
      </c>
      <c r="K1954">
        <f>VLOOKUP(J1954,Listas!$B$21:$C$50,2,FALSE)</f>
        <v>600001</v>
      </c>
      <c r="L1954">
        <v>0</v>
      </c>
    </row>
    <row r="1955" spans="1:12">
      <c r="A1955">
        <v>116</v>
      </c>
      <c r="B1955" t="s">
        <v>1087</v>
      </c>
      <c r="C1955" s="96">
        <v>42124</v>
      </c>
      <c r="D1955" t="s">
        <v>995</v>
      </c>
      <c r="E1955" s="96" t="s">
        <v>1467</v>
      </c>
      <c r="H1955" t="s">
        <v>202</v>
      </c>
      <c r="I1955">
        <f>VLOOKUP(H1955,Listas!$B$2:$C$20,2,FALSE)</f>
        <v>500012</v>
      </c>
      <c r="J1955" t="s">
        <v>361</v>
      </c>
      <c r="K1955">
        <f>VLOOKUP(J1955,Listas!$B$21:$C$50,2,FALSE)</f>
        <v>600001</v>
      </c>
      <c r="L1955">
        <v>0</v>
      </c>
    </row>
    <row r="1956" spans="1:12">
      <c r="A1956">
        <v>116</v>
      </c>
      <c r="B1956" t="s">
        <v>1088</v>
      </c>
      <c r="C1956" s="96">
        <v>42125</v>
      </c>
      <c r="D1956" t="s">
        <v>997</v>
      </c>
      <c r="E1956" s="96" t="s">
        <v>1467</v>
      </c>
      <c r="H1956" t="s">
        <v>202</v>
      </c>
      <c r="I1956">
        <f>VLOOKUP(H1956,Listas!$B$2:$C$20,2,FALSE)</f>
        <v>500012</v>
      </c>
      <c r="J1956" t="s">
        <v>361</v>
      </c>
      <c r="K1956">
        <f>VLOOKUP(J1956,Listas!$B$21:$C$50,2,FALSE)</f>
        <v>600001</v>
      </c>
      <c r="L1956">
        <v>0</v>
      </c>
    </row>
    <row r="1957" spans="1:12">
      <c r="A1957">
        <v>116</v>
      </c>
      <c r="B1957" t="s">
        <v>1089</v>
      </c>
      <c r="C1957" s="96">
        <v>42126</v>
      </c>
      <c r="D1957" t="s">
        <v>999</v>
      </c>
      <c r="E1957" s="96" t="s">
        <v>1467</v>
      </c>
      <c r="H1957" t="s">
        <v>198</v>
      </c>
      <c r="I1957">
        <f>VLOOKUP(H1957,Listas!$B$2:$C$20,2,FALSE)</f>
        <v>500010</v>
      </c>
      <c r="J1957" t="s">
        <v>361</v>
      </c>
      <c r="K1957">
        <f>VLOOKUP(J1957,Listas!$B$21:$C$50,2,FALSE)</f>
        <v>600001</v>
      </c>
      <c r="L1957">
        <v>0</v>
      </c>
    </row>
    <row r="1958" spans="1:12">
      <c r="A1958">
        <v>116</v>
      </c>
      <c r="B1958" t="s">
        <v>1090</v>
      </c>
      <c r="C1958" s="96">
        <v>42127</v>
      </c>
      <c r="D1958" t="s">
        <v>1001</v>
      </c>
      <c r="E1958" s="96" t="s">
        <v>1467</v>
      </c>
      <c r="H1958" t="s">
        <v>198</v>
      </c>
      <c r="I1958">
        <f>VLOOKUP(H1958,Listas!$B$2:$C$20,2,FALSE)</f>
        <v>500010</v>
      </c>
      <c r="J1958" t="s">
        <v>361</v>
      </c>
      <c r="K1958">
        <f>VLOOKUP(J1958,Listas!$B$21:$C$50,2,FALSE)</f>
        <v>600001</v>
      </c>
      <c r="L1958">
        <v>0</v>
      </c>
    </row>
    <row r="1959" spans="1:12">
      <c r="A1959">
        <v>116</v>
      </c>
      <c r="B1959" t="s">
        <v>5212</v>
      </c>
      <c r="C1959" s="96">
        <v>4212999</v>
      </c>
      <c r="D1959" t="s">
        <v>5064</v>
      </c>
      <c r="E1959" s="96" t="s">
        <v>1467</v>
      </c>
      <c r="H1959" t="s">
        <v>202</v>
      </c>
      <c r="I1959">
        <f>VLOOKUP(H1959,Listas!$B$2:$C$20,2,FALSE)</f>
        <v>500012</v>
      </c>
      <c r="J1959" t="s">
        <v>361</v>
      </c>
      <c r="K1959">
        <f>VLOOKUP(J1959,Listas!$B$21:$C$50,2,FALSE)</f>
        <v>600001</v>
      </c>
      <c r="L1959">
        <v>0</v>
      </c>
    </row>
    <row r="1960" spans="1:12" s="336" customFormat="1">
      <c r="A1960" s="336">
        <v>116</v>
      </c>
      <c r="B1960" s="336" t="s">
        <v>1091</v>
      </c>
      <c r="C1960" s="336">
        <v>4213</v>
      </c>
      <c r="D1960" s="336" t="s">
        <v>9</v>
      </c>
      <c r="E1960" s="337" t="s">
        <v>1462</v>
      </c>
    </row>
    <row r="1961" spans="1:12">
      <c r="A1961">
        <v>116</v>
      </c>
      <c r="B1961" t="s">
        <v>1092</v>
      </c>
      <c r="C1961" s="96">
        <v>42131</v>
      </c>
      <c r="D1961" t="s">
        <v>907</v>
      </c>
      <c r="E1961" s="96" t="s">
        <v>1467</v>
      </c>
      <c r="H1961" t="s">
        <v>9</v>
      </c>
      <c r="I1961">
        <f>VLOOKUP(H1961,Listas!$B$2:$C$20,2,FALSE)</f>
        <v>500009</v>
      </c>
      <c r="J1961" t="s">
        <v>361</v>
      </c>
      <c r="K1961">
        <f>VLOOKUP(J1961,Listas!$B$21:$C$50,2,FALSE)</f>
        <v>600001</v>
      </c>
      <c r="L1961">
        <v>0</v>
      </c>
    </row>
    <row r="1962" spans="1:12">
      <c r="A1962">
        <v>116</v>
      </c>
      <c r="B1962" t="s">
        <v>1093</v>
      </c>
      <c r="C1962" s="96">
        <v>42132</v>
      </c>
      <c r="D1962" t="s">
        <v>1005</v>
      </c>
      <c r="E1962" s="96" t="s">
        <v>1467</v>
      </c>
      <c r="H1962" t="s">
        <v>9</v>
      </c>
      <c r="I1962">
        <f>VLOOKUP(H1962,Listas!$B$2:$C$20,2,FALSE)</f>
        <v>500009</v>
      </c>
      <c r="J1962" t="s">
        <v>361</v>
      </c>
      <c r="K1962">
        <f>VLOOKUP(J1962,Listas!$B$21:$C$50,2,FALSE)</f>
        <v>600001</v>
      </c>
      <c r="L1962">
        <v>0</v>
      </c>
    </row>
    <row r="1963" spans="1:12">
      <c r="A1963">
        <v>116</v>
      </c>
      <c r="B1963" t="s">
        <v>1094</v>
      </c>
      <c r="C1963" s="96">
        <v>42133</v>
      </c>
      <c r="D1963" t="s">
        <v>1007</v>
      </c>
      <c r="E1963" s="96" t="s">
        <v>1467</v>
      </c>
      <c r="H1963" t="s">
        <v>9</v>
      </c>
      <c r="I1963">
        <f>VLOOKUP(H1963,Listas!$B$2:$C$20,2,FALSE)</f>
        <v>500009</v>
      </c>
      <c r="J1963" t="s">
        <v>361</v>
      </c>
      <c r="K1963">
        <f>VLOOKUP(J1963,Listas!$B$21:$C$50,2,FALSE)</f>
        <v>600001</v>
      </c>
      <c r="L1963">
        <v>0</v>
      </c>
    </row>
    <row r="1964" spans="1:12">
      <c r="A1964">
        <v>116</v>
      </c>
      <c r="B1964" t="s">
        <v>1095</v>
      </c>
      <c r="C1964" s="96">
        <v>42134</v>
      </c>
      <c r="D1964" t="s">
        <v>1096</v>
      </c>
      <c r="E1964" s="96" t="s">
        <v>1467</v>
      </c>
      <c r="H1964" t="s">
        <v>9</v>
      </c>
      <c r="I1964">
        <f>VLOOKUP(H1964,Listas!$B$2:$C$20,2,FALSE)</f>
        <v>500009</v>
      </c>
      <c r="J1964" t="s">
        <v>361</v>
      </c>
      <c r="K1964">
        <f>VLOOKUP(J1964,Listas!$B$21:$C$50,2,FALSE)</f>
        <v>600001</v>
      </c>
      <c r="L1964">
        <v>0</v>
      </c>
    </row>
    <row r="1965" spans="1:12">
      <c r="A1965">
        <v>116</v>
      </c>
      <c r="B1965" t="s">
        <v>1097</v>
      </c>
      <c r="C1965" s="96">
        <v>42135</v>
      </c>
      <c r="D1965" t="s">
        <v>1009</v>
      </c>
      <c r="E1965" s="96" t="s">
        <v>1467</v>
      </c>
      <c r="H1965" t="s">
        <v>9</v>
      </c>
      <c r="I1965">
        <f>VLOOKUP(H1965,Listas!$B$2:$C$20,2,FALSE)</f>
        <v>500009</v>
      </c>
      <c r="J1965" t="s">
        <v>361</v>
      </c>
      <c r="K1965">
        <f>VLOOKUP(J1965,Listas!$B$21:$C$50,2,FALSE)</f>
        <v>600001</v>
      </c>
      <c r="L1965">
        <v>0</v>
      </c>
    </row>
    <row r="1966" spans="1:12">
      <c r="A1966">
        <v>116</v>
      </c>
      <c r="B1966" t="s">
        <v>1098</v>
      </c>
      <c r="C1966" s="96">
        <v>42136</v>
      </c>
      <c r="D1966" t="s">
        <v>1011</v>
      </c>
      <c r="E1966" s="96" t="s">
        <v>1467</v>
      </c>
      <c r="H1966" t="s">
        <v>9</v>
      </c>
      <c r="I1966">
        <f>VLOOKUP(H1966,Listas!$B$2:$C$20,2,FALSE)</f>
        <v>500009</v>
      </c>
      <c r="J1966" t="s">
        <v>361</v>
      </c>
      <c r="K1966">
        <f>VLOOKUP(J1966,Listas!$B$21:$C$50,2,FALSE)</f>
        <v>600001</v>
      </c>
      <c r="L1966">
        <v>0</v>
      </c>
    </row>
    <row r="1967" spans="1:12">
      <c r="A1967">
        <v>116</v>
      </c>
      <c r="B1967" t="s">
        <v>5213</v>
      </c>
      <c r="C1967" s="96">
        <v>42137</v>
      </c>
      <c r="D1967" t="s">
        <v>5067</v>
      </c>
      <c r="E1967" s="96" t="s">
        <v>1467</v>
      </c>
      <c r="H1967" t="s">
        <v>9</v>
      </c>
      <c r="I1967">
        <f>VLOOKUP(H1967,Listas!$B$2:$C$20,2,FALSE)</f>
        <v>500009</v>
      </c>
      <c r="J1967" t="s">
        <v>361</v>
      </c>
      <c r="K1967">
        <f>VLOOKUP(J1967,Listas!$B$21:$C$50,2,FALSE)</f>
        <v>600001</v>
      </c>
      <c r="L1967">
        <v>0</v>
      </c>
    </row>
    <row r="1968" spans="1:12">
      <c r="A1968">
        <v>116</v>
      </c>
      <c r="B1968" t="s">
        <v>5214</v>
      </c>
      <c r="C1968" s="96">
        <v>42138</v>
      </c>
      <c r="D1968" t="s">
        <v>5069</v>
      </c>
      <c r="E1968" s="96" t="s">
        <v>1467</v>
      </c>
      <c r="H1968" t="s">
        <v>9</v>
      </c>
      <c r="I1968">
        <f>VLOOKUP(H1968,Listas!$B$2:$C$20,2,FALSE)</f>
        <v>500009</v>
      </c>
      <c r="J1968" t="s">
        <v>361</v>
      </c>
      <c r="K1968">
        <f>VLOOKUP(J1968,Listas!$B$21:$C$50,2,FALSE)</f>
        <v>600001</v>
      </c>
      <c r="L1968">
        <v>0</v>
      </c>
    </row>
    <row r="1969" spans="1:12">
      <c r="A1969">
        <v>116</v>
      </c>
      <c r="B1969" t="s">
        <v>5215</v>
      </c>
      <c r="C1969" s="96">
        <v>42139</v>
      </c>
      <c r="D1969" t="s">
        <v>5071</v>
      </c>
      <c r="E1969" s="96" t="s">
        <v>1467</v>
      </c>
      <c r="H1969" t="s">
        <v>9</v>
      </c>
      <c r="I1969">
        <f>VLOOKUP(H1969,Listas!$B$2:$C$20,2,FALSE)</f>
        <v>500009</v>
      </c>
      <c r="J1969" t="s">
        <v>361</v>
      </c>
      <c r="K1969">
        <f>VLOOKUP(J1969,Listas!$B$21:$C$50,2,FALSE)</f>
        <v>600001</v>
      </c>
      <c r="L1969">
        <v>0</v>
      </c>
    </row>
    <row r="1970" spans="1:12">
      <c r="A1970">
        <v>116</v>
      </c>
      <c r="B1970" t="s">
        <v>1099</v>
      </c>
      <c r="C1970" s="96">
        <v>421310</v>
      </c>
      <c r="D1970" t="s">
        <v>1013</v>
      </c>
      <c r="E1970" s="96" t="s">
        <v>1467</v>
      </c>
      <c r="H1970" t="s">
        <v>9</v>
      </c>
      <c r="I1970">
        <f>VLOOKUP(H1970,Listas!$B$2:$C$20,2,FALSE)</f>
        <v>500009</v>
      </c>
      <c r="J1970" t="s">
        <v>361</v>
      </c>
      <c r="K1970">
        <f>VLOOKUP(J1970,Listas!$B$21:$C$50,2,FALSE)</f>
        <v>600001</v>
      </c>
      <c r="L1970">
        <v>0</v>
      </c>
    </row>
    <row r="1971" spans="1:12">
      <c r="A1971">
        <v>116</v>
      </c>
      <c r="B1971" t="s">
        <v>1100</v>
      </c>
      <c r="C1971" s="96">
        <v>421311</v>
      </c>
      <c r="D1971" t="s">
        <v>1015</v>
      </c>
      <c r="E1971" s="96" t="s">
        <v>1467</v>
      </c>
      <c r="H1971" t="s">
        <v>9</v>
      </c>
      <c r="I1971">
        <f>VLOOKUP(H1971,Listas!$B$2:$C$20,2,FALSE)</f>
        <v>500009</v>
      </c>
      <c r="J1971" t="s">
        <v>361</v>
      </c>
      <c r="K1971">
        <f>VLOOKUP(J1971,Listas!$B$21:$C$50,2,FALSE)</f>
        <v>600001</v>
      </c>
      <c r="L1971">
        <v>0</v>
      </c>
    </row>
    <row r="1972" spans="1:12">
      <c r="A1972">
        <v>116</v>
      </c>
      <c r="B1972" t="s">
        <v>5216</v>
      </c>
      <c r="C1972" s="96">
        <v>421313</v>
      </c>
      <c r="D1972" t="s">
        <v>5073</v>
      </c>
      <c r="E1972" s="96" t="s">
        <v>1467</v>
      </c>
      <c r="H1972" t="s">
        <v>9</v>
      </c>
      <c r="I1972">
        <f>VLOOKUP(H1972,Listas!$B$2:$C$20,2,FALSE)</f>
        <v>500009</v>
      </c>
      <c r="J1972" t="s">
        <v>361</v>
      </c>
      <c r="K1972">
        <f>VLOOKUP(J1972,Listas!$B$21:$C$50,2,FALSE)</f>
        <v>600001</v>
      </c>
      <c r="L1972">
        <v>0</v>
      </c>
    </row>
    <row r="1973" spans="1:12">
      <c r="A1973">
        <v>116</v>
      </c>
      <c r="B1973" t="s">
        <v>5217</v>
      </c>
      <c r="C1973" s="96">
        <v>4213999</v>
      </c>
      <c r="D1973" t="s">
        <v>5075</v>
      </c>
      <c r="E1973" s="96" t="s">
        <v>1467</v>
      </c>
      <c r="H1973" t="s">
        <v>9</v>
      </c>
      <c r="I1973">
        <f>VLOOKUP(H1973,Listas!$B$2:$C$20,2,FALSE)</f>
        <v>500009</v>
      </c>
      <c r="J1973" t="s">
        <v>361</v>
      </c>
      <c r="K1973">
        <f>VLOOKUP(J1973,Listas!$B$21:$C$50,2,FALSE)</f>
        <v>600001</v>
      </c>
      <c r="L1973">
        <v>0</v>
      </c>
    </row>
    <row r="1974" spans="1:12" s="336" customFormat="1">
      <c r="A1974" s="336">
        <v>116</v>
      </c>
      <c r="B1974" s="336" t="s">
        <v>5218</v>
      </c>
      <c r="C1974" s="336">
        <v>4214</v>
      </c>
      <c r="D1974" s="336" t="s">
        <v>5077</v>
      </c>
      <c r="E1974" s="337" t="s">
        <v>1462</v>
      </c>
    </row>
    <row r="1975" spans="1:12">
      <c r="A1975">
        <v>116</v>
      </c>
      <c r="B1975" t="s">
        <v>5219</v>
      </c>
      <c r="C1975" s="96">
        <v>4214999</v>
      </c>
      <c r="D1975" t="s">
        <v>5220</v>
      </c>
      <c r="E1975" s="96" t="s">
        <v>1467</v>
      </c>
      <c r="H1975" t="s">
        <v>5159</v>
      </c>
      <c r="I1975">
        <f>VLOOKUP(H1975,Listas!$B$2:$C$20,2,FALSE)</f>
        <v>500018</v>
      </c>
      <c r="J1975" t="s">
        <v>361</v>
      </c>
      <c r="K1975">
        <f>VLOOKUP(J1975,Listas!$B$21:$C$50,2,FALSE)</f>
        <v>600001</v>
      </c>
      <c r="L1975">
        <v>0</v>
      </c>
    </row>
    <row r="1976" spans="1:12" s="336" customFormat="1">
      <c r="A1976" s="336">
        <v>116</v>
      </c>
      <c r="B1976" s="336" t="s">
        <v>5221</v>
      </c>
      <c r="C1976" s="336">
        <v>4215</v>
      </c>
      <c r="D1976" s="336" t="s">
        <v>1017</v>
      </c>
      <c r="E1976" s="337" t="s">
        <v>1462</v>
      </c>
    </row>
    <row r="1977" spans="1:12">
      <c r="A1977">
        <v>116</v>
      </c>
      <c r="B1977" t="s">
        <v>5222</v>
      </c>
      <c r="C1977" s="96">
        <v>42151</v>
      </c>
      <c r="D1977" t="s">
        <v>1017</v>
      </c>
      <c r="E1977" s="96" t="s">
        <v>1467</v>
      </c>
      <c r="H1977" t="s">
        <v>199</v>
      </c>
      <c r="I1977">
        <f>VLOOKUP(H1977,Listas!$B$2:$C$20,2,FALSE)</f>
        <v>500011</v>
      </c>
      <c r="J1977" t="s">
        <v>361</v>
      </c>
      <c r="K1977">
        <f>VLOOKUP(J1977,Listas!$B$21:$C$50,2,FALSE)</f>
        <v>600001</v>
      </c>
      <c r="L1977">
        <v>0</v>
      </c>
    </row>
    <row r="1978" spans="1:12" s="336" customFormat="1">
      <c r="A1978" s="336">
        <v>116</v>
      </c>
      <c r="B1978" s="336" t="s">
        <v>22</v>
      </c>
      <c r="C1978" s="336">
        <v>422</v>
      </c>
      <c r="D1978" s="336" t="s">
        <v>1101</v>
      </c>
      <c r="E1978" s="337" t="s">
        <v>1462</v>
      </c>
    </row>
    <row r="1979" spans="1:12" s="336" customFormat="1">
      <c r="A1979" s="336">
        <v>116</v>
      </c>
      <c r="B1979" s="336" t="s">
        <v>1102</v>
      </c>
      <c r="C1979" s="336">
        <v>4221</v>
      </c>
      <c r="D1979" s="336" t="s">
        <v>1103</v>
      </c>
      <c r="E1979" s="337" t="s">
        <v>1462</v>
      </c>
    </row>
    <row r="1980" spans="1:12">
      <c r="A1980">
        <v>116</v>
      </c>
      <c r="B1980" t="s">
        <v>1104</v>
      </c>
      <c r="C1980" s="96">
        <v>42211</v>
      </c>
      <c r="D1980" t="s">
        <v>1105</v>
      </c>
      <c r="E1980" s="96" t="s">
        <v>1467</v>
      </c>
      <c r="H1980" t="s">
        <v>188</v>
      </c>
      <c r="I1980">
        <f>VLOOKUP(H1980,Listas!$B$2:$C$20,2,FALSE)</f>
        <v>500004</v>
      </c>
      <c r="J1980" t="s">
        <v>361</v>
      </c>
      <c r="K1980">
        <f>VLOOKUP(J1980,Listas!$B$21:$C$50,2,FALSE)</f>
        <v>600001</v>
      </c>
      <c r="L1980">
        <v>0</v>
      </c>
    </row>
    <row r="1981" spans="1:12">
      <c r="A1981">
        <v>116</v>
      </c>
      <c r="B1981" t="s">
        <v>5223</v>
      </c>
      <c r="C1981" s="96">
        <v>42212</v>
      </c>
      <c r="D1981" t="s">
        <v>5090</v>
      </c>
      <c r="E1981" s="96" t="s">
        <v>1467</v>
      </c>
      <c r="H1981" t="s">
        <v>188</v>
      </c>
      <c r="I1981">
        <f>VLOOKUP(H1981,Listas!$B$2:$C$20,2,FALSE)</f>
        <v>500004</v>
      </c>
      <c r="J1981" t="s">
        <v>361</v>
      </c>
      <c r="K1981">
        <f>VLOOKUP(J1981,Listas!$B$21:$C$50,2,FALSE)</f>
        <v>600001</v>
      </c>
      <c r="L1981">
        <v>0</v>
      </c>
    </row>
    <row r="1982" spans="1:12">
      <c r="A1982">
        <v>116</v>
      </c>
      <c r="B1982" t="s">
        <v>5224</v>
      </c>
      <c r="C1982" s="96">
        <v>42213</v>
      </c>
      <c r="D1982" t="s">
        <v>5092</v>
      </c>
      <c r="E1982" s="96" t="s">
        <v>1467</v>
      </c>
      <c r="H1982" t="s">
        <v>188</v>
      </c>
      <c r="I1982">
        <f>VLOOKUP(H1982,Listas!$B$2:$C$20,2,FALSE)</f>
        <v>500004</v>
      </c>
      <c r="J1982" t="s">
        <v>361</v>
      </c>
      <c r="K1982">
        <f>VLOOKUP(J1982,Listas!$B$21:$C$50,2,FALSE)</f>
        <v>600001</v>
      </c>
      <c r="L1982">
        <v>0</v>
      </c>
    </row>
    <row r="1983" spans="1:12">
      <c r="A1983">
        <v>116</v>
      </c>
      <c r="B1983" t="s">
        <v>5225</v>
      </c>
      <c r="C1983" s="96">
        <v>42214</v>
      </c>
      <c r="D1983" t="s">
        <v>5096</v>
      </c>
      <c r="E1983" s="96" t="s">
        <v>1467</v>
      </c>
      <c r="H1983" t="s">
        <v>188</v>
      </c>
      <c r="I1983">
        <f>VLOOKUP(H1983,Listas!$B$2:$C$20,2,FALSE)</f>
        <v>500004</v>
      </c>
      <c r="J1983" t="s">
        <v>361</v>
      </c>
      <c r="K1983">
        <f>VLOOKUP(J1983,Listas!$B$21:$C$50,2,FALSE)</f>
        <v>600001</v>
      </c>
      <c r="L1983">
        <v>0</v>
      </c>
    </row>
    <row r="1984" spans="1:12">
      <c r="A1984">
        <v>116</v>
      </c>
      <c r="B1984" t="s">
        <v>5226</v>
      </c>
      <c r="C1984" s="96">
        <v>422198</v>
      </c>
      <c r="D1984" t="s">
        <v>5227</v>
      </c>
      <c r="E1984" s="96" t="s">
        <v>1467</v>
      </c>
      <c r="H1984" t="s">
        <v>186</v>
      </c>
      <c r="I1984">
        <f>VLOOKUP(H1984,Listas!$B$2:$C$20,2,FALSE)</f>
        <v>500003</v>
      </c>
      <c r="J1984" t="s">
        <v>361</v>
      </c>
      <c r="K1984">
        <f>VLOOKUP(J1984,Listas!$B$21:$C$50,2,FALSE)</f>
        <v>600001</v>
      </c>
      <c r="L1984">
        <v>0</v>
      </c>
    </row>
    <row r="1985" spans="1:12" s="336" customFormat="1">
      <c r="A1985" s="336">
        <v>116</v>
      </c>
      <c r="B1985" s="336" t="s">
        <v>5228</v>
      </c>
      <c r="C1985" s="336">
        <v>4222</v>
      </c>
      <c r="D1985" s="336" t="s">
        <v>5229</v>
      </c>
      <c r="E1985" s="337" t="s">
        <v>1462</v>
      </c>
    </row>
    <row r="1986" spans="1:12">
      <c r="A1986">
        <v>116</v>
      </c>
      <c r="B1986" t="s">
        <v>5230</v>
      </c>
      <c r="C1986" s="96">
        <v>42221</v>
      </c>
      <c r="D1986" t="s">
        <v>5092</v>
      </c>
      <c r="E1986" s="96" t="s">
        <v>1467</v>
      </c>
      <c r="H1986" t="s">
        <v>188</v>
      </c>
      <c r="I1986">
        <f>VLOOKUP(H1986,Listas!$B$2:$C$20,2,FALSE)</f>
        <v>500004</v>
      </c>
      <c r="J1986" t="s">
        <v>361</v>
      </c>
      <c r="K1986">
        <f>VLOOKUP(J1986,Listas!$B$21:$C$50,2,FALSE)</f>
        <v>600001</v>
      </c>
      <c r="L1986">
        <v>0</v>
      </c>
    </row>
    <row r="1987" spans="1:12">
      <c r="A1987">
        <v>116</v>
      </c>
      <c r="B1987" t="s">
        <v>5231</v>
      </c>
      <c r="C1987" s="96">
        <v>4222999</v>
      </c>
      <c r="D1987" t="s">
        <v>5101</v>
      </c>
      <c r="E1987" s="96" t="s">
        <v>1467</v>
      </c>
      <c r="H1987" t="s">
        <v>188</v>
      </c>
      <c r="I1987">
        <f>VLOOKUP(H1987,Listas!$B$2:$C$20,2,FALSE)</f>
        <v>500004</v>
      </c>
      <c r="J1987" t="s">
        <v>361</v>
      </c>
      <c r="K1987">
        <f>VLOOKUP(J1987,Listas!$B$21:$C$50,2,FALSE)</f>
        <v>600001</v>
      </c>
      <c r="L1987">
        <v>0</v>
      </c>
    </row>
    <row r="1988" spans="1:12" s="336" customFormat="1">
      <c r="A1988" s="336">
        <v>116</v>
      </c>
      <c r="B1988" s="336" t="s">
        <v>1106</v>
      </c>
      <c r="C1988" s="336">
        <v>423</v>
      </c>
      <c r="D1988" s="336" t="s">
        <v>1107</v>
      </c>
      <c r="E1988" s="337" t="s">
        <v>1462</v>
      </c>
    </row>
    <row r="1989" spans="1:12" s="336" customFormat="1">
      <c r="A1989" s="336">
        <v>116</v>
      </c>
      <c r="B1989" s="336" t="s">
        <v>23</v>
      </c>
      <c r="C1989" s="336">
        <v>4231</v>
      </c>
      <c r="D1989" s="336" t="s">
        <v>1107</v>
      </c>
      <c r="E1989" s="337" t="s">
        <v>1462</v>
      </c>
    </row>
    <row r="1990" spans="1:12">
      <c r="A1990">
        <v>116</v>
      </c>
      <c r="B1990" t="s">
        <v>1108</v>
      </c>
      <c r="C1990" s="96">
        <v>42311</v>
      </c>
      <c r="D1990" t="s">
        <v>1023</v>
      </c>
      <c r="E1990" s="96" t="s">
        <v>1467</v>
      </c>
      <c r="H1990" t="s">
        <v>188</v>
      </c>
      <c r="I1990">
        <f>VLOOKUP(H1990,Listas!$B$2:$C$20,2,FALSE)</f>
        <v>500004</v>
      </c>
      <c r="J1990" t="s">
        <v>361</v>
      </c>
      <c r="K1990">
        <f>VLOOKUP(J1990,Listas!$B$21:$C$50,2,FALSE)</f>
        <v>600001</v>
      </c>
      <c r="L1990">
        <v>0</v>
      </c>
    </row>
    <row r="1991" spans="1:12">
      <c r="A1991">
        <v>116</v>
      </c>
      <c r="B1991" t="s">
        <v>1109</v>
      </c>
      <c r="C1991" s="96">
        <v>42312</v>
      </c>
      <c r="D1991" t="s">
        <v>1025</v>
      </c>
      <c r="E1991" s="96" t="s">
        <v>1467</v>
      </c>
      <c r="H1991" t="s">
        <v>188</v>
      </c>
      <c r="I1991">
        <f>VLOOKUP(H1991,Listas!$B$2:$C$20,2,FALSE)</f>
        <v>500004</v>
      </c>
      <c r="J1991" t="s">
        <v>361</v>
      </c>
      <c r="K1991">
        <f>VLOOKUP(J1991,Listas!$B$21:$C$50,2,FALSE)</f>
        <v>600001</v>
      </c>
      <c r="L1991">
        <v>0</v>
      </c>
    </row>
    <row r="1992" spans="1:12">
      <c r="A1992">
        <v>116</v>
      </c>
      <c r="B1992" t="s">
        <v>1110</v>
      </c>
      <c r="C1992" s="96">
        <v>42313</v>
      </c>
      <c r="D1992" t="s">
        <v>1111</v>
      </c>
      <c r="E1992" s="96" t="s">
        <v>1467</v>
      </c>
      <c r="H1992" t="s">
        <v>197</v>
      </c>
      <c r="I1992">
        <f>VLOOKUP(H1992,Listas!$B$2:$C$20,2,FALSE)</f>
        <v>500008</v>
      </c>
      <c r="J1992" t="s">
        <v>361</v>
      </c>
      <c r="K1992">
        <f>VLOOKUP(J1992,Listas!$B$21:$C$50,2,FALSE)</f>
        <v>600001</v>
      </c>
      <c r="L1992">
        <v>0</v>
      </c>
    </row>
    <row r="1993" spans="1:12">
      <c r="A1993">
        <v>116</v>
      </c>
      <c r="B1993" t="s">
        <v>5232</v>
      </c>
      <c r="C1993" s="96">
        <v>42314</v>
      </c>
      <c r="D1993" t="s">
        <v>5108</v>
      </c>
      <c r="E1993" s="96" t="s">
        <v>1467</v>
      </c>
      <c r="H1993" t="s">
        <v>188</v>
      </c>
      <c r="I1993">
        <f>VLOOKUP(H1993,Listas!$B$2:$C$20,2,FALSE)</f>
        <v>500004</v>
      </c>
      <c r="J1993" t="s">
        <v>361</v>
      </c>
      <c r="K1993">
        <f>VLOOKUP(J1993,Listas!$B$21:$C$50,2,FALSE)</f>
        <v>600001</v>
      </c>
      <c r="L1993">
        <v>0</v>
      </c>
    </row>
    <row r="1994" spans="1:12">
      <c r="A1994">
        <v>116</v>
      </c>
      <c r="B1994" t="s">
        <v>1112</v>
      </c>
      <c r="C1994" s="96">
        <v>42315</v>
      </c>
      <c r="D1994" t="s">
        <v>1027</v>
      </c>
      <c r="E1994" s="96" t="s">
        <v>1467</v>
      </c>
      <c r="H1994" t="s">
        <v>188</v>
      </c>
      <c r="I1994">
        <f>VLOOKUP(H1994,Listas!$B$2:$C$20,2,FALSE)</f>
        <v>500004</v>
      </c>
      <c r="J1994" t="s">
        <v>361</v>
      </c>
      <c r="K1994">
        <f>VLOOKUP(J1994,Listas!$B$21:$C$50,2,FALSE)</f>
        <v>600001</v>
      </c>
      <c r="L1994">
        <v>0</v>
      </c>
    </row>
    <row r="1995" spans="1:12">
      <c r="A1995">
        <v>116</v>
      </c>
      <c r="B1995" t="s">
        <v>1113</v>
      </c>
      <c r="C1995" s="96">
        <v>42316</v>
      </c>
      <c r="D1995" t="s">
        <v>1114</v>
      </c>
      <c r="E1995" s="96" t="s">
        <v>1467</v>
      </c>
      <c r="H1995" t="s">
        <v>188</v>
      </c>
      <c r="I1995">
        <f>VLOOKUP(H1995,Listas!$B$2:$C$20,2,FALSE)</f>
        <v>500004</v>
      </c>
      <c r="J1995" t="s">
        <v>361</v>
      </c>
      <c r="K1995">
        <f>VLOOKUP(J1995,Listas!$B$21:$C$50,2,FALSE)</f>
        <v>600001</v>
      </c>
      <c r="L1995">
        <v>0</v>
      </c>
    </row>
    <row r="1996" spans="1:12">
      <c r="A1996">
        <v>116</v>
      </c>
      <c r="B1996" t="s">
        <v>1115</v>
      </c>
      <c r="C1996" s="96">
        <v>42317</v>
      </c>
      <c r="D1996" t="s">
        <v>1116</v>
      </c>
      <c r="E1996" s="96" t="s">
        <v>1467</v>
      </c>
      <c r="H1996" t="s">
        <v>188</v>
      </c>
      <c r="I1996">
        <f>VLOOKUP(H1996,Listas!$B$2:$C$20,2,FALSE)</f>
        <v>500004</v>
      </c>
      <c r="J1996" t="s">
        <v>361</v>
      </c>
      <c r="K1996">
        <f>VLOOKUP(J1996,Listas!$B$21:$C$50,2,FALSE)</f>
        <v>600001</v>
      </c>
      <c r="L1996">
        <v>0</v>
      </c>
    </row>
    <row r="1997" spans="1:12">
      <c r="A1997">
        <v>116</v>
      </c>
      <c r="B1997" t="s">
        <v>1117</v>
      </c>
      <c r="C1997" s="96">
        <v>42318</v>
      </c>
      <c r="D1997" t="s">
        <v>1118</v>
      </c>
      <c r="E1997" s="96" t="s">
        <v>1467</v>
      </c>
      <c r="H1997" t="s">
        <v>188</v>
      </c>
      <c r="I1997">
        <f>VLOOKUP(H1997,Listas!$B$2:$C$20,2,FALSE)</f>
        <v>500004</v>
      </c>
      <c r="J1997" t="s">
        <v>361</v>
      </c>
      <c r="K1997">
        <f>VLOOKUP(J1997,Listas!$B$21:$C$50,2,FALSE)</f>
        <v>600001</v>
      </c>
      <c r="L1997">
        <v>0</v>
      </c>
    </row>
    <row r="1998" spans="1:12">
      <c r="A1998">
        <v>116</v>
      </c>
      <c r="B1998" t="s">
        <v>5233</v>
      </c>
      <c r="C1998" s="96">
        <v>42319</v>
      </c>
      <c r="D1998" t="s">
        <v>5115</v>
      </c>
      <c r="E1998" s="96" t="s">
        <v>1467</v>
      </c>
      <c r="H1998" t="s">
        <v>188</v>
      </c>
      <c r="I1998">
        <f>VLOOKUP(H1998,Listas!$B$2:$C$20,2,FALSE)</f>
        <v>500004</v>
      </c>
      <c r="J1998" t="s">
        <v>361</v>
      </c>
      <c r="K1998">
        <f>VLOOKUP(J1998,Listas!$B$21:$C$50,2,FALSE)</f>
        <v>600001</v>
      </c>
      <c r="L1998">
        <v>0</v>
      </c>
    </row>
    <row r="1999" spans="1:12">
      <c r="A1999">
        <v>116</v>
      </c>
      <c r="B1999" t="s">
        <v>5234</v>
      </c>
      <c r="C1999" s="96">
        <v>423110</v>
      </c>
      <c r="D1999" t="s">
        <v>5117</v>
      </c>
      <c r="E1999" s="96" t="s">
        <v>1467</v>
      </c>
      <c r="H1999" t="s">
        <v>188</v>
      </c>
      <c r="I1999">
        <f>VLOOKUP(H1999,Listas!$B$2:$C$20,2,FALSE)</f>
        <v>500004</v>
      </c>
      <c r="J1999" t="s">
        <v>361</v>
      </c>
      <c r="K1999">
        <f>VLOOKUP(J1999,Listas!$B$21:$C$50,2,FALSE)</f>
        <v>600001</v>
      </c>
      <c r="L1999">
        <v>0</v>
      </c>
    </row>
    <row r="2000" spans="1:12">
      <c r="A2000">
        <v>116</v>
      </c>
      <c r="B2000" t="s">
        <v>5235</v>
      </c>
      <c r="C2000" s="96">
        <v>423111</v>
      </c>
      <c r="D2000" t="s">
        <v>5236</v>
      </c>
      <c r="E2000" s="96" t="s">
        <v>1467</v>
      </c>
      <c r="H2000" t="s">
        <v>188</v>
      </c>
      <c r="I2000">
        <f>VLOOKUP(H2000,Listas!$B$2:$C$20,2,FALSE)</f>
        <v>500004</v>
      </c>
      <c r="J2000" t="s">
        <v>361</v>
      </c>
      <c r="K2000">
        <f>VLOOKUP(J2000,Listas!$B$21:$C$50,2,FALSE)</f>
        <v>600001</v>
      </c>
      <c r="L2000">
        <v>0</v>
      </c>
    </row>
    <row r="2001" spans="1:12">
      <c r="A2001">
        <v>116</v>
      </c>
      <c r="B2001" t="s">
        <v>5237</v>
      </c>
      <c r="C2001" s="96">
        <v>423112</v>
      </c>
      <c r="D2001" t="s">
        <v>5238</v>
      </c>
      <c r="E2001" s="96" t="s">
        <v>1467</v>
      </c>
      <c r="H2001" t="s">
        <v>188</v>
      </c>
      <c r="I2001">
        <f>VLOOKUP(H2001,Listas!$B$2:$C$20,2,FALSE)</f>
        <v>500004</v>
      </c>
      <c r="J2001" t="s">
        <v>361</v>
      </c>
      <c r="K2001">
        <f>VLOOKUP(J2001,Listas!$B$21:$C$50,2,FALSE)</f>
        <v>600001</v>
      </c>
      <c r="L2001">
        <v>0</v>
      </c>
    </row>
    <row r="2002" spans="1:12">
      <c r="A2002">
        <v>116</v>
      </c>
      <c r="B2002" t="s">
        <v>1119</v>
      </c>
      <c r="C2002" s="96">
        <v>423113</v>
      </c>
      <c r="D2002" t="s">
        <v>1120</v>
      </c>
      <c r="E2002" s="96" t="s">
        <v>1467</v>
      </c>
      <c r="H2002" t="s">
        <v>208</v>
      </c>
      <c r="I2002">
        <f>VLOOKUP(H2002,Listas!$B$2:$C$20,2,FALSE)</f>
        <v>500017</v>
      </c>
      <c r="J2002" t="s">
        <v>361</v>
      </c>
      <c r="K2002">
        <f>VLOOKUP(J2002,Listas!$B$21:$C$50,2,FALSE)</f>
        <v>600001</v>
      </c>
      <c r="L2002">
        <v>0</v>
      </c>
    </row>
    <row r="2003" spans="1:12">
      <c r="A2003">
        <v>116</v>
      </c>
      <c r="B2003" t="s">
        <v>1121</v>
      </c>
      <c r="C2003" s="96">
        <v>423114</v>
      </c>
      <c r="D2003" t="s">
        <v>1122</v>
      </c>
      <c r="E2003" s="96" t="s">
        <v>1467</v>
      </c>
      <c r="H2003" t="s">
        <v>188</v>
      </c>
      <c r="I2003">
        <f>VLOOKUP(H2003,Listas!$B$2:$C$20,2,FALSE)</f>
        <v>500004</v>
      </c>
      <c r="J2003" t="s">
        <v>361</v>
      </c>
      <c r="K2003">
        <f>VLOOKUP(J2003,Listas!$B$21:$C$50,2,FALSE)</f>
        <v>600001</v>
      </c>
      <c r="L2003">
        <v>0</v>
      </c>
    </row>
    <row r="2004" spans="1:12">
      <c r="A2004">
        <v>116</v>
      </c>
      <c r="B2004" t="s">
        <v>1123</v>
      </c>
      <c r="C2004" s="96">
        <v>423115</v>
      </c>
      <c r="D2004" t="s">
        <v>1124</v>
      </c>
      <c r="E2004" s="96" t="s">
        <v>1467</v>
      </c>
      <c r="H2004" t="s">
        <v>188</v>
      </c>
      <c r="I2004">
        <f>VLOOKUP(H2004,Listas!$B$2:$C$20,2,FALSE)</f>
        <v>500004</v>
      </c>
      <c r="J2004" t="s">
        <v>361</v>
      </c>
      <c r="K2004">
        <f>VLOOKUP(J2004,Listas!$B$21:$C$50,2,FALSE)</f>
        <v>600001</v>
      </c>
      <c r="L2004">
        <v>0</v>
      </c>
    </row>
    <row r="2005" spans="1:12">
      <c r="A2005">
        <v>116</v>
      </c>
      <c r="B2005" t="s">
        <v>1125</v>
      </c>
      <c r="C2005" s="96">
        <v>423117</v>
      </c>
      <c r="D2005" t="s">
        <v>1126</v>
      </c>
      <c r="E2005" s="96" t="s">
        <v>1467</v>
      </c>
      <c r="H2005" t="s">
        <v>197</v>
      </c>
      <c r="I2005">
        <f>VLOOKUP(H2005,Listas!$B$2:$C$20,2,FALSE)</f>
        <v>500008</v>
      </c>
      <c r="J2005" t="s">
        <v>361</v>
      </c>
      <c r="K2005">
        <f>VLOOKUP(J2005,Listas!$B$21:$C$50,2,FALSE)</f>
        <v>600001</v>
      </c>
      <c r="L2005">
        <v>0</v>
      </c>
    </row>
    <row r="2006" spans="1:12">
      <c r="A2006">
        <v>116</v>
      </c>
      <c r="B2006" t="s">
        <v>5239</v>
      </c>
      <c r="C2006" s="96">
        <v>423118</v>
      </c>
      <c r="D2006" t="s">
        <v>5240</v>
      </c>
      <c r="E2006" s="96" t="s">
        <v>1467</v>
      </c>
      <c r="H2006" t="s">
        <v>188</v>
      </c>
      <c r="I2006">
        <f>VLOOKUP(H2006,Listas!$B$2:$C$20,2,FALSE)</f>
        <v>500004</v>
      </c>
      <c r="J2006" t="s">
        <v>361</v>
      </c>
      <c r="K2006">
        <f>VLOOKUP(J2006,Listas!$B$21:$C$50,2,FALSE)</f>
        <v>600001</v>
      </c>
      <c r="L2006">
        <v>0</v>
      </c>
    </row>
    <row r="2007" spans="1:12">
      <c r="A2007">
        <v>116</v>
      </c>
      <c r="B2007" t="s">
        <v>1127</v>
      </c>
      <c r="C2007" s="96">
        <v>423119</v>
      </c>
      <c r="D2007" t="s">
        <v>1128</v>
      </c>
      <c r="E2007" s="96" t="s">
        <v>1467</v>
      </c>
      <c r="H2007" t="s">
        <v>197</v>
      </c>
      <c r="I2007">
        <f>VLOOKUP(H2007,Listas!$B$2:$C$20,2,FALSE)</f>
        <v>500008</v>
      </c>
      <c r="J2007" t="s">
        <v>361</v>
      </c>
      <c r="K2007">
        <f>VLOOKUP(J2007,Listas!$B$21:$C$50,2,FALSE)</f>
        <v>600001</v>
      </c>
      <c r="L2007">
        <v>0</v>
      </c>
    </row>
    <row r="2008" spans="1:12">
      <c r="A2008">
        <v>116</v>
      </c>
      <c r="B2008" t="s">
        <v>5241</v>
      </c>
      <c r="C2008" s="96">
        <v>4231997</v>
      </c>
      <c r="D2008" t="s">
        <v>1033</v>
      </c>
      <c r="E2008" s="96" t="s">
        <v>1467</v>
      </c>
      <c r="H2008" t="s">
        <v>188</v>
      </c>
      <c r="I2008">
        <f>VLOOKUP(H2008,Listas!$B$2:$C$20,2,FALSE)</f>
        <v>500004</v>
      </c>
      <c r="J2008" t="s">
        <v>361</v>
      </c>
      <c r="K2008">
        <f>VLOOKUP(J2008,Listas!$B$21:$C$50,2,FALSE)</f>
        <v>600001</v>
      </c>
      <c r="L2008">
        <v>0</v>
      </c>
    </row>
    <row r="2009" spans="1:12">
      <c r="A2009">
        <v>116</v>
      </c>
      <c r="B2009" t="s">
        <v>5242</v>
      </c>
      <c r="C2009" s="96">
        <v>4231998</v>
      </c>
      <c r="D2009" t="s">
        <v>5243</v>
      </c>
      <c r="E2009" s="96" t="s">
        <v>1467</v>
      </c>
      <c r="H2009" t="s">
        <v>186</v>
      </c>
      <c r="I2009">
        <f>VLOOKUP(H2009,Listas!$B$2:$C$20,2,FALSE)</f>
        <v>500003</v>
      </c>
      <c r="J2009" t="s">
        <v>361</v>
      </c>
      <c r="K2009">
        <f>VLOOKUP(J2009,Listas!$B$21:$C$50,2,FALSE)</f>
        <v>600001</v>
      </c>
      <c r="L2009">
        <v>0</v>
      </c>
    </row>
    <row r="2010" spans="1:12">
      <c r="A2010">
        <v>116</v>
      </c>
      <c r="B2010" t="s">
        <v>5244</v>
      </c>
      <c r="C2010" s="96">
        <v>4231999</v>
      </c>
      <c r="D2010" t="s">
        <v>5129</v>
      </c>
      <c r="E2010" s="96" t="s">
        <v>1467</v>
      </c>
      <c r="H2010" t="s">
        <v>188</v>
      </c>
      <c r="I2010">
        <f>VLOOKUP(H2010,Listas!$B$2:$C$20,2,FALSE)</f>
        <v>500004</v>
      </c>
      <c r="J2010" t="s">
        <v>361</v>
      </c>
      <c r="K2010">
        <f>VLOOKUP(J2010,Listas!$B$21:$C$50,2,FALSE)</f>
        <v>600001</v>
      </c>
      <c r="L2010">
        <v>0</v>
      </c>
    </row>
    <row r="2011" spans="1:12" s="336" customFormat="1">
      <c r="A2011" s="336">
        <v>116</v>
      </c>
      <c r="B2011" s="336" t="s">
        <v>5245</v>
      </c>
      <c r="C2011" s="336">
        <v>4232</v>
      </c>
      <c r="D2011" s="336" t="s">
        <v>5246</v>
      </c>
      <c r="E2011" s="337" t="s">
        <v>1462</v>
      </c>
    </row>
    <row r="2012" spans="1:12">
      <c r="A2012">
        <v>116</v>
      </c>
      <c r="B2012" t="s">
        <v>5247</v>
      </c>
      <c r="C2012" s="96">
        <v>42321</v>
      </c>
      <c r="D2012" t="s">
        <v>1023</v>
      </c>
      <c r="E2012" s="96" t="s">
        <v>1467</v>
      </c>
      <c r="H2012" t="s">
        <v>188</v>
      </c>
      <c r="I2012">
        <f>VLOOKUP(H2012,Listas!$B$2:$C$20,2,FALSE)</f>
        <v>500004</v>
      </c>
      <c r="J2012" t="s">
        <v>361</v>
      </c>
      <c r="K2012">
        <f>VLOOKUP(J2012,Listas!$B$21:$C$50,2,FALSE)</f>
        <v>600001</v>
      </c>
      <c r="L2012">
        <v>0</v>
      </c>
    </row>
    <row r="2013" spans="1:12">
      <c r="A2013">
        <v>116</v>
      </c>
      <c r="B2013" t="s">
        <v>5248</v>
      </c>
      <c r="C2013" s="96">
        <v>42322</v>
      </c>
      <c r="D2013" t="s">
        <v>1122</v>
      </c>
      <c r="E2013" s="96" t="s">
        <v>1467</v>
      </c>
      <c r="H2013" t="s">
        <v>188</v>
      </c>
      <c r="I2013">
        <f>VLOOKUP(H2013,Listas!$B$2:$C$20,2,FALSE)</f>
        <v>500004</v>
      </c>
      <c r="J2013" t="s">
        <v>361</v>
      </c>
      <c r="K2013">
        <f>VLOOKUP(J2013,Listas!$B$21:$C$50,2,FALSE)</f>
        <v>600001</v>
      </c>
      <c r="L2013">
        <v>0</v>
      </c>
    </row>
    <row r="2014" spans="1:12">
      <c r="A2014">
        <v>116</v>
      </c>
      <c r="B2014" t="s">
        <v>5249</v>
      </c>
      <c r="C2014" s="96">
        <v>4232999</v>
      </c>
      <c r="D2014" t="s">
        <v>5129</v>
      </c>
      <c r="E2014" s="96" t="s">
        <v>1467</v>
      </c>
      <c r="H2014" t="s">
        <v>188</v>
      </c>
      <c r="I2014">
        <f>VLOOKUP(H2014,Listas!$B$2:$C$20,2,FALSE)</f>
        <v>500004</v>
      </c>
      <c r="J2014" t="s">
        <v>361</v>
      </c>
      <c r="K2014">
        <f>VLOOKUP(J2014,Listas!$B$21:$C$50,2,FALSE)</f>
        <v>600001</v>
      </c>
      <c r="L2014">
        <v>0</v>
      </c>
    </row>
    <row r="2015" spans="1:12" s="336" customFormat="1">
      <c r="A2015" s="336">
        <v>116</v>
      </c>
      <c r="B2015" s="336" t="s">
        <v>24</v>
      </c>
      <c r="C2015" s="336">
        <v>424</v>
      </c>
      <c r="D2015" s="336" t="s">
        <v>1129</v>
      </c>
      <c r="E2015" s="337" t="s">
        <v>1462</v>
      </c>
    </row>
    <row r="2016" spans="1:12" s="336" customFormat="1">
      <c r="A2016" s="336">
        <v>116</v>
      </c>
      <c r="B2016" s="336" t="s">
        <v>1130</v>
      </c>
      <c r="C2016" s="336">
        <v>4241</v>
      </c>
      <c r="D2016" s="336" t="s">
        <v>1131</v>
      </c>
      <c r="E2016" s="337" t="s">
        <v>1462</v>
      </c>
    </row>
    <row r="2017" spans="1:12">
      <c r="A2017">
        <v>116</v>
      </c>
      <c r="B2017" t="s">
        <v>5250</v>
      </c>
      <c r="C2017" s="96">
        <v>42411</v>
      </c>
      <c r="D2017" t="s">
        <v>5136</v>
      </c>
      <c r="E2017" s="96" t="s">
        <v>1467</v>
      </c>
      <c r="H2017" t="s">
        <v>202</v>
      </c>
      <c r="I2017">
        <f>VLOOKUP(H2017,Listas!$B$2:$C$20,2,FALSE)</f>
        <v>500012</v>
      </c>
      <c r="J2017" t="s">
        <v>361</v>
      </c>
      <c r="K2017">
        <f>VLOOKUP(J2017,Listas!$B$21:$C$50,2,FALSE)</f>
        <v>600001</v>
      </c>
      <c r="L2017">
        <v>0</v>
      </c>
    </row>
    <row r="2018" spans="1:12">
      <c r="A2018">
        <v>116</v>
      </c>
      <c r="B2018" t="s">
        <v>1132</v>
      </c>
      <c r="C2018" s="96">
        <v>42412</v>
      </c>
      <c r="D2018" t="s">
        <v>1037</v>
      </c>
      <c r="E2018" s="96" t="s">
        <v>1467</v>
      </c>
      <c r="H2018" t="s">
        <v>204</v>
      </c>
      <c r="I2018">
        <f>VLOOKUP(H2018,Listas!$B$2:$C$20,2,FALSE)</f>
        <v>500014</v>
      </c>
      <c r="J2018" t="s">
        <v>361</v>
      </c>
      <c r="K2018">
        <f>VLOOKUP(J2018,Listas!$B$21:$C$50,2,FALSE)</f>
        <v>600001</v>
      </c>
      <c r="L2018">
        <v>0</v>
      </c>
    </row>
    <row r="2019" spans="1:12">
      <c r="A2019">
        <v>116</v>
      </c>
      <c r="B2019" t="s">
        <v>5251</v>
      </c>
      <c r="C2019" s="96">
        <v>42413</v>
      </c>
      <c r="D2019" t="s">
        <v>5138</v>
      </c>
      <c r="E2019" s="96" t="s">
        <v>1467</v>
      </c>
      <c r="H2019" t="s">
        <v>203</v>
      </c>
      <c r="I2019">
        <f>VLOOKUP(H2019,Listas!$B$2:$C$20,2,FALSE)</f>
        <v>500013</v>
      </c>
      <c r="J2019" t="s">
        <v>361</v>
      </c>
      <c r="K2019">
        <f>VLOOKUP(J2019,Listas!$B$21:$C$50,2,FALSE)</f>
        <v>600001</v>
      </c>
      <c r="L2019">
        <v>0</v>
      </c>
    </row>
    <row r="2020" spans="1:12">
      <c r="A2020">
        <v>116</v>
      </c>
      <c r="B2020" t="s">
        <v>5252</v>
      </c>
      <c r="C2020" s="96">
        <v>42414</v>
      </c>
      <c r="D2020" t="s">
        <v>5140</v>
      </c>
      <c r="E2020" s="96" t="s">
        <v>1467</v>
      </c>
      <c r="H2020" t="s">
        <v>204</v>
      </c>
      <c r="I2020">
        <f>VLOOKUP(H2020,Listas!$B$2:$C$20,2,FALSE)</f>
        <v>500014</v>
      </c>
      <c r="J2020" t="s">
        <v>361</v>
      </c>
      <c r="K2020">
        <f>VLOOKUP(J2020,Listas!$B$21:$C$50,2,FALSE)</f>
        <v>600001</v>
      </c>
      <c r="L2020">
        <v>0</v>
      </c>
    </row>
    <row r="2021" spans="1:12">
      <c r="A2021">
        <v>116</v>
      </c>
      <c r="B2021" t="s">
        <v>1133</v>
      </c>
      <c r="C2021" s="96">
        <v>42415</v>
      </c>
      <c r="D2021" t="s">
        <v>1134</v>
      </c>
      <c r="E2021" s="96" t="s">
        <v>1467</v>
      </c>
      <c r="H2021" t="s">
        <v>202</v>
      </c>
      <c r="I2021">
        <f>VLOOKUP(H2021,Listas!$B$2:$C$20,2,FALSE)</f>
        <v>500012</v>
      </c>
      <c r="J2021" t="s">
        <v>361</v>
      </c>
      <c r="K2021">
        <f>VLOOKUP(J2021,Listas!$B$21:$C$50,2,FALSE)</f>
        <v>600001</v>
      </c>
      <c r="L2021">
        <v>0</v>
      </c>
    </row>
    <row r="2022" spans="1:12">
      <c r="A2022">
        <v>116</v>
      </c>
      <c r="B2022" t="s">
        <v>1135</v>
      </c>
      <c r="C2022" s="96">
        <v>42416</v>
      </c>
      <c r="D2022" t="s">
        <v>1136</v>
      </c>
      <c r="E2022" s="96" t="s">
        <v>1467</v>
      </c>
      <c r="H2022" t="s">
        <v>202</v>
      </c>
      <c r="I2022">
        <f>VLOOKUP(H2022,Listas!$B$2:$C$20,2,FALSE)</f>
        <v>500012</v>
      </c>
      <c r="J2022" t="s">
        <v>361</v>
      </c>
      <c r="K2022">
        <f>VLOOKUP(J2022,Listas!$B$21:$C$50,2,FALSE)</f>
        <v>600001</v>
      </c>
      <c r="L2022">
        <v>0</v>
      </c>
    </row>
    <row r="2023" spans="1:12">
      <c r="A2023">
        <v>116</v>
      </c>
      <c r="B2023" t="s">
        <v>5253</v>
      </c>
      <c r="C2023" s="96">
        <v>42417</v>
      </c>
      <c r="D2023" t="s">
        <v>5254</v>
      </c>
      <c r="E2023" s="96" t="s">
        <v>1467</v>
      </c>
      <c r="H2023" t="s">
        <v>203</v>
      </c>
      <c r="I2023">
        <f>VLOOKUP(H2023,Listas!$B$2:$C$20,2,FALSE)</f>
        <v>500013</v>
      </c>
      <c r="J2023" t="s">
        <v>361</v>
      </c>
      <c r="K2023">
        <f>VLOOKUP(J2023,Listas!$B$21:$C$50,2,FALSE)</f>
        <v>600001</v>
      </c>
      <c r="L2023">
        <v>0</v>
      </c>
    </row>
    <row r="2024" spans="1:12">
      <c r="A2024">
        <v>116</v>
      </c>
      <c r="B2024" t="s">
        <v>5255</v>
      </c>
      <c r="C2024" s="96">
        <v>42418</v>
      </c>
      <c r="D2024" t="s">
        <v>5144</v>
      </c>
      <c r="E2024" s="96" t="s">
        <v>1467</v>
      </c>
      <c r="H2024" t="s">
        <v>202</v>
      </c>
      <c r="I2024">
        <f>VLOOKUP(H2024,Listas!$B$2:$C$20,2,FALSE)</f>
        <v>500012</v>
      </c>
      <c r="J2024" t="s">
        <v>361</v>
      </c>
      <c r="K2024">
        <f>VLOOKUP(J2024,Listas!$B$21:$C$50,2,FALSE)</f>
        <v>600001</v>
      </c>
      <c r="L2024">
        <v>0</v>
      </c>
    </row>
    <row r="2025" spans="1:12">
      <c r="A2025">
        <v>116</v>
      </c>
      <c r="B2025" t="s">
        <v>5256</v>
      </c>
      <c r="C2025" s="96">
        <v>42419</v>
      </c>
      <c r="D2025" t="s">
        <v>5257</v>
      </c>
      <c r="E2025" s="96" t="s">
        <v>1467</v>
      </c>
      <c r="H2025" t="s">
        <v>188</v>
      </c>
      <c r="I2025">
        <f>VLOOKUP(H2025,Listas!$B$2:$C$20,2,FALSE)</f>
        <v>500004</v>
      </c>
      <c r="J2025" t="s">
        <v>361</v>
      </c>
      <c r="K2025">
        <f>VLOOKUP(J2025,Listas!$B$21:$C$50,2,FALSE)</f>
        <v>600001</v>
      </c>
      <c r="L2025">
        <v>0</v>
      </c>
    </row>
    <row r="2026" spans="1:12">
      <c r="A2026">
        <v>116</v>
      </c>
      <c r="B2026" t="s">
        <v>5258</v>
      </c>
      <c r="C2026" s="96">
        <v>424110</v>
      </c>
      <c r="D2026" t="s">
        <v>5259</v>
      </c>
      <c r="E2026" s="96" t="s">
        <v>1467</v>
      </c>
      <c r="H2026" t="s">
        <v>202</v>
      </c>
      <c r="I2026">
        <f>VLOOKUP(H2026,Listas!$B$2:$C$20,2,FALSE)</f>
        <v>500012</v>
      </c>
      <c r="J2026" t="s">
        <v>361</v>
      </c>
      <c r="K2026">
        <f>VLOOKUP(J2026,Listas!$B$21:$C$50,2,FALSE)</f>
        <v>600001</v>
      </c>
      <c r="L2026">
        <v>0</v>
      </c>
    </row>
    <row r="2027" spans="1:12">
      <c r="A2027">
        <v>116</v>
      </c>
      <c r="B2027" t="s">
        <v>5260</v>
      </c>
      <c r="C2027" s="96">
        <v>424111</v>
      </c>
      <c r="D2027" t="s">
        <v>5261</v>
      </c>
      <c r="E2027" s="96" t="s">
        <v>1467</v>
      </c>
      <c r="H2027" t="s">
        <v>202</v>
      </c>
      <c r="I2027">
        <f>VLOOKUP(H2027,Listas!$B$2:$C$20,2,FALSE)</f>
        <v>500012</v>
      </c>
      <c r="J2027" t="s">
        <v>361</v>
      </c>
      <c r="K2027">
        <f>VLOOKUP(J2027,Listas!$B$21:$C$50,2,FALSE)</f>
        <v>600001</v>
      </c>
      <c r="L2027">
        <v>0</v>
      </c>
    </row>
    <row r="2028" spans="1:12">
      <c r="A2028">
        <v>116</v>
      </c>
      <c r="B2028" t="s">
        <v>1137</v>
      </c>
      <c r="C2028" s="96">
        <v>424112</v>
      </c>
      <c r="D2028" t="s">
        <v>1039</v>
      </c>
      <c r="E2028" s="96" t="s">
        <v>1467</v>
      </c>
      <c r="H2028" t="s">
        <v>203</v>
      </c>
      <c r="I2028">
        <f>VLOOKUP(H2028,Listas!$B$2:$C$20,2,FALSE)</f>
        <v>500013</v>
      </c>
      <c r="J2028" t="s">
        <v>361</v>
      </c>
      <c r="K2028">
        <f>VLOOKUP(J2028,Listas!$B$21:$C$50,2,FALSE)</f>
        <v>600001</v>
      </c>
      <c r="L2028">
        <v>0</v>
      </c>
    </row>
    <row r="2029" spans="1:12">
      <c r="A2029">
        <v>116</v>
      </c>
      <c r="B2029" t="s">
        <v>5262</v>
      </c>
      <c r="C2029" s="96">
        <v>424113</v>
      </c>
      <c r="D2029" t="s">
        <v>5263</v>
      </c>
      <c r="E2029" s="96" t="s">
        <v>1467</v>
      </c>
      <c r="H2029" t="s">
        <v>5159</v>
      </c>
      <c r="I2029">
        <f>VLOOKUP(H2029,Listas!$B$2:$C$20,2,FALSE)</f>
        <v>500018</v>
      </c>
      <c r="J2029" t="s">
        <v>361</v>
      </c>
      <c r="K2029">
        <f>VLOOKUP(J2029,Listas!$B$21:$C$50,2,FALSE)</f>
        <v>600001</v>
      </c>
      <c r="L2029">
        <v>0</v>
      </c>
    </row>
    <row r="2030" spans="1:12" s="336" customFormat="1">
      <c r="A2030" s="336">
        <v>116</v>
      </c>
      <c r="B2030" s="336" t="s">
        <v>1138</v>
      </c>
      <c r="C2030" s="336">
        <v>425</v>
      </c>
      <c r="D2030" s="336" t="s">
        <v>1139</v>
      </c>
      <c r="E2030" s="337" t="s">
        <v>1462</v>
      </c>
    </row>
    <row r="2031" spans="1:12" s="336" customFormat="1">
      <c r="A2031" s="336">
        <v>116</v>
      </c>
      <c r="B2031" s="336" t="s">
        <v>1140</v>
      </c>
      <c r="C2031" s="336">
        <v>4251</v>
      </c>
      <c r="D2031" s="336" t="s">
        <v>1141</v>
      </c>
      <c r="E2031" s="337" t="s">
        <v>1462</v>
      </c>
    </row>
    <row r="2032" spans="1:12">
      <c r="A2032">
        <v>116</v>
      </c>
      <c r="B2032" t="s">
        <v>1142</v>
      </c>
      <c r="C2032" s="96">
        <v>42511</v>
      </c>
      <c r="D2032" t="s">
        <v>1143</v>
      </c>
      <c r="E2032" s="96" t="s">
        <v>1467</v>
      </c>
      <c r="H2032" t="s">
        <v>202</v>
      </c>
      <c r="I2032">
        <f>VLOOKUP(H2032,Listas!$B$2:$C$20,2,FALSE)</f>
        <v>500012</v>
      </c>
      <c r="J2032" t="s">
        <v>361</v>
      </c>
      <c r="K2032">
        <f>VLOOKUP(J2032,Listas!$B$21:$C$50,2,FALSE)</f>
        <v>600001</v>
      </c>
      <c r="L2032">
        <v>0</v>
      </c>
    </row>
    <row r="2033" spans="1:12">
      <c r="A2033">
        <v>116</v>
      </c>
      <c r="B2033" t="s">
        <v>5264</v>
      </c>
      <c r="C2033" s="96">
        <v>42512</v>
      </c>
      <c r="D2033" t="s">
        <v>5265</v>
      </c>
      <c r="E2033" s="96" t="s">
        <v>1467</v>
      </c>
      <c r="H2033" t="s">
        <v>202</v>
      </c>
      <c r="I2033">
        <f>VLOOKUP(H2033,Listas!$B$2:$C$20,2,FALSE)</f>
        <v>500012</v>
      </c>
      <c r="J2033" t="s">
        <v>361</v>
      </c>
      <c r="K2033">
        <f>VLOOKUP(J2033,Listas!$B$21:$C$50,2,FALSE)</f>
        <v>600001</v>
      </c>
      <c r="L2033">
        <v>0</v>
      </c>
    </row>
    <row r="2034" spans="1:12" s="336" customFormat="1">
      <c r="A2034" s="336">
        <v>116</v>
      </c>
      <c r="B2034" s="336" t="s">
        <v>1144</v>
      </c>
      <c r="C2034" s="336">
        <v>4252</v>
      </c>
      <c r="D2034" s="336" t="s">
        <v>1145</v>
      </c>
      <c r="E2034" s="337" t="s">
        <v>1462</v>
      </c>
    </row>
    <row r="2035" spans="1:12">
      <c r="A2035">
        <v>116</v>
      </c>
      <c r="B2035" t="s">
        <v>1146</v>
      </c>
      <c r="C2035" s="96">
        <v>42521</v>
      </c>
      <c r="D2035" t="s">
        <v>1147</v>
      </c>
      <c r="E2035" s="96" t="s">
        <v>1467</v>
      </c>
      <c r="H2035" t="s">
        <v>202</v>
      </c>
      <c r="I2035">
        <f>VLOOKUP(H2035,Listas!$B$2:$C$20,2,FALSE)</f>
        <v>500012</v>
      </c>
      <c r="J2035" t="s">
        <v>361</v>
      </c>
      <c r="K2035">
        <f>VLOOKUP(J2035,Listas!$B$21:$C$50,2,FALSE)</f>
        <v>600001</v>
      </c>
      <c r="L2035">
        <v>0</v>
      </c>
    </row>
    <row r="2036" spans="1:12">
      <c r="A2036">
        <v>116</v>
      </c>
      <c r="B2036" t="s">
        <v>5266</v>
      </c>
      <c r="C2036" s="96">
        <v>42522</v>
      </c>
      <c r="D2036" t="s">
        <v>5267</v>
      </c>
      <c r="E2036" s="96" t="s">
        <v>1467</v>
      </c>
      <c r="H2036" t="s">
        <v>202</v>
      </c>
      <c r="I2036">
        <f>VLOOKUP(H2036,Listas!$B$2:$C$20,2,FALSE)</f>
        <v>500012</v>
      </c>
      <c r="J2036" t="s">
        <v>361</v>
      </c>
      <c r="K2036">
        <f>VLOOKUP(J2036,Listas!$B$21:$C$50,2,FALSE)</f>
        <v>600001</v>
      </c>
      <c r="L2036">
        <v>0</v>
      </c>
    </row>
    <row r="2037" spans="1:12" s="336" customFormat="1">
      <c r="A2037" s="336">
        <v>116</v>
      </c>
      <c r="B2037" s="336" t="s">
        <v>5268</v>
      </c>
      <c r="C2037" s="336">
        <v>4253</v>
      </c>
      <c r="D2037" s="336" t="s">
        <v>5269</v>
      </c>
      <c r="E2037" s="337" t="s">
        <v>1462</v>
      </c>
    </row>
    <row r="2038" spans="1:12">
      <c r="A2038">
        <v>116</v>
      </c>
      <c r="B2038" t="s">
        <v>5270</v>
      </c>
      <c r="C2038" s="96">
        <v>42531</v>
      </c>
      <c r="D2038" t="s">
        <v>5271</v>
      </c>
      <c r="E2038" s="96" t="s">
        <v>1467</v>
      </c>
      <c r="H2038" t="s">
        <v>5159</v>
      </c>
      <c r="I2038">
        <f>VLOOKUP(H2038,Listas!$B$2:$C$20,2,FALSE)</f>
        <v>500018</v>
      </c>
      <c r="J2038" t="s">
        <v>361</v>
      </c>
      <c r="K2038">
        <f>VLOOKUP(J2038,Listas!$B$21:$C$50,2,FALSE)</f>
        <v>600001</v>
      </c>
      <c r="L2038">
        <v>0</v>
      </c>
    </row>
    <row r="2039" spans="1:12">
      <c r="A2039">
        <v>116</v>
      </c>
      <c r="B2039" t="s">
        <v>5272</v>
      </c>
      <c r="C2039" s="96">
        <v>42532</v>
      </c>
      <c r="D2039" t="s">
        <v>5273</v>
      </c>
      <c r="E2039" s="96" t="s">
        <v>1467</v>
      </c>
      <c r="H2039" t="s">
        <v>5159</v>
      </c>
      <c r="I2039">
        <f>VLOOKUP(H2039,Listas!$B$2:$C$20,2,FALSE)</f>
        <v>500018</v>
      </c>
      <c r="J2039" t="s">
        <v>361</v>
      </c>
      <c r="K2039">
        <f>VLOOKUP(J2039,Listas!$B$21:$C$50,2,FALSE)</f>
        <v>600001</v>
      </c>
      <c r="L2039">
        <v>0</v>
      </c>
    </row>
    <row r="2040" spans="1:12" s="336" customFormat="1">
      <c r="A2040" s="336">
        <v>116</v>
      </c>
      <c r="B2040" s="336" t="s">
        <v>1148</v>
      </c>
      <c r="C2040" s="336">
        <v>4254</v>
      </c>
      <c r="D2040" s="336" t="s">
        <v>1149</v>
      </c>
      <c r="E2040" s="337" t="s">
        <v>1462</v>
      </c>
    </row>
    <row r="2041" spans="1:12">
      <c r="A2041">
        <v>116</v>
      </c>
      <c r="B2041" t="s">
        <v>1150</v>
      </c>
      <c r="C2041" s="96">
        <v>42541</v>
      </c>
      <c r="D2041" t="s">
        <v>1151</v>
      </c>
      <c r="E2041" s="96" t="s">
        <v>1467</v>
      </c>
      <c r="H2041" t="s">
        <v>199</v>
      </c>
      <c r="I2041">
        <f>VLOOKUP(H2041,Listas!$B$2:$C$20,2,FALSE)</f>
        <v>500011</v>
      </c>
      <c r="J2041" t="s">
        <v>361</v>
      </c>
      <c r="K2041">
        <f>VLOOKUP(J2041,Listas!$B$21:$C$50,2,FALSE)</f>
        <v>600001</v>
      </c>
      <c r="L2041">
        <v>0</v>
      </c>
    </row>
    <row r="2042" spans="1:12">
      <c r="A2042">
        <v>116</v>
      </c>
      <c r="B2042" t="s">
        <v>5274</v>
      </c>
      <c r="C2042" s="96">
        <v>42542</v>
      </c>
      <c r="D2042" t="s">
        <v>5153</v>
      </c>
      <c r="E2042" s="96" t="s">
        <v>1467</v>
      </c>
      <c r="H2042" t="s">
        <v>5154</v>
      </c>
      <c r="I2042">
        <f>VLOOKUP(H2042,Listas!$B$2:$C$20,2,FALSE)</f>
        <v>500015</v>
      </c>
      <c r="J2042" t="s">
        <v>361</v>
      </c>
      <c r="K2042">
        <f>VLOOKUP(J2042,Listas!$B$21:$C$50,2,FALSE)</f>
        <v>600001</v>
      </c>
      <c r="L2042">
        <v>0</v>
      </c>
    </row>
    <row r="2043" spans="1:12">
      <c r="A2043">
        <v>116</v>
      </c>
      <c r="B2043" t="s">
        <v>5275</v>
      </c>
      <c r="C2043" s="96">
        <v>42543</v>
      </c>
      <c r="D2043" t="s">
        <v>5156</v>
      </c>
      <c r="E2043" s="96" t="s">
        <v>1467</v>
      </c>
      <c r="H2043" t="s">
        <v>5154</v>
      </c>
      <c r="I2043">
        <f>VLOOKUP(H2043,Listas!$B$2:$C$20,2,FALSE)</f>
        <v>500015</v>
      </c>
      <c r="J2043" t="s">
        <v>361</v>
      </c>
      <c r="K2043">
        <f>VLOOKUP(J2043,Listas!$B$21:$C$50,2,FALSE)</f>
        <v>600001</v>
      </c>
      <c r="L2043">
        <v>0</v>
      </c>
    </row>
    <row r="2044" spans="1:12">
      <c r="A2044">
        <v>116</v>
      </c>
      <c r="B2044" t="s">
        <v>5276</v>
      </c>
      <c r="C2044" s="96">
        <v>42544</v>
      </c>
      <c r="D2044" t="s">
        <v>5277</v>
      </c>
      <c r="E2044" s="96" t="s">
        <v>1467</v>
      </c>
      <c r="H2044" t="s">
        <v>5154</v>
      </c>
      <c r="I2044">
        <f>VLOOKUP(H2044,Listas!$B$2:$C$20,2,FALSE)</f>
        <v>500015</v>
      </c>
      <c r="J2044" t="s">
        <v>361</v>
      </c>
      <c r="K2044">
        <f>VLOOKUP(J2044,Listas!$B$21:$C$50,2,FALSE)</f>
        <v>600001</v>
      </c>
      <c r="L2044">
        <v>0</v>
      </c>
    </row>
    <row r="2045" spans="1:12">
      <c r="A2045">
        <v>116</v>
      </c>
      <c r="B2045" t="s">
        <v>5278</v>
      </c>
      <c r="C2045" s="96">
        <v>4254999</v>
      </c>
      <c r="D2045" t="s">
        <v>5158</v>
      </c>
      <c r="E2045" s="96" t="s">
        <v>1467</v>
      </c>
      <c r="H2045" t="s">
        <v>188</v>
      </c>
      <c r="I2045">
        <f>VLOOKUP(H2045,Listas!$B$2:$C$20,2,FALSE)</f>
        <v>500004</v>
      </c>
      <c r="J2045" t="s">
        <v>361</v>
      </c>
      <c r="K2045">
        <f>VLOOKUP(J2045,Listas!$B$21:$C$50,2,FALSE)</f>
        <v>600001</v>
      </c>
      <c r="L2045">
        <v>0</v>
      </c>
    </row>
    <row r="2046" spans="1:12" s="336" customFormat="1">
      <c r="A2046" s="336">
        <v>116</v>
      </c>
      <c r="B2046" s="336" t="s">
        <v>1152</v>
      </c>
      <c r="C2046" s="336">
        <v>426</v>
      </c>
      <c r="D2046" s="336" t="s">
        <v>1153</v>
      </c>
      <c r="E2046" s="337" t="s">
        <v>1462</v>
      </c>
    </row>
    <row r="2047" spans="1:12" s="336" customFormat="1">
      <c r="A2047" s="336">
        <v>116</v>
      </c>
      <c r="B2047" s="336" t="s">
        <v>25</v>
      </c>
      <c r="C2047" s="336">
        <v>4261</v>
      </c>
      <c r="D2047" s="336" t="s">
        <v>1154</v>
      </c>
      <c r="E2047" s="337" t="s">
        <v>1462</v>
      </c>
    </row>
    <row r="2048" spans="1:12">
      <c r="A2048">
        <v>116</v>
      </c>
      <c r="B2048" t="s">
        <v>1155</v>
      </c>
      <c r="C2048" s="96">
        <v>42611</v>
      </c>
      <c r="D2048" t="s">
        <v>5279</v>
      </c>
      <c r="E2048" s="96" t="s">
        <v>1467</v>
      </c>
      <c r="H2048" t="s">
        <v>208</v>
      </c>
      <c r="I2048">
        <f>VLOOKUP(H2048,Listas!$B$2:$C$20,2,FALSE)</f>
        <v>500017</v>
      </c>
      <c r="J2048" t="s">
        <v>361</v>
      </c>
      <c r="K2048">
        <f>VLOOKUP(J2048,Listas!$B$21:$C$50,2,FALSE)</f>
        <v>600001</v>
      </c>
      <c r="L2048">
        <v>0</v>
      </c>
    </row>
    <row r="2049" spans="1:12">
      <c r="A2049">
        <v>116</v>
      </c>
      <c r="B2049" t="s">
        <v>5280</v>
      </c>
      <c r="C2049" s="96">
        <v>42612</v>
      </c>
      <c r="D2049" t="s">
        <v>181</v>
      </c>
      <c r="E2049" s="96" t="s">
        <v>1467</v>
      </c>
      <c r="H2049" t="s">
        <v>208</v>
      </c>
      <c r="I2049">
        <f>VLOOKUP(H2049,Listas!$B$2:$C$20,2,FALSE)</f>
        <v>500017</v>
      </c>
      <c r="J2049" t="s">
        <v>361</v>
      </c>
      <c r="K2049">
        <f>VLOOKUP(J2049,Listas!$B$21:$C$50,2,FALSE)</f>
        <v>600001</v>
      </c>
      <c r="L2049">
        <v>0</v>
      </c>
    </row>
    <row r="2050" spans="1:12">
      <c r="A2050">
        <v>116</v>
      </c>
      <c r="B2050" t="s">
        <v>1156</v>
      </c>
      <c r="C2050" s="96">
        <v>42613</v>
      </c>
      <c r="D2050" t="s">
        <v>1157</v>
      </c>
      <c r="E2050" s="96" t="s">
        <v>1467</v>
      </c>
      <c r="H2050" t="s">
        <v>188</v>
      </c>
      <c r="I2050">
        <f>VLOOKUP(H2050,Listas!$B$2:$C$20,2,FALSE)</f>
        <v>500004</v>
      </c>
      <c r="J2050" t="s">
        <v>361</v>
      </c>
      <c r="K2050">
        <f>VLOOKUP(J2050,Listas!$B$21:$C$50,2,FALSE)</f>
        <v>600001</v>
      </c>
      <c r="L2050">
        <v>0</v>
      </c>
    </row>
    <row r="2051" spans="1:12">
      <c r="A2051">
        <v>116</v>
      </c>
      <c r="B2051" t="s">
        <v>1158</v>
      </c>
      <c r="C2051" s="96">
        <v>42614</v>
      </c>
      <c r="D2051" t="s">
        <v>1046</v>
      </c>
      <c r="E2051" s="96" t="s">
        <v>1467</v>
      </c>
      <c r="H2051" t="s">
        <v>188</v>
      </c>
      <c r="I2051">
        <f>VLOOKUP(H2051,Listas!$B$2:$C$20,2,FALSE)</f>
        <v>500004</v>
      </c>
      <c r="J2051" t="s">
        <v>361</v>
      </c>
      <c r="K2051">
        <f>VLOOKUP(J2051,Listas!$B$21:$C$50,2,FALSE)</f>
        <v>600001</v>
      </c>
      <c r="L2051">
        <v>0</v>
      </c>
    </row>
    <row r="2052" spans="1:12">
      <c r="A2052">
        <v>116</v>
      </c>
      <c r="B2052" t="s">
        <v>5281</v>
      </c>
      <c r="C2052" s="96">
        <v>42615</v>
      </c>
      <c r="D2052" t="s">
        <v>5163</v>
      </c>
      <c r="E2052" s="96" t="s">
        <v>1467</v>
      </c>
      <c r="H2052" t="s">
        <v>188</v>
      </c>
      <c r="I2052">
        <f>VLOOKUP(H2052,Listas!$B$2:$C$20,2,FALSE)</f>
        <v>500004</v>
      </c>
      <c r="J2052" t="s">
        <v>361</v>
      </c>
      <c r="K2052">
        <f>VLOOKUP(J2052,Listas!$B$21:$C$50,2,FALSE)</f>
        <v>600001</v>
      </c>
      <c r="L2052">
        <v>0</v>
      </c>
    </row>
    <row r="2053" spans="1:12">
      <c r="A2053">
        <v>116</v>
      </c>
      <c r="B2053" t="s">
        <v>1159</v>
      </c>
      <c r="C2053" s="96">
        <v>42616</v>
      </c>
      <c r="D2053" t="s">
        <v>1048</v>
      </c>
      <c r="E2053" s="96" t="s">
        <v>1467</v>
      </c>
      <c r="H2053" t="s">
        <v>188</v>
      </c>
      <c r="I2053">
        <f>VLOOKUP(H2053,Listas!$B$2:$C$20,2,FALSE)</f>
        <v>500004</v>
      </c>
      <c r="J2053" t="s">
        <v>361</v>
      </c>
      <c r="K2053">
        <f>VLOOKUP(J2053,Listas!$B$21:$C$50,2,FALSE)</f>
        <v>600001</v>
      </c>
      <c r="L2053">
        <v>0</v>
      </c>
    </row>
    <row r="2054" spans="1:12">
      <c r="A2054">
        <v>116</v>
      </c>
      <c r="B2054" t="s">
        <v>1160</v>
      </c>
      <c r="C2054" s="96">
        <v>42617</v>
      </c>
      <c r="D2054" t="s">
        <v>1161</v>
      </c>
      <c r="E2054" s="96" t="s">
        <v>1467</v>
      </c>
      <c r="H2054" t="s">
        <v>188</v>
      </c>
      <c r="I2054">
        <f>VLOOKUP(H2054,Listas!$B$2:$C$20,2,FALSE)</f>
        <v>500004</v>
      </c>
      <c r="J2054" t="s">
        <v>361</v>
      </c>
      <c r="K2054">
        <f>VLOOKUP(J2054,Listas!$B$21:$C$50,2,FALSE)</f>
        <v>600001</v>
      </c>
      <c r="L2054">
        <v>0</v>
      </c>
    </row>
    <row r="2055" spans="1:12">
      <c r="A2055">
        <v>116</v>
      </c>
      <c r="B2055" t="s">
        <v>5282</v>
      </c>
      <c r="C2055" s="96">
        <v>42618</v>
      </c>
      <c r="D2055" t="s">
        <v>5166</v>
      </c>
      <c r="E2055" s="96" t="s">
        <v>1467</v>
      </c>
      <c r="H2055" t="s">
        <v>188</v>
      </c>
      <c r="I2055">
        <f>VLOOKUP(H2055,Listas!$B$2:$C$20,2,FALSE)</f>
        <v>500004</v>
      </c>
      <c r="J2055" t="s">
        <v>361</v>
      </c>
      <c r="K2055">
        <f>VLOOKUP(J2055,Listas!$B$21:$C$50,2,FALSE)</f>
        <v>600001</v>
      </c>
      <c r="L2055">
        <v>0</v>
      </c>
    </row>
    <row r="2056" spans="1:12">
      <c r="A2056">
        <v>116</v>
      </c>
      <c r="B2056" t="s">
        <v>5283</v>
      </c>
      <c r="C2056" s="96">
        <v>42619</v>
      </c>
      <c r="D2056" t="s">
        <v>5168</v>
      </c>
      <c r="E2056" s="96" t="s">
        <v>1467</v>
      </c>
      <c r="H2056" t="s">
        <v>188</v>
      </c>
      <c r="I2056">
        <f>VLOOKUP(H2056,Listas!$B$2:$C$20,2,FALSE)</f>
        <v>500004</v>
      </c>
      <c r="J2056" t="s">
        <v>361</v>
      </c>
      <c r="K2056">
        <f>VLOOKUP(J2056,Listas!$B$21:$C$50,2,FALSE)</f>
        <v>600001</v>
      </c>
      <c r="L2056">
        <v>0</v>
      </c>
    </row>
    <row r="2057" spans="1:12">
      <c r="A2057">
        <v>116</v>
      </c>
      <c r="B2057" t="s">
        <v>1162</v>
      </c>
      <c r="C2057" s="96">
        <v>426110</v>
      </c>
      <c r="D2057" t="s">
        <v>1050</v>
      </c>
      <c r="E2057" s="96" t="s">
        <v>1467</v>
      </c>
      <c r="H2057" t="s">
        <v>188</v>
      </c>
      <c r="I2057">
        <f>VLOOKUP(H2057,Listas!$B$2:$C$20,2,FALSE)</f>
        <v>500004</v>
      </c>
      <c r="J2057" t="s">
        <v>361</v>
      </c>
      <c r="K2057">
        <f>VLOOKUP(J2057,Listas!$B$21:$C$50,2,FALSE)</f>
        <v>600001</v>
      </c>
      <c r="L2057">
        <v>0</v>
      </c>
    </row>
    <row r="2058" spans="1:12">
      <c r="A2058">
        <v>116</v>
      </c>
      <c r="B2058" t="s">
        <v>1163</v>
      </c>
      <c r="C2058" s="96">
        <v>426111</v>
      </c>
      <c r="D2058" t="s">
        <v>190</v>
      </c>
      <c r="E2058" s="96" t="s">
        <v>1467</v>
      </c>
      <c r="H2058" t="s">
        <v>190</v>
      </c>
      <c r="I2058">
        <f>VLOOKUP(H2058,Listas!$B$2:$C$20,2,FALSE)</f>
        <v>500005</v>
      </c>
      <c r="J2058" t="s">
        <v>361</v>
      </c>
      <c r="K2058">
        <f>VLOOKUP(J2058,Listas!$B$21:$C$50,2,FALSE)</f>
        <v>600001</v>
      </c>
      <c r="L2058">
        <v>0</v>
      </c>
    </row>
    <row r="2059" spans="1:12">
      <c r="A2059">
        <v>116</v>
      </c>
      <c r="B2059" t="s">
        <v>1164</v>
      </c>
      <c r="C2059" s="96">
        <v>426112</v>
      </c>
      <c r="D2059" t="s">
        <v>1052</v>
      </c>
      <c r="E2059" s="96" t="s">
        <v>1467</v>
      </c>
      <c r="H2059" t="s">
        <v>208</v>
      </c>
      <c r="I2059">
        <f>VLOOKUP(H2059,Listas!$B$2:$C$20,2,FALSE)</f>
        <v>500017</v>
      </c>
      <c r="J2059" t="s">
        <v>361</v>
      </c>
      <c r="K2059">
        <f>VLOOKUP(J2059,Listas!$B$21:$C$50,2,FALSE)</f>
        <v>600001</v>
      </c>
      <c r="L2059">
        <v>0</v>
      </c>
    </row>
    <row r="2060" spans="1:12">
      <c r="A2060">
        <v>116</v>
      </c>
      <c r="B2060" t="s">
        <v>5284</v>
      </c>
      <c r="C2060" s="96">
        <v>426113</v>
      </c>
      <c r="D2060" t="s">
        <v>5171</v>
      </c>
      <c r="E2060" s="96" t="s">
        <v>1467</v>
      </c>
      <c r="H2060" t="s">
        <v>208</v>
      </c>
      <c r="I2060">
        <f>VLOOKUP(H2060,Listas!$B$2:$C$20,2,FALSE)</f>
        <v>500017</v>
      </c>
      <c r="J2060" t="s">
        <v>361</v>
      </c>
      <c r="K2060">
        <f>VLOOKUP(J2060,Listas!$B$21:$C$50,2,FALSE)</f>
        <v>600001</v>
      </c>
      <c r="L2060">
        <v>0</v>
      </c>
    </row>
    <row r="2061" spans="1:12">
      <c r="A2061">
        <v>116</v>
      </c>
      <c r="B2061" t="s">
        <v>1165</v>
      </c>
      <c r="C2061" s="96">
        <v>426114</v>
      </c>
      <c r="D2061" t="s">
        <v>1054</v>
      </c>
      <c r="E2061" s="96" t="s">
        <v>1467</v>
      </c>
      <c r="H2061" t="s">
        <v>188</v>
      </c>
      <c r="I2061">
        <f>VLOOKUP(H2061,Listas!$B$2:$C$20,2,FALSE)</f>
        <v>500004</v>
      </c>
      <c r="J2061" t="s">
        <v>361</v>
      </c>
      <c r="K2061">
        <f>VLOOKUP(J2061,Listas!$B$21:$C$50,2,FALSE)</f>
        <v>600001</v>
      </c>
      <c r="L2061">
        <v>0</v>
      </c>
    </row>
    <row r="2062" spans="1:12">
      <c r="A2062">
        <v>116</v>
      </c>
      <c r="B2062" t="s">
        <v>5285</v>
      </c>
      <c r="C2062" s="96">
        <v>426115</v>
      </c>
      <c r="D2062" t="s">
        <v>5286</v>
      </c>
      <c r="E2062" s="96" t="s">
        <v>1467</v>
      </c>
      <c r="H2062" t="s">
        <v>188</v>
      </c>
      <c r="I2062">
        <f>VLOOKUP(H2062,Listas!$B$2:$C$20,2,FALSE)</f>
        <v>500004</v>
      </c>
      <c r="J2062" t="s">
        <v>361</v>
      </c>
      <c r="K2062">
        <f>VLOOKUP(J2062,Listas!$B$21:$C$50,2,FALSE)</f>
        <v>600001</v>
      </c>
      <c r="L2062">
        <v>0</v>
      </c>
    </row>
    <row r="2063" spans="1:12">
      <c r="A2063">
        <v>116</v>
      </c>
      <c r="B2063" t="s">
        <v>1166</v>
      </c>
      <c r="C2063" s="96">
        <v>426116</v>
      </c>
      <c r="D2063" t="s">
        <v>1058</v>
      </c>
      <c r="E2063" s="96" t="s">
        <v>1467</v>
      </c>
      <c r="H2063" t="s">
        <v>188</v>
      </c>
      <c r="I2063">
        <f>VLOOKUP(H2063,Listas!$B$2:$C$20,2,FALSE)</f>
        <v>500004</v>
      </c>
      <c r="J2063" t="s">
        <v>361</v>
      </c>
      <c r="K2063">
        <f>VLOOKUP(J2063,Listas!$B$21:$C$50,2,FALSE)</f>
        <v>600001</v>
      </c>
      <c r="L2063">
        <v>0</v>
      </c>
    </row>
    <row r="2064" spans="1:12">
      <c r="A2064">
        <v>116</v>
      </c>
      <c r="B2064" t="s">
        <v>1167</v>
      </c>
      <c r="C2064" s="96">
        <v>426117</v>
      </c>
      <c r="D2064" t="s">
        <v>1056</v>
      </c>
      <c r="E2064" s="96" t="s">
        <v>1467</v>
      </c>
      <c r="H2064" t="s">
        <v>188</v>
      </c>
      <c r="I2064">
        <f>VLOOKUP(H2064,Listas!$B$2:$C$20,2,FALSE)</f>
        <v>500004</v>
      </c>
      <c r="J2064" t="s">
        <v>361</v>
      </c>
      <c r="K2064">
        <f>VLOOKUP(J2064,Listas!$B$21:$C$50,2,FALSE)</f>
        <v>600001</v>
      </c>
      <c r="L2064">
        <v>0</v>
      </c>
    </row>
    <row r="2065" spans="1:12">
      <c r="A2065">
        <v>116</v>
      </c>
      <c r="B2065" t="s">
        <v>5287</v>
      </c>
      <c r="C2065" s="96">
        <v>426118</v>
      </c>
      <c r="D2065" t="s">
        <v>5288</v>
      </c>
      <c r="E2065" s="96" t="s">
        <v>1467</v>
      </c>
      <c r="H2065" t="s">
        <v>190</v>
      </c>
      <c r="I2065">
        <f>VLOOKUP(H2065,Listas!$B$2:$C$20,2,FALSE)</f>
        <v>500005</v>
      </c>
      <c r="J2065" t="s">
        <v>361</v>
      </c>
      <c r="K2065">
        <f>VLOOKUP(J2065,Listas!$B$21:$C$50,2,FALSE)</f>
        <v>600001</v>
      </c>
      <c r="L2065">
        <v>0</v>
      </c>
    </row>
    <row r="2066" spans="1:12">
      <c r="A2066">
        <v>116</v>
      </c>
      <c r="B2066" t="s">
        <v>5289</v>
      </c>
      <c r="C2066" s="96">
        <v>4261998</v>
      </c>
      <c r="D2066" t="s">
        <v>5290</v>
      </c>
      <c r="E2066" s="96" t="s">
        <v>1467</v>
      </c>
      <c r="H2066" t="s">
        <v>186</v>
      </c>
      <c r="I2066">
        <f>VLOOKUP(H2066,Listas!$B$2:$C$20,2,FALSE)</f>
        <v>500003</v>
      </c>
      <c r="J2066" t="s">
        <v>361</v>
      </c>
      <c r="K2066">
        <f>VLOOKUP(J2066,Listas!$B$21:$C$50,2,FALSE)</f>
        <v>600001</v>
      </c>
      <c r="L2066">
        <v>0</v>
      </c>
    </row>
    <row r="2067" spans="1:12">
      <c r="A2067">
        <v>116</v>
      </c>
      <c r="B2067" t="s">
        <v>5291</v>
      </c>
      <c r="C2067" s="96">
        <v>4261999</v>
      </c>
      <c r="D2067" t="s">
        <v>5220</v>
      </c>
      <c r="E2067" s="96" t="s">
        <v>1467</v>
      </c>
      <c r="H2067" t="s">
        <v>188</v>
      </c>
      <c r="I2067">
        <f>VLOOKUP(H2067,Listas!$B$2:$C$20,2,FALSE)</f>
        <v>500004</v>
      </c>
      <c r="J2067" t="s">
        <v>361</v>
      </c>
      <c r="K2067">
        <f>VLOOKUP(J2067,Listas!$B$21:$C$50,2,FALSE)</f>
        <v>600001</v>
      </c>
      <c r="L2067">
        <v>0</v>
      </c>
    </row>
    <row r="2068" spans="1:12" s="336" customFormat="1">
      <c r="A2068" s="336">
        <v>116</v>
      </c>
      <c r="B2068" s="336" t="s">
        <v>26</v>
      </c>
      <c r="C2068" s="336">
        <v>4262</v>
      </c>
      <c r="D2068" s="336" t="s">
        <v>1168</v>
      </c>
      <c r="E2068" s="337" t="s">
        <v>1462</v>
      </c>
    </row>
    <row r="2069" spans="1:12">
      <c r="A2069">
        <v>116</v>
      </c>
      <c r="B2069" t="s">
        <v>1169</v>
      </c>
      <c r="C2069" s="96">
        <v>42621</v>
      </c>
      <c r="D2069" t="s">
        <v>1061</v>
      </c>
      <c r="E2069" s="96" t="s">
        <v>1467</v>
      </c>
      <c r="H2069" t="s">
        <v>197</v>
      </c>
      <c r="I2069">
        <f>VLOOKUP(H2069,Listas!$B$2:$C$20,2,FALSE)</f>
        <v>500008</v>
      </c>
      <c r="J2069" t="s">
        <v>361</v>
      </c>
      <c r="K2069">
        <f>VLOOKUP(J2069,Listas!$B$21:$C$50,2,FALSE)</f>
        <v>600001</v>
      </c>
      <c r="L2069">
        <v>0</v>
      </c>
    </row>
    <row r="2070" spans="1:12">
      <c r="A2070">
        <v>116</v>
      </c>
      <c r="B2070" t="s">
        <v>1170</v>
      </c>
      <c r="C2070" s="96">
        <v>42622</v>
      </c>
      <c r="D2070" t="s">
        <v>1063</v>
      </c>
      <c r="E2070" s="96" t="s">
        <v>1467</v>
      </c>
      <c r="H2070" t="s">
        <v>197</v>
      </c>
      <c r="I2070">
        <f>VLOOKUP(H2070,Listas!$B$2:$C$20,2,FALSE)</f>
        <v>500008</v>
      </c>
      <c r="J2070" t="s">
        <v>361</v>
      </c>
      <c r="K2070">
        <f>VLOOKUP(J2070,Listas!$B$21:$C$50,2,FALSE)</f>
        <v>600001</v>
      </c>
      <c r="L2070">
        <v>0</v>
      </c>
    </row>
    <row r="2071" spans="1:12">
      <c r="A2071">
        <v>116</v>
      </c>
      <c r="B2071" t="s">
        <v>5292</v>
      </c>
      <c r="C2071" s="96">
        <v>42623</v>
      </c>
      <c r="D2071" t="s">
        <v>5293</v>
      </c>
      <c r="E2071" s="96" t="s">
        <v>1467</v>
      </c>
      <c r="H2071" t="s">
        <v>188</v>
      </c>
      <c r="I2071">
        <f>VLOOKUP(H2071,Listas!$B$2:$C$20,2,FALSE)</f>
        <v>500004</v>
      </c>
      <c r="J2071" t="s">
        <v>361</v>
      </c>
      <c r="K2071">
        <f>VLOOKUP(J2071,Listas!$B$21:$C$50,2,FALSE)</f>
        <v>600001</v>
      </c>
      <c r="L2071">
        <v>0</v>
      </c>
    </row>
    <row r="2072" spans="1:12">
      <c r="A2072">
        <v>116</v>
      </c>
      <c r="B2072" t="s">
        <v>1171</v>
      </c>
      <c r="C2072" s="96">
        <v>42624</v>
      </c>
      <c r="D2072" t="s">
        <v>1172</v>
      </c>
      <c r="E2072" s="96" t="s">
        <v>1467</v>
      </c>
      <c r="H2072" t="s">
        <v>188</v>
      </c>
      <c r="I2072">
        <f>VLOOKUP(H2072,Listas!$B$2:$C$20,2,FALSE)</f>
        <v>500004</v>
      </c>
      <c r="J2072" t="s">
        <v>361</v>
      </c>
      <c r="K2072">
        <f>VLOOKUP(J2072,Listas!$B$21:$C$50,2,FALSE)</f>
        <v>600001</v>
      </c>
      <c r="L2072">
        <v>0</v>
      </c>
    </row>
    <row r="2073" spans="1:12">
      <c r="A2073">
        <v>116</v>
      </c>
      <c r="B2073" t="s">
        <v>5294</v>
      </c>
      <c r="C2073" s="96">
        <v>42625</v>
      </c>
      <c r="D2073" t="s">
        <v>5295</v>
      </c>
      <c r="E2073" s="96" t="s">
        <v>1467</v>
      </c>
      <c r="H2073" t="s">
        <v>188</v>
      </c>
      <c r="I2073">
        <f>VLOOKUP(H2073,Listas!$B$2:$C$20,2,FALSE)</f>
        <v>500004</v>
      </c>
      <c r="J2073" t="s">
        <v>361</v>
      </c>
      <c r="K2073">
        <f>VLOOKUP(J2073,Listas!$B$21:$C$50,2,FALSE)</f>
        <v>600001</v>
      </c>
      <c r="L2073">
        <v>0</v>
      </c>
    </row>
    <row r="2074" spans="1:12">
      <c r="A2074">
        <v>116</v>
      </c>
      <c r="B2074" t="s">
        <v>1173</v>
      </c>
      <c r="C2074" s="96">
        <v>42626</v>
      </c>
      <c r="D2074" t="s">
        <v>1174</v>
      </c>
      <c r="E2074" s="96" t="s">
        <v>1467</v>
      </c>
      <c r="H2074" t="s">
        <v>188</v>
      </c>
      <c r="I2074">
        <f>VLOOKUP(H2074,Listas!$B$2:$C$20,2,FALSE)</f>
        <v>500004</v>
      </c>
      <c r="J2074" t="s">
        <v>361</v>
      </c>
      <c r="K2074">
        <f>VLOOKUP(J2074,Listas!$B$21:$C$50,2,FALSE)</f>
        <v>600001</v>
      </c>
      <c r="L2074">
        <v>0</v>
      </c>
    </row>
    <row r="2075" spans="1:12">
      <c r="A2075">
        <v>116</v>
      </c>
      <c r="B2075" t="s">
        <v>1175</v>
      </c>
      <c r="C2075" s="96">
        <v>42627</v>
      </c>
      <c r="D2075" t="s">
        <v>1176</v>
      </c>
      <c r="E2075" s="96" t="s">
        <v>1467</v>
      </c>
      <c r="H2075" t="s">
        <v>188</v>
      </c>
      <c r="I2075">
        <f>VLOOKUP(H2075,Listas!$B$2:$C$20,2,FALSE)</f>
        <v>500004</v>
      </c>
      <c r="J2075" t="s">
        <v>361</v>
      </c>
      <c r="K2075">
        <f>VLOOKUP(J2075,Listas!$B$21:$C$50,2,FALSE)</f>
        <v>600001</v>
      </c>
      <c r="L2075">
        <v>0</v>
      </c>
    </row>
    <row r="2076" spans="1:12">
      <c r="A2076">
        <v>116</v>
      </c>
      <c r="B2076" t="s">
        <v>5296</v>
      </c>
      <c r="C2076" s="96">
        <v>42628</v>
      </c>
      <c r="D2076" t="s">
        <v>5181</v>
      </c>
      <c r="E2076" s="96" t="s">
        <v>1467</v>
      </c>
      <c r="H2076" t="s">
        <v>188</v>
      </c>
      <c r="I2076">
        <f>VLOOKUP(H2076,Listas!$B$2:$C$20,2,FALSE)</f>
        <v>500004</v>
      </c>
      <c r="J2076" t="s">
        <v>361</v>
      </c>
      <c r="K2076">
        <f>VLOOKUP(J2076,Listas!$B$21:$C$50,2,FALSE)</f>
        <v>600001</v>
      </c>
      <c r="L2076">
        <v>0</v>
      </c>
    </row>
    <row r="2077" spans="1:12">
      <c r="A2077">
        <v>116</v>
      </c>
      <c r="B2077" t="s">
        <v>1177</v>
      </c>
      <c r="C2077" s="96">
        <v>42629</v>
      </c>
      <c r="D2077" t="s">
        <v>1178</v>
      </c>
      <c r="E2077" s="96" t="s">
        <v>1467</v>
      </c>
      <c r="H2077" t="s">
        <v>188</v>
      </c>
      <c r="I2077">
        <f>VLOOKUP(H2077,Listas!$B$2:$C$20,2,FALSE)</f>
        <v>500004</v>
      </c>
      <c r="J2077" t="s">
        <v>361</v>
      </c>
      <c r="K2077">
        <f>VLOOKUP(J2077,Listas!$B$21:$C$50,2,FALSE)</f>
        <v>600001</v>
      </c>
      <c r="L2077">
        <v>0</v>
      </c>
    </row>
    <row r="2078" spans="1:12">
      <c r="A2078">
        <v>116</v>
      </c>
      <c r="B2078" t="s">
        <v>1179</v>
      </c>
      <c r="C2078" s="96">
        <v>426210</v>
      </c>
      <c r="D2078" t="s">
        <v>1180</v>
      </c>
      <c r="E2078" s="96" t="s">
        <v>1467</v>
      </c>
      <c r="H2078" t="s">
        <v>188</v>
      </c>
      <c r="I2078">
        <f>VLOOKUP(H2078,Listas!$B$2:$C$20,2,FALSE)</f>
        <v>500004</v>
      </c>
      <c r="J2078" t="s">
        <v>361</v>
      </c>
      <c r="K2078">
        <f>VLOOKUP(J2078,Listas!$B$21:$C$50,2,FALSE)</f>
        <v>600001</v>
      </c>
      <c r="L2078">
        <v>0</v>
      </c>
    </row>
    <row r="2079" spans="1:12">
      <c r="A2079">
        <v>116</v>
      </c>
      <c r="B2079" t="s">
        <v>5297</v>
      </c>
      <c r="C2079" s="96">
        <v>426211</v>
      </c>
      <c r="D2079" t="s">
        <v>5298</v>
      </c>
      <c r="E2079" s="96" t="s">
        <v>1467</v>
      </c>
      <c r="H2079" t="s">
        <v>188</v>
      </c>
      <c r="I2079">
        <f>VLOOKUP(H2079,Listas!$B$2:$C$20,2,FALSE)</f>
        <v>500004</v>
      </c>
      <c r="J2079" t="s">
        <v>361</v>
      </c>
      <c r="K2079">
        <f>VLOOKUP(J2079,Listas!$B$21:$C$50,2,FALSE)</f>
        <v>600001</v>
      </c>
      <c r="L2079">
        <v>0</v>
      </c>
    </row>
    <row r="2080" spans="1:12">
      <c r="A2080">
        <v>116</v>
      </c>
      <c r="B2080" t="s">
        <v>5299</v>
      </c>
      <c r="C2080" s="96">
        <v>426212</v>
      </c>
      <c r="D2080" t="s">
        <v>5300</v>
      </c>
      <c r="E2080" s="96" t="s">
        <v>1467</v>
      </c>
      <c r="H2080" t="s">
        <v>5159</v>
      </c>
      <c r="I2080">
        <f>VLOOKUP(H2080,Listas!$B$2:$C$20,2,FALSE)</f>
        <v>500018</v>
      </c>
      <c r="J2080" t="s">
        <v>361</v>
      </c>
      <c r="K2080">
        <f>VLOOKUP(J2080,Listas!$B$21:$C$50,2,FALSE)</f>
        <v>600001</v>
      </c>
      <c r="L2080">
        <v>0</v>
      </c>
    </row>
    <row r="2081" spans="1:12">
      <c r="A2081">
        <v>116</v>
      </c>
      <c r="B2081" t="s">
        <v>5301</v>
      </c>
      <c r="C2081" s="96">
        <v>426213</v>
      </c>
      <c r="D2081" t="s">
        <v>5185</v>
      </c>
      <c r="E2081" s="96" t="s">
        <v>1467</v>
      </c>
      <c r="H2081" t="s">
        <v>5159</v>
      </c>
      <c r="I2081">
        <f>VLOOKUP(H2081,Listas!$B$2:$C$20,2,FALSE)</f>
        <v>500018</v>
      </c>
      <c r="J2081" t="s">
        <v>361</v>
      </c>
      <c r="K2081">
        <f>VLOOKUP(J2081,Listas!$B$21:$C$50,2,FALSE)</f>
        <v>600001</v>
      </c>
      <c r="L2081">
        <v>0</v>
      </c>
    </row>
    <row r="2082" spans="1:12">
      <c r="A2082">
        <v>116</v>
      </c>
      <c r="B2082" t="s">
        <v>1181</v>
      </c>
      <c r="C2082" s="96">
        <v>426214</v>
      </c>
      <c r="D2082" t="s">
        <v>1182</v>
      </c>
      <c r="E2082" s="96" t="s">
        <v>1467</v>
      </c>
      <c r="H2082" t="s">
        <v>197</v>
      </c>
      <c r="I2082">
        <f>VLOOKUP(H2082,Listas!$B$2:$C$20,2,FALSE)</f>
        <v>500008</v>
      </c>
      <c r="J2082" t="s">
        <v>361</v>
      </c>
      <c r="K2082">
        <f>VLOOKUP(J2082,Listas!$B$21:$C$50,2,FALSE)</f>
        <v>600001</v>
      </c>
      <c r="L2082">
        <v>0</v>
      </c>
    </row>
    <row r="2083" spans="1:12">
      <c r="A2083">
        <v>116</v>
      </c>
      <c r="B2083" t="s">
        <v>1183</v>
      </c>
      <c r="C2083" s="96">
        <v>426215</v>
      </c>
      <c r="D2083" t="s">
        <v>1184</v>
      </c>
      <c r="E2083" s="96" t="s">
        <v>1467</v>
      </c>
      <c r="H2083" t="s">
        <v>188</v>
      </c>
      <c r="I2083">
        <f>VLOOKUP(H2083,Listas!$B$2:$C$20,2,FALSE)</f>
        <v>500004</v>
      </c>
      <c r="J2083" t="s">
        <v>361</v>
      </c>
      <c r="K2083">
        <f>VLOOKUP(J2083,Listas!$B$21:$C$50,2,FALSE)</f>
        <v>600001</v>
      </c>
      <c r="L2083">
        <v>0</v>
      </c>
    </row>
    <row r="2084" spans="1:12">
      <c r="A2084">
        <v>116</v>
      </c>
      <c r="B2084" t="s">
        <v>5302</v>
      </c>
      <c r="C2084" s="96">
        <v>4262998</v>
      </c>
      <c r="D2084" t="s">
        <v>5303</v>
      </c>
      <c r="E2084" s="96" t="s">
        <v>1467</v>
      </c>
      <c r="H2084" t="s">
        <v>186</v>
      </c>
      <c r="I2084">
        <f>VLOOKUP(H2084,Listas!$B$2:$C$20,2,FALSE)</f>
        <v>500003</v>
      </c>
      <c r="J2084" t="s">
        <v>361</v>
      </c>
      <c r="K2084">
        <f>VLOOKUP(J2084,Listas!$B$21:$C$50,2,FALSE)</f>
        <v>600001</v>
      </c>
      <c r="L2084">
        <v>0</v>
      </c>
    </row>
    <row r="2085" spans="1:12">
      <c r="A2085">
        <v>116</v>
      </c>
      <c r="B2085" t="s">
        <v>5304</v>
      </c>
      <c r="C2085" s="96">
        <v>4262999</v>
      </c>
      <c r="D2085" t="s">
        <v>5220</v>
      </c>
      <c r="E2085" s="96" t="s">
        <v>1467</v>
      </c>
      <c r="H2085" t="s">
        <v>188</v>
      </c>
      <c r="I2085">
        <f>VLOOKUP(H2085,Listas!$B$2:$C$20,2,FALSE)</f>
        <v>500004</v>
      </c>
      <c r="J2085" t="s">
        <v>361</v>
      </c>
      <c r="K2085">
        <f>VLOOKUP(J2085,Listas!$B$21:$C$50,2,FALSE)</f>
        <v>600001</v>
      </c>
      <c r="L2085">
        <v>0</v>
      </c>
    </row>
    <row r="2086" spans="1:12">
      <c r="A2086">
        <v>116</v>
      </c>
      <c r="B2086" t="s">
        <v>5305</v>
      </c>
      <c r="C2086" s="96">
        <v>4262101</v>
      </c>
      <c r="D2086" t="s">
        <v>5306</v>
      </c>
      <c r="E2086" s="96" t="s">
        <v>1467</v>
      </c>
      <c r="H2086" t="s">
        <v>188</v>
      </c>
      <c r="I2086">
        <f>VLOOKUP(H2086,Listas!$B$2:$C$20,2,FALSE)</f>
        <v>500004</v>
      </c>
      <c r="J2086" t="s">
        <v>361</v>
      </c>
      <c r="K2086">
        <f>VLOOKUP(J2086,Listas!$B$21:$C$50,2,FALSE)</f>
        <v>600001</v>
      </c>
      <c r="L2086">
        <v>0</v>
      </c>
    </row>
    <row r="2087" spans="1:12">
      <c r="A2087">
        <v>116</v>
      </c>
      <c r="B2087" t="s">
        <v>5307</v>
      </c>
      <c r="C2087" s="96">
        <v>426220</v>
      </c>
      <c r="D2087" t="s">
        <v>456</v>
      </c>
      <c r="E2087" s="96" t="s">
        <v>1467</v>
      </c>
      <c r="H2087" t="s">
        <v>197</v>
      </c>
      <c r="I2087">
        <f>VLOOKUP(H2087,Listas!$B$2:$C$20,2,FALSE)</f>
        <v>500008</v>
      </c>
      <c r="J2087" t="s">
        <v>361</v>
      </c>
      <c r="K2087">
        <f>VLOOKUP(J2087,Listas!$B$21:$C$50,2,FALSE)</f>
        <v>600001</v>
      </c>
      <c r="L2087">
        <v>0</v>
      </c>
    </row>
    <row r="2088" spans="1:12">
      <c r="A2088">
        <v>116</v>
      </c>
      <c r="B2088" t="s">
        <v>5308</v>
      </c>
      <c r="C2088" s="96">
        <v>426221</v>
      </c>
      <c r="D2088" t="s">
        <v>456</v>
      </c>
      <c r="E2088" s="96" t="s">
        <v>1467</v>
      </c>
      <c r="H2088" t="s">
        <v>197</v>
      </c>
      <c r="I2088">
        <f>VLOOKUP(H2088,Listas!$B$2:$C$20,2,FALSE)</f>
        <v>500008</v>
      </c>
      <c r="J2088" t="s">
        <v>361</v>
      </c>
      <c r="K2088">
        <f>VLOOKUP(J2088,Listas!$B$21:$C$50,2,FALSE)</f>
        <v>600001</v>
      </c>
      <c r="L2088">
        <v>0</v>
      </c>
    </row>
    <row r="2089" spans="1:12" s="336" customFormat="1">
      <c r="A2089" s="336">
        <v>116</v>
      </c>
      <c r="B2089" s="336" t="s">
        <v>39</v>
      </c>
      <c r="C2089" s="336">
        <v>427</v>
      </c>
      <c r="D2089" s="336" t="s">
        <v>38</v>
      </c>
      <c r="E2089" s="337" t="s">
        <v>1462</v>
      </c>
    </row>
    <row r="2090" spans="1:12" s="336" customFormat="1">
      <c r="A2090" s="336">
        <v>116</v>
      </c>
      <c r="B2090" s="336" t="s">
        <v>1185</v>
      </c>
      <c r="C2090" s="336">
        <v>42701</v>
      </c>
      <c r="D2090" s="336" t="s">
        <v>38</v>
      </c>
      <c r="E2090" s="337" t="s">
        <v>1462</v>
      </c>
    </row>
    <row r="2091" spans="1:12">
      <c r="A2091">
        <v>116</v>
      </c>
      <c r="B2091" t="s">
        <v>1186</v>
      </c>
      <c r="C2091" s="96">
        <v>42711</v>
      </c>
      <c r="D2091" t="s">
        <v>1187</v>
      </c>
      <c r="E2091" s="96" t="s">
        <v>1467</v>
      </c>
      <c r="H2091" t="s">
        <v>207</v>
      </c>
      <c r="I2091">
        <f>VLOOKUP(H2091,Listas!$B$2:$C$20,2,FALSE)</f>
        <v>500016</v>
      </c>
      <c r="J2091" t="s">
        <v>361</v>
      </c>
      <c r="K2091">
        <f>VLOOKUP(J2091,Listas!$B$21:$C$50,2,FALSE)</f>
        <v>600001</v>
      </c>
      <c r="L2091">
        <v>0</v>
      </c>
    </row>
    <row r="2092" spans="1:12">
      <c r="A2092">
        <v>116</v>
      </c>
      <c r="B2092" t="s">
        <v>5309</v>
      </c>
      <c r="C2092" s="96">
        <v>42712</v>
      </c>
      <c r="D2092" t="s">
        <v>5310</v>
      </c>
      <c r="E2092" s="96" t="s">
        <v>1467</v>
      </c>
      <c r="H2092" t="s">
        <v>207</v>
      </c>
      <c r="I2092">
        <f>VLOOKUP(H2092,Listas!$B$2:$C$20,2,FALSE)</f>
        <v>500016</v>
      </c>
      <c r="J2092" t="s">
        <v>361</v>
      </c>
      <c r="K2092">
        <f>VLOOKUP(J2092,Listas!$B$21:$C$50,2,FALSE)</f>
        <v>600001</v>
      </c>
      <c r="L2092">
        <v>0</v>
      </c>
    </row>
    <row r="2093" spans="1:12">
      <c r="A2093">
        <v>116</v>
      </c>
      <c r="B2093" t="s">
        <v>5311</v>
      </c>
      <c r="C2093" s="96">
        <v>42713</v>
      </c>
      <c r="D2093" t="s">
        <v>5312</v>
      </c>
      <c r="E2093" s="96" t="s">
        <v>1467</v>
      </c>
      <c r="H2093" t="s">
        <v>207</v>
      </c>
      <c r="I2093">
        <f>VLOOKUP(H2093,Listas!$B$2:$C$20,2,FALSE)</f>
        <v>500016</v>
      </c>
      <c r="J2093" t="s">
        <v>361</v>
      </c>
      <c r="K2093">
        <f>VLOOKUP(J2093,Listas!$B$21:$C$50,2,FALSE)</f>
        <v>600001</v>
      </c>
      <c r="L2093">
        <v>0</v>
      </c>
    </row>
    <row r="2094" spans="1:12">
      <c r="A2094">
        <v>116</v>
      </c>
      <c r="B2094" t="s">
        <v>5313</v>
      </c>
      <c r="C2094" s="96">
        <v>42714</v>
      </c>
      <c r="D2094" t="s">
        <v>325</v>
      </c>
      <c r="E2094" s="96" t="s">
        <v>1467</v>
      </c>
      <c r="H2094" t="s">
        <v>207</v>
      </c>
      <c r="I2094">
        <f>VLOOKUP(H2094,Listas!$B$2:$C$20,2,FALSE)</f>
        <v>500016</v>
      </c>
      <c r="J2094" t="s">
        <v>361</v>
      </c>
      <c r="K2094">
        <f>VLOOKUP(J2094,Listas!$B$21:$C$50,2,FALSE)</f>
        <v>600001</v>
      </c>
      <c r="L2094">
        <v>0</v>
      </c>
    </row>
    <row r="2095" spans="1:12">
      <c r="A2095">
        <v>116</v>
      </c>
      <c r="B2095" t="s">
        <v>5314</v>
      </c>
      <c r="C2095" s="96">
        <v>42715</v>
      </c>
      <c r="D2095" t="s">
        <v>5315</v>
      </c>
      <c r="E2095" s="96" t="s">
        <v>1467</v>
      </c>
      <c r="H2095" t="s">
        <v>207</v>
      </c>
      <c r="I2095">
        <f>VLOOKUP(H2095,Listas!$B$2:$C$20,2,FALSE)</f>
        <v>500016</v>
      </c>
      <c r="J2095" t="s">
        <v>361</v>
      </c>
      <c r="K2095">
        <f>VLOOKUP(J2095,Listas!$B$21:$C$50,2,FALSE)</f>
        <v>600001</v>
      </c>
      <c r="L2095">
        <v>0</v>
      </c>
    </row>
    <row r="2096" spans="1:12">
      <c r="A2096">
        <v>116</v>
      </c>
      <c r="B2096" t="s">
        <v>5316</v>
      </c>
      <c r="C2096" s="96">
        <v>42716</v>
      </c>
      <c r="D2096" t="s">
        <v>5317</v>
      </c>
      <c r="E2096" s="96" t="s">
        <v>1467</v>
      </c>
      <c r="H2096" t="s">
        <v>207</v>
      </c>
      <c r="I2096">
        <f>VLOOKUP(H2096,Listas!$B$2:$C$20,2,FALSE)</f>
        <v>500016</v>
      </c>
      <c r="J2096" t="s">
        <v>361</v>
      </c>
      <c r="K2096">
        <f>VLOOKUP(J2096,Listas!$B$21:$C$50,2,FALSE)</f>
        <v>600001</v>
      </c>
      <c r="L2096">
        <v>0</v>
      </c>
    </row>
    <row r="2097" spans="1:12">
      <c r="A2097">
        <v>116</v>
      </c>
      <c r="B2097" t="s">
        <v>5318</v>
      </c>
      <c r="C2097" s="96">
        <v>42717</v>
      </c>
      <c r="D2097" t="s">
        <v>5319</v>
      </c>
      <c r="E2097" s="96" t="s">
        <v>1467</v>
      </c>
      <c r="H2097" t="s">
        <v>207</v>
      </c>
      <c r="I2097">
        <f>VLOOKUP(H2097,Listas!$B$2:$C$20,2,FALSE)</f>
        <v>500016</v>
      </c>
      <c r="J2097" t="s">
        <v>361</v>
      </c>
      <c r="K2097">
        <f>VLOOKUP(J2097,Listas!$B$21:$C$50,2,FALSE)</f>
        <v>600001</v>
      </c>
      <c r="L2097">
        <v>0</v>
      </c>
    </row>
    <row r="2098" spans="1:12">
      <c r="A2098">
        <v>116</v>
      </c>
      <c r="B2098" t="s">
        <v>5320</v>
      </c>
      <c r="C2098" s="96">
        <v>42718</v>
      </c>
      <c r="D2098" t="s">
        <v>5321</v>
      </c>
      <c r="E2098" s="96" t="s">
        <v>1467</v>
      </c>
      <c r="H2098" t="s">
        <v>207</v>
      </c>
      <c r="I2098">
        <f>VLOOKUP(H2098,Listas!$B$2:$C$20,2,FALSE)</f>
        <v>500016</v>
      </c>
      <c r="J2098" t="s">
        <v>361</v>
      </c>
      <c r="K2098">
        <f>VLOOKUP(J2098,Listas!$B$21:$C$50,2,FALSE)</f>
        <v>600001</v>
      </c>
      <c r="L2098">
        <v>0</v>
      </c>
    </row>
    <row r="2099" spans="1:12">
      <c r="A2099">
        <v>116</v>
      </c>
      <c r="B2099" t="s">
        <v>5322</v>
      </c>
      <c r="C2099" s="96">
        <v>42719</v>
      </c>
      <c r="D2099" t="s">
        <v>5323</v>
      </c>
      <c r="E2099" s="96" t="s">
        <v>1467</v>
      </c>
      <c r="H2099" t="s">
        <v>207</v>
      </c>
      <c r="I2099">
        <f>VLOOKUP(H2099,Listas!$B$2:$C$20,2,FALSE)</f>
        <v>500016</v>
      </c>
      <c r="J2099" t="s">
        <v>361</v>
      </c>
      <c r="K2099">
        <f>VLOOKUP(J2099,Listas!$B$21:$C$50,2,FALSE)</f>
        <v>600001</v>
      </c>
      <c r="L2099">
        <v>0</v>
      </c>
    </row>
    <row r="2100" spans="1:12">
      <c r="A2100">
        <v>116</v>
      </c>
      <c r="B2100" t="s">
        <v>5324</v>
      </c>
      <c r="C2100" s="96">
        <v>427110</v>
      </c>
      <c r="D2100" t="s">
        <v>5325</v>
      </c>
      <c r="E2100" s="96" t="s">
        <v>1467</v>
      </c>
      <c r="H2100" t="s">
        <v>207</v>
      </c>
      <c r="I2100">
        <f>VLOOKUP(H2100,Listas!$B$2:$C$20,2,FALSE)</f>
        <v>500016</v>
      </c>
      <c r="J2100" t="s">
        <v>361</v>
      </c>
      <c r="K2100">
        <f>VLOOKUP(J2100,Listas!$B$21:$C$50,2,FALSE)</f>
        <v>600001</v>
      </c>
      <c r="L2100">
        <v>0</v>
      </c>
    </row>
    <row r="2101" spans="1:12">
      <c r="A2101">
        <v>116</v>
      </c>
      <c r="B2101" t="s">
        <v>1188</v>
      </c>
      <c r="C2101" s="96">
        <v>42720</v>
      </c>
      <c r="D2101" t="s">
        <v>1189</v>
      </c>
      <c r="E2101" s="96" t="s">
        <v>1467</v>
      </c>
      <c r="H2101" t="s">
        <v>207</v>
      </c>
      <c r="I2101">
        <f>VLOOKUP(H2101,Listas!$B$2:$C$20,2,FALSE)</f>
        <v>500016</v>
      </c>
      <c r="J2101" t="s">
        <v>361</v>
      </c>
      <c r="K2101">
        <f>VLOOKUP(J2101,Listas!$B$21:$C$50,2,FALSE)</f>
        <v>600001</v>
      </c>
      <c r="L2101">
        <v>0</v>
      </c>
    </row>
    <row r="2102" spans="1:12">
      <c r="A2102">
        <v>116</v>
      </c>
      <c r="B2102" t="s">
        <v>5326</v>
      </c>
      <c r="C2102" s="96">
        <v>427121</v>
      </c>
      <c r="D2102" t="s">
        <v>5327</v>
      </c>
      <c r="E2102" s="96" t="s">
        <v>1467</v>
      </c>
      <c r="H2102" t="s">
        <v>207</v>
      </c>
      <c r="I2102">
        <f>VLOOKUP(H2102,Listas!$B$2:$C$20,2,FALSE)</f>
        <v>500016</v>
      </c>
      <c r="J2102" t="s">
        <v>361</v>
      </c>
      <c r="K2102">
        <f>VLOOKUP(J2102,Listas!$B$21:$C$50,2,FALSE)</f>
        <v>600001</v>
      </c>
      <c r="L2102">
        <v>0</v>
      </c>
    </row>
    <row r="2103" spans="1:12">
      <c r="A2103">
        <v>116</v>
      </c>
      <c r="B2103" t="s">
        <v>5328</v>
      </c>
      <c r="C2103" s="96">
        <v>427122</v>
      </c>
      <c r="D2103" t="s">
        <v>512</v>
      </c>
      <c r="E2103" s="96" t="s">
        <v>1467</v>
      </c>
      <c r="H2103" t="s">
        <v>207</v>
      </c>
      <c r="I2103">
        <f>VLOOKUP(H2103,Listas!$B$2:$C$20,2,FALSE)</f>
        <v>500016</v>
      </c>
      <c r="J2103" t="s">
        <v>361</v>
      </c>
      <c r="K2103">
        <f>VLOOKUP(J2103,Listas!$B$21:$C$50,2,FALSE)</f>
        <v>600001</v>
      </c>
      <c r="L2103">
        <v>0</v>
      </c>
    </row>
    <row r="2104" spans="1:12">
      <c r="A2104">
        <v>116</v>
      </c>
      <c r="B2104" t="s">
        <v>5329</v>
      </c>
      <c r="C2104" s="96">
        <v>427123</v>
      </c>
      <c r="D2104" t="s">
        <v>5330</v>
      </c>
      <c r="E2104" s="96" t="s">
        <v>1467</v>
      </c>
      <c r="H2104" t="s">
        <v>207</v>
      </c>
      <c r="I2104">
        <f>VLOOKUP(H2104,Listas!$B$2:$C$20,2,FALSE)</f>
        <v>500016</v>
      </c>
      <c r="J2104" t="s">
        <v>361</v>
      </c>
      <c r="K2104">
        <f>VLOOKUP(J2104,Listas!$B$21:$C$50,2,FALSE)</f>
        <v>600001</v>
      </c>
      <c r="L2104">
        <v>0</v>
      </c>
    </row>
    <row r="2105" spans="1:12">
      <c r="A2105">
        <v>116</v>
      </c>
      <c r="B2105" t="s">
        <v>5331</v>
      </c>
      <c r="C2105" s="96">
        <v>4271999</v>
      </c>
      <c r="D2105" t="s">
        <v>5332</v>
      </c>
      <c r="E2105" s="96" t="s">
        <v>1467</v>
      </c>
      <c r="H2105" t="s">
        <v>207</v>
      </c>
      <c r="I2105">
        <f>VLOOKUP(H2105,Listas!$B$2:$C$20,2,FALSE)</f>
        <v>500016</v>
      </c>
      <c r="J2105" t="s">
        <v>361</v>
      </c>
      <c r="K2105">
        <f>VLOOKUP(J2105,Listas!$B$21:$C$50,2,FALSE)</f>
        <v>600001</v>
      </c>
      <c r="L2105">
        <v>0</v>
      </c>
    </row>
    <row r="2106" spans="1:12" s="336" customFormat="1">
      <c r="A2106" s="336">
        <v>116</v>
      </c>
      <c r="B2106" s="336" t="s">
        <v>5333</v>
      </c>
      <c r="C2106" s="336">
        <v>428</v>
      </c>
      <c r="D2106" s="336" t="s">
        <v>5334</v>
      </c>
      <c r="E2106" s="337" t="s">
        <v>1462</v>
      </c>
    </row>
    <row r="2107" spans="1:12" s="336" customFormat="1">
      <c r="A2107" s="336">
        <v>116</v>
      </c>
      <c r="B2107" s="336" t="s">
        <v>5335</v>
      </c>
      <c r="C2107" s="336">
        <v>4281</v>
      </c>
      <c r="D2107" s="336" t="s">
        <v>1017</v>
      </c>
      <c r="E2107" s="337" t="s">
        <v>1462</v>
      </c>
    </row>
    <row r="2108" spans="1:12">
      <c r="A2108">
        <v>116</v>
      </c>
      <c r="B2108" t="s">
        <v>5336</v>
      </c>
      <c r="C2108" s="96">
        <v>42811</v>
      </c>
      <c r="D2108" t="s">
        <v>1019</v>
      </c>
      <c r="E2108" s="96" t="s">
        <v>1467</v>
      </c>
      <c r="H2108" t="s">
        <v>199</v>
      </c>
      <c r="I2108">
        <f>VLOOKUP(H2108,Listas!$B$2:$C$20,2,FALSE)</f>
        <v>500011</v>
      </c>
      <c r="J2108" t="s">
        <v>361</v>
      </c>
      <c r="K2108">
        <f>VLOOKUP(J2108,Listas!$B$21:$C$50,2,FALSE)</f>
        <v>600001</v>
      </c>
      <c r="L2108">
        <v>0</v>
      </c>
    </row>
    <row r="2109" spans="1:12">
      <c r="A2109">
        <v>116</v>
      </c>
      <c r="B2109" t="s">
        <v>5337</v>
      </c>
      <c r="C2109" s="96">
        <v>42812</v>
      </c>
      <c r="D2109" t="s">
        <v>5338</v>
      </c>
      <c r="E2109" s="96" t="s">
        <v>1467</v>
      </c>
      <c r="H2109" t="s">
        <v>5154</v>
      </c>
      <c r="I2109">
        <f>VLOOKUP(H2109,Listas!$B$2:$C$20,2,FALSE)</f>
        <v>500015</v>
      </c>
      <c r="J2109" t="s">
        <v>361</v>
      </c>
      <c r="K2109">
        <f>VLOOKUP(J2109,Listas!$B$21:$C$50,2,FALSE)</f>
        <v>600001</v>
      </c>
      <c r="L2109">
        <v>0</v>
      </c>
    </row>
    <row r="2110" spans="1:12">
      <c r="A2110">
        <v>116</v>
      </c>
      <c r="B2110" t="s">
        <v>5339</v>
      </c>
      <c r="C2110" s="96">
        <v>42813</v>
      </c>
      <c r="D2110" t="s">
        <v>5340</v>
      </c>
      <c r="E2110" s="96" t="s">
        <v>1467</v>
      </c>
      <c r="H2110" t="s">
        <v>5154</v>
      </c>
      <c r="I2110">
        <f>VLOOKUP(H2110,Listas!$B$2:$C$20,2,FALSE)</f>
        <v>500015</v>
      </c>
      <c r="J2110" t="s">
        <v>361</v>
      </c>
      <c r="K2110">
        <f>VLOOKUP(J2110,Listas!$B$21:$C$50,2,FALSE)</f>
        <v>600001</v>
      </c>
      <c r="L2110">
        <v>0</v>
      </c>
    </row>
    <row r="2111" spans="1:12" s="336" customFormat="1">
      <c r="A2111" s="336">
        <v>116</v>
      </c>
      <c r="B2111" s="336" t="s">
        <v>5341</v>
      </c>
      <c r="C2111" s="336">
        <v>429</v>
      </c>
      <c r="D2111" s="336" t="s">
        <v>5220</v>
      </c>
      <c r="E2111" s="337" t="s">
        <v>1462</v>
      </c>
    </row>
    <row r="2112" spans="1:12" s="336" customFormat="1">
      <c r="A2112" s="336">
        <v>116</v>
      </c>
      <c r="B2112" s="336" t="s">
        <v>5342</v>
      </c>
      <c r="C2112" s="336">
        <v>4291</v>
      </c>
      <c r="D2112" s="336" t="s">
        <v>5343</v>
      </c>
      <c r="E2112" s="337" t="s">
        <v>1462</v>
      </c>
    </row>
    <row r="2113" spans="1:12">
      <c r="A2113">
        <v>116</v>
      </c>
      <c r="B2113" t="s">
        <v>5344</v>
      </c>
      <c r="C2113" s="96">
        <v>42911</v>
      </c>
      <c r="D2113" t="s">
        <v>5345</v>
      </c>
      <c r="E2113" s="96" t="s">
        <v>1467</v>
      </c>
      <c r="H2113" t="s">
        <v>5159</v>
      </c>
      <c r="I2113">
        <f>VLOOKUP(H2113,Listas!$B$2:$C$20,2,FALSE)</f>
        <v>500018</v>
      </c>
      <c r="J2113" t="s">
        <v>361</v>
      </c>
      <c r="K2113">
        <f>VLOOKUP(J2113,Listas!$B$21:$C$50,2,FALSE)</f>
        <v>600001</v>
      </c>
      <c r="L2113">
        <v>0</v>
      </c>
    </row>
    <row r="2114" spans="1:12" s="336" customFormat="1">
      <c r="A2114" s="336">
        <v>116</v>
      </c>
      <c r="B2114" s="336" t="s">
        <v>5346</v>
      </c>
      <c r="C2114" s="336">
        <v>4292</v>
      </c>
      <c r="D2114" s="336" t="s">
        <v>5347</v>
      </c>
      <c r="E2114" s="337" t="s">
        <v>1462</v>
      </c>
    </row>
    <row r="2115" spans="1:12">
      <c r="A2115">
        <v>116</v>
      </c>
      <c r="B2115" t="s">
        <v>5348</v>
      </c>
      <c r="C2115" s="96">
        <v>42921</v>
      </c>
      <c r="D2115" t="s">
        <v>5349</v>
      </c>
      <c r="E2115" s="96" t="s">
        <v>1467</v>
      </c>
      <c r="H2115" t="s">
        <v>5159</v>
      </c>
      <c r="I2115">
        <f>VLOOKUP(H2115,Listas!$B$2:$C$20,2,FALSE)</f>
        <v>500018</v>
      </c>
      <c r="J2115" t="s">
        <v>361</v>
      </c>
      <c r="K2115">
        <f>VLOOKUP(J2115,Listas!$B$21:$C$50,2,FALSE)</f>
        <v>600001</v>
      </c>
      <c r="L2115">
        <v>0</v>
      </c>
    </row>
    <row r="2116" spans="1:12" s="336" customFormat="1">
      <c r="A2116" s="336">
        <v>116</v>
      </c>
      <c r="B2116" s="336" t="s">
        <v>5350</v>
      </c>
      <c r="C2116" s="336">
        <v>4293</v>
      </c>
      <c r="D2116" s="336" t="s">
        <v>5351</v>
      </c>
      <c r="E2116" s="337" t="s">
        <v>1462</v>
      </c>
    </row>
    <row r="2117" spans="1:12">
      <c r="A2117">
        <v>116</v>
      </c>
      <c r="B2117" t="s">
        <v>5352</v>
      </c>
      <c r="C2117" s="96">
        <v>42931</v>
      </c>
      <c r="D2117" t="s">
        <v>5353</v>
      </c>
      <c r="E2117" s="96" t="s">
        <v>1467</v>
      </c>
      <c r="H2117" t="s">
        <v>5159</v>
      </c>
      <c r="I2117">
        <f>VLOOKUP(H2117,Listas!$B$2:$C$20,2,FALSE)</f>
        <v>500018</v>
      </c>
      <c r="J2117" t="s">
        <v>361</v>
      </c>
      <c r="K2117">
        <f>VLOOKUP(J2117,Listas!$B$21:$C$50,2,FALSE)</f>
        <v>600001</v>
      </c>
      <c r="L2117">
        <v>0</v>
      </c>
    </row>
    <row r="2118" spans="1:12">
      <c r="A2118">
        <v>116</v>
      </c>
      <c r="B2118" t="s">
        <v>5354</v>
      </c>
      <c r="C2118" s="96">
        <v>42932</v>
      </c>
      <c r="D2118" t="s">
        <v>5355</v>
      </c>
      <c r="E2118" s="96" t="s">
        <v>1467</v>
      </c>
      <c r="H2118" t="s">
        <v>5159</v>
      </c>
      <c r="I2118">
        <f>VLOOKUP(H2118,Listas!$B$2:$C$20,2,FALSE)</f>
        <v>500018</v>
      </c>
      <c r="J2118" t="s">
        <v>361</v>
      </c>
      <c r="K2118">
        <f>VLOOKUP(J2118,Listas!$B$21:$C$50,2,FALSE)</f>
        <v>600001</v>
      </c>
      <c r="L2118">
        <v>0</v>
      </c>
    </row>
    <row r="2119" spans="1:12">
      <c r="A2119">
        <v>116</v>
      </c>
      <c r="B2119" t="s">
        <v>5356</v>
      </c>
      <c r="C2119" s="96">
        <v>42933</v>
      </c>
      <c r="D2119" t="s">
        <v>5355</v>
      </c>
      <c r="E2119" s="96" t="s">
        <v>1467</v>
      </c>
      <c r="H2119" t="s">
        <v>5159</v>
      </c>
      <c r="I2119">
        <f>VLOOKUP(H2119,Listas!$B$2:$C$20,2,FALSE)</f>
        <v>500018</v>
      </c>
      <c r="J2119" t="s">
        <v>361</v>
      </c>
      <c r="K2119">
        <f>VLOOKUP(J2119,Listas!$B$21:$C$50,2,FALSE)</f>
        <v>600001</v>
      </c>
      <c r="L2119">
        <v>0</v>
      </c>
    </row>
    <row r="2120" spans="1:12" s="336" customFormat="1">
      <c r="A2120" s="336">
        <v>116</v>
      </c>
      <c r="B2120" s="336" t="s">
        <v>5357</v>
      </c>
      <c r="C2120" s="336">
        <v>4294</v>
      </c>
      <c r="D2120" s="336" t="s">
        <v>5358</v>
      </c>
      <c r="E2120" s="337" t="s">
        <v>1462</v>
      </c>
    </row>
    <row r="2121" spans="1:12">
      <c r="A2121">
        <v>116</v>
      </c>
      <c r="B2121" t="s">
        <v>5359</v>
      </c>
      <c r="C2121" s="96">
        <v>42941</v>
      </c>
      <c r="D2121" t="s">
        <v>5360</v>
      </c>
      <c r="E2121" s="96" t="s">
        <v>1467</v>
      </c>
      <c r="H2121" t="s">
        <v>5159</v>
      </c>
      <c r="I2121">
        <f>VLOOKUP(H2121,Listas!$B$2:$C$20,2,FALSE)</f>
        <v>500018</v>
      </c>
      <c r="J2121" t="s">
        <v>361</v>
      </c>
      <c r="K2121">
        <f>VLOOKUP(J2121,Listas!$B$21:$C$50,2,FALSE)</f>
        <v>600001</v>
      </c>
      <c r="L2121">
        <v>0</v>
      </c>
    </row>
    <row r="2122" spans="1:12" s="336" customFormat="1">
      <c r="A2122" s="336">
        <v>116</v>
      </c>
      <c r="B2122" s="336" t="s">
        <v>5361</v>
      </c>
      <c r="C2122" s="336">
        <v>4295</v>
      </c>
      <c r="D2122" s="336" t="s">
        <v>5362</v>
      </c>
      <c r="E2122" s="337" t="s">
        <v>1462</v>
      </c>
    </row>
    <row r="2123" spans="1:12" s="336" customFormat="1">
      <c r="A2123" s="336">
        <v>116</v>
      </c>
      <c r="B2123" s="336" t="s">
        <v>5363</v>
      </c>
      <c r="C2123" s="336">
        <v>4296</v>
      </c>
      <c r="D2123" s="336" t="s">
        <v>5364</v>
      </c>
      <c r="E2123" s="337" t="s">
        <v>1462</v>
      </c>
    </row>
    <row r="2124" spans="1:12">
      <c r="A2124">
        <v>116</v>
      </c>
      <c r="B2124" t="s">
        <v>5365</v>
      </c>
      <c r="C2124" s="96">
        <v>42961</v>
      </c>
      <c r="D2124" t="s">
        <v>5366</v>
      </c>
      <c r="E2124" s="96" t="s">
        <v>1467</v>
      </c>
      <c r="H2124" t="s">
        <v>197</v>
      </c>
      <c r="I2124">
        <f>VLOOKUP(H2124,Listas!$B$2:$C$20,2,FALSE)</f>
        <v>500008</v>
      </c>
      <c r="J2124" t="s">
        <v>361</v>
      </c>
      <c r="K2124">
        <f>VLOOKUP(J2124,Listas!$B$21:$C$50,2,FALSE)</f>
        <v>600001</v>
      </c>
      <c r="L2124">
        <v>0</v>
      </c>
    </row>
    <row r="2125" spans="1:12">
      <c r="A2125">
        <v>116</v>
      </c>
      <c r="B2125" t="s">
        <v>5367</v>
      </c>
      <c r="C2125" s="96">
        <v>42962</v>
      </c>
      <c r="D2125" t="s">
        <v>5368</v>
      </c>
      <c r="E2125" s="96" t="s">
        <v>1467</v>
      </c>
      <c r="H2125" t="s">
        <v>197</v>
      </c>
      <c r="I2125">
        <f>VLOOKUP(H2125,Listas!$B$2:$C$20,2,FALSE)</f>
        <v>500008</v>
      </c>
      <c r="J2125" t="s">
        <v>361</v>
      </c>
      <c r="K2125">
        <f>VLOOKUP(J2125,Listas!$B$21:$C$50,2,FALSE)</f>
        <v>600001</v>
      </c>
      <c r="L2125">
        <v>0</v>
      </c>
    </row>
    <row r="2126" spans="1:12" s="336" customFormat="1">
      <c r="A2126" s="336">
        <v>116</v>
      </c>
      <c r="B2126" s="336" t="s">
        <v>5369</v>
      </c>
      <c r="C2126" s="336">
        <v>4298</v>
      </c>
      <c r="D2126" s="336" t="s">
        <v>5370</v>
      </c>
      <c r="E2126" s="337" t="s">
        <v>1462</v>
      </c>
    </row>
    <row r="2127" spans="1:12">
      <c r="A2127">
        <v>116</v>
      </c>
      <c r="B2127" t="s">
        <v>5371</v>
      </c>
      <c r="C2127" s="96">
        <v>42981</v>
      </c>
      <c r="D2127" t="s">
        <v>5370</v>
      </c>
      <c r="E2127" s="96" t="s">
        <v>1467</v>
      </c>
      <c r="H2127" t="s">
        <v>193</v>
      </c>
      <c r="I2127">
        <f>VLOOKUP(H2127,Listas!$B$2:$C$20,2,FALSE)</f>
        <v>500007</v>
      </c>
      <c r="J2127" t="s">
        <v>361</v>
      </c>
      <c r="K2127">
        <f>VLOOKUP(J2127,Listas!$B$21:$C$50,2,FALSE)</f>
        <v>600001</v>
      </c>
      <c r="L2127">
        <v>0</v>
      </c>
    </row>
    <row r="2128" spans="1:12" s="336" customFormat="1">
      <c r="A2128" s="336">
        <v>116</v>
      </c>
      <c r="B2128" s="336" t="s">
        <v>5372</v>
      </c>
      <c r="C2128" s="336">
        <v>4299</v>
      </c>
      <c r="D2128" s="336" t="s">
        <v>5373</v>
      </c>
      <c r="E2128" s="337" t="s">
        <v>1462</v>
      </c>
    </row>
    <row r="2129" spans="1:12">
      <c r="A2129">
        <v>116</v>
      </c>
      <c r="B2129" t="s">
        <v>5374</v>
      </c>
      <c r="C2129" s="96">
        <v>42991</v>
      </c>
      <c r="D2129" t="s">
        <v>5375</v>
      </c>
      <c r="E2129" s="96" t="s">
        <v>1467</v>
      </c>
      <c r="H2129" t="s">
        <v>5159</v>
      </c>
      <c r="I2129">
        <f>VLOOKUP(H2129,Listas!$B$2:$C$20,2,FALSE)</f>
        <v>500018</v>
      </c>
      <c r="J2129" t="s">
        <v>138</v>
      </c>
      <c r="K2129">
        <f>VLOOKUP(J2129,Listas!$B$21:$C$54,2,FALSE)</f>
        <v>600033</v>
      </c>
      <c r="L2129">
        <v>0</v>
      </c>
    </row>
    <row r="2130" spans="1:12">
      <c r="A2130">
        <v>116</v>
      </c>
      <c r="B2130" t="s">
        <v>5376</v>
      </c>
      <c r="C2130" s="96">
        <v>42992</v>
      </c>
      <c r="D2130" t="s">
        <v>5377</v>
      </c>
      <c r="E2130" s="96" t="s">
        <v>1467</v>
      </c>
      <c r="H2130" t="s">
        <v>5159</v>
      </c>
      <c r="I2130">
        <f>VLOOKUP(H2130,Listas!$B$2:$C$20,2,FALSE)</f>
        <v>500018</v>
      </c>
      <c r="J2130" t="s">
        <v>138</v>
      </c>
      <c r="K2130">
        <f>VLOOKUP(J2130,Listas!$B$21:$C$54,2,FALSE)</f>
        <v>600033</v>
      </c>
      <c r="L2130">
        <v>0</v>
      </c>
    </row>
    <row r="2131" spans="1:12">
      <c r="A2131">
        <v>116</v>
      </c>
      <c r="B2131" t="s">
        <v>5378</v>
      </c>
      <c r="C2131" s="96">
        <v>42993</v>
      </c>
      <c r="D2131" t="s">
        <v>5379</v>
      </c>
      <c r="E2131" s="96" t="s">
        <v>1467</v>
      </c>
      <c r="H2131" t="s">
        <v>5159</v>
      </c>
      <c r="I2131">
        <f>VLOOKUP(H2131,Listas!$B$2:$C$20,2,FALSE)</f>
        <v>500018</v>
      </c>
      <c r="J2131" t="s">
        <v>138</v>
      </c>
      <c r="K2131">
        <f>VLOOKUP(J2131,Listas!$B$21:$C$54,2,FALSE)</f>
        <v>600033</v>
      </c>
      <c r="L2131">
        <v>0</v>
      </c>
    </row>
    <row r="2132" spans="1:12">
      <c r="A2132">
        <v>116</v>
      </c>
      <c r="B2132" t="s">
        <v>5380</v>
      </c>
      <c r="C2132" s="96">
        <v>42994</v>
      </c>
      <c r="D2132" t="s">
        <v>5381</v>
      </c>
      <c r="E2132" s="96" t="s">
        <v>1467</v>
      </c>
      <c r="H2132" t="s">
        <v>5159</v>
      </c>
      <c r="I2132">
        <f>VLOOKUP(H2132,Listas!$B$2:$C$20,2,FALSE)</f>
        <v>500018</v>
      </c>
      <c r="J2132" t="s">
        <v>138</v>
      </c>
      <c r="K2132">
        <f>VLOOKUP(J2132,Listas!$B$21:$C$54,2,FALSE)</f>
        <v>600033</v>
      </c>
      <c r="L2132">
        <v>0</v>
      </c>
    </row>
    <row r="2133" spans="1:12">
      <c r="A2133">
        <v>116</v>
      </c>
      <c r="B2133" t="s">
        <v>5382</v>
      </c>
      <c r="C2133" s="96">
        <v>42995</v>
      </c>
      <c r="D2133" t="s">
        <v>5383</v>
      </c>
      <c r="E2133" s="96" t="s">
        <v>1467</v>
      </c>
      <c r="H2133" t="s">
        <v>5159</v>
      </c>
      <c r="I2133">
        <f>VLOOKUP(H2133,Listas!$B$2:$C$20,2,FALSE)</f>
        <v>500018</v>
      </c>
      <c r="J2133" t="s">
        <v>138</v>
      </c>
      <c r="K2133">
        <f>VLOOKUP(J2133,Listas!$B$21:$C$54,2,FALSE)</f>
        <v>600033</v>
      </c>
      <c r="L2133">
        <v>0</v>
      </c>
    </row>
    <row r="2134" spans="1:12">
      <c r="A2134">
        <v>116</v>
      </c>
      <c r="B2134" t="s">
        <v>5384</v>
      </c>
      <c r="C2134" s="96">
        <v>42996</v>
      </c>
      <c r="D2134" t="s">
        <v>5385</v>
      </c>
      <c r="E2134" s="96" t="s">
        <v>1467</v>
      </c>
      <c r="H2134" t="s">
        <v>5159</v>
      </c>
      <c r="I2134">
        <f>VLOOKUP(H2134,Listas!$B$2:$C$20,2,FALSE)</f>
        <v>500018</v>
      </c>
      <c r="J2134" t="s">
        <v>138</v>
      </c>
      <c r="K2134">
        <f>VLOOKUP(J2134,Listas!$B$21:$C$54,2,FALSE)</f>
        <v>600033</v>
      </c>
      <c r="L2134">
        <v>0</v>
      </c>
    </row>
    <row r="2135" spans="1:12">
      <c r="A2135">
        <v>116</v>
      </c>
      <c r="B2135" t="s">
        <v>5386</v>
      </c>
      <c r="C2135" s="96">
        <v>42934</v>
      </c>
      <c r="D2135" t="s">
        <v>5387</v>
      </c>
      <c r="E2135" s="96" t="s">
        <v>1467</v>
      </c>
      <c r="H2135" t="s">
        <v>5159</v>
      </c>
      <c r="I2135">
        <f>VLOOKUP(H2135,Listas!$B$2:$C$20,2,FALSE)</f>
        <v>500018</v>
      </c>
      <c r="J2135" t="s">
        <v>138</v>
      </c>
      <c r="K2135">
        <f>VLOOKUP(J2135,Listas!$B$21:$C$54,2,FALSE)</f>
        <v>600033</v>
      </c>
      <c r="L2135">
        <v>0</v>
      </c>
    </row>
    <row r="2136" spans="1:12">
      <c r="A2136">
        <v>116</v>
      </c>
      <c r="B2136" t="s">
        <v>5388</v>
      </c>
      <c r="C2136" s="96">
        <v>42998</v>
      </c>
      <c r="D2136" t="s">
        <v>5196</v>
      </c>
      <c r="E2136" s="96" t="s">
        <v>1467</v>
      </c>
      <c r="H2136" t="s">
        <v>5159</v>
      </c>
      <c r="I2136">
        <f>VLOOKUP(H2136,Listas!$B$2:$C$20,2,FALSE)</f>
        <v>500018</v>
      </c>
      <c r="J2136" t="s">
        <v>138</v>
      </c>
      <c r="K2136">
        <f>VLOOKUP(J2136,Listas!$B$21:$C$54,2,FALSE)</f>
        <v>600033</v>
      </c>
      <c r="L2136">
        <v>0</v>
      </c>
    </row>
    <row r="2137" spans="1:12" s="336" customFormat="1">
      <c r="A2137" s="336">
        <v>116</v>
      </c>
      <c r="B2137" s="336" t="s">
        <v>5389</v>
      </c>
      <c r="C2137" s="336">
        <v>42910</v>
      </c>
      <c r="D2137" s="336" t="s">
        <v>5390</v>
      </c>
      <c r="E2137" s="337" t="s">
        <v>1462</v>
      </c>
    </row>
    <row r="2138" spans="1:12">
      <c r="A2138">
        <v>116</v>
      </c>
      <c r="B2138" t="s">
        <v>5391</v>
      </c>
      <c r="C2138" s="96">
        <v>429101</v>
      </c>
      <c r="D2138" t="s">
        <v>5392</v>
      </c>
      <c r="E2138" s="96" t="s">
        <v>1467</v>
      </c>
      <c r="H2138" t="s">
        <v>188</v>
      </c>
      <c r="I2138">
        <f>VLOOKUP(H2138,Listas!$B$2:$C$20,2,FALSE)</f>
        <v>500004</v>
      </c>
      <c r="J2138" t="s">
        <v>361</v>
      </c>
      <c r="K2138">
        <f>VLOOKUP(J2138,Listas!$B$21:$C$50,2,FALSE)</f>
        <v>600001</v>
      </c>
      <c r="L2138">
        <v>0</v>
      </c>
    </row>
    <row r="2139" spans="1:12" s="336" customFormat="1">
      <c r="A2139" s="336">
        <v>116</v>
      </c>
      <c r="B2139" s="336">
        <v>5</v>
      </c>
      <c r="C2139" s="336">
        <v>5</v>
      </c>
      <c r="D2139" s="336" t="s">
        <v>1190</v>
      </c>
      <c r="E2139" s="337" t="s">
        <v>1462</v>
      </c>
    </row>
    <row r="2140" spans="1:12" s="336" customFormat="1">
      <c r="A2140" s="336">
        <v>116</v>
      </c>
      <c r="B2140" s="336" t="s">
        <v>1191</v>
      </c>
      <c r="C2140" s="336">
        <v>51</v>
      </c>
      <c r="D2140" s="336" t="s">
        <v>1190</v>
      </c>
      <c r="E2140" s="337" t="s">
        <v>1462</v>
      </c>
    </row>
    <row r="2141" spans="1:12" s="336" customFormat="1">
      <c r="A2141" s="336">
        <v>116</v>
      </c>
      <c r="B2141" s="336" t="s">
        <v>1192</v>
      </c>
      <c r="C2141" s="336">
        <v>511</v>
      </c>
      <c r="D2141" s="336" t="s">
        <v>1193</v>
      </c>
      <c r="E2141" s="337" t="s">
        <v>1462</v>
      </c>
    </row>
    <row r="2142" spans="1:12">
      <c r="A2142">
        <v>116</v>
      </c>
      <c r="B2142" t="s">
        <v>1194</v>
      </c>
      <c r="C2142" s="96">
        <v>5111</v>
      </c>
      <c r="D2142" t="s">
        <v>1195</v>
      </c>
      <c r="E2142" s="96" t="s">
        <v>1467</v>
      </c>
      <c r="H2142" t="s">
        <v>5393</v>
      </c>
      <c r="I2142">
        <f>VLOOKUP(H2142,Listas!$B$2:$C$20,2,FALSE)</f>
        <v>500019</v>
      </c>
      <c r="J2142" t="s">
        <v>361</v>
      </c>
      <c r="K2142">
        <f>VLOOKUP(J2142,Listas!$B$21:$C$50,2,FALSE)</f>
        <v>600001</v>
      </c>
      <c r="L2142">
        <v>0</v>
      </c>
    </row>
    <row r="2143" spans="1:12">
      <c r="A2143">
        <v>116</v>
      </c>
      <c r="B2143" t="s">
        <v>1196</v>
      </c>
      <c r="C2143" s="96">
        <v>5112</v>
      </c>
      <c r="D2143" t="s">
        <v>1197</v>
      </c>
      <c r="E2143" s="96" t="s">
        <v>1467</v>
      </c>
      <c r="H2143" t="s">
        <v>5393</v>
      </c>
      <c r="I2143">
        <f>VLOOKUP(H2143,Listas!$B$2:$C$20,2,FALSE)</f>
        <v>500019</v>
      </c>
      <c r="J2143" t="s">
        <v>361</v>
      </c>
      <c r="K2143">
        <f>VLOOKUP(J2143,Listas!$B$21:$C$50,2,FALSE)</f>
        <v>600001</v>
      </c>
      <c r="L2143">
        <v>0</v>
      </c>
    </row>
    <row r="2144" spans="1:12">
      <c r="A2144">
        <v>116</v>
      </c>
      <c r="B2144" t="s">
        <v>5394</v>
      </c>
      <c r="C2144" s="96">
        <v>5113</v>
      </c>
      <c r="D2144" t="s">
        <v>1205</v>
      </c>
      <c r="E2144" s="96" t="s">
        <v>1467</v>
      </c>
      <c r="H2144" t="s">
        <v>5393</v>
      </c>
      <c r="I2144">
        <f>VLOOKUP(H2144,Listas!$B$2:$C$20,2,FALSE)</f>
        <v>500019</v>
      </c>
      <c r="J2144" t="s">
        <v>361</v>
      </c>
      <c r="K2144">
        <f>VLOOKUP(J2144,Listas!$B$21:$C$50,2,FALSE)</f>
        <v>600001</v>
      </c>
      <c r="L2144">
        <v>0</v>
      </c>
    </row>
    <row r="2145" spans="1:12">
      <c r="A2145">
        <v>116</v>
      </c>
      <c r="B2145" t="s">
        <v>1198</v>
      </c>
      <c r="C2145" s="96">
        <v>5114</v>
      </c>
      <c r="D2145" t="s">
        <v>1199</v>
      </c>
      <c r="E2145" s="96" t="s">
        <v>1467</v>
      </c>
      <c r="H2145" t="s">
        <v>5393</v>
      </c>
      <c r="I2145">
        <f>VLOOKUP(H2145,Listas!$B$2:$C$20,2,FALSE)</f>
        <v>500019</v>
      </c>
      <c r="J2145" t="s">
        <v>361</v>
      </c>
      <c r="K2145">
        <f>VLOOKUP(J2145,Listas!$B$21:$C$50,2,FALSE)</f>
        <v>600001</v>
      </c>
      <c r="L2145">
        <v>0</v>
      </c>
    </row>
    <row r="2146" spans="1:12">
      <c r="A2146">
        <v>116</v>
      </c>
      <c r="B2146" t="s">
        <v>5395</v>
      </c>
      <c r="C2146" s="96">
        <v>5115</v>
      </c>
      <c r="D2146" t="s">
        <v>1207</v>
      </c>
      <c r="E2146" s="96" t="s">
        <v>1467</v>
      </c>
      <c r="H2146" t="s">
        <v>5393</v>
      </c>
      <c r="I2146">
        <f>VLOOKUP(H2146,Listas!$B$2:$C$20,2,FALSE)</f>
        <v>500019</v>
      </c>
      <c r="J2146" t="s">
        <v>361</v>
      </c>
      <c r="K2146">
        <f>VLOOKUP(J2146,Listas!$B$21:$C$50,2,FALSE)</f>
        <v>600001</v>
      </c>
      <c r="L2146">
        <v>0</v>
      </c>
    </row>
    <row r="2147" spans="1:12">
      <c r="A2147">
        <v>116</v>
      </c>
      <c r="B2147" t="s">
        <v>1200</v>
      </c>
      <c r="C2147" s="96">
        <v>5116</v>
      </c>
      <c r="D2147" t="s">
        <v>1201</v>
      </c>
      <c r="E2147" s="96" t="s">
        <v>1467</v>
      </c>
      <c r="H2147" t="s">
        <v>5393</v>
      </c>
      <c r="I2147">
        <f>VLOOKUP(H2147,Listas!$B$2:$C$20,2,FALSE)</f>
        <v>500019</v>
      </c>
      <c r="J2147" t="s">
        <v>361</v>
      </c>
      <c r="K2147">
        <f>VLOOKUP(J2147,Listas!$B$21:$C$50,2,FALSE)</f>
        <v>600001</v>
      </c>
      <c r="L2147">
        <v>0</v>
      </c>
    </row>
    <row r="2148" spans="1:12">
      <c r="A2148">
        <v>116</v>
      </c>
      <c r="B2148" t="s">
        <v>5396</v>
      </c>
      <c r="C2148" s="96">
        <v>5117</v>
      </c>
      <c r="D2148" t="s">
        <v>1209</v>
      </c>
      <c r="E2148" s="96" t="s">
        <v>1467</v>
      </c>
      <c r="H2148" t="s">
        <v>5393</v>
      </c>
      <c r="I2148">
        <f>VLOOKUP(H2148,Listas!$B$2:$C$20,2,FALSE)</f>
        <v>500019</v>
      </c>
      <c r="J2148" t="s">
        <v>361</v>
      </c>
      <c r="K2148">
        <f>VLOOKUP(J2148,Listas!$B$21:$C$50,2,FALSE)</f>
        <v>600001</v>
      </c>
      <c r="L2148">
        <v>0</v>
      </c>
    </row>
    <row r="2149" spans="1:12">
      <c r="A2149">
        <v>116</v>
      </c>
      <c r="B2149" t="s">
        <v>5397</v>
      </c>
      <c r="C2149" s="96">
        <v>5118</v>
      </c>
      <c r="D2149" t="s">
        <v>1211</v>
      </c>
      <c r="E2149" s="96" t="s">
        <v>1467</v>
      </c>
      <c r="H2149" t="s">
        <v>5393</v>
      </c>
      <c r="I2149">
        <f>VLOOKUP(H2149,Listas!$B$2:$C$20,2,FALSE)</f>
        <v>500019</v>
      </c>
      <c r="J2149" t="s">
        <v>361</v>
      </c>
      <c r="K2149">
        <f>VLOOKUP(J2149,Listas!$B$21:$C$50,2,FALSE)</f>
        <v>600001</v>
      </c>
      <c r="L2149">
        <v>0</v>
      </c>
    </row>
    <row r="2150" spans="1:12">
      <c r="A2150">
        <v>116</v>
      </c>
      <c r="B2150" t="s">
        <v>5398</v>
      </c>
      <c r="C2150" s="96">
        <v>5119</v>
      </c>
      <c r="D2150" t="s">
        <v>5399</v>
      </c>
      <c r="E2150" s="96" t="s">
        <v>1467</v>
      </c>
      <c r="H2150" t="s">
        <v>5393</v>
      </c>
      <c r="I2150">
        <f>VLOOKUP(H2150,Listas!$B$2:$C$20,2,FALSE)</f>
        <v>500019</v>
      </c>
      <c r="J2150" t="s">
        <v>361</v>
      </c>
      <c r="K2150">
        <f>VLOOKUP(J2150,Listas!$B$21:$C$50,2,FALSE)</f>
        <v>600001</v>
      </c>
      <c r="L2150">
        <v>0</v>
      </c>
    </row>
    <row r="2151" spans="1:12">
      <c r="A2151">
        <v>116</v>
      </c>
      <c r="B2151" t="s">
        <v>5400</v>
      </c>
      <c r="C2151" s="96">
        <v>51110</v>
      </c>
      <c r="D2151" t="s">
        <v>5401</v>
      </c>
      <c r="E2151" s="96" t="s">
        <v>1467</v>
      </c>
      <c r="H2151" t="s">
        <v>5393</v>
      </c>
      <c r="I2151">
        <f>VLOOKUP(H2151,Listas!$B$2:$C$20,2,FALSE)</f>
        <v>500019</v>
      </c>
      <c r="J2151" t="s">
        <v>361</v>
      </c>
      <c r="K2151">
        <f>VLOOKUP(J2151,Listas!$B$21:$C$50,2,FALSE)</f>
        <v>600001</v>
      </c>
      <c r="L2151">
        <v>0</v>
      </c>
    </row>
    <row r="2152" spans="1:12">
      <c r="A2152">
        <v>116</v>
      </c>
      <c r="B2152" t="s">
        <v>5402</v>
      </c>
      <c r="C2152" s="96">
        <v>51111</v>
      </c>
      <c r="D2152" t="s">
        <v>5403</v>
      </c>
      <c r="E2152" s="96" t="s">
        <v>1467</v>
      </c>
      <c r="H2152" t="s">
        <v>5393</v>
      </c>
      <c r="I2152">
        <f>VLOOKUP(H2152,Listas!$B$2:$C$20,2,FALSE)</f>
        <v>500019</v>
      </c>
      <c r="J2152" t="s">
        <v>361</v>
      </c>
      <c r="K2152">
        <f>VLOOKUP(J2152,Listas!$B$21:$C$50,2,FALSE)</f>
        <v>600001</v>
      </c>
      <c r="L2152">
        <v>0</v>
      </c>
    </row>
    <row r="2153" spans="1:12">
      <c r="A2153">
        <v>116</v>
      </c>
      <c r="B2153" t="s">
        <v>5404</v>
      </c>
      <c r="C2153" s="96">
        <v>51112</v>
      </c>
      <c r="D2153" t="s">
        <v>5405</v>
      </c>
      <c r="E2153" s="96" t="s">
        <v>1467</v>
      </c>
      <c r="H2153" t="s">
        <v>5393</v>
      </c>
      <c r="I2153">
        <f>VLOOKUP(H2153,Listas!$B$2:$C$20,2,FALSE)</f>
        <v>500019</v>
      </c>
      <c r="J2153" t="s">
        <v>361</v>
      </c>
      <c r="K2153">
        <f>VLOOKUP(J2153,Listas!$B$21:$C$50,2,FALSE)</f>
        <v>600001</v>
      </c>
      <c r="L2153">
        <v>0</v>
      </c>
    </row>
    <row r="2154" spans="1:12" s="336" customFormat="1">
      <c r="A2154" s="336">
        <v>116</v>
      </c>
      <c r="B2154" s="336" t="s">
        <v>1202</v>
      </c>
      <c r="C2154" s="336">
        <v>512</v>
      </c>
      <c r="D2154" s="336" t="s">
        <v>1203</v>
      </c>
      <c r="E2154" s="337" t="s">
        <v>1462</v>
      </c>
    </row>
    <row r="2155" spans="1:12">
      <c r="A2155">
        <v>116</v>
      </c>
      <c r="B2155" t="s">
        <v>5406</v>
      </c>
      <c r="C2155" s="96">
        <v>5121</v>
      </c>
      <c r="D2155" t="s">
        <v>1195</v>
      </c>
      <c r="E2155" s="96" t="s">
        <v>1467</v>
      </c>
      <c r="H2155" t="s">
        <v>5393</v>
      </c>
      <c r="I2155">
        <f>VLOOKUP(H2155,Listas!$B$2:$C$20,2,FALSE)</f>
        <v>500019</v>
      </c>
      <c r="J2155" t="s">
        <v>361</v>
      </c>
      <c r="K2155">
        <f>VLOOKUP(J2155,Listas!$B$21:$C$50,2,FALSE)</f>
        <v>600001</v>
      </c>
      <c r="L2155">
        <v>0</v>
      </c>
    </row>
    <row r="2156" spans="1:12">
      <c r="A2156">
        <v>116</v>
      </c>
      <c r="B2156" t="s">
        <v>5407</v>
      </c>
      <c r="C2156" s="96">
        <v>5122</v>
      </c>
      <c r="D2156" t="s">
        <v>1197</v>
      </c>
      <c r="E2156" s="96" t="s">
        <v>1467</v>
      </c>
      <c r="H2156" t="s">
        <v>5393</v>
      </c>
      <c r="I2156">
        <f>VLOOKUP(H2156,Listas!$B$2:$C$20,2,FALSE)</f>
        <v>500019</v>
      </c>
      <c r="J2156" t="s">
        <v>361</v>
      </c>
      <c r="K2156">
        <f>VLOOKUP(J2156,Listas!$B$21:$C$50,2,FALSE)</f>
        <v>600001</v>
      </c>
      <c r="L2156">
        <v>0</v>
      </c>
    </row>
    <row r="2157" spans="1:12">
      <c r="A2157">
        <v>116</v>
      </c>
      <c r="B2157" t="s">
        <v>1204</v>
      </c>
      <c r="C2157" s="96">
        <v>5123</v>
      </c>
      <c r="D2157" t="s">
        <v>1205</v>
      </c>
      <c r="E2157" s="96" t="s">
        <v>1467</v>
      </c>
      <c r="H2157" t="s">
        <v>5393</v>
      </c>
      <c r="I2157">
        <f>VLOOKUP(H2157,Listas!$B$2:$C$20,2,FALSE)</f>
        <v>500019</v>
      </c>
      <c r="J2157" t="s">
        <v>361</v>
      </c>
      <c r="K2157">
        <f>VLOOKUP(J2157,Listas!$B$21:$C$50,2,FALSE)</f>
        <v>600001</v>
      </c>
      <c r="L2157">
        <v>0</v>
      </c>
    </row>
    <row r="2158" spans="1:12">
      <c r="A2158">
        <v>116</v>
      </c>
      <c r="B2158" t="s">
        <v>5408</v>
      </c>
      <c r="C2158" s="96">
        <v>5124</v>
      </c>
      <c r="D2158" t="s">
        <v>1199</v>
      </c>
      <c r="E2158" s="96" t="s">
        <v>1467</v>
      </c>
      <c r="H2158" t="s">
        <v>5393</v>
      </c>
      <c r="I2158">
        <f>VLOOKUP(H2158,Listas!$B$2:$C$20,2,FALSE)</f>
        <v>500019</v>
      </c>
      <c r="J2158" t="s">
        <v>361</v>
      </c>
      <c r="K2158">
        <f>VLOOKUP(J2158,Listas!$B$21:$C$50,2,FALSE)</f>
        <v>600001</v>
      </c>
      <c r="L2158">
        <v>0</v>
      </c>
    </row>
    <row r="2159" spans="1:12">
      <c r="A2159">
        <v>116</v>
      </c>
      <c r="B2159" t="s">
        <v>1206</v>
      </c>
      <c r="C2159" s="96">
        <v>5125</v>
      </c>
      <c r="D2159" t="s">
        <v>1207</v>
      </c>
      <c r="E2159" s="96" t="s">
        <v>1467</v>
      </c>
      <c r="H2159" t="s">
        <v>5393</v>
      </c>
      <c r="I2159">
        <f>VLOOKUP(H2159,Listas!$B$2:$C$20,2,FALSE)</f>
        <v>500019</v>
      </c>
      <c r="J2159" t="s">
        <v>361</v>
      </c>
      <c r="K2159">
        <f>VLOOKUP(J2159,Listas!$B$21:$C$50,2,FALSE)</f>
        <v>600001</v>
      </c>
      <c r="L2159">
        <v>0</v>
      </c>
    </row>
    <row r="2160" spans="1:12">
      <c r="A2160">
        <v>116</v>
      </c>
      <c r="B2160" t="s">
        <v>5409</v>
      </c>
      <c r="C2160" s="96">
        <v>5126</v>
      </c>
      <c r="D2160" t="s">
        <v>1201</v>
      </c>
      <c r="E2160" s="96" t="s">
        <v>1467</v>
      </c>
      <c r="H2160" t="s">
        <v>5393</v>
      </c>
      <c r="I2160">
        <f>VLOOKUP(H2160,Listas!$B$2:$C$20,2,FALSE)</f>
        <v>500019</v>
      </c>
      <c r="J2160" t="s">
        <v>361</v>
      </c>
      <c r="K2160">
        <f>VLOOKUP(J2160,Listas!$B$21:$C$50,2,FALSE)</f>
        <v>600001</v>
      </c>
      <c r="L2160">
        <v>0</v>
      </c>
    </row>
    <row r="2161" spans="1:12">
      <c r="A2161">
        <v>116</v>
      </c>
      <c r="B2161" t="s">
        <v>1208</v>
      </c>
      <c r="C2161" s="96">
        <v>5127</v>
      </c>
      <c r="D2161" t="s">
        <v>1209</v>
      </c>
      <c r="E2161" s="96" t="s">
        <v>1467</v>
      </c>
      <c r="H2161" t="s">
        <v>5393</v>
      </c>
      <c r="I2161">
        <f>VLOOKUP(H2161,Listas!$B$2:$C$20,2,FALSE)</f>
        <v>500019</v>
      </c>
      <c r="J2161" t="s">
        <v>361</v>
      </c>
      <c r="K2161">
        <f>VLOOKUP(J2161,Listas!$B$21:$C$50,2,FALSE)</f>
        <v>600001</v>
      </c>
      <c r="L2161">
        <v>0</v>
      </c>
    </row>
    <row r="2162" spans="1:12">
      <c r="A2162">
        <v>116</v>
      </c>
      <c r="B2162" t="s">
        <v>1210</v>
      </c>
      <c r="C2162" s="96">
        <v>5128</v>
      </c>
      <c r="D2162" t="s">
        <v>1211</v>
      </c>
      <c r="E2162" s="96" t="s">
        <v>1467</v>
      </c>
      <c r="H2162" t="s">
        <v>5393</v>
      </c>
      <c r="I2162">
        <f>VLOOKUP(H2162,Listas!$B$2:$C$20,2,FALSE)</f>
        <v>500019</v>
      </c>
      <c r="J2162" t="s">
        <v>361</v>
      </c>
      <c r="K2162">
        <f>VLOOKUP(J2162,Listas!$B$21:$C$50,2,FALSE)</f>
        <v>600001</v>
      </c>
      <c r="L2162">
        <v>0</v>
      </c>
    </row>
    <row r="2163" spans="1:12">
      <c r="A2163">
        <v>116</v>
      </c>
      <c r="B2163" t="s">
        <v>5410</v>
      </c>
      <c r="C2163" s="96">
        <v>5129</v>
      </c>
      <c r="D2163" t="s">
        <v>5399</v>
      </c>
      <c r="E2163" s="96" t="s">
        <v>1467</v>
      </c>
      <c r="H2163" t="s">
        <v>5393</v>
      </c>
      <c r="I2163">
        <f>VLOOKUP(H2163,Listas!$B$2:$C$20,2,FALSE)</f>
        <v>500019</v>
      </c>
      <c r="J2163" t="s">
        <v>361</v>
      </c>
      <c r="K2163">
        <f>VLOOKUP(J2163,Listas!$B$21:$C$50,2,FALSE)</f>
        <v>600001</v>
      </c>
      <c r="L2163">
        <v>0</v>
      </c>
    </row>
    <row r="2164" spans="1:12">
      <c r="A2164">
        <v>116</v>
      </c>
      <c r="B2164" t="s">
        <v>5411</v>
      </c>
      <c r="C2164" s="96">
        <v>51210</v>
      </c>
      <c r="D2164" t="s">
        <v>5401</v>
      </c>
      <c r="E2164" s="96" t="s">
        <v>1467</v>
      </c>
      <c r="H2164" t="s">
        <v>5393</v>
      </c>
      <c r="I2164">
        <f>VLOOKUP(H2164,Listas!$B$2:$C$20,2,FALSE)</f>
        <v>500019</v>
      </c>
      <c r="J2164" t="s">
        <v>361</v>
      </c>
      <c r="K2164">
        <f>VLOOKUP(J2164,Listas!$B$21:$C$50,2,FALSE)</f>
        <v>600001</v>
      </c>
      <c r="L2164">
        <v>0</v>
      </c>
    </row>
    <row r="2165" spans="1:12">
      <c r="A2165">
        <v>116</v>
      </c>
      <c r="B2165" t="s">
        <v>5412</v>
      </c>
      <c r="C2165" s="96">
        <v>51211</v>
      </c>
      <c r="D2165" t="s">
        <v>5403</v>
      </c>
      <c r="E2165" s="96" t="s">
        <v>1467</v>
      </c>
      <c r="H2165" t="s">
        <v>5393</v>
      </c>
      <c r="I2165">
        <f>VLOOKUP(H2165,Listas!$B$2:$C$20,2,FALSE)</f>
        <v>500019</v>
      </c>
      <c r="J2165" t="s">
        <v>361</v>
      </c>
      <c r="K2165">
        <f>VLOOKUP(J2165,Listas!$B$21:$C$50,2,FALSE)</f>
        <v>600001</v>
      </c>
      <c r="L2165">
        <v>0</v>
      </c>
    </row>
    <row r="2166" spans="1:12">
      <c r="A2166">
        <v>116</v>
      </c>
      <c r="B2166" t="s">
        <v>5413</v>
      </c>
      <c r="C2166" s="96">
        <v>51212</v>
      </c>
      <c r="D2166" t="s">
        <v>5405</v>
      </c>
      <c r="E2166" s="96" t="s">
        <v>1467</v>
      </c>
      <c r="H2166" t="s">
        <v>5393</v>
      </c>
      <c r="I2166">
        <f>VLOOKUP(H2166,Listas!$B$2:$C$20,2,FALSE)</f>
        <v>500019</v>
      </c>
      <c r="J2166" t="s">
        <v>361</v>
      </c>
      <c r="K2166">
        <f>VLOOKUP(J2166,Listas!$B$21:$C$50,2,FALSE)</f>
        <v>600001</v>
      </c>
      <c r="L2166">
        <v>0</v>
      </c>
    </row>
    <row r="2167" spans="1:12" s="336" customFormat="1">
      <c r="A2167" s="336">
        <v>116</v>
      </c>
      <c r="B2167" s="336">
        <v>6</v>
      </c>
      <c r="C2167" s="336">
        <v>6</v>
      </c>
      <c r="D2167" s="336" t="s">
        <v>5414</v>
      </c>
      <c r="E2167" s="337" t="s">
        <v>1462</v>
      </c>
    </row>
    <row r="2168" spans="1:12">
      <c r="A2168">
        <v>116</v>
      </c>
      <c r="B2168" t="s">
        <v>5415</v>
      </c>
      <c r="C2168" s="96">
        <v>61</v>
      </c>
      <c r="D2168" t="s">
        <v>121</v>
      </c>
      <c r="E2168" s="96" t="s">
        <v>1467</v>
      </c>
      <c r="H2168" t="s">
        <v>361</v>
      </c>
      <c r="I2168">
        <f>VLOOKUP(H2168,Listas!$B$2:$C$20,2,FALSE)</f>
        <v>500001</v>
      </c>
      <c r="J2168" t="s">
        <v>361</v>
      </c>
      <c r="K2168">
        <f>VLOOKUP(J2168,Listas!$B$21:$C$50,2,FALSE)</f>
        <v>600001</v>
      </c>
      <c r="L2168">
        <v>0</v>
      </c>
    </row>
  </sheetData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D00-000000000000}">
          <x14:formula1>
            <xm:f>Listas!$B$21:$B$50</xm:f>
          </x14:formula1>
          <xm:sqref>J6:J7 J9:J12 J2155:J2166 J83:J85 J16:J19 J24:J63 J65:J73 J75:J78 J94:J99 J80:J81 J87:J90 J92 J145:J146 J102:J108 J21:J22 J114:J116 J122:J132 J134 J136 J138:J143 J159:J160 J148:J150 J152:J153 J118:J120 J156:J157 J175 J163:J172 J192 J189:J190 J177:J185 J197:J198 J194:J195 J1688:J1691 J207:J208 J211:J212 J1731:J1738 J2091:J2105 J2124:J2125 J2129:J2136 J1911:J1925 J1580:J1582 J1584:J1586 J1588:J1605 J1607:J1608 J1786:J1788 J2127 J1621:J1622 J1625:J1631 J1636:J1637 J1639:J1640 J1643:J1646 J1650 J1648 J201:J202 J2138 J1662 J2168 J1678 J1667 J1671 J1673 J1675 J1699 J1696 J1684:J1686 J1664 J1693:J1694 J1708 J1712 J1714 J1716 J1719:J1721 J1725:J1727 J1652:J1653 J1740:J1741 J1743:J1744 J1746:J1748 J1750 J1753:J1755 J1758:J1761 J1765:J1767 J1769 J1771:J1772 J1774 J1776 J1778 J1780 J1782 J1784 J1610:J1617 J1793:J1806 J1808:J1815 J1961:J1973 J1831 J1833 J1835 J1838:J1842 J1844:J1845 J1847 J1850:J1869 J1871:J1873 J1876:J1883 J1886:J1889 J1892:J1909 J1572:J1577 J1927 J1930 J1933 J1937:J1950 J1952:J1959 J1817:J1829 J1975 J1977 J1980:J1984 J1986:J1987 J1990:J2010 J2012:J2014 J2017:J2029 J2032:J2033 J2035:J2036 J2038:J2039 J2041:J2045 J2048:J2067 J2142:J2153 J2108:J2110 J2113 J2115 J2117:J2119 J2121 J2069:J2088 J214:J1464</xm:sqref>
        </x14:dataValidation>
        <x14:dataValidation type="list" allowBlank="1" showInputMessage="1" showErrorMessage="1" xr:uid="{00000000-0002-0000-0D00-000001000000}">
          <x14:formula1>
            <xm:f>Listas!$B$21:$B$52</xm:f>
          </x14:formula1>
          <xm:sqref>J1466:J1474 J1476:J1552 J1656:J1657</xm:sqref>
        </x14:dataValidation>
        <x14:dataValidation type="list" allowBlank="1" showInputMessage="1" showErrorMessage="1" xr:uid="{00000000-0002-0000-0D00-000002000000}">
          <x14:formula1>
            <xm:f>Listas!$B$21:$B$53</xm:f>
          </x14:formula1>
          <xm:sqref>J1554:J1570 J1619 J1578</xm:sqref>
        </x14:dataValidation>
        <x14:dataValidation type="list" allowBlank="1" showInputMessage="1" showErrorMessage="1" xr:uid="{00000000-0002-0000-0D00-000003000000}">
          <x14:formula1>
            <xm:f>Listas!$B$2:$B$20</xm:f>
          </x14:formula1>
          <xm:sqref>H6:H2168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438"/>
  <sheetViews>
    <sheetView topLeftCell="A409" workbookViewId="0">
      <selection activeCell="A425" sqref="A425:XFD426"/>
    </sheetView>
  </sheetViews>
  <sheetFormatPr defaultColWidth="9.140625" defaultRowHeight="14.45"/>
  <cols>
    <col min="3" max="3" width="9.140625" customWidth="1"/>
    <col min="4" max="4" width="45.140625" customWidth="1"/>
    <col min="5" max="5" width="14.28515625" style="77" bestFit="1" customWidth="1"/>
    <col min="6" max="7" width="15" style="77" bestFit="1" customWidth="1"/>
    <col min="8" max="9" width="14.28515625" style="77" bestFit="1" customWidth="1"/>
    <col min="10" max="10" width="21.5703125" bestFit="1" customWidth="1"/>
    <col min="11" max="11" width="17.7109375" bestFit="1" customWidth="1"/>
    <col min="12" max="12" width="12.85546875" bestFit="1" customWidth="1"/>
    <col min="15" max="15" width="9.42578125" customWidth="1"/>
  </cols>
  <sheetData>
    <row r="1" spans="1:15">
      <c r="B1" t="s">
        <v>541</v>
      </c>
      <c r="C1" t="s">
        <v>542</v>
      </c>
      <c r="D1" t="s">
        <v>543</v>
      </c>
      <c r="E1" s="77" t="s">
        <v>544</v>
      </c>
      <c r="F1" s="77" t="s">
        <v>545</v>
      </c>
      <c r="G1" s="77" t="s">
        <v>546</v>
      </c>
      <c r="H1" s="77" t="s">
        <v>547</v>
      </c>
      <c r="I1" s="77" t="s">
        <v>548</v>
      </c>
    </row>
    <row r="2" spans="1:15">
      <c r="B2" t="s">
        <v>549</v>
      </c>
    </row>
    <row r="4" spans="1:15">
      <c r="B4" t="s">
        <v>5416</v>
      </c>
    </row>
    <row r="6" spans="1:15">
      <c r="A6" t="s">
        <v>552</v>
      </c>
      <c r="B6" t="s">
        <v>552</v>
      </c>
      <c r="C6" t="s">
        <v>553</v>
      </c>
      <c r="D6" t="s">
        <v>213</v>
      </c>
      <c r="E6" s="77" t="s">
        <v>554</v>
      </c>
      <c r="F6" s="77" t="s">
        <v>555</v>
      </c>
      <c r="G6" s="77" t="s">
        <v>556</v>
      </c>
      <c r="H6" s="77" t="s">
        <v>557</v>
      </c>
      <c r="I6" s="77" t="s">
        <v>558</v>
      </c>
      <c r="J6" s="344" t="s">
        <v>5417</v>
      </c>
      <c r="K6" s="344" t="s">
        <v>5418</v>
      </c>
      <c r="L6" t="s">
        <v>1250</v>
      </c>
      <c r="M6" t="s">
        <v>47</v>
      </c>
      <c r="N6" t="s">
        <v>1461</v>
      </c>
      <c r="O6" t="s">
        <v>5419</v>
      </c>
    </row>
    <row r="7" spans="1:15" ht="18">
      <c r="A7">
        <f>B7</f>
        <v>1</v>
      </c>
      <c r="B7">
        <v>1</v>
      </c>
      <c r="C7">
        <v>1</v>
      </c>
      <c r="D7" t="s">
        <v>559</v>
      </c>
      <c r="E7" s="77">
        <v>51373399.5</v>
      </c>
      <c r="F7" s="77">
        <v>133738505.62</v>
      </c>
      <c r="G7" s="77">
        <v>-126424677.31999999</v>
      </c>
      <c r="H7" s="77">
        <v>7313828.2999999998</v>
      </c>
      <c r="I7" s="77">
        <v>58687227.799999997</v>
      </c>
      <c r="J7" s="112">
        <f>I7/1000</f>
        <v>58687.227800000001</v>
      </c>
      <c r="K7" s="112">
        <f>ROUND(J7,0)</f>
        <v>58687</v>
      </c>
      <c r="L7" s="346">
        <f>IFERROR(VLOOKUP(C7,'[4]DE x PARA'!C2:K2001,7,FALSE),"SINTÉTICA")</f>
        <v>0</v>
      </c>
      <c r="M7">
        <f>IFERROR(VLOOKUP(B7,'[4]DE x PARA'!B2:K2001,10,FALSE),"SINTÉTICA")</f>
        <v>0</v>
      </c>
      <c r="N7">
        <f>IFERROR(VLOOKUP(M7,'[4]DE x PARA'!$K$2:$L$2001,2,FALSE),0)</f>
        <v>0</v>
      </c>
      <c r="O7">
        <f>+H7*N7</f>
        <v>0</v>
      </c>
    </row>
    <row r="8" spans="1:15" ht="18">
      <c r="A8" t="str">
        <f t="shared" ref="A8:A71" si="0">B8</f>
        <v>1.1</v>
      </c>
      <c r="B8" t="s">
        <v>560</v>
      </c>
      <c r="C8">
        <v>11</v>
      </c>
      <c r="D8" t="s">
        <v>50</v>
      </c>
      <c r="E8" s="77">
        <v>35519718.270000003</v>
      </c>
      <c r="F8" s="77">
        <v>132942527.17</v>
      </c>
      <c r="G8" s="77">
        <v>-123746545.63</v>
      </c>
      <c r="H8" s="77">
        <v>9195981.5399999991</v>
      </c>
      <c r="I8" s="77">
        <v>44715699.810000002</v>
      </c>
      <c r="J8" s="112">
        <f t="shared" ref="J8:J71" si="1">I8/1000</f>
        <v>44715.699810000006</v>
      </c>
      <c r="K8" s="112">
        <f t="shared" ref="K8:K71" si="2">ROUND(J8,0)</f>
        <v>44716</v>
      </c>
      <c r="L8" s="346">
        <f>IFERROR(VLOOKUP(C8,'[4]DE x PARA'!C3:K2002,7,FALSE),"SINTÉTICA")</f>
        <v>0</v>
      </c>
      <c r="M8">
        <f>IFERROR(VLOOKUP(B8,'[4]DE x PARA'!B3:K2002,10,FALSE),"SINTÉTICA")</f>
        <v>0</v>
      </c>
      <c r="N8">
        <f>IFERROR(VLOOKUP(M8,'[4]DE x PARA'!$K$2:$L$2001,2,FALSE),0)</f>
        <v>0</v>
      </c>
      <c r="O8">
        <f t="shared" ref="O8:O71" si="3">+H8*N8</f>
        <v>0</v>
      </c>
    </row>
    <row r="9" spans="1:15" ht="18">
      <c r="A9" t="str">
        <f t="shared" si="0"/>
        <v>1.1.1</v>
      </c>
      <c r="B9" t="s">
        <v>561</v>
      </c>
      <c r="C9">
        <v>111</v>
      </c>
      <c r="D9" t="s">
        <v>562</v>
      </c>
      <c r="E9" s="77">
        <v>30622515.34</v>
      </c>
      <c r="F9" s="77">
        <v>115807709.27</v>
      </c>
      <c r="G9" s="77">
        <v>-109961267.14</v>
      </c>
      <c r="H9" s="77">
        <v>5846442.1299999999</v>
      </c>
      <c r="I9" s="77">
        <v>36468957.469999999</v>
      </c>
      <c r="J9" s="112">
        <f t="shared" si="1"/>
        <v>36468.957470000001</v>
      </c>
      <c r="K9" s="112">
        <f t="shared" si="2"/>
        <v>36469</v>
      </c>
      <c r="L9" s="346">
        <f>IFERROR(VLOOKUP(C9,'[4]DE x PARA'!C4:K2003,7,FALSE),"SINTÉTICA")</f>
        <v>0</v>
      </c>
      <c r="M9">
        <f>IFERROR(VLOOKUP(B9,'[4]DE x PARA'!B4:K2003,10,FALSE),"SINTÉTICA")</f>
        <v>0</v>
      </c>
      <c r="N9">
        <f>IFERROR(VLOOKUP(M9,'[4]DE x PARA'!$K$2:$L$2001,2,FALSE),0)</f>
        <v>0</v>
      </c>
      <c r="O9">
        <f t="shared" si="3"/>
        <v>0</v>
      </c>
    </row>
    <row r="10" spans="1:15" ht="18">
      <c r="A10" t="str">
        <f t="shared" si="0"/>
        <v>1.1.1.02</v>
      </c>
      <c r="B10" t="s">
        <v>52</v>
      </c>
      <c r="C10">
        <v>1112</v>
      </c>
      <c r="D10" t="s">
        <v>563</v>
      </c>
      <c r="E10" s="77">
        <v>30622515.34</v>
      </c>
      <c r="F10" s="77">
        <v>115807709.27</v>
      </c>
      <c r="G10" s="77">
        <v>-109961267.14</v>
      </c>
      <c r="H10" s="77">
        <v>5846442.1299999999</v>
      </c>
      <c r="I10" s="77">
        <v>36468957.469999999</v>
      </c>
      <c r="J10" s="112">
        <f t="shared" si="1"/>
        <v>36468.957470000001</v>
      </c>
      <c r="K10" s="112">
        <f t="shared" si="2"/>
        <v>36469</v>
      </c>
      <c r="L10" s="346">
        <f>IFERROR(VLOOKUP(C10,'[4]DE x PARA'!C5:K2004,7,FALSE),"SINTÉTICA")</f>
        <v>0</v>
      </c>
      <c r="M10">
        <f>IFERROR(VLOOKUP(B10,'[4]DE x PARA'!B5:K2004,10,FALSE),"SINTÉTICA")</f>
        <v>0</v>
      </c>
      <c r="N10">
        <f>IFERROR(VLOOKUP(M10,'[4]DE x PARA'!$K$2:$L$2001,2,FALSE),0)</f>
        <v>0</v>
      </c>
      <c r="O10">
        <f t="shared" si="3"/>
        <v>0</v>
      </c>
    </row>
    <row r="11" spans="1:15" ht="18">
      <c r="A11" t="str">
        <f t="shared" si="0"/>
        <v>1.1.1.02.0040</v>
      </c>
      <c r="B11" t="s">
        <v>1470</v>
      </c>
      <c r="C11" t="s">
        <v>1471</v>
      </c>
      <c r="D11" t="s">
        <v>1472</v>
      </c>
      <c r="E11" s="77">
        <v>30622515.34</v>
      </c>
      <c r="F11" s="77">
        <v>0</v>
      </c>
      <c r="G11" s="77">
        <v>-30622515.34</v>
      </c>
      <c r="H11" s="77">
        <v>-30622515.34</v>
      </c>
      <c r="I11" s="77">
        <v>0</v>
      </c>
      <c r="J11" s="112">
        <f t="shared" si="1"/>
        <v>0</v>
      </c>
      <c r="K11" s="112">
        <f t="shared" si="2"/>
        <v>0</v>
      </c>
      <c r="L11" s="346">
        <f>IFERROR(VLOOKUP(C11,'[4]DE x PARA'!C6:K2005,7,FALSE),"SINTÉTICA")</f>
        <v>500001</v>
      </c>
      <c r="M11">
        <f>IFERROR(VLOOKUP(B11,'[4]DE x PARA'!B6:K2005,10,FALSE),"SINTÉTICA")</f>
        <v>600030</v>
      </c>
      <c r="N11">
        <f>IFERROR(VLOOKUP(M11,'[4]DE x PARA'!$K$2:$L$2001,2,FALSE),0)</f>
        <v>-1</v>
      </c>
      <c r="O11">
        <f t="shared" si="3"/>
        <v>30622515.34</v>
      </c>
    </row>
    <row r="12" spans="1:15" ht="18">
      <c r="A12" t="str">
        <f t="shared" si="0"/>
        <v>1.1.1.02.0042</v>
      </c>
      <c r="B12" t="s">
        <v>564</v>
      </c>
      <c r="C12" t="s">
        <v>565</v>
      </c>
      <c r="D12" t="s">
        <v>566</v>
      </c>
      <c r="E12" s="77">
        <v>0</v>
      </c>
      <c r="F12" s="77">
        <v>22224015.43</v>
      </c>
      <c r="G12" s="77">
        <v>-22224015.43</v>
      </c>
      <c r="H12" s="77">
        <v>0</v>
      </c>
      <c r="I12" s="77">
        <v>0</v>
      </c>
      <c r="J12" s="112">
        <f t="shared" si="1"/>
        <v>0</v>
      </c>
      <c r="K12" s="112">
        <f t="shared" si="2"/>
        <v>0</v>
      </c>
      <c r="L12" s="346">
        <f>IFERROR(VLOOKUP(C12,'[4]DE x PARA'!C7:K2006,7,FALSE),"SINTÉTICA")</f>
        <v>500001</v>
      </c>
      <c r="M12">
        <f>IFERROR(VLOOKUP(B12,'[4]DE x PARA'!B7:K2006,10,FALSE),"SINTÉTICA")</f>
        <v>600030</v>
      </c>
      <c r="N12">
        <f>IFERROR(VLOOKUP(M12,'[4]DE x PARA'!$K$2:$L$2001,2,FALSE),0)</f>
        <v>-1</v>
      </c>
      <c r="O12">
        <f t="shared" si="3"/>
        <v>0</v>
      </c>
    </row>
    <row r="13" spans="1:15" ht="18">
      <c r="A13" t="str">
        <f t="shared" si="0"/>
        <v>1.1.1.02.0043</v>
      </c>
      <c r="B13" t="s">
        <v>567</v>
      </c>
      <c r="C13" t="s">
        <v>568</v>
      </c>
      <c r="D13" t="s">
        <v>569</v>
      </c>
      <c r="E13" s="77">
        <v>0</v>
      </c>
      <c r="F13" s="77">
        <v>64121301.210000001</v>
      </c>
      <c r="G13" s="77">
        <v>-55762126.039999999</v>
      </c>
      <c r="H13" s="77">
        <v>8359175.1699999999</v>
      </c>
      <c r="I13" s="77">
        <v>8359175.1699999999</v>
      </c>
      <c r="J13" s="112">
        <f t="shared" si="1"/>
        <v>8359.1751700000004</v>
      </c>
      <c r="K13" s="112">
        <f t="shared" si="2"/>
        <v>8359</v>
      </c>
      <c r="L13" s="346">
        <f>IFERROR(VLOOKUP(C13,'[4]DE x PARA'!C8:K2007,7,FALSE),"SINTÉTICA")</f>
        <v>500001</v>
      </c>
      <c r="M13">
        <f>IFERROR(VLOOKUP(B13,'[4]DE x PARA'!B8:K2007,10,FALSE),"SINTÉTICA")</f>
        <v>600030</v>
      </c>
      <c r="N13">
        <f>IFERROR(VLOOKUP(M13,'[4]DE x PARA'!$K$2:$L$2001,2,FALSE),0)</f>
        <v>-1</v>
      </c>
      <c r="O13">
        <f t="shared" si="3"/>
        <v>-8359175.1699999999</v>
      </c>
    </row>
    <row r="14" spans="1:15" ht="18">
      <c r="A14" t="str">
        <f t="shared" si="0"/>
        <v>1.1.1.02.0044</v>
      </c>
      <c r="B14" t="s">
        <v>570</v>
      </c>
      <c r="C14" t="s">
        <v>571</v>
      </c>
      <c r="D14" t="s">
        <v>572</v>
      </c>
      <c r="E14" s="77">
        <v>0</v>
      </c>
      <c r="F14" s="77">
        <v>29462392.629999999</v>
      </c>
      <c r="G14" s="77">
        <v>-1352610.33</v>
      </c>
      <c r="H14" s="77">
        <v>28109782.300000001</v>
      </c>
      <c r="I14" s="77">
        <v>28109782.300000001</v>
      </c>
      <c r="J14" s="112">
        <f t="shared" si="1"/>
        <v>28109.782299999999</v>
      </c>
      <c r="K14" s="112">
        <f t="shared" si="2"/>
        <v>28110</v>
      </c>
      <c r="L14" s="346">
        <f>IFERROR(VLOOKUP(C14,'[4]DE x PARA'!C9:K2008,7,FALSE),"SINTÉTICA")</f>
        <v>500001</v>
      </c>
      <c r="M14">
        <f>IFERROR(VLOOKUP(B14,'[4]DE x PARA'!B9:K2008,10,FALSE),"SINTÉTICA")</f>
        <v>600030</v>
      </c>
      <c r="N14">
        <f>IFERROR(VLOOKUP(M14,'[4]DE x PARA'!$K$2:$L$2001,2,FALSE),0)</f>
        <v>-1</v>
      </c>
      <c r="O14">
        <f t="shared" si="3"/>
        <v>-28109782.300000001</v>
      </c>
    </row>
    <row r="15" spans="1:15" ht="18">
      <c r="A15" t="str">
        <f t="shared" si="0"/>
        <v>1.1.2</v>
      </c>
      <c r="B15" t="s">
        <v>573</v>
      </c>
      <c r="C15">
        <v>112</v>
      </c>
      <c r="D15" t="s">
        <v>574</v>
      </c>
      <c r="E15" s="77">
        <v>2317758.71</v>
      </c>
      <c r="F15" s="77">
        <v>12871524.939999999</v>
      </c>
      <c r="G15" s="77">
        <v>-9699692.5399999991</v>
      </c>
      <c r="H15" s="77">
        <v>3171832.4</v>
      </c>
      <c r="I15" s="77">
        <v>5489591.1100000003</v>
      </c>
      <c r="J15" s="112">
        <f t="shared" si="1"/>
        <v>5489.5911100000003</v>
      </c>
      <c r="K15" s="112">
        <f t="shared" si="2"/>
        <v>5490</v>
      </c>
      <c r="L15" s="346">
        <f>IFERROR(VLOOKUP(C15,'[4]DE x PARA'!C10:K2009,7,FALSE),"SINTÉTICA")</f>
        <v>0</v>
      </c>
      <c r="M15">
        <f>IFERROR(VLOOKUP(B15,'[4]DE x PARA'!B10:K2009,10,FALSE),"SINTÉTICA")</f>
        <v>0</v>
      </c>
      <c r="N15">
        <f>IFERROR(VLOOKUP(M15,'[4]DE x PARA'!$K$2:$L$2001,2,FALSE),0)</f>
        <v>0</v>
      </c>
      <c r="O15">
        <f t="shared" si="3"/>
        <v>0</v>
      </c>
    </row>
    <row r="16" spans="1:15" ht="18">
      <c r="A16" t="str">
        <f t="shared" si="0"/>
        <v>1.1.2.03</v>
      </c>
      <c r="B16" t="s">
        <v>54</v>
      </c>
      <c r="C16">
        <v>1123</v>
      </c>
      <c r="D16" t="s">
        <v>575</v>
      </c>
      <c r="E16" s="77">
        <v>1526087.55</v>
      </c>
      <c r="F16" s="77">
        <v>2765786.62</v>
      </c>
      <c r="G16" s="77">
        <v>-1385952.84</v>
      </c>
      <c r="H16" s="77">
        <v>1379833.78</v>
      </c>
      <c r="I16" s="77">
        <v>2905921.33</v>
      </c>
      <c r="J16" s="112">
        <f t="shared" si="1"/>
        <v>2905.9213300000001</v>
      </c>
      <c r="K16" s="112">
        <f t="shared" si="2"/>
        <v>2906</v>
      </c>
      <c r="L16" s="346">
        <f>IFERROR(VLOOKUP(C16,'[4]DE x PARA'!C11:K2010,7,FALSE),"SINTÉTICA")</f>
        <v>0</v>
      </c>
      <c r="M16">
        <f>IFERROR(VLOOKUP(B16,'[4]DE x PARA'!B11:K2010,10,FALSE),"SINTÉTICA")</f>
        <v>0</v>
      </c>
      <c r="N16">
        <f>IFERROR(VLOOKUP(M16,'[4]DE x PARA'!$K$2:$L$2001,2,FALSE),0)</f>
        <v>0</v>
      </c>
      <c r="O16">
        <f t="shared" si="3"/>
        <v>0</v>
      </c>
    </row>
    <row r="17" spans="1:15" ht="18">
      <c r="A17" t="str">
        <f t="shared" si="0"/>
        <v>1.1.2.03.0009</v>
      </c>
      <c r="B17" t="s">
        <v>576</v>
      </c>
      <c r="C17">
        <v>11239</v>
      </c>
      <c r="D17" t="s">
        <v>217</v>
      </c>
      <c r="E17" s="77">
        <v>1487.38</v>
      </c>
      <c r="F17" s="77">
        <v>98.85</v>
      </c>
      <c r="G17" s="77">
        <v>-7.24</v>
      </c>
      <c r="H17" s="77">
        <v>91.61</v>
      </c>
      <c r="I17" s="77">
        <v>1578.99</v>
      </c>
      <c r="J17" s="112">
        <f t="shared" si="1"/>
        <v>1.5789900000000001</v>
      </c>
      <c r="K17" s="112">
        <f t="shared" si="2"/>
        <v>2</v>
      </c>
      <c r="L17" s="346">
        <f>IFERROR(VLOOKUP(C17,'[4]DE x PARA'!C12:K2011,7,FALSE),"SINTÉTICA")</f>
        <v>500001</v>
      </c>
      <c r="M17">
        <f>IFERROR(VLOOKUP(B17,'[4]DE x PARA'!B12:K2011,10,FALSE),"SINTÉTICA")</f>
        <v>600014</v>
      </c>
      <c r="N17">
        <f>IFERROR(VLOOKUP(M17,'[4]DE x PARA'!$K$2:$L$2001,2,FALSE),0)</f>
        <v>-1</v>
      </c>
      <c r="O17">
        <f t="shared" si="3"/>
        <v>-91.61</v>
      </c>
    </row>
    <row r="18" spans="1:15" ht="18">
      <c r="A18" t="str">
        <f t="shared" si="0"/>
        <v>1.1.2.03.0016</v>
      </c>
      <c r="B18" t="s">
        <v>577</v>
      </c>
      <c r="C18">
        <v>112316</v>
      </c>
      <c r="D18" t="s">
        <v>234</v>
      </c>
      <c r="E18" s="77">
        <v>668444.49</v>
      </c>
      <c r="F18" s="77">
        <v>615232.9</v>
      </c>
      <c r="G18" s="77">
        <v>-855457.12</v>
      </c>
      <c r="H18" s="77">
        <v>-240224.22</v>
      </c>
      <c r="I18" s="77">
        <v>428220.27</v>
      </c>
      <c r="J18" s="112">
        <f t="shared" si="1"/>
        <v>428.22027000000003</v>
      </c>
      <c r="K18" s="112">
        <f t="shared" si="2"/>
        <v>428</v>
      </c>
      <c r="L18" s="346">
        <f>IFERROR(VLOOKUP(C18,'[4]DE x PARA'!C13:K2012,7,FALSE),"SINTÉTICA")</f>
        <v>500001</v>
      </c>
      <c r="M18">
        <f>IFERROR(VLOOKUP(B18,'[4]DE x PARA'!B13:K2012,10,FALSE),"SINTÉTICA")</f>
        <v>600014</v>
      </c>
      <c r="N18">
        <f>IFERROR(VLOOKUP(M18,'[4]DE x PARA'!$K$2:$L$2001,2,FALSE),0)</f>
        <v>-1</v>
      </c>
      <c r="O18">
        <f t="shared" si="3"/>
        <v>240224.22</v>
      </c>
    </row>
    <row r="19" spans="1:15" ht="18">
      <c r="A19" t="str">
        <f t="shared" si="0"/>
        <v>1.1.2.03.0017</v>
      </c>
      <c r="B19" t="s">
        <v>578</v>
      </c>
      <c r="C19">
        <v>112317</v>
      </c>
      <c r="D19" t="s">
        <v>235</v>
      </c>
      <c r="E19" s="77">
        <v>267519.28000000003</v>
      </c>
      <c r="F19" s="77">
        <v>203053.6</v>
      </c>
      <c r="G19" s="77">
        <v>-347035.18</v>
      </c>
      <c r="H19" s="77">
        <v>-143981.57999999999</v>
      </c>
      <c r="I19" s="77">
        <v>123537.7</v>
      </c>
      <c r="J19" s="112">
        <f t="shared" si="1"/>
        <v>123.5377</v>
      </c>
      <c r="K19" s="112">
        <f t="shared" si="2"/>
        <v>124</v>
      </c>
      <c r="L19" s="346">
        <f>IFERROR(VLOOKUP(C19,'[4]DE x PARA'!C14:K2013,7,FALSE),"SINTÉTICA")</f>
        <v>500001</v>
      </c>
      <c r="M19">
        <f>IFERROR(VLOOKUP(B19,'[4]DE x PARA'!B14:K2013,10,FALSE),"SINTÉTICA")</f>
        <v>600014</v>
      </c>
      <c r="N19">
        <f>IFERROR(VLOOKUP(M19,'[4]DE x PARA'!$K$2:$L$2001,2,FALSE),0)</f>
        <v>-1</v>
      </c>
      <c r="O19">
        <f t="shared" si="3"/>
        <v>143981.57999999999</v>
      </c>
    </row>
    <row r="20" spans="1:15" ht="18">
      <c r="A20" t="str">
        <f t="shared" si="0"/>
        <v>1.1.2.03.0021</v>
      </c>
      <c r="B20" t="s">
        <v>1521</v>
      </c>
      <c r="C20">
        <v>112321</v>
      </c>
      <c r="D20" t="s">
        <v>1522</v>
      </c>
      <c r="E20" s="77">
        <v>160515.44</v>
      </c>
      <c r="F20" s="77">
        <v>22937.86</v>
      </c>
      <c r="G20" s="77">
        <v>-183453.3</v>
      </c>
      <c r="H20" s="77">
        <v>-160515.44</v>
      </c>
      <c r="I20" s="77">
        <v>0</v>
      </c>
      <c r="J20" s="112">
        <f t="shared" si="1"/>
        <v>0</v>
      </c>
      <c r="K20" s="112">
        <f t="shared" si="2"/>
        <v>0</v>
      </c>
      <c r="L20" s="346">
        <f>IFERROR(VLOOKUP(C20,'[4]DE x PARA'!C15:K2014,7,FALSE),"SINTÉTICA")</f>
        <v>500001</v>
      </c>
      <c r="M20">
        <f>IFERROR(VLOOKUP(B20,'[4]DE x PARA'!B15:K2014,10,FALSE),"SINTÉTICA")</f>
        <v>600014</v>
      </c>
      <c r="N20">
        <f>IFERROR(VLOOKUP(M20,'[4]DE x PARA'!$K$2:$L$2001,2,FALSE),0)</f>
        <v>-1</v>
      </c>
      <c r="O20">
        <f t="shared" si="3"/>
        <v>160515.44</v>
      </c>
    </row>
    <row r="21" spans="1:15" ht="18">
      <c r="A21" t="str">
        <f t="shared" si="0"/>
        <v>1.1.2.03.0023</v>
      </c>
      <c r="B21" t="s">
        <v>579</v>
      </c>
      <c r="C21">
        <v>112323</v>
      </c>
      <c r="D21" t="s">
        <v>230</v>
      </c>
      <c r="E21" s="77">
        <v>6209.59</v>
      </c>
      <c r="F21" s="77">
        <v>873254.35</v>
      </c>
      <c r="G21" s="77">
        <v>0</v>
      </c>
      <c r="H21" s="77">
        <v>873254.35</v>
      </c>
      <c r="I21" s="77">
        <v>879463.94</v>
      </c>
      <c r="J21" s="112">
        <f t="shared" si="1"/>
        <v>879.46393999999998</v>
      </c>
      <c r="K21" s="112">
        <f t="shared" si="2"/>
        <v>879</v>
      </c>
      <c r="L21" s="346">
        <f>IFERROR(VLOOKUP(C21,'[4]DE x PARA'!C16:K2015,7,FALSE),"SINTÉTICA")</f>
        <v>500001</v>
      </c>
      <c r="M21">
        <f>IFERROR(VLOOKUP(B21,'[4]DE x PARA'!B16:K2015,10,FALSE),"SINTÉTICA")</f>
        <v>600014</v>
      </c>
      <c r="N21">
        <f>IFERROR(VLOOKUP(M21,'[4]DE x PARA'!$K$2:$L$2001,2,FALSE),0)</f>
        <v>-1</v>
      </c>
      <c r="O21">
        <f t="shared" si="3"/>
        <v>-873254.35</v>
      </c>
    </row>
    <row r="22" spans="1:15" ht="18">
      <c r="A22" t="str">
        <f t="shared" si="0"/>
        <v>1.1.2.03.0025</v>
      </c>
      <c r="B22" t="s">
        <v>580</v>
      </c>
      <c r="C22">
        <v>112325</v>
      </c>
      <c r="D22" t="s">
        <v>229</v>
      </c>
      <c r="E22" s="77">
        <v>0</v>
      </c>
      <c r="F22" s="77">
        <v>3184.32</v>
      </c>
      <c r="G22" s="77">
        <v>0</v>
      </c>
      <c r="H22" s="77">
        <v>3184.32</v>
      </c>
      <c r="I22" s="77">
        <v>3184.32</v>
      </c>
      <c r="J22" s="112">
        <f t="shared" si="1"/>
        <v>3.18432</v>
      </c>
      <c r="K22" s="112">
        <f t="shared" si="2"/>
        <v>3</v>
      </c>
      <c r="L22" s="346">
        <f>IFERROR(VLOOKUP(C22,'[4]DE x PARA'!C17:K2016,7,FALSE),"SINTÉTICA")</f>
        <v>500001</v>
      </c>
      <c r="M22">
        <f>IFERROR(VLOOKUP(B22,'[4]DE x PARA'!B17:K2016,10,FALSE),"SINTÉTICA")</f>
        <v>600014</v>
      </c>
      <c r="N22">
        <f>IFERROR(VLOOKUP(M22,'[4]DE x PARA'!$K$2:$L$2001,2,FALSE),0)</f>
        <v>-1</v>
      </c>
      <c r="O22">
        <f t="shared" si="3"/>
        <v>-3184.32</v>
      </c>
    </row>
    <row r="23" spans="1:15" ht="18">
      <c r="A23" t="str">
        <f t="shared" si="0"/>
        <v>1.1.2.03.0027</v>
      </c>
      <c r="B23" t="s">
        <v>581</v>
      </c>
      <c r="C23">
        <v>112327</v>
      </c>
      <c r="D23" t="s">
        <v>582</v>
      </c>
      <c r="E23" s="77">
        <v>239.03</v>
      </c>
      <c r="F23" s="77">
        <v>17.559999999999999</v>
      </c>
      <c r="G23" s="77">
        <v>0</v>
      </c>
      <c r="H23" s="77">
        <v>17.559999999999999</v>
      </c>
      <c r="I23" s="77">
        <v>256.58999999999997</v>
      </c>
      <c r="J23" s="112">
        <f t="shared" si="1"/>
        <v>0.25658999999999998</v>
      </c>
      <c r="K23" s="112">
        <f t="shared" si="2"/>
        <v>0</v>
      </c>
      <c r="L23" s="346">
        <f>IFERROR(VLOOKUP(C23,'[4]DE x PARA'!C18:K2017,7,FALSE),"SINTÉTICA")</f>
        <v>500001</v>
      </c>
      <c r="M23">
        <f>IFERROR(VLOOKUP(B23,'[4]DE x PARA'!B18:K2017,10,FALSE),"SINTÉTICA")</f>
        <v>600014</v>
      </c>
      <c r="N23">
        <f>IFERROR(VLOOKUP(M23,'[4]DE x PARA'!$K$2:$L$2001,2,FALSE),0)</f>
        <v>-1</v>
      </c>
      <c r="O23">
        <f t="shared" si="3"/>
        <v>-17.559999999999999</v>
      </c>
    </row>
    <row r="24" spans="1:15" ht="18">
      <c r="A24" t="str">
        <f t="shared" si="0"/>
        <v>1.1.2.03.0032</v>
      </c>
      <c r="B24" t="s">
        <v>583</v>
      </c>
      <c r="C24">
        <v>112332</v>
      </c>
      <c r="D24" t="s">
        <v>584</v>
      </c>
      <c r="E24" s="77">
        <v>303457.43</v>
      </c>
      <c r="F24" s="77">
        <v>23167.38</v>
      </c>
      <c r="G24" s="77">
        <v>0</v>
      </c>
      <c r="H24" s="77">
        <v>23167.38</v>
      </c>
      <c r="I24" s="77">
        <v>326624.81</v>
      </c>
      <c r="J24" s="112">
        <f t="shared" si="1"/>
        <v>326.62481000000002</v>
      </c>
      <c r="K24" s="112">
        <f t="shared" si="2"/>
        <v>327</v>
      </c>
      <c r="L24" s="346">
        <f>IFERROR(VLOOKUP(C24,'[4]DE x PARA'!C19:K2018,7,FALSE),"SINTÉTICA")</f>
        <v>500001</v>
      </c>
      <c r="M24">
        <f>IFERROR(VLOOKUP(B24,'[4]DE x PARA'!B19:K2018,10,FALSE),"SINTÉTICA")</f>
        <v>600014</v>
      </c>
      <c r="N24">
        <f>IFERROR(VLOOKUP(M24,'[4]DE x PARA'!$K$2:$L$2001,2,FALSE),0)</f>
        <v>-1</v>
      </c>
      <c r="O24">
        <f t="shared" si="3"/>
        <v>-23167.38</v>
      </c>
    </row>
    <row r="25" spans="1:15" ht="18">
      <c r="A25" t="str">
        <f t="shared" si="0"/>
        <v>1.1.2.03.0033</v>
      </c>
      <c r="B25" t="s">
        <v>585</v>
      </c>
      <c r="C25">
        <v>112333</v>
      </c>
      <c r="D25" t="s">
        <v>586</v>
      </c>
      <c r="E25" s="77">
        <v>116319.94</v>
      </c>
      <c r="F25" s="77">
        <v>8880.41</v>
      </c>
      <c r="G25" s="77">
        <v>0</v>
      </c>
      <c r="H25" s="77">
        <v>8880.41</v>
      </c>
      <c r="I25" s="77">
        <v>125200.35</v>
      </c>
      <c r="J25" s="112">
        <f t="shared" si="1"/>
        <v>125.20035</v>
      </c>
      <c r="K25" s="112">
        <f t="shared" si="2"/>
        <v>125</v>
      </c>
      <c r="L25" s="346">
        <f>IFERROR(VLOOKUP(C25,'[4]DE x PARA'!C20:K2019,7,FALSE),"SINTÉTICA")</f>
        <v>500001</v>
      </c>
      <c r="M25">
        <f>IFERROR(VLOOKUP(B25,'[4]DE x PARA'!B20:K2019,10,FALSE),"SINTÉTICA")</f>
        <v>600014</v>
      </c>
      <c r="N25">
        <f>IFERROR(VLOOKUP(M25,'[4]DE x PARA'!$K$2:$L$2001,2,FALSE),0)</f>
        <v>-1</v>
      </c>
      <c r="O25">
        <f t="shared" si="3"/>
        <v>-8880.41</v>
      </c>
    </row>
    <row r="26" spans="1:15" ht="18">
      <c r="A26" t="str">
        <f t="shared" si="0"/>
        <v>1.1.2.03.0034</v>
      </c>
      <c r="B26" t="s">
        <v>587</v>
      </c>
      <c r="C26">
        <v>112334</v>
      </c>
      <c r="D26" t="s">
        <v>392</v>
      </c>
      <c r="E26" s="77">
        <v>1894.97</v>
      </c>
      <c r="F26" s="77">
        <v>157.91999999999999</v>
      </c>
      <c r="G26" s="77">
        <v>0</v>
      </c>
      <c r="H26" s="77">
        <v>157.91999999999999</v>
      </c>
      <c r="I26" s="77">
        <v>2052.89</v>
      </c>
      <c r="J26" s="112">
        <f t="shared" si="1"/>
        <v>2.0528899999999997</v>
      </c>
      <c r="K26" s="112">
        <f t="shared" si="2"/>
        <v>2</v>
      </c>
      <c r="L26" s="346">
        <f>IFERROR(VLOOKUP(C26,'[4]DE x PARA'!C21:K2020,7,FALSE),"SINTÉTICA")</f>
        <v>500001</v>
      </c>
      <c r="M26">
        <f>IFERROR(VLOOKUP(B26,'[4]DE x PARA'!B21:K2020,10,FALSE),"SINTÉTICA")</f>
        <v>600014</v>
      </c>
      <c r="N26">
        <f>IFERROR(VLOOKUP(M26,'[4]DE x PARA'!$K$2:$L$2001,2,FALSE),0)</f>
        <v>-1</v>
      </c>
      <c r="O26">
        <f t="shared" si="3"/>
        <v>-157.91999999999999</v>
      </c>
    </row>
    <row r="27" spans="1:15" ht="18">
      <c r="A27" t="str">
        <f t="shared" si="0"/>
        <v>1.1.2.03.0036</v>
      </c>
      <c r="B27" t="s">
        <v>588</v>
      </c>
      <c r="C27">
        <v>112336</v>
      </c>
      <c r="D27" t="s">
        <v>589</v>
      </c>
      <c r="E27" s="77">
        <v>0</v>
      </c>
      <c r="F27" s="77">
        <v>725462.8</v>
      </c>
      <c r="G27" s="77">
        <v>0</v>
      </c>
      <c r="H27" s="77">
        <v>725462.8</v>
      </c>
      <c r="I27" s="77">
        <v>725462.8</v>
      </c>
      <c r="J27" s="112">
        <f t="shared" si="1"/>
        <v>725.46280000000002</v>
      </c>
      <c r="K27" s="112">
        <f t="shared" si="2"/>
        <v>725</v>
      </c>
      <c r="L27" s="346">
        <f>IFERROR(VLOOKUP(C27,'[4]DE x PARA'!C22:K2021,7,FALSE),"SINTÉTICA")</f>
        <v>500001</v>
      </c>
      <c r="M27">
        <f>IFERROR(VLOOKUP(B27,'[4]DE x PARA'!B22:K2021,10,FALSE),"SINTÉTICA")</f>
        <v>600014</v>
      </c>
      <c r="N27">
        <f>IFERROR(VLOOKUP(M27,'[4]DE x PARA'!$K$2:$L$2001,2,FALSE),0)</f>
        <v>-1</v>
      </c>
      <c r="O27">
        <f t="shared" si="3"/>
        <v>-725462.8</v>
      </c>
    </row>
    <row r="28" spans="1:15" ht="18">
      <c r="A28" t="str">
        <f t="shared" si="0"/>
        <v>1.1.2.03.0037</v>
      </c>
      <c r="B28" t="s">
        <v>590</v>
      </c>
      <c r="C28">
        <v>112337</v>
      </c>
      <c r="D28" t="s">
        <v>591</v>
      </c>
      <c r="E28" s="77">
        <v>0</v>
      </c>
      <c r="F28" s="77">
        <v>290338.67</v>
      </c>
      <c r="G28" s="77">
        <v>0</v>
      </c>
      <c r="H28" s="77">
        <v>290338.67</v>
      </c>
      <c r="I28" s="77">
        <v>290338.67</v>
      </c>
      <c r="J28" s="112">
        <f t="shared" si="1"/>
        <v>290.33866999999998</v>
      </c>
      <c r="K28" s="112">
        <f t="shared" si="2"/>
        <v>290</v>
      </c>
      <c r="L28" s="346">
        <f>IFERROR(VLOOKUP(C28,'[4]DE x PARA'!C23:K2022,7,FALSE),"SINTÉTICA")</f>
        <v>500001</v>
      </c>
      <c r="M28">
        <f>IFERROR(VLOOKUP(B28,'[4]DE x PARA'!B23:K2022,10,FALSE),"SINTÉTICA")</f>
        <v>600014</v>
      </c>
      <c r="N28">
        <f>IFERROR(VLOOKUP(M28,'[4]DE x PARA'!$K$2:$L$2001,2,FALSE),0)</f>
        <v>-1</v>
      </c>
      <c r="O28">
        <f t="shared" si="3"/>
        <v>-290338.67</v>
      </c>
    </row>
    <row r="29" spans="1:15" ht="18">
      <c r="A29" t="str">
        <f t="shared" si="0"/>
        <v>1.1.2.04</v>
      </c>
      <c r="B29" t="s">
        <v>56</v>
      </c>
      <c r="C29">
        <v>1124</v>
      </c>
      <c r="D29" t="s">
        <v>592</v>
      </c>
      <c r="E29" s="77">
        <v>791539.18</v>
      </c>
      <c r="F29" s="77">
        <v>6660726.3300000001</v>
      </c>
      <c r="G29" s="77">
        <v>-4895627.71</v>
      </c>
      <c r="H29" s="77">
        <v>1765098.62</v>
      </c>
      <c r="I29" s="77">
        <v>2556637.7999999998</v>
      </c>
      <c r="J29" s="112">
        <f t="shared" si="1"/>
        <v>2556.6378</v>
      </c>
      <c r="K29" s="112">
        <f t="shared" si="2"/>
        <v>2557</v>
      </c>
      <c r="L29" s="346">
        <f>IFERROR(VLOOKUP(C29,'[4]DE x PARA'!C24:K2023,7,FALSE),"SINTÉTICA")</f>
        <v>0</v>
      </c>
      <c r="M29">
        <f>IFERROR(VLOOKUP(B29,'[4]DE x PARA'!B24:K2023,10,FALSE),"SINTÉTICA")</f>
        <v>0</v>
      </c>
      <c r="N29">
        <f>IFERROR(VLOOKUP(M29,'[4]DE x PARA'!$K$2:$L$2001,2,FALSE),0)</f>
        <v>0</v>
      </c>
      <c r="O29">
        <f t="shared" si="3"/>
        <v>0</v>
      </c>
    </row>
    <row r="30" spans="1:15" ht="18">
      <c r="A30" t="str">
        <f t="shared" si="0"/>
        <v>1.1.2.04.0001</v>
      </c>
      <c r="B30" t="s">
        <v>593</v>
      </c>
      <c r="C30">
        <v>11241</v>
      </c>
      <c r="D30" t="s">
        <v>594</v>
      </c>
      <c r="E30" s="77">
        <v>791539.18</v>
      </c>
      <c r="F30" s="77">
        <v>3737463.88</v>
      </c>
      <c r="G30" s="77">
        <v>-4290433.21</v>
      </c>
      <c r="H30" s="77">
        <v>-552969.32999999996</v>
      </c>
      <c r="I30" s="77">
        <v>238569.85</v>
      </c>
      <c r="J30" s="112">
        <f t="shared" si="1"/>
        <v>238.56985</v>
      </c>
      <c r="K30" s="112">
        <f t="shared" si="2"/>
        <v>239</v>
      </c>
      <c r="L30" s="346">
        <f>IFERROR(VLOOKUP(C30,'[4]DE x PARA'!C25:K2024,7,FALSE),"SINTÉTICA")</f>
        <v>500001</v>
      </c>
      <c r="M30">
        <f>IFERROR(VLOOKUP(B30,'[4]DE x PARA'!B25:K2024,10,FALSE),"SINTÉTICA")</f>
        <v>600011</v>
      </c>
      <c r="N30">
        <f>IFERROR(VLOOKUP(M30,'[4]DE x PARA'!$K$2:$L$2001,2,FALSE),0)</f>
        <v>-1</v>
      </c>
      <c r="O30">
        <f t="shared" si="3"/>
        <v>552969.32999999996</v>
      </c>
    </row>
    <row r="31" spans="1:15" ht="18">
      <c r="A31" t="str">
        <f t="shared" si="0"/>
        <v>1.1.2.04.0002</v>
      </c>
      <c r="B31" t="s">
        <v>595</v>
      </c>
      <c r="C31">
        <v>11242</v>
      </c>
      <c r="D31" t="s">
        <v>596</v>
      </c>
      <c r="E31" s="77">
        <v>0</v>
      </c>
      <c r="F31" s="77">
        <v>2373741.42</v>
      </c>
      <c r="G31" s="77">
        <v>-55673.47</v>
      </c>
      <c r="H31" s="77">
        <v>2318067.9500000002</v>
      </c>
      <c r="I31" s="77">
        <v>2318067.9500000002</v>
      </c>
      <c r="J31" s="112">
        <f t="shared" si="1"/>
        <v>2318.0679500000001</v>
      </c>
      <c r="K31" s="112">
        <f t="shared" si="2"/>
        <v>2318</v>
      </c>
      <c r="L31" s="346">
        <f>IFERROR(VLOOKUP(C31,'[4]DE x PARA'!C26:K2025,7,FALSE),"SINTÉTICA")</f>
        <v>500001</v>
      </c>
      <c r="M31">
        <f>IFERROR(VLOOKUP(B31,'[4]DE x PARA'!B26:K2025,10,FALSE),"SINTÉTICA")</f>
        <v>600011</v>
      </c>
      <c r="N31">
        <f>IFERROR(VLOOKUP(M31,'[4]DE x PARA'!$K$2:$L$2001,2,FALSE),0)</f>
        <v>-1</v>
      </c>
      <c r="O31">
        <f t="shared" si="3"/>
        <v>-2318067.9500000002</v>
      </c>
    </row>
    <row r="32" spans="1:15" ht="18">
      <c r="A32" t="str">
        <f t="shared" si="0"/>
        <v>1.1.2.04.0024</v>
      </c>
      <c r="B32" t="s">
        <v>597</v>
      </c>
      <c r="C32">
        <v>112424</v>
      </c>
      <c r="D32" t="s">
        <v>598</v>
      </c>
      <c r="E32" s="77">
        <v>0</v>
      </c>
      <c r="F32" s="77">
        <v>508473.69</v>
      </c>
      <c r="G32" s="77">
        <v>-508473.69</v>
      </c>
      <c r="H32" s="77">
        <v>0</v>
      </c>
      <c r="I32" s="77">
        <v>0</v>
      </c>
      <c r="J32" s="112">
        <f t="shared" si="1"/>
        <v>0</v>
      </c>
      <c r="K32" s="112">
        <f t="shared" si="2"/>
        <v>0</v>
      </c>
      <c r="L32" s="346">
        <f>IFERROR(VLOOKUP(C32,'[4]DE x PARA'!C27:K2026,7,FALSE),"SINTÉTICA")</f>
        <v>500001</v>
      </c>
      <c r="M32">
        <f>IFERROR(VLOOKUP(B32,'[4]DE x PARA'!B27:K2026,10,FALSE),"SINTÉTICA")</f>
        <v>600011</v>
      </c>
      <c r="N32">
        <f>IFERROR(VLOOKUP(M32,'[4]DE x PARA'!$K$2:$L$2001,2,FALSE),0)</f>
        <v>-1</v>
      </c>
      <c r="O32">
        <f t="shared" si="3"/>
        <v>0</v>
      </c>
    </row>
    <row r="33" spans="1:15" ht="18">
      <c r="A33" t="str">
        <f t="shared" si="0"/>
        <v>1.1.2.04.0025</v>
      </c>
      <c r="B33" t="s">
        <v>599</v>
      </c>
      <c r="C33">
        <v>112425</v>
      </c>
      <c r="D33" t="s">
        <v>458</v>
      </c>
      <c r="E33" s="77">
        <v>0</v>
      </c>
      <c r="F33" s="77">
        <v>41047.339999999997</v>
      </c>
      <c r="G33" s="77">
        <v>-41047.339999999997</v>
      </c>
      <c r="H33" s="77">
        <v>0</v>
      </c>
      <c r="I33" s="77">
        <v>0</v>
      </c>
      <c r="J33" s="112">
        <f t="shared" si="1"/>
        <v>0</v>
      </c>
      <c r="K33" s="112">
        <f t="shared" si="2"/>
        <v>0</v>
      </c>
      <c r="L33" s="346">
        <f>IFERROR(VLOOKUP(C33,'[4]DE x PARA'!C28:K2027,7,FALSE),"SINTÉTICA")</f>
        <v>500001</v>
      </c>
      <c r="M33">
        <f>IFERROR(VLOOKUP(B33,'[4]DE x PARA'!B28:K2027,10,FALSE),"SINTÉTICA")</f>
        <v>600011</v>
      </c>
      <c r="N33">
        <f>IFERROR(VLOOKUP(M33,'[4]DE x PARA'!$K$2:$L$2001,2,FALSE),0)</f>
        <v>-1</v>
      </c>
      <c r="O33">
        <f t="shared" si="3"/>
        <v>0</v>
      </c>
    </row>
    <row r="34" spans="1:15" ht="18">
      <c r="A34" t="str">
        <f t="shared" si="0"/>
        <v>1.1.2.05</v>
      </c>
      <c r="B34" t="s">
        <v>600</v>
      </c>
      <c r="C34">
        <v>1125</v>
      </c>
      <c r="D34" t="s">
        <v>601</v>
      </c>
      <c r="E34" s="77">
        <v>0</v>
      </c>
      <c r="F34" s="77">
        <v>116900</v>
      </c>
      <c r="G34" s="77">
        <v>-90000</v>
      </c>
      <c r="H34" s="77">
        <v>26900</v>
      </c>
      <c r="I34" s="77">
        <v>26900</v>
      </c>
      <c r="J34" s="112">
        <f t="shared" si="1"/>
        <v>26.9</v>
      </c>
      <c r="K34" s="112">
        <f t="shared" si="2"/>
        <v>27</v>
      </c>
      <c r="L34" s="346">
        <f>IFERROR(VLOOKUP(C34,'[4]DE x PARA'!C29:K2028,7,FALSE),"SINTÉTICA")</f>
        <v>0</v>
      </c>
      <c r="M34">
        <f>IFERROR(VLOOKUP(B34,'[4]DE x PARA'!B29:K2028,10,FALSE),"SINTÉTICA")</f>
        <v>0</v>
      </c>
      <c r="N34">
        <f>IFERROR(VLOOKUP(M34,'[4]DE x PARA'!$K$2:$L$2001,2,FALSE),0)</f>
        <v>0</v>
      </c>
      <c r="O34">
        <f t="shared" si="3"/>
        <v>0</v>
      </c>
    </row>
    <row r="35" spans="1:15" ht="18">
      <c r="A35" t="str">
        <f t="shared" si="0"/>
        <v>1.1.2.05.0004</v>
      </c>
      <c r="B35" t="s">
        <v>602</v>
      </c>
      <c r="C35">
        <v>11254</v>
      </c>
      <c r="D35" t="s">
        <v>603</v>
      </c>
      <c r="E35" s="77">
        <v>0</v>
      </c>
      <c r="F35" s="77">
        <v>116900</v>
      </c>
      <c r="G35" s="77">
        <v>-90000</v>
      </c>
      <c r="H35" s="77">
        <v>26900</v>
      </c>
      <c r="I35" s="77">
        <v>26900</v>
      </c>
      <c r="J35" s="112">
        <f t="shared" si="1"/>
        <v>26.9</v>
      </c>
      <c r="K35" s="112">
        <f t="shared" si="2"/>
        <v>27</v>
      </c>
      <c r="L35" s="346">
        <f>IFERROR(VLOOKUP(C35,'[4]DE x PARA'!C30:K2029,7,FALSE),"SINTÉTICA")</f>
        <v>500001</v>
      </c>
      <c r="M35">
        <f>IFERROR(VLOOKUP(B35,'[4]DE x PARA'!B30:K2029,10,FALSE),"SINTÉTICA")</f>
        <v>600011</v>
      </c>
      <c r="N35">
        <f>IFERROR(VLOOKUP(M35,'[4]DE x PARA'!$K$2:$L$2001,2,FALSE),0)</f>
        <v>-1</v>
      </c>
      <c r="O35">
        <f t="shared" si="3"/>
        <v>-26900</v>
      </c>
    </row>
    <row r="36" spans="1:15" ht="18">
      <c r="A36" t="str">
        <f t="shared" si="0"/>
        <v>1.1.2.09</v>
      </c>
      <c r="B36" t="s">
        <v>604</v>
      </c>
      <c r="C36">
        <v>1129</v>
      </c>
      <c r="D36" t="s">
        <v>144</v>
      </c>
      <c r="E36" s="77">
        <v>0</v>
      </c>
      <c r="F36" s="77">
        <v>2888985.89</v>
      </c>
      <c r="G36" s="77">
        <v>-2888985.89</v>
      </c>
      <c r="H36" s="77">
        <v>0</v>
      </c>
      <c r="I36" s="77">
        <v>0</v>
      </c>
      <c r="J36" s="112">
        <f t="shared" si="1"/>
        <v>0</v>
      </c>
      <c r="K36" s="112">
        <f t="shared" si="2"/>
        <v>0</v>
      </c>
      <c r="L36" s="346">
        <f>IFERROR(VLOOKUP(C36,'[4]DE x PARA'!C31:K2030,7,FALSE),"SINTÉTICA")</f>
        <v>0</v>
      </c>
      <c r="M36">
        <f>IFERROR(VLOOKUP(B36,'[4]DE x PARA'!B31:K2030,10,FALSE),"SINTÉTICA")</f>
        <v>0</v>
      </c>
      <c r="N36">
        <f>IFERROR(VLOOKUP(M36,'[4]DE x PARA'!$K$2:$L$2001,2,FALSE),0)</f>
        <v>0</v>
      </c>
      <c r="O36">
        <f t="shared" si="3"/>
        <v>0</v>
      </c>
    </row>
    <row r="37" spans="1:15" ht="18">
      <c r="A37" t="str">
        <f t="shared" si="0"/>
        <v>1.1.2.09.0001</v>
      </c>
      <c r="B37" t="s">
        <v>605</v>
      </c>
      <c r="C37">
        <v>11291</v>
      </c>
      <c r="D37" t="s">
        <v>606</v>
      </c>
      <c r="E37" s="77">
        <v>0</v>
      </c>
      <c r="F37" s="77">
        <v>2888985.89</v>
      </c>
      <c r="G37" s="77">
        <v>-2888985.89</v>
      </c>
      <c r="H37" s="77">
        <v>0</v>
      </c>
      <c r="I37" s="77">
        <v>0</v>
      </c>
      <c r="J37" s="112">
        <f t="shared" si="1"/>
        <v>0</v>
      </c>
      <c r="K37" s="112">
        <f t="shared" si="2"/>
        <v>0</v>
      </c>
      <c r="L37" s="346">
        <f>IFERROR(VLOOKUP(C37,'[4]DE x PARA'!C32:K2031,7,FALSE),"SINTÉTICA")</f>
        <v>500001</v>
      </c>
      <c r="M37">
        <f>IFERROR(VLOOKUP(B37,'[4]DE x PARA'!B32:K2031,10,FALSE),"SINTÉTICA")</f>
        <v>600010</v>
      </c>
      <c r="N37">
        <f>IFERROR(VLOOKUP(M37,'[4]DE x PARA'!$K$2:$L$2001,2,FALSE),0)</f>
        <v>-1</v>
      </c>
      <c r="O37">
        <f t="shared" si="3"/>
        <v>0</v>
      </c>
    </row>
    <row r="38" spans="1:15" ht="18">
      <c r="A38" t="str">
        <f t="shared" si="0"/>
        <v>1.1.2.99</v>
      </c>
      <c r="B38" t="s">
        <v>607</v>
      </c>
      <c r="C38">
        <v>11299</v>
      </c>
      <c r="D38" t="s">
        <v>608</v>
      </c>
      <c r="E38" s="77">
        <v>131.97999999999999</v>
      </c>
      <c r="F38" s="77">
        <v>439126.1</v>
      </c>
      <c r="G38" s="77">
        <v>-439126.1</v>
      </c>
      <c r="H38" s="77">
        <v>0</v>
      </c>
      <c r="I38" s="77">
        <v>131.97999999999999</v>
      </c>
      <c r="J38" s="112">
        <f t="shared" si="1"/>
        <v>0.13197999999999999</v>
      </c>
      <c r="K38" s="112">
        <f t="shared" si="2"/>
        <v>0</v>
      </c>
      <c r="L38" s="346">
        <f>IFERROR(VLOOKUP(C38,'[4]DE x PARA'!C33:K2032,7,FALSE),"SINTÉTICA")</f>
        <v>0</v>
      </c>
      <c r="M38">
        <f>IFERROR(VLOOKUP(B38,'[4]DE x PARA'!B33:K2032,10,FALSE),"SINTÉTICA")</f>
        <v>0</v>
      </c>
      <c r="N38">
        <f>IFERROR(VLOOKUP(M38,'[4]DE x PARA'!$K$2:$L$2001,2,FALSE),0)</f>
        <v>0</v>
      </c>
      <c r="O38">
        <f t="shared" si="3"/>
        <v>0</v>
      </c>
    </row>
    <row r="39" spans="1:15" ht="18">
      <c r="A39" t="str">
        <f t="shared" si="0"/>
        <v>1.1.2.99.0005</v>
      </c>
      <c r="B39" t="s">
        <v>609</v>
      </c>
      <c r="C39">
        <v>112995</v>
      </c>
      <c r="D39" t="s">
        <v>610</v>
      </c>
      <c r="E39" s="77">
        <v>0</v>
      </c>
      <c r="F39" s="77">
        <v>439126.1</v>
      </c>
      <c r="G39" s="77">
        <v>-439126.1</v>
      </c>
      <c r="H39" s="77">
        <v>0</v>
      </c>
      <c r="I39" s="77">
        <v>0</v>
      </c>
      <c r="J39" s="112">
        <f t="shared" si="1"/>
        <v>0</v>
      </c>
      <c r="K39" s="112">
        <f t="shared" si="2"/>
        <v>0</v>
      </c>
      <c r="L39" s="346">
        <f>IFERROR(VLOOKUP(C39,'[4]DE x PARA'!C34:K2033,7,FALSE),"SINTÉTICA")</f>
        <v>500001</v>
      </c>
      <c r="M39">
        <f>IFERROR(VLOOKUP(B39,'[4]DE x PARA'!B34:K2033,10,FALSE),"SINTÉTICA")</f>
        <v>600016</v>
      </c>
      <c r="N39">
        <f>IFERROR(VLOOKUP(M39,'[4]DE x PARA'!$K$2:$L$2001,2,FALSE),0)</f>
        <v>-1</v>
      </c>
      <c r="O39">
        <f t="shared" si="3"/>
        <v>0</v>
      </c>
    </row>
    <row r="40" spans="1:15" ht="18">
      <c r="A40" t="str">
        <f t="shared" si="0"/>
        <v>1.1.2.99.0999</v>
      </c>
      <c r="B40" t="s">
        <v>611</v>
      </c>
      <c r="C40">
        <v>11299999</v>
      </c>
      <c r="D40" t="s">
        <v>612</v>
      </c>
      <c r="E40" s="77">
        <v>131.97999999999999</v>
      </c>
      <c r="F40" s="77">
        <v>0</v>
      </c>
      <c r="G40" s="77">
        <v>0</v>
      </c>
      <c r="H40" s="77">
        <v>0</v>
      </c>
      <c r="I40" s="77">
        <v>131.97999999999999</v>
      </c>
      <c r="J40" s="112">
        <f t="shared" si="1"/>
        <v>0.13197999999999999</v>
      </c>
      <c r="K40" s="112">
        <f t="shared" si="2"/>
        <v>0</v>
      </c>
      <c r="L40" s="346">
        <f>IFERROR(VLOOKUP(C40,'[4]DE x PARA'!C35:K2034,7,FALSE),"SINTÉTICA")</f>
        <v>500001</v>
      </c>
      <c r="M40">
        <f>IFERROR(VLOOKUP(B40,'[4]DE x PARA'!B35:K2034,10,FALSE),"SINTÉTICA")</f>
        <v>600016</v>
      </c>
      <c r="N40">
        <f>IFERROR(VLOOKUP(M40,'[4]DE x PARA'!$K$2:$L$2001,2,FALSE),0)</f>
        <v>-1</v>
      </c>
      <c r="O40">
        <f t="shared" si="3"/>
        <v>0</v>
      </c>
    </row>
    <row r="41" spans="1:15" ht="18">
      <c r="A41" t="str">
        <f t="shared" si="0"/>
        <v>1.1.3</v>
      </c>
      <c r="B41" t="s">
        <v>58</v>
      </c>
      <c r="C41">
        <v>113</v>
      </c>
      <c r="D41" t="s">
        <v>176</v>
      </c>
      <c r="E41" s="77">
        <v>2579444.2200000002</v>
      </c>
      <c r="F41" s="77">
        <v>4263292.96</v>
      </c>
      <c r="G41" s="77">
        <v>-4085585.95</v>
      </c>
      <c r="H41" s="77">
        <v>177707.01</v>
      </c>
      <c r="I41" s="77">
        <v>2757151.23</v>
      </c>
      <c r="J41" s="112">
        <f t="shared" si="1"/>
        <v>2757.1512299999999</v>
      </c>
      <c r="K41" s="112">
        <f t="shared" si="2"/>
        <v>2757</v>
      </c>
      <c r="L41" s="346">
        <f>IFERROR(VLOOKUP(C41,'[4]DE x PARA'!C36:K2035,7,FALSE),"SINTÉTICA")</f>
        <v>0</v>
      </c>
      <c r="M41">
        <f>IFERROR(VLOOKUP(B41,'[4]DE x PARA'!B36:K2035,10,FALSE),"SINTÉTICA")</f>
        <v>0</v>
      </c>
      <c r="N41">
        <f>IFERROR(VLOOKUP(M41,'[4]DE x PARA'!$K$2:$L$2001,2,FALSE),0)</f>
        <v>0</v>
      </c>
      <c r="O41">
        <f t="shared" si="3"/>
        <v>0</v>
      </c>
    </row>
    <row r="42" spans="1:15" ht="18">
      <c r="A42" t="str">
        <f t="shared" si="0"/>
        <v>1.1.3.01</v>
      </c>
      <c r="B42" t="s">
        <v>613</v>
      </c>
      <c r="C42">
        <v>1131</v>
      </c>
      <c r="D42" t="s">
        <v>176</v>
      </c>
      <c r="E42" s="77">
        <v>2579444.2200000002</v>
      </c>
      <c r="F42" s="77">
        <v>4263292.96</v>
      </c>
      <c r="G42" s="77">
        <v>-4085585.95</v>
      </c>
      <c r="H42" s="77">
        <v>177707.01</v>
      </c>
      <c r="I42" s="77">
        <v>2757151.23</v>
      </c>
      <c r="J42" s="112">
        <f t="shared" si="1"/>
        <v>2757.1512299999999</v>
      </c>
      <c r="K42" s="112">
        <f t="shared" si="2"/>
        <v>2757</v>
      </c>
      <c r="L42" s="346">
        <f>IFERROR(VLOOKUP(C42,'[4]DE x PARA'!C37:K2036,7,FALSE),"SINTÉTICA")</f>
        <v>0</v>
      </c>
      <c r="M42">
        <f>IFERROR(VLOOKUP(B42,'[4]DE x PARA'!B37:K2036,10,FALSE),"SINTÉTICA")</f>
        <v>0</v>
      </c>
      <c r="N42">
        <f>IFERROR(VLOOKUP(M42,'[4]DE x PARA'!$K$2:$L$2001,2,FALSE),0)</f>
        <v>0</v>
      </c>
      <c r="O42">
        <f t="shared" si="3"/>
        <v>0</v>
      </c>
    </row>
    <row r="43" spans="1:15" ht="18">
      <c r="A43" t="str">
        <f t="shared" si="0"/>
        <v>1.1.3.01.0001</v>
      </c>
      <c r="B43" t="s">
        <v>614</v>
      </c>
      <c r="C43">
        <v>11311</v>
      </c>
      <c r="D43" t="s">
        <v>615</v>
      </c>
      <c r="E43" s="77">
        <v>182386.24</v>
      </c>
      <c r="F43" s="77">
        <v>0</v>
      </c>
      <c r="G43" s="77">
        <v>-129590.22</v>
      </c>
      <c r="H43" s="77">
        <v>-129590.22</v>
      </c>
      <c r="I43" s="77">
        <v>52796.02</v>
      </c>
      <c r="J43" s="112">
        <f t="shared" si="1"/>
        <v>52.796019999999999</v>
      </c>
      <c r="K43" s="112">
        <f t="shared" si="2"/>
        <v>53</v>
      </c>
      <c r="L43" s="346">
        <f>IFERROR(VLOOKUP(C43,'[4]DE x PARA'!C38:K2037,7,FALSE),"SINTÉTICA")</f>
        <v>500001</v>
      </c>
      <c r="M43">
        <f>IFERROR(VLOOKUP(B43,'[4]DE x PARA'!B38:K2037,10,FALSE),"SINTÉTICA")</f>
        <v>600012</v>
      </c>
      <c r="N43">
        <f>IFERROR(VLOOKUP(M43,'[4]DE x PARA'!$K$2:$L$2001,2,FALSE),0)</f>
        <v>-1</v>
      </c>
      <c r="O43">
        <f t="shared" si="3"/>
        <v>129590.22</v>
      </c>
    </row>
    <row r="44" spans="1:15" ht="18">
      <c r="A44" t="str">
        <f t="shared" si="0"/>
        <v>1.1.3.01.0002</v>
      </c>
      <c r="B44" t="s">
        <v>616</v>
      </c>
      <c r="C44">
        <v>11312</v>
      </c>
      <c r="D44" t="s">
        <v>617</v>
      </c>
      <c r="E44" s="77">
        <v>997373.59</v>
      </c>
      <c r="F44" s="77">
        <v>1492554.82</v>
      </c>
      <c r="G44" s="77">
        <v>-1297884.8500000001</v>
      </c>
      <c r="H44" s="77">
        <v>194669.97</v>
      </c>
      <c r="I44" s="77">
        <v>1192043.56</v>
      </c>
      <c r="J44" s="112">
        <f t="shared" si="1"/>
        <v>1192.0435600000001</v>
      </c>
      <c r="K44" s="112">
        <f t="shared" si="2"/>
        <v>1192</v>
      </c>
      <c r="L44" s="346">
        <f>IFERROR(VLOOKUP(C44,'[4]DE x PARA'!C39:K2038,7,FALSE),"SINTÉTICA")</f>
        <v>500001</v>
      </c>
      <c r="M44">
        <f>IFERROR(VLOOKUP(B44,'[4]DE x PARA'!B39:K2038,10,FALSE),"SINTÉTICA")</f>
        <v>600012</v>
      </c>
      <c r="N44">
        <f>IFERROR(VLOOKUP(M44,'[4]DE x PARA'!$K$2:$L$2001,2,FALSE),0)</f>
        <v>-1</v>
      </c>
      <c r="O44">
        <f t="shared" si="3"/>
        <v>-194669.97</v>
      </c>
    </row>
    <row r="45" spans="1:15" ht="18">
      <c r="A45" t="str">
        <f t="shared" si="0"/>
        <v>1.1.3.01.0003</v>
      </c>
      <c r="B45" t="s">
        <v>618</v>
      </c>
      <c r="C45">
        <v>11313</v>
      </c>
      <c r="D45" t="s">
        <v>619</v>
      </c>
      <c r="E45" s="77">
        <v>122487.05</v>
      </c>
      <c r="F45" s="77">
        <v>289211.71000000002</v>
      </c>
      <c r="G45" s="77">
        <v>-161487.98000000001</v>
      </c>
      <c r="H45" s="77">
        <v>127723.73</v>
      </c>
      <c r="I45" s="77">
        <v>250210.78</v>
      </c>
      <c r="J45" s="112">
        <f t="shared" si="1"/>
        <v>250.21078</v>
      </c>
      <c r="K45" s="112">
        <f t="shared" si="2"/>
        <v>250</v>
      </c>
      <c r="L45" s="346">
        <f>IFERROR(VLOOKUP(C45,'[4]DE x PARA'!C40:K2039,7,FALSE),"SINTÉTICA")</f>
        <v>500001</v>
      </c>
      <c r="M45">
        <f>IFERROR(VLOOKUP(B45,'[4]DE x PARA'!B40:K2039,10,FALSE),"SINTÉTICA")</f>
        <v>600012</v>
      </c>
      <c r="N45">
        <f>IFERROR(VLOOKUP(M45,'[4]DE x PARA'!$K$2:$L$2001,2,FALSE),0)</f>
        <v>-1</v>
      </c>
      <c r="O45">
        <f t="shared" si="3"/>
        <v>-127723.73</v>
      </c>
    </row>
    <row r="46" spans="1:15" ht="18">
      <c r="A46" t="str">
        <f t="shared" si="0"/>
        <v>1.1.3.01.0005</v>
      </c>
      <c r="B46" t="s">
        <v>620</v>
      </c>
      <c r="C46">
        <v>11315</v>
      </c>
      <c r="D46" t="s">
        <v>621</v>
      </c>
      <c r="E46" s="77">
        <v>0</v>
      </c>
      <c r="F46" s="77">
        <v>447067.74</v>
      </c>
      <c r="G46" s="77">
        <v>-297636.88</v>
      </c>
      <c r="H46" s="77">
        <v>149430.85999999999</v>
      </c>
      <c r="I46" s="77">
        <v>149430.85999999999</v>
      </c>
      <c r="J46" s="112">
        <f t="shared" si="1"/>
        <v>149.43086</v>
      </c>
      <c r="K46" s="112">
        <f t="shared" si="2"/>
        <v>149</v>
      </c>
      <c r="L46" s="346">
        <f>IFERROR(VLOOKUP(C46,'[4]DE x PARA'!C41:K2040,7,FALSE),"SINTÉTICA")</f>
        <v>500001</v>
      </c>
      <c r="M46">
        <f>IFERROR(VLOOKUP(B46,'[4]DE x PARA'!B41:K2040,10,FALSE),"SINTÉTICA")</f>
        <v>600012</v>
      </c>
      <c r="N46">
        <f>IFERROR(VLOOKUP(M46,'[4]DE x PARA'!$K$2:$L$2001,2,FALSE),0)</f>
        <v>-1</v>
      </c>
      <c r="O46">
        <f t="shared" si="3"/>
        <v>-149430.85999999999</v>
      </c>
    </row>
    <row r="47" spans="1:15" ht="18">
      <c r="A47" t="str">
        <f t="shared" si="0"/>
        <v>1.1.3.01.0006</v>
      </c>
      <c r="B47" t="s">
        <v>622</v>
      </c>
      <c r="C47">
        <v>11316</v>
      </c>
      <c r="D47" t="s">
        <v>406</v>
      </c>
      <c r="E47" s="77">
        <v>1277197.3400000001</v>
      </c>
      <c r="F47" s="77">
        <v>2034458.69</v>
      </c>
      <c r="G47" s="77">
        <v>-2198986.02</v>
      </c>
      <c r="H47" s="77">
        <v>-164527.32999999999</v>
      </c>
      <c r="I47" s="77">
        <v>1112670.01</v>
      </c>
      <c r="J47" s="112">
        <f t="shared" si="1"/>
        <v>1112.67001</v>
      </c>
      <c r="K47" s="112">
        <f t="shared" si="2"/>
        <v>1113</v>
      </c>
      <c r="L47" s="346">
        <f>IFERROR(VLOOKUP(C47,'[4]DE x PARA'!C42:K2041,7,FALSE),"SINTÉTICA")</f>
        <v>500001</v>
      </c>
      <c r="M47">
        <f>IFERROR(VLOOKUP(B47,'[4]DE x PARA'!B42:K2041,10,FALSE),"SINTÉTICA")</f>
        <v>600012</v>
      </c>
      <c r="N47">
        <f>IFERROR(VLOOKUP(M47,'[4]DE x PARA'!$K$2:$L$2001,2,FALSE),0)</f>
        <v>-1</v>
      </c>
      <c r="O47">
        <f t="shared" si="3"/>
        <v>164527.32999999999</v>
      </c>
    </row>
    <row r="48" spans="1:15" ht="18">
      <c r="A48" t="str">
        <f t="shared" si="0"/>
        <v>1.2</v>
      </c>
      <c r="B48" t="s">
        <v>623</v>
      </c>
      <c r="C48">
        <v>12</v>
      </c>
      <c r="D48" t="s">
        <v>366</v>
      </c>
      <c r="E48" s="77">
        <v>15853681.23</v>
      </c>
      <c r="F48" s="77">
        <v>795978.45</v>
      </c>
      <c r="G48" s="77">
        <v>-2678131.69</v>
      </c>
      <c r="H48" s="77">
        <v>-1882153.24</v>
      </c>
      <c r="I48" s="77">
        <v>13971527.99</v>
      </c>
      <c r="J48" s="112">
        <f t="shared" si="1"/>
        <v>13971.527990000001</v>
      </c>
      <c r="K48" s="112">
        <f t="shared" si="2"/>
        <v>13972</v>
      </c>
      <c r="L48" s="346">
        <f>IFERROR(VLOOKUP(C48,'[4]DE x PARA'!C43:K2042,7,FALSE),"SINTÉTICA")</f>
        <v>0</v>
      </c>
      <c r="M48">
        <f>IFERROR(VLOOKUP(B48,'[4]DE x PARA'!B43:K2042,10,FALSE),"SINTÉTICA")</f>
        <v>0</v>
      </c>
      <c r="N48">
        <f>IFERROR(VLOOKUP(M48,'[4]DE x PARA'!$K$2:$L$2001,2,FALSE),0)</f>
        <v>0</v>
      </c>
      <c r="O48">
        <f t="shared" si="3"/>
        <v>0</v>
      </c>
    </row>
    <row r="49" spans="1:15" ht="18">
      <c r="A49" t="str">
        <f t="shared" si="0"/>
        <v>1.2.1</v>
      </c>
      <c r="B49" t="s">
        <v>624</v>
      </c>
      <c r="C49">
        <v>121</v>
      </c>
      <c r="D49" t="s">
        <v>625</v>
      </c>
      <c r="E49" s="77">
        <v>4843914.13</v>
      </c>
      <c r="F49" s="77">
        <v>313082.45</v>
      </c>
      <c r="G49" s="77">
        <v>-301911.92</v>
      </c>
      <c r="H49" s="77">
        <v>11170.53</v>
      </c>
      <c r="I49" s="77">
        <v>4855084.66</v>
      </c>
      <c r="J49" s="112">
        <f t="shared" si="1"/>
        <v>4855.0846600000004</v>
      </c>
      <c r="K49" s="112">
        <f t="shared" si="2"/>
        <v>4855</v>
      </c>
      <c r="L49" s="346">
        <f>IFERROR(VLOOKUP(C49,'[4]DE x PARA'!C44:K2043,7,FALSE),"SINTÉTICA")</f>
        <v>0</v>
      </c>
      <c r="M49">
        <f>IFERROR(VLOOKUP(B49,'[4]DE x PARA'!B44:K2043,10,FALSE),"SINTÉTICA")</f>
        <v>0</v>
      </c>
      <c r="N49">
        <f>IFERROR(VLOOKUP(M49,'[4]DE x PARA'!$K$2:$L$2001,2,FALSE),0)</f>
        <v>0</v>
      </c>
      <c r="O49">
        <f t="shared" si="3"/>
        <v>0</v>
      </c>
    </row>
    <row r="50" spans="1:15" ht="18">
      <c r="A50" t="str">
        <f t="shared" si="0"/>
        <v>1.2.1.03</v>
      </c>
      <c r="B50" t="s">
        <v>61</v>
      </c>
      <c r="C50">
        <v>1213</v>
      </c>
      <c r="D50" t="s">
        <v>575</v>
      </c>
      <c r="E50" s="77">
        <v>163736.13</v>
      </c>
      <c r="F50" s="77">
        <v>11524.68</v>
      </c>
      <c r="G50" s="77">
        <v>0</v>
      </c>
      <c r="H50" s="77">
        <v>11524.68</v>
      </c>
      <c r="I50" s="77">
        <v>175260.81</v>
      </c>
      <c r="J50" s="112">
        <f t="shared" si="1"/>
        <v>175.26080999999999</v>
      </c>
      <c r="K50" s="112">
        <f t="shared" si="2"/>
        <v>175</v>
      </c>
      <c r="L50" s="346">
        <f>IFERROR(VLOOKUP(C50,'[4]DE x PARA'!C45:K2044,7,FALSE),"SINTÉTICA")</f>
        <v>0</v>
      </c>
      <c r="M50">
        <f>IFERROR(VLOOKUP(B50,'[4]DE x PARA'!B45:K2044,10,FALSE),"SINTÉTICA")</f>
        <v>0</v>
      </c>
      <c r="N50">
        <f>IFERROR(VLOOKUP(M50,'[4]DE x PARA'!$K$2:$L$2001,2,FALSE),0)</f>
        <v>0</v>
      </c>
      <c r="O50">
        <f t="shared" si="3"/>
        <v>0</v>
      </c>
    </row>
    <row r="51" spans="1:15" ht="18">
      <c r="A51" t="str">
        <f t="shared" si="0"/>
        <v>1.2.1.03.0001</v>
      </c>
      <c r="B51" t="s">
        <v>626</v>
      </c>
      <c r="C51">
        <v>12131</v>
      </c>
      <c r="D51" t="s">
        <v>627</v>
      </c>
      <c r="E51" s="77">
        <v>21320.17</v>
      </c>
      <c r="F51" s="77">
        <v>1476.16</v>
      </c>
      <c r="G51" s="77">
        <v>0</v>
      </c>
      <c r="H51" s="77">
        <v>1476.16</v>
      </c>
      <c r="I51" s="77">
        <v>22796.33</v>
      </c>
      <c r="J51" s="112">
        <f t="shared" si="1"/>
        <v>22.796330000000001</v>
      </c>
      <c r="K51" s="112">
        <f t="shared" si="2"/>
        <v>23</v>
      </c>
      <c r="L51" s="346">
        <f>IFERROR(VLOOKUP(C51,'[4]DE x PARA'!C46:K2045,7,FALSE),"SINTÉTICA")</f>
        <v>500001</v>
      </c>
      <c r="M51">
        <f>IFERROR(VLOOKUP(B51,'[4]DE x PARA'!B46:K2045,10,FALSE),"SINTÉTICA")</f>
        <v>600014</v>
      </c>
      <c r="N51">
        <f>IFERROR(VLOOKUP(M51,'[4]DE x PARA'!$K$2:$L$2001,2,FALSE),0)</f>
        <v>-1</v>
      </c>
      <c r="O51">
        <f t="shared" si="3"/>
        <v>-1476.16</v>
      </c>
    </row>
    <row r="52" spans="1:15" ht="18">
      <c r="A52" t="str">
        <f t="shared" si="0"/>
        <v>1.2.1.03.0004</v>
      </c>
      <c r="B52" t="s">
        <v>628</v>
      </c>
      <c r="C52">
        <v>12134</v>
      </c>
      <c r="D52" t="s">
        <v>231</v>
      </c>
      <c r="E52" s="77">
        <v>4640.58</v>
      </c>
      <c r="F52" s="77">
        <v>0</v>
      </c>
      <c r="G52" s="77">
        <v>0</v>
      </c>
      <c r="H52" s="77">
        <v>0</v>
      </c>
      <c r="I52" s="77">
        <v>4640.58</v>
      </c>
      <c r="J52" s="112">
        <f t="shared" si="1"/>
        <v>4.6405799999999999</v>
      </c>
      <c r="K52" s="112">
        <f t="shared" si="2"/>
        <v>5</v>
      </c>
      <c r="L52" s="346">
        <f>IFERROR(VLOOKUP(C52,'[4]DE x PARA'!C47:K2046,7,FALSE),"SINTÉTICA")</f>
        <v>500001</v>
      </c>
      <c r="M52">
        <f>IFERROR(VLOOKUP(B52,'[4]DE x PARA'!B47:K2046,10,FALSE),"SINTÉTICA")</f>
        <v>600014</v>
      </c>
      <c r="N52">
        <f>IFERROR(VLOOKUP(M52,'[4]DE x PARA'!$K$2:$L$2001,2,FALSE),0)</f>
        <v>-1</v>
      </c>
      <c r="O52">
        <f t="shared" si="3"/>
        <v>0</v>
      </c>
    </row>
    <row r="53" spans="1:15" ht="18">
      <c r="A53" t="str">
        <f t="shared" si="0"/>
        <v>1.2.1.03.0005</v>
      </c>
      <c r="B53" t="s">
        <v>629</v>
      </c>
      <c r="C53">
        <v>12135</v>
      </c>
      <c r="D53" t="s">
        <v>630</v>
      </c>
      <c r="E53" s="77">
        <v>137775.38</v>
      </c>
      <c r="F53" s="77">
        <v>10048.52</v>
      </c>
      <c r="G53" s="77">
        <v>0</v>
      </c>
      <c r="H53" s="77">
        <v>10048.52</v>
      </c>
      <c r="I53" s="77">
        <v>147823.9</v>
      </c>
      <c r="J53" s="112">
        <f t="shared" si="1"/>
        <v>147.82389999999998</v>
      </c>
      <c r="K53" s="112">
        <f t="shared" si="2"/>
        <v>148</v>
      </c>
      <c r="L53" s="346">
        <f>IFERROR(VLOOKUP(C53,'[4]DE x PARA'!C48:K2047,7,FALSE),"SINTÉTICA")</f>
        <v>500001</v>
      </c>
      <c r="M53">
        <f>IFERROR(VLOOKUP(B53,'[4]DE x PARA'!B48:K2047,10,FALSE),"SINTÉTICA")</f>
        <v>600014</v>
      </c>
      <c r="N53">
        <f>IFERROR(VLOOKUP(M53,'[4]DE x PARA'!$K$2:$L$2001,2,FALSE),0)</f>
        <v>-1</v>
      </c>
      <c r="O53">
        <f t="shared" si="3"/>
        <v>-10048.52</v>
      </c>
    </row>
    <row r="54" spans="1:15" ht="18">
      <c r="A54" t="str">
        <f t="shared" si="0"/>
        <v>1.2.1.06</v>
      </c>
      <c r="B54" t="s">
        <v>1614</v>
      </c>
      <c r="C54">
        <v>1216</v>
      </c>
      <c r="D54" t="s">
        <v>176</v>
      </c>
      <c r="E54" s="77">
        <v>281071.57</v>
      </c>
      <c r="F54" s="77">
        <v>0</v>
      </c>
      <c r="G54" s="77">
        <v>-281071.57</v>
      </c>
      <c r="H54" s="77">
        <v>-281071.57</v>
      </c>
      <c r="I54" s="77">
        <v>0</v>
      </c>
      <c r="J54" s="112">
        <f t="shared" si="1"/>
        <v>0</v>
      </c>
      <c r="K54" s="112">
        <f t="shared" si="2"/>
        <v>0</v>
      </c>
      <c r="L54" s="346">
        <f>IFERROR(VLOOKUP(C54,'[4]DE x PARA'!C49:K2048,7,FALSE),"SINTÉTICA")</f>
        <v>0</v>
      </c>
      <c r="M54">
        <f>IFERROR(VLOOKUP(B54,'[4]DE x PARA'!B49:K2048,10,FALSE),"SINTÉTICA")</f>
        <v>0</v>
      </c>
      <c r="N54">
        <f>IFERROR(VLOOKUP(M54,'[4]DE x PARA'!$K$2:$L$2001,2,FALSE),0)</f>
        <v>0</v>
      </c>
      <c r="O54">
        <f t="shared" si="3"/>
        <v>0</v>
      </c>
    </row>
    <row r="55" spans="1:15" ht="18">
      <c r="A55" t="str">
        <f t="shared" si="0"/>
        <v>1.2.1.06.0005</v>
      </c>
      <c r="B55" t="s">
        <v>1621</v>
      </c>
      <c r="C55">
        <v>12165</v>
      </c>
      <c r="D55" t="s">
        <v>406</v>
      </c>
      <c r="E55" s="77">
        <v>281071.57</v>
      </c>
      <c r="F55" s="77">
        <v>0</v>
      </c>
      <c r="G55" s="77">
        <v>-281071.57</v>
      </c>
      <c r="H55" s="77">
        <v>-281071.57</v>
      </c>
      <c r="I55" s="77">
        <v>0</v>
      </c>
      <c r="J55" s="112">
        <f t="shared" si="1"/>
        <v>0</v>
      </c>
      <c r="K55" s="112">
        <f t="shared" si="2"/>
        <v>0</v>
      </c>
      <c r="L55" s="346">
        <f>IFERROR(VLOOKUP(C55,'[4]DE x PARA'!C50:K2049,7,FALSE),"SINTÉTICA")</f>
        <v>500001</v>
      </c>
      <c r="M55">
        <f>IFERROR(VLOOKUP(B55,'[4]DE x PARA'!B50:K2049,10,FALSE),"SINTÉTICA")</f>
        <v>600012</v>
      </c>
      <c r="N55">
        <f>IFERROR(VLOOKUP(M55,'[4]DE x PARA'!$K$2:$L$2001,2,FALSE),0)</f>
        <v>-1</v>
      </c>
      <c r="O55">
        <f t="shared" si="3"/>
        <v>281071.57</v>
      </c>
    </row>
    <row r="56" spans="1:15" ht="18">
      <c r="A56" t="str">
        <f t="shared" si="0"/>
        <v>1.2.1.07</v>
      </c>
      <c r="B56" t="s">
        <v>631</v>
      </c>
      <c r="C56">
        <v>1217</v>
      </c>
      <c r="D56" t="s">
        <v>632</v>
      </c>
      <c r="E56" s="77">
        <v>147.28</v>
      </c>
      <c r="F56" s="77">
        <v>24.92</v>
      </c>
      <c r="G56" s="77">
        <v>0</v>
      </c>
      <c r="H56" s="77">
        <v>24.92</v>
      </c>
      <c r="I56" s="77">
        <v>172.2</v>
      </c>
      <c r="J56" s="112">
        <f t="shared" si="1"/>
        <v>0.17219999999999999</v>
      </c>
      <c r="K56" s="112">
        <f t="shared" si="2"/>
        <v>0</v>
      </c>
      <c r="L56" s="346">
        <f>IFERROR(VLOOKUP(C56,'[4]DE x PARA'!C51:K2050,7,FALSE),"SINTÉTICA")</f>
        <v>0</v>
      </c>
      <c r="M56">
        <f>IFERROR(VLOOKUP(B56,'[4]DE x PARA'!B51:K2050,10,FALSE),"SINTÉTICA")</f>
        <v>0</v>
      </c>
      <c r="N56">
        <f>IFERROR(VLOOKUP(M56,'[4]DE x PARA'!$K$2:$L$2001,2,FALSE),0)</f>
        <v>0</v>
      </c>
      <c r="O56">
        <f t="shared" si="3"/>
        <v>0</v>
      </c>
    </row>
    <row r="57" spans="1:15" ht="18">
      <c r="A57" t="str">
        <f t="shared" si="0"/>
        <v>1.2.1.07.0001</v>
      </c>
      <c r="B57" t="s">
        <v>633</v>
      </c>
      <c r="C57">
        <v>12171</v>
      </c>
      <c r="D57" t="s">
        <v>634</v>
      </c>
      <c r="E57" s="77">
        <v>147.28</v>
      </c>
      <c r="F57" s="77">
        <v>24.92</v>
      </c>
      <c r="G57" s="77">
        <v>0</v>
      </c>
      <c r="H57" s="77">
        <v>24.92</v>
      </c>
      <c r="I57" s="77">
        <v>172.2</v>
      </c>
      <c r="J57" s="112">
        <f t="shared" si="1"/>
        <v>0.17219999999999999</v>
      </c>
      <c r="K57" s="112">
        <f t="shared" si="2"/>
        <v>0</v>
      </c>
      <c r="L57" s="346">
        <f>IFERROR(VLOOKUP(C57,'[4]DE x PARA'!C52:K2051,7,FALSE),"SINTÉTICA")</f>
        <v>500001</v>
      </c>
      <c r="M57">
        <f>IFERROR(VLOOKUP(B57,'[4]DE x PARA'!B52:K2051,10,FALSE),"SINTÉTICA")</f>
        <v>600016</v>
      </c>
      <c r="N57">
        <f>IFERROR(VLOOKUP(M57,'[4]DE x PARA'!$K$2:$L$2001,2,FALSE),0)</f>
        <v>-1</v>
      </c>
      <c r="O57">
        <f t="shared" si="3"/>
        <v>-24.92</v>
      </c>
    </row>
    <row r="58" spans="1:15" ht="18">
      <c r="A58" t="str">
        <f t="shared" si="0"/>
        <v>1.2.1.08</v>
      </c>
      <c r="B58" t="s">
        <v>63</v>
      </c>
      <c r="C58">
        <v>1218</v>
      </c>
      <c r="D58" t="s">
        <v>635</v>
      </c>
      <c r="E58" s="77">
        <v>4398959.1500000004</v>
      </c>
      <c r="F58" s="77">
        <v>301532.84999999998</v>
      </c>
      <c r="G58" s="77">
        <v>-20840.349999999999</v>
      </c>
      <c r="H58" s="77">
        <v>280692.5</v>
      </c>
      <c r="I58" s="77">
        <v>4679651.6500000004</v>
      </c>
      <c r="J58" s="112">
        <f t="shared" si="1"/>
        <v>4679.6516500000007</v>
      </c>
      <c r="K58" s="112">
        <f t="shared" si="2"/>
        <v>4680</v>
      </c>
      <c r="L58" s="346">
        <f>IFERROR(VLOOKUP(C58,'[4]DE x PARA'!C53:K2052,7,FALSE),"SINTÉTICA")</f>
        <v>0</v>
      </c>
      <c r="M58">
        <f>IFERROR(VLOOKUP(B58,'[4]DE x PARA'!B53:K2052,10,FALSE),"SINTÉTICA")</f>
        <v>0</v>
      </c>
      <c r="N58">
        <f>IFERROR(VLOOKUP(M58,'[4]DE x PARA'!$K$2:$L$2001,2,FALSE),0)</f>
        <v>0</v>
      </c>
      <c r="O58">
        <f t="shared" si="3"/>
        <v>0</v>
      </c>
    </row>
    <row r="59" spans="1:15" ht="18">
      <c r="A59" t="str">
        <f t="shared" si="0"/>
        <v>1.2.1.08.0001</v>
      </c>
      <c r="B59" t="s">
        <v>636</v>
      </c>
      <c r="C59">
        <v>12181</v>
      </c>
      <c r="D59" t="s">
        <v>637</v>
      </c>
      <c r="E59" s="77">
        <v>3928358.17</v>
      </c>
      <c r="F59" s="77">
        <v>161824.1</v>
      </c>
      <c r="G59" s="77">
        <v>-7707.71</v>
      </c>
      <c r="H59" s="77">
        <v>154116.39000000001</v>
      </c>
      <c r="I59" s="77">
        <v>4082474.56</v>
      </c>
      <c r="J59" s="112">
        <f t="shared" si="1"/>
        <v>4082.4745600000001</v>
      </c>
      <c r="K59" s="112">
        <f t="shared" si="2"/>
        <v>4082</v>
      </c>
      <c r="L59" s="346">
        <f>IFERROR(VLOOKUP(C59,'[4]DE x PARA'!C54:K2053,7,FALSE),"SINTÉTICA")</f>
        <v>500001</v>
      </c>
      <c r="M59">
        <f>IFERROR(VLOOKUP(B59,'[4]DE x PARA'!B54:K2053,10,FALSE),"SINTÉTICA")</f>
        <v>600013</v>
      </c>
      <c r="N59">
        <f>IFERROR(VLOOKUP(M59,'[4]DE x PARA'!$K$2:$L$2001,2,FALSE),0)</f>
        <v>-1</v>
      </c>
      <c r="O59">
        <f t="shared" si="3"/>
        <v>-154116.39000000001</v>
      </c>
    </row>
    <row r="60" spans="1:15" ht="18">
      <c r="A60" t="str">
        <f t="shared" si="0"/>
        <v>1.2.1.08.0002</v>
      </c>
      <c r="B60" t="s">
        <v>638</v>
      </c>
      <c r="C60">
        <v>12182</v>
      </c>
      <c r="D60" t="s">
        <v>639</v>
      </c>
      <c r="E60" s="77">
        <v>309419.75</v>
      </c>
      <c r="F60" s="77">
        <v>131903.5</v>
      </c>
      <c r="G60" s="77">
        <v>-10352.64</v>
      </c>
      <c r="H60" s="77">
        <v>121550.86</v>
      </c>
      <c r="I60" s="77">
        <v>430970.61</v>
      </c>
      <c r="J60" s="112">
        <f t="shared" si="1"/>
        <v>430.97060999999997</v>
      </c>
      <c r="K60" s="112">
        <f t="shared" si="2"/>
        <v>431</v>
      </c>
      <c r="L60" s="346">
        <f>IFERROR(VLOOKUP(C60,'[4]DE x PARA'!C55:K2054,7,FALSE),"SINTÉTICA")</f>
        <v>500001</v>
      </c>
      <c r="M60">
        <f>IFERROR(VLOOKUP(B60,'[4]DE x PARA'!B55:K2054,10,FALSE),"SINTÉTICA")</f>
        <v>600013</v>
      </c>
      <c r="N60">
        <f>IFERROR(VLOOKUP(M60,'[4]DE x PARA'!$K$2:$L$2001,2,FALSE),0)</f>
        <v>-1</v>
      </c>
      <c r="O60">
        <f t="shared" si="3"/>
        <v>-121550.86</v>
      </c>
    </row>
    <row r="61" spans="1:15" ht="18">
      <c r="A61" t="str">
        <f t="shared" si="0"/>
        <v>1.2.1.08.0003</v>
      </c>
      <c r="B61" t="s">
        <v>640</v>
      </c>
      <c r="C61">
        <v>12183</v>
      </c>
      <c r="D61" t="s">
        <v>641</v>
      </c>
      <c r="E61" s="77">
        <v>161181.23000000001</v>
      </c>
      <c r="F61" s="77">
        <v>7805.25</v>
      </c>
      <c r="G61" s="77">
        <v>-2780</v>
      </c>
      <c r="H61" s="77">
        <v>5025.25</v>
      </c>
      <c r="I61" s="77">
        <v>166206.48000000001</v>
      </c>
      <c r="J61" s="112">
        <f t="shared" si="1"/>
        <v>166.20648</v>
      </c>
      <c r="K61" s="112">
        <f t="shared" si="2"/>
        <v>166</v>
      </c>
      <c r="L61" s="346">
        <f>IFERROR(VLOOKUP(C61,'[4]DE x PARA'!C56:K2055,7,FALSE),"SINTÉTICA")</f>
        <v>500001</v>
      </c>
      <c r="M61">
        <f>IFERROR(VLOOKUP(B61,'[4]DE x PARA'!B56:K2055,10,FALSE),"SINTÉTICA")</f>
        <v>600013</v>
      </c>
      <c r="N61">
        <f>IFERROR(VLOOKUP(M61,'[4]DE x PARA'!$K$2:$L$2001,2,FALSE),0)</f>
        <v>-1</v>
      </c>
      <c r="O61">
        <f t="shared" si="3"/>
        <v>-5025.25</v>
      </c>
    </row>
    <row r="62" spans="1:15" ht="18">
      <c r="A62" t="str">
        <f t="shared" si="0"/>
        <v>1.2.3</v>
      </c>
      <c r="B62" t="s">
        <v>66</v>
      </c>
      <c r="C62">
        <v>123</v>
      </c>
      <c r="D62" t="s">
        <v>534</v>
      </c>
      <c r="E62" s="77">
        <v>6830589.3200000003</v>
      </c>
      <c r="F62" s="77">
        <v>482896</v>
      </c>
      <c r="G62" s="77">
        <v>-1367417.76</v>
      </c>
      <c r="H62" s="77">
        <v>-884521.76</v>
      </c>
      <c r="I62" s="77">
        <v>5946067.5599999996</v>
      </c>
      <c r="J62" s="112">
        <f t="shared" si="1"/>
        <v>5946.0675599999995</v>
      </c>
      <c r="K62" s="112">
        <f t="shared" si="2"/>
        <v>5946</v>
      </c>
      <c r="L62" s="346">
        <f>IFERROR(VLOOKUP(C62,'[4]DE x PARA'!C57:K2056,7,FALSE),"SINTÉTICA")</f>
        <v>0</v>
      </c>
      <c r="M62">
        <f>IFERROR(VLOOKUP(B62,'[4]DE x PARA'!B57:K2056,10,FALSE),"SINTÉTICA")</f>
        <v>0</v>
      </c>
      <c r="N62">
        <f>IFERROR(VLOOKUP(M62,'[4]DE x PARA'!$K$2:$L$2001,2,FALSE),0)</f>
        <v>0</v>
      </c>
      <c r="O62">
        <f t="shared" si="3"/>
        <v>0</v>
      </c>
    </row>
    <row r="63" spans="1:15" ht="18">
      <c r="A63" t="str">
        <f t="shared" si="0"/>
        <v>1.2.3.01</v>
      </c>
      <c r="B63" t="s">
        <v>642</v>
      </c>
      <c r="C63">
        <v>1231</v>
      </c>
      <c r="D63" t="s">
        <v>643</v>
      </c>
      <c r="E63" s="77">
        <v>16839721.48</v>
      </c>
      <c r="F63" s="77">
        <v>482896</v>
      </c>
      <c r="G63" s="77">
        <v>-226448</v>
      </c>
      <c r="H63" s="77">
        <v>256448</v>
      </c>
      <c r="I63" s="77">
        <v>17096169.48</v>
      </c>
      <c r="J63" s="112">
        <f t="shared" si="1"/>
        <v>17096.16948</v>
      </c>
      <c r="K63" s="112">
        <f t="shared" si="2"/>
        <v>17096</v>
      </c>
      <c r="L63" s="346">
        <f>IFERROR(VLOOKUP(C63,'[4]DE x PARA'!C58:K2057,7,FALSE),"SINTÉTICA")</f>
        <v>0</v>
      </c>
      <c r="M63">
        <f>IFERROR(VLOOKUP(B63,'[4]DE x PARA'!B58:K2057,10,FALSE),"SINTÉTICA")</f>
        <v>0</v>
      </c>
      <c r="N63">
        <f>IFERROR(VLOOKUP(M63,'[4]DE x PARA'!$K$2:$L$2001,2,FALSE),0)</f>
        <v>0</v>
      </c>
      <c r="O63">
        <f t="shared" si="3"/>
        <v>0</v>
      </c>
    </row>
    <row r="64" spans="1:15" ht="18">
      <c r="A64" t="str">
        <f t="shared" si="0"/>
        <v>1.2.3.01.0003</v>
      </c>
      <c r="B64" t="s">
        <v>644</v>
      </c>
      <c r="C64">
        <v>12313</v>
      </c>
      <c r="D64" t="s">
        <v>260</v>
      </c>
      <c r="E64" s="77">
        <v>2400056.5099999998</v>
      </c>
      <c r="F64" s="77">
        <v>0</v>
      </c>
      <c r="G64" s="77">
        <v>0</v>
      </c>
      <c r="H64" s="77">
        <v>0</v>
      </c>
      <c r="I64" s="77">
        <v>2400056.5099999998</v>
      </c>
      <c r="J64" s="112">
        <f t="shared" si="1"/>
        <v>2400.0565099999999</v>
      </c>
      <c r="K64" s="112">
        <f t="shared" si="2"/>
        <v>2400</v>
      </c>
      <c r="L64" s="346">
        <f>IFERROR(VLOOKUP(C64,'[4]DE x PARA'!C59:K2058,7,FALSE),"SINTÉTICA")</f>
        <v>500001</v>
      </c>
      <c r="M64">
        <f>IFERROR(VLOOKUP(B64,'[4]DE x PARA'!B59:K2058,10,FALSE),"SINTÉTICA")</f>
        <v>600024</v>
      </c>
      <c r="N64">
        <f>IFERROR(VLOOKUP(M64,'[4]DE x PARA'!$K$2:$L$2001,2,FALSE),0)</f>
        <v>-1</v>
      </c>
      <c r="O64">
        <f t="shared" si="3"/>
        <v>0</v>
      </c>
    </row>
    <row r="65" spans="1:15" ht="18">
      <c r="A65" t="str">
        <f t="shared" si="0"/>
        <v>1.2.3.01.0004</v>
      </c>
      <c r="B65" t="s">
        <v>645</v>
      </c>
      <c r="C65">
        <v>12314</v>
      </c>
      <c r="D65" t="s">
        <v>414</v>
      </c>
      <c r="E65" s="77">
        <v>791662.23</v>
      </c>
      <c r="F65" s="77">
        <v>0</v>
      </c>
      <c r="G65" s="77">
        <v>0</v>
      </c>
      <c r="H65" s="77">
        <v>0</v>
      </c>
      <c r="I65" s="77">
        <v>791662.23</v>
      </c>
      <c r="J65" s="112">
        <f t="shared" si="1"/>
        <v>791.66223000000002</v>
      </c>
      <c r="K65" s="112">
        <f t="shared" si="2"/>
        <v>792</v>
      </c>
      <c r="L65" s="346">
        <f>IFERROR(VLOOKUP(C65,'[4]DE x PARA'!C60:K2059,7,FALSE),"SINTÉTICA")</f>
        <v>500001</v>
      </c>
      <c r="M65">
        <f>IFERROR(VLOOKUP(B65,'[4]DE x PARA'!B60:K2059,10,FALSE),"SINTÉTICA")</f>
        <v>600024</v>
      </c>
      <c r="N65">
        <f>IFERROR(VLOOKUP(M65,'[4]DE x PARA'!$K$2:$L$2001,2,FALSE),0)</f>
        <v>-1</v>
      </c>
      <c r="O65">
        <f t="shared" si="3"/>
        <v>0</v>
      </c>
    </row>
    <row r="66" spans="1:15" ht="18">
      <c r="A66" t="str">
        <f t="shared" si="0"/>
        <v>1.2.3.01.0005</v>
      </c>
      <c r="B66" t="s">
        <v>646</v>
      </c>
      <c r="C66">
        <v>12315</v>
      </c>
      <c r="D66" t="s">
        <v>415</v>
      </c>
      <c r="E66" s="77">
        <v>11462174.43</v>
      </c>
      <c r="F66" s="77">
        <v>450156</v>
      </c>
      <c r="G66" s="77">
        <v>-210078</v>
      </c>
      <c r="H66" s="77">
        <v>240078</v>
      </c>
      <c r="I66" s="77">
        <v>11702252.43</v>
      </c>
      <c r="J66" s="112">
        <f t="shared" si="1"/>
        <v>11702.25243</v>
      </c>
      <c r="K66" s="112">
        <f t="shared" si="2"/>
        <v>11702</v>
      </c>
      <c r="L66" s="346">
        <f>IFERROR(VLOOKUP(C66,'[4]DE x PARA'!C61:K2060,7,FALSE),"SINTÉTICA")</f>
        <v>500001</v>
      </c>
      <c r="M66">
        <f>IFERROR(VLOOKUP(B66,'[4]DE x PARA'!B61:K2060,10,FALSE),"SINTÉTICA")</f>
        <v>600024</v>
      </c>
      <c r="N66">
        <f>IFERROR(VLOOKUP(M66,'[4]DE x PARA'!$K$2:$L$2001,2,FALSE),0)</f>
        <v>-1</v>
      </c>
      <c r="O66">
        <f t="shared" si="3"/>
        <v>-240078</v>
      </c>
    </row>
    <row r="67" spans="1:15" ht="18">
      <c r="A67" t="str">
        <f t="shared" si="0"/>
        <v>1.2.3.01.0007</v>
      </c>
      <c r="B67" t="s">
        <v>647</v>
      </c>
      <c r="C67">
        <v>12317</v>
      </c>
      <c r="D67" t="s">
        <v>416</v>
      </c>
      <c r="E67" s="77">
        <v>2185828.31</v>
      </c>
      <c r="F67" s="77">
        <v>32740</v>
      </c>
      <c r="G67" s="77">
        <v>-16370</v>
      </c>
      <c r="H67" s="77">
        <v>16370</v>
      </c>
      <c r="I67" s="77">
        <v>2202198.31</v>
      </c>
      <c r="J67" s="112">
        <f t="shared" si="1"/>
        <v>2202.1983100000002</v>
      </c>
      <c r="K67" s="112">
        <f t="shared" si="2"/>
        <v>2202</v>
      </c>
      <c r="L67" s="346">
        <f>IFERROR(VLOOKUP(C67,'[4]DE x PARA'!C62:K2061,7,FALSE),"SINTÉTICA")</f>
        <v>500001</v>
      </c>
      <c r="M67">
        <f>IFERROR(VLOOKUP(B67,'[4]DE x PARA'!B62:K2061,10,FALSE),"SINTÉTICA")</f>
        <v>600024</v>
      </c>
      <c r="N67">
        <f>IFERROR(VLOOKUP(M67,'[4]DE x PARA'!$K$2:$L$2001,2,FALSE),0)</f>
        <v>-1</v>
      </c>
      <c r="O67">
        <f t="shared" si="3"/>
        <v>-16370</v>
      </c>
    </row>
    <row r="68" spans="1:15" ht="18">
      <c r="A68" t="str">
        <f t="shared" si="0"/>
        <v>1.2.3.98</v>
      </c>
      <c r="B68" t="s">
        <v>648</v>
      </c>
      <c r="C68">
        <v>12398</v>
      </c>
      <c r="D68" t="s">
        <v>649</v>
      </c>
      <c r="E68" s="77">
        <v>-10009132.16</v>
      </c>
      <c r="F68" s="77">
        <v>0</v>
      </c>
      <c r="G68" s="77">
        <v>-1140969.76</v>
      </c>
      <c r="H68" s="77">
        <v>-1140969.76</v>
      </c>
      <c r="I68" s="77">
        <v>-11150101.92</v>
      </c>
      <c r="J68" s="112">
        <f t="shared" si="1"/>
        <v>-11150.101919999999</v>
      </c>
      <c r="K68" s="112">
        <f t="shared" si="2"/>
        <v>-11150</v>
      </c>
      <c r="L68" s="346">
        <f>IFERROR(VLOOKUP(C68,'[4]DE x PARA'!C63:K2062,7,FALSE),"SINTÉTICA")</f>
        <v>0</v>
      </c>
      <c r="M68">
        <f>IFERROR(VLOOKUP(B68,'[4]DE x PARA'!B63:K2062,10,FALSE),"SINTÉTICA")</f>
        <v>0</v>
      </c>
      <c r="N68">
        <f>IFERROR(VLOOKUP(M68,'[4]DE x PARA'!$K$2:$L$2001,2,FALSE),0)</f>
        <v>0</v>
      </c>
      <c r="O68">
        <f t="shared" si="3"/>
        <v>0</v>
      </c>
    </row>
    <row r="69" spans="1:15" ht="18">
      <c r="A69" t="str">
        <f t="shared" si="0"/>
        <v>1.2.3.98.0002</v>
      </c>
      <c r="B69" t="s">
        <v>650</v>
      </c>
      <c r="C69">
        <v>123982</v>
      </c>
      <c r="D69" t="s">
        <v>651</v>
      </c>
      <c r="E69" s="77">
        <v>-479210.73</v>
      </c>
      <c r="F69" s="77">
        <v>0</v>
      </c>
      <c r="G69" s="77">
        <v>-160003.68</v>
      </c>
      <c r="H69" s="77">
        <v>-160003.68</v>
      </c>
      <c r="I69" s="77">
        <v>-639214.41</v>
      </c>
      <c r="J69" s="112">
        <f t="shared" si="1"/>
        <v>-639.21441000000004</v>
      </c>
      <c r="K69" s="112">
        <f t="shared" si="2"/>
        <v>-639</v>
      </c>
      <c r="L69" s="346">
        <f>IFERROR(VLOOKUP(C69,'[4]DE x PARA'!C64:K2063,7,FALSE),"SINTÉTICA")</f>
        <v>500001</v>
      </c>
      <c r="M69">
        <f>IFERROR(VLOOKUP(B69,'[4]DE x PARA'!B64:K2063,10,FALSE),"SINTÉTICA")</f>
        <v>600005</v>
      </c>
      <c r="N69">
        <f>IFERROR(VLOOKUP(M69,'[4]DE x PARA'!$K$2:$L$2001,2,FALSE),0)</f>
        <v>-1</v>
      </c>
      <c r="O69">
        <f t="shared" si="3"/>
        <v>160003.68</v>
      </c>
    </row>
    <row r="70" spans="1:15" ht="18">
      <c r="A70" t="str">
        <f t="shared" si="0"/>
        <v>1.2.3.98.0003</v>
      </c>
      <c r="B70" t="s">
        <v>652</v>
      </c>
      <c r="C70">
        <v>123983</v>
      </c>
      <c r="D70" t="s">
        <v>653</v>
      </c>
      <c r="E70" s="77">
        <v>-715192.57</v>
      </c>
      <c r="F70" s="77">
        <v>0</v>
      </c>
      <c r="G70" s="77">
        <v>-14172.63</v>
      </c>
      <c r="H70" s="77">
        <v>-14172.63</v>
      </c>
      <c r="I70" s="77">
        <v>-729365.2</v>
      </c>
      <c r="J70" s="112">
        <f t="shared" si="1"/>
        <v>-729.36519999999996</v>
      </c>
      <c r="K70" s="112">
        <f t="shared" si="2"/>
        <v>-729</v>
      </c>
      <c r="L70" s="346">
        <f>IFERROR(VLOOKUP(C70,'[4]DE x PARA'!C65:K2064,7,FALSE),"SINTÉTICA")</f>
        <v>500001</v>
      </c>
      <c r="M70">
        <f>IFERROR(VLOOKUP(B70,'[4]DE x PARA'!B65:K2064,10,FALSE),"SINTÉTICA")</f>
        <v>600005</v>
      </c>
      <c r="N70">
        <f>IFERROR(VLOOKUP(M70,'[4]DE x PARA'!$K$2:$L$2001,2,FALSE),0)</f>
        <v>-1</v>
      </c>
      <c r="O70">
        <f t="shared" si="3"/>
        <v>14172.63</v>
      </c>
    </row>
    <row r="71" spans="1:15" ht="18">
      <c r="A71" t="str">
        <f t="shared" si="0"/>
        <v>1.2.3.98.0004</v>
      </c>
      <c r="B71" t="s">
        <v>654</v>
      </c>
      <c r="C71">
        <v>123984</v>
      </c>
      <c r="D71" t="s">
        <v>655</v>
      </c>
      <c r="E71" s="77">
        <v>-6818386.9199999999</v>
      </c>
      <c r="F71" s="77">
        <v>0</v>
      </c>
      <c r="G71" s="77">
        <v>-939682.21</v>
      </c>
      <c r="H71" s="77">
        <v>-939682.21</v>
      </c>
      <c r="I71" s="77">
        <v>-7758069.1299999999</v>
      </c>
      <c r="J71" s="112">
        <f t="shared" si="1"/>
        <v>-7758.0691299999999</v>
      </c>
      <c r="K71" s="112">
        <f t="shared" si="2"/>
        <v>-7758</v>
      </c>
      <c r="L71" s="346">
        <f>IFERROR(VLOOKUP(C71,'[4]DE x PARA'!C66:K2065,7,FALSE),"SINTÉTICA")</f>
        <v>500001</v>
      </c>
      <c r="M71">
        <f>IFERROR(VLOOKUP(B71,'[4]DE x PARA'!B66:K2065,10,FALSE),"SINTÉTICA")</f>
        <v>600005</v>
      </c>
      <c r="N71">
        <f>IFERROR(VLOOKUP(M71,'[4]DE x PARA'!$K$2:$L$2001,2,FALSE),0)</f>
        <v>-1</v>
      </c>
      <c r="O71">
        <f t="shared" si="3"/>
        <v>939682.21</v>
      </c>
    </row>
    <row r="72" spans="1:15" ht="18">
      <c r="A72" t="str">
        <f t="shared" ref="A72:A135" si="4">B72</f>
        <v>1.2.3.98.0006</v>
      </c>
      <c r="B72" t="s">
        <v>656</v>
      </c>
      <c r="C72">
        <v>123986</v>
      </c>
      <c r="D72" t="s">
        <v>657</v>
      </c>
      <c r="E72" s="77">
        <v>-1996341.94</v>
      </c>
      <c r="F72" s="77">
        <v>0</v>
      </c>
      <c r="G72" s="77">
        <v>-27111.24</v>
      </c>
      <c r="H72" s="77">
        <v>-27111.24</v>
      </c>
      <c r="I72" s="77">
        <v>-2023453.18</v>
      </c>
      <c r="J72" s="112">
        <f t="shared" ref="J72:J135" si="5">I72/1000</f>
        <v>-2023.45318</v>
      </c>
      <c r="K72" s="112">
        <f t="shared" ref="K72:K135" si="6">ROUND(J72,0)</f>
        <v>-2023</v>
      </c>
      <c r="L72" s="346">
        <f>IFERROR(VLOOKUP(C72,'[4]DE x PARA'!C67:K2066,7,FALSE),"SINTÉTICA")</f>
        <v>500001</v>
      </c>
      <c r="M72">
        <f>IFERROR(VLOOKUP(B72,'[4]DE x PARA'!B67:K2066,10,FALSE),"SINTÉTICA")</f>
        <v>600005</v>
      </c>
      <c r="N72">
        <f>IFERROR(VLOOKUP(M72,'[4]DE x PARA'!$K$2:$L$2001,2,FALSE),0)</f>
        <v>-1</v>
      </c>
      <c r="O72">
        <f t="shared" ref="O72:O135" si="7">+H72*N72</f>
        <v>27111.24</v>
      </c>
    </row>
    <row r="73" spans="1:15" ht="18">
      <c r="A73" t="str">
        <f t="shared" si="4"/>
        <v>1.2.4</v>
      </c>
      <c r="B73" t="s">
        <v>70</v>
      </c>
      <c r="C73">
        <v>124</v>
      </c>
      <c r="D73" t="s">
        <v>658</v>
      </c>
      <c r="E73" s="77">
        <v>4179177.78</v>
      </c>
      <c r="F73" s="77">
        <v>0</v>
      </c>
      <c r="G73" s="77">
        <v>-1008802.01</v>
      </c>
      <c r="H73" s="77">
        <v>-1008802.01</v>
      </c>
      <c r="I73" s="77">
        <v>3170375.77</v>
      </c>
      <c r="J73" s="112">
        <f t="shared" si="5"/>
        <v>3170.3757700000001</v>
      </c>
      <c r="K73" s="112">
        <f t="shared" si="6"/>
        <v>3170</v>
      </c>
      <c r="L73" s="346">
        <f>IFERROR(VLOOKUP(C73,'[4]DE x PARA'!C68:K2067,7,FALSE),"SINTÉTICA")</f>
        <v>0</v>
      </c>
      <c r="M73">
        <f>IFERROR(VLOOKUP(B73,'[4]DE x PARA'!B68:K2067,10,FALSE),"SINTÉTICA")</f>
        <v>0</v>
      </c>
      <c r="N73">
        <f>IFERROR(VLOOKUP(M73,'[4]DE x PARA'!$K$2:$L$2001,2,FALSE),0)</f>
        <v>0</v>
      </c>
      <c r="O73">
        <f t="shared" si="7"/>
        <v>0</v>
      </c>
    </row>
    <row r="74" spans="1:15" ht="18">
      <c r="A74" t="str">
        <f t="shared" si="4"/>
        <v>1.2.4.01</v>
      </c>
      <c r="B74" t="s">
        <v>659</v>
      </c>
      <c r="C74">
        <v>1241</v>
      </c>
      <c r="D74" t="s">
        <v>434</v>
      </c>
      <c r="E74" s="77">
        <v>12791215.48</v>
      </c>
      <c r="F74" s="77">
        <v>0</v>
      </c>
      <c r="G74" s="77">
        <v>0</v>
      </c>
      <c r="H74" s="77">
        <v>0</v>
      </c>
      <c r="I74" s="77">
        <v>12791215.48</v>
      </c>
      <c r="J74" s="112">
        <f t="shared" si="5"/>
        <v>12791.215480000001</v>
      </c>
      <c r="K74" s="112">
        <f t="shared" si="6"/>
        <v>12791</v>
      </c>
      <c r="L74" s="346">
        <f>IFERROR(VLOOKUP(C74,'[4]DE x PARA'!C69:K2068,7,FALSE),"SINTÉTICA")</f>
        <v>0</v>
      </c>
      <c r="M74">
        <f>IFERROR(VLOOKUP(B74,'[4]DE x PARA'!B69:K2068,10,FALSE),"SINTÉTICA")</f>
        <v>0</v>
      </c>
      <c r="N74">
        <f>IFERROR(VLOOKUP(M74,'[4]DE x PARA'!$K$2:$L$2001,2,FALSE),0)</f>
        <v>0</v>
      </c>
      <c r="O74">
        <f t="shared" si="7"/>
        <v>0</v>
      </c>
    </row>
    <row r="75" spans="1:15" ht="18">
      <c r="A75" t="str">
        <f t="shared" si="4"/>
        <v>1.2.4.01.0001</v>
      </c>
      <c r="B75" t="s">
        <v>660</v>
      </c>
      <c r="C75">
        <v>124101</v>
      </c>
      <c r="D75" t="s">
        <v>434</v>
      </c>
      <c r="E75" s="77">
        <v>12791215.48</v>
      </c>
      <c r="F75" s="77">
        <v>0</v>
      </c>
      <c r="G75" s="77">
        <v>0</v>
      </c>
      <c r="H75" s="77">
        <v>0</v>
      </c>
      <c r="I75" s="77">
        <v>12791215.48</v>
      </c>
      <c r="J75" s="112">
        <f t="shared" si="5"/>
        <v>12791.215480000001</v>
      </c>
      <c r="K75" s="112">
        <f t="shared" si="6"/>
        <v>12791</v>
      </c>
      <c r="L75" s="346">
        <f>IFERROR(VLOOKUP(C75,'[4]DE x PARA'!C70:K2069,7,FALSE),"SINTÉTICA")</f>
        <v>500001</v>
      </c>
      <c r="M75">
        <f>IFERROR(VLOOKUP(B75,'[4]DE x PARA'!B70:K2069,10,FALSE),"SINTÉTICA")</f>
        <v>600023</v>
      </c>
      <c r="N75">
        <f>IFERROR(VLOOKUP(M75,'[4]DE x PARA'!$K$2:$L$2001,2,FALSE),0)</f>
        <v>-1</v>
      </c>
      <c r="O75">
        <f t="shared" si="7"/>
        <v>0</v>
      </c>
    </row>
    <row r="76" spans="1:15" ht="18">
      <c r="A76" t="str">
        <f t="shared" si="4"/>
        <v>1.2.4.98</v>
      </c>
      <c r="B76" t="s">
        <v>661</v>
      </c>
      <c r="C76">
        <v>12498</v>
      </c>
      <c r="D76" t="s">
        <v>662</v>
      </c>
      <c r="E76" s="77">
        <v>-8612037.6999999993</v>
      </c>
      <c r="F76" s="77">
        <v>0</v>
      </c>
      <c r="G76" s="77">
        <v>-1008802.01</v>
      </c>
      <c r="H76" s="77">
        <v>-1008802.01</v>
      </c>
      <c r="I76" s="77">
        <v>-9620839.7100000009</v>
      </c>
      <c r="J76" s="112">
        <f t="shared" si="5"/>
        <v>-9620.8397100000002</v>
      </c>
      <c r="K76" s="112">
        <f t="shared" si="6"/>
        <v>-9621</v>
      </c>
      <c r="L76" s="346">
        <f>IFERROR(VLOOKUP(C76,'[4]DE x PARA'!C71:K2070,7,FALSE),"SINTÉTICA")</f>
        <v>0</v>
      </c>
      <c r="M76">
        <f>IFERROR(VLOOKUP(B76,'[4]DE x PARA'!B71:K2070,10,FALSE),"SINTÉTICA")</f>
        <v>0</v>
      </c>
      <c r="N76">
        <f>IFERROR(VLOOKUP(M76,'[4]DE x PARA'!$K$2:$L$2001,2,FALSE),0)</f>
        <v>0</v>
      </c>
      <c r="O76">
        <f t="shared" si="7"/>
        <v>0</v>
      </c>
    </row>
    <row r="77" spans="1:15" ht="18">
      <c r="A77" t="str">
        <f t="shared" si="4"/>
        <v>1.2.4.98.0001</v>
      </c>
      <c r="B77" t="s">
        <v>663</v>
      </c>
      <c r="C77">
        <v>1242</v>
      </c>
      <c r="D77" t="s">
        <v>664</v>
      </c>
      <c r="E77" s="77">
        <v>-8612037.6999999993</v>
      </c>
      <c r="F77" s="77">
        <v>0</v>
      </c>
      <c r="G77" s="77">
        <v>-1008802.01</v>
      </c>
      <c r="H77" s="77">
        <v>-1008802.01</v>
      </c>
      <c r="I77" s="77">
        <v>-9620839.7100000009</v>
      </c>
      <c r="J77" s="112">
        <f t="shared" si="5"/>
        <v>-9620.8397100000002</v>
      </c>
      <c r="K77" s="112">
        <f t="shared" si="6"/>
        <v>-9621</v>
      </c>
      <c r="L77" s="346">
        <f>IFERROR(VLOOKUP(C77,'[4]DE x PARA'!C72:K2071,7,FALSE),"SINTÉTICA")</f>
        <v>500001</v>
      </c>
      <c r="M77">
        <f>IFERROR(VLOOKUP(B77,'[4]DE x PARA'!B72:K2071,10,FALSE),"SINTÉTICA")</f>
        <v>600005</v>
      </c>
      <c r="N77">
        <f>IFERROR(VLOOKUP(M77,'[4]DE x PARA'!$K$2:$L$2001,2,FALSE),0)</f>
        <v>-1</v>
      </c>
      <c r="O77">
        <f t="shared" si="7"/>
        <v>1008802.01</v>
      </c>
    </row>
    <row r="78" spans="1:15" ht="18">
      <c r="A78">
        <f t="shared" si="4"/>
        <v>2</v>
      </c>
      <c r="B78">
        <v>2</v>
      </c>
      <c r="C78">
        <v>2</v>
      </c>
      <c r="D78" t="s">
        <v>665</v>
      </c>
      <c r="E78" s="77">
        <v>-51373399.5</v>
      </c>
      <c r="F78" s="77">
        <v>110009340.26000001</v>
      </c>
      <c r="G78" s="77">
        <v>-117323168.56</v>
      </c>
      <c r="H78" s="77">
        <v>-7313828.2999999998</v>
      </c>
      <c r="I78" s="77">
        <v>-58687227.799999997</v>
      </c>
      <c r="J78" s="112">
        <f t="shared" si="5"/>
        <v>-58687.227800000001</v>
      </c>
      <c r="K78" s="112">
        <f t="shared" si="6"/>
        <v>-58687</v>
      </c>
      <c r="L78" s="346">
        <f>IFERROR(VLOOKUP(C78,'[4]DE x PARA'!C73:K2072,7,FALSE),"SINTÉTICA")</f>
        <v>0</v>
      </c>
      <c r="M78">
        <f>IFERROR(VLOOKUP(B78,'[4]DE x PARA'!B73:K2072,10,FALSE),"SINTÉTICA")</f>
        <v>0</v>
      </c>
      <c r="N78">
        <f>IFERROR(VLOOKUP(M78,'[4]DE x PARA'!$K$2:$L$2001,2,FALSE),0)</f>
        <v>0</v>
      </c>
      <c r="O78">
        <f t="shared" si="7"/>
        <v>0</v>
      </c>
    </row>
    <row r="79" spans="1:15" ht="18">
      <c r="A79" t="str">
        <f t="shared" si="4"/>
        <v>2.1</v>
      </c>
      <c r="B79" t="s">
        <v>666</v>
      </c>
      <c r="C79">
        <v>21</v>
      </c>
      <c r="D79" t="s">
        <v>50</v>
      </c>
      <c r="E79" s="77">
        <v>-19124740.949999999</v>
      </c>
      <c r="F79" s="77">
        <v>100838536.84999999</v>
      </c>
      <c r="G79" s="77">
        <v>-102511307</v>
      </c>
      <c r="H79" s="77">
        <v>-1672770.15</v>
      </c>
      <c r="I79" s="77">
        <v>-20797511.100000001</v>
      </c>
      <c r="J79" s="112">
        <f t="shared" si="5"/>
        <v>-20797.5111</v>
      </c>
      <c r="K79" s="112">
        <f t="shared" si="6"/>
        <v>-20798</v>
      </c>
      <c r="L79" s="346">
        <f>IFERROR(VLOOKUP(C79,'[4]DE x PARA'!C74:K2073,7,FALSE),"SINTÉTICA")</f>
        <v>0</v>
      </c>
      <c r="M79">
        <f>IFERROR(VLOOKUP(B79,'[4]DE x PARA'!B74:K2073,10,FALSE),"SINTÉTICA")</f>
        <v>0</v>
      </c>
      <c r="N79">
        <f>IFERROR(VLOOKUP(M79,'[4]DE x PARA'!$K$2:$L$2001,2,FALSE),0)</f>
        <v>0</v>
      </c>
      <c r="O79">
        <f t="shared" si="7"/>
        <v>0</v>
      </c>
    </row>
    <row r="80" spans="1:15" ht="18">
      <c r="A80" t="str">
        <f t="shared" si="4"/>
        <v>2.1.1</v>
      </c>
      <c r="B80" t="s">
        <v>667</v>
      </c>
      <c r="C80">
        <v>211</v>
      </c>
      <c r="D80" t="s">
        <v>668</v>
      </c>
      <c r="E80" s="77">
        <v>-19124740.949999999</v>
      </c>
      <c r="F80" s="77">
        <v>100838536.84999999</v>
      </c>
      <c r="G80" s="77">
        <v>-102511307</v>
      </c>
      <c r="H80" s="77">
        <v>-1672770.15</v>
      </c>
      <c r="I80" s="77">
        <v>-20797511.100000001</v>
      </c>
      <c r="J80" s="112">
        <f t="shared" si="5"/>
        <v>-20797.5111</v>
      </c>
      <c r="K80" s="112">
        <f t="shared" si="6"/>
        <v>-20798</v>
      </c>
      <c r="L80" s="346">
        <f>IFERROR(VLOOKUP(C80,'[4]DE x PARA'!C75:K2074,7,FALSE),"SINTÉTICA")</f>
        <v>0</v>
      </c>
      <c r="M80">
        <f>IFERROR(VLOOKUP(B80,'[4]DE x PARA'!B75:K2074,10,FALSE),"SINTÉTICA")</f>
        <v>0</v>
      </c>
      <c r="N80">
        <f>IFERROR(VLOOKUP(M80,'[4]DE x PARA'!$K$2:$L$2001,2,FALSE),0)</f>
        <v>0</v>
      </c>
      <c r="O80">
        <f t="shared" si="7"/>
        <v>0</v>
      </c>
    </row>
    <row r="81" spans="1:15" ht="18">
      <c r="A81" t="str">
        <f t="shared" si="4"/>
        <v>2.1.1.04</v>
      </c>
      <c r="B81" t="s">
        <v>669</v>
      </c>
      <c r="C81">
        <v>2114</v>
      </c>
      <c r="D81" t="s">
        <v>670</v>
      </c>
      <c r="E81" s="77">
        <v>-305576.36</v>
      </c>
      <c r="F81" s="77">
        <v>17472050.640000001</v>
      </c>
      <c r="G81" s="77">
        <v>-18211239.190000001</v>
      </c>
      <c r="H81" s="77">
        <v>-739188.55</v>
      </c>
      <c r="I81" s="77">
        <v>-1044764.91</v>
      </c>
      <c r="J81" s="112">
        <f t="shared" si="5"/>
        <v>-1044.7649100000001</v>
      </c>
      <c r="K81" s="112">
        <f t="shared" si="6"/>
        <v>-1045</v>
      </c>
      <c r="L81" s="346">
        <f>IFERROR(VLOOKUP(C81,'[4]DE x PARA'!C76:K2075,7,FALSE),"SINTÉTICA")</f>
        <v>0</v>
      </c>
      <c r="M81">
        <f>IFERROR(VLOOKUP(B81,'[4]DE x PARA'!B76:K2075,10,FALSE),"SINTÉTICA")</f>
        <v>0</v>
      </c>
      <c r="N81">
        <f>IFERROR(VLOOKUP(M81,'[4]DE x PARA'!$K$2:$L$2001,2,FALSE),0)</f>
        <v>0</v>
      </c>
      <c r="O81">
        <f t="shared" si="7"/>
        <v>0</v>
      </c>
    </row>
    <row r="82" spans="1:15" ht="18">
      <c r="A82" t="str">
        <f t="shared" si="4"/>
        <v>2.1.1.04.0001</v>
      </c>
      <c r="B82" t="s">
        <v>671</v>
      </c>
      <c r="C82" s="580">
        <v>60444400000000</v>
      </c>
      <c r="D82" t="s">
        <v>672</v>
      </c>
      <c r="E82" s="77">
        <v>0</v>
      </c>
      <c r="F82" s="77">
        <v>310004.06</v>
      </c>
      <c r="G82" s="77">
        <v>-340004.06</v>
      </c>
      <c r="H82" s="77">
        <v>-30000</v>
      </c>
      <c r="I82" s="77">
        <v>-30000</v>
      </c>
      <c r="J82" s="112">
        <f t="shared" si="5"/>
        <v>-30</v>
      </c>
      <c r="K82" s="112">
        <f t="shared" si="6"/>
        <v>-30</v>
      </c>
      <c r="L82" s="346" t="str">
        <f>IFERROR(VLOOKUP(C82,'[4]DE x PARA'!C77:K2076,7,FALSE),"SINTÉTICA")</f>
        <v>SINTÉTICA</v>
      </c>
      <c r="M82">
        <f>IFERROR(VLOOKUP(B82,'[4]DE x PARA'!B77:K2076,10,FALSE),"SINTÉTICA")</f>
        <v>600017</v>
      </c>
      <c r="N82">
        <f>IFERROR(VLOOKUP(M82,'[4]DE x PARA'!$K$2:$L$2001,2,FALSE),0)</f>
        <v>-1</v>
      </c>
      <c r="O82">
        <f t="shared" si="7"/>
        <v>30000</v>
      </c>
    </row>
    <row r="83" spans="1:15" ht="18">
      <c r="A83" t="str">
        <f t="shared" si="4"/>
        <v>2.1.1.04.0002</v>
      </c>
      <c r="B83" t="s">
        <v>1698</v>
      </c>
      <c r="C83" s="580">
        <v>57143000000000</v>
      </c>
      <c r="D83" t="s">
        <v>1699</v>
      </c>
      <c r="E83" s="77">
        <v>0</v>
      </c>
      <c r="F83" s="77">
        <v>961206.28</v>
      </c>
      <c r="G83" s="77">
        <v>-961206.28</v>
      </c>
      <c r="H83" s="77">
        <v>0</v>
      </c>
      <c r="I83" s="77">
        <v>0</v>
      </c>
      <c r="J83" s="112">
        <f t="shared" si="5"/>
        <v>0</v>
      </c>
      <c r="K83" s="112">
        <f t="shared" si="6"/>
        <v>0</v>
      </c>
      <c r="L83" s="346" t="str">
        <f>IFERROR(VLOOKUP(C83,'[4]DE x PARA'!C78:K2077,7,FALSE),"SINTÉTICA")</f>
        <v>SINTÉTICA</v>
      </c>
      <c r="M83">
        <f>IFERROR(VLOOKUP(B83,'[4]DE x PARA'!B78:K2077,10,FALSE),"SINTÉTICA")</f>
        <v>600017</v>
      </c>
      <c r="N83">
        <f>IFERROR(VLOOKUP(M83,'[4]DE x PARA'!$K$2:$L$2001,2,FALSE),0)</f>
        <v>-1</v>
      </c>
      <c r="O83">
        <f t="shared" si="7"/>
        <v>0</v>
      </c>
    </row>
    <row r="84" spans="1:15" ht="18">
      <c r="A84" t="str">
        <f t="shared" si="4"/>
        <v>2.1.1.04.0003</v>
      </c>
      <c r="B84" t="s">
        <v>673</v>
      </c>
      <c r="C84" s="580">
        <v>34028300000000</v>
      </c>
      <c r="D84" t="s">
        <v>674</v>
      </c>
      <c r="E84" s="77">
        <v>0</v>
      </c>
      <c r="F84" s="77">
        <v>1582.23</v>
      </c>
      <c r="G84" s="77">
        <v>-1582.23</v>
      </c>
      <c r="H84" s="77">
        <v>0</v>
      </c>
      <c r="I84" s="77">
        <v>0</v>
      </c>
      <c r="J84" s="112">
        <f t="shared" si="5"/>
        <v>0</v>
      </c>
      <c r="K84" s="112">
        <f t="shared" si="6"/>
        <v>0</v>
      </c>
      <c r="L84" s="346" t="str">
        <f>IFERROR(VLOOKUP(C84,'[4]DE x PARA'!C79:K2078,7,FALSE),"SINTÉTICA")</f>
        <v>SINTÉTICA</v>
      </c>
      <c r="M84">
        <f>IFERROR(VLOOKUP(B84,'[4]DE x PARA'!B79:K2078,10,FALSE),"SINTÉTICA")</f>
        <v>600017</v>
      </c>
      <c r="N84">
        <f>IFERROR(VLOOKUP(M84,'[4]DE x PARA'!$K$2:$L$2001,2,FALSE),0)</f>
        <v>-1</v>
      </c>
      <c r="O84">
        <f t="shared" si="7"/>
        <v>0</v>
      </c>
    </row>
    <row r="85" spans="1:15" ht="18">
      <c r="A85" t="str">
        <f t="shared" si="4"/>
        <v>2.1.1.04.0006</v>
      </c>
      <c r="B85" t="s">
        <v>1706</v>
      </c>
      <c r="C85" t="s">
        <v>1707</v>
      </c>
      <c r="D85" t="s">
        <v>1708</v>
      </c>
      <c r="E85" s="77">
        <v>0</v>
      </c>
      <c r="F85" s="77">
        <v>24000</v>
      </c>
      <c r="G85" s="77">
        <v>-24000</v>
      </c>
      <c r="H85" s="77">
        <v>0</v>
      </c>
      <c r="I85" s="77">
        <v>0</v>
      </c>
      <c r="J85" s="112">
        <f t="shared" si="5"/>
        <v>0</v>
      </c>
      <c r="K85" s="112">
        <f t="shared" si="6"/>
        <v>0</v>
      </c>
      <c r="L85" s="346">
        <f>IFERROR(VLOOKUP(C85,'[4]DE x PARA'!C80:K2079,7,FALSE),"SINTÉTICA")</f>
        <v>500001</v>
      </c>
      <c r="M85">
        <f>IFERROR(VLOOKUP(B85,'[4]DE x PARA'!B80:K2079,10,FALSE),"SINTÉTICA")</f>
        <v>600017</v>
      </c>
      <c r="N85">
        <f>IFERROR(VLOOKUP(M85,'[4]DE x PARA'!$K$2:$L$2001,2,FALSE),0)</f>
        <v>-1</v>
      </c>
      <c r="O85">
        <f t="shared" si="7"/>
        <v>0</v>
      </c>
    </row>
    <row r="86" spans="1:15" ht="18">
      <c r="A86" t="str">
        <f t="shared" si="4"/>
        <v>2.1.1.04.0010</v>
      </c>
      <c r="B86" t="s">
        <v>1717</v>
      </c>
      <c r="C86" t="s">
        <v>1718</v>
      </c>
      <c r="D86" t="s">
        <v>1719</v>
      </c>
      <c r="E86" s="77">
        <v>0</v>
      </c>
      <c r="F86" s="77">
        <v>55289.86</v>
      </c>
      <c r="G86" s="77">
        <v>-55289.86</v>
      </c>
      <c r="H86" s="77">
        <v>0</v>
      </c>
      <c r="I86" s="77">
        <v>0</v>
      </c>
      <c r="J86" s="112">
        <f t="shared" si="5"/>
        <v>0</v>
      </c>
      <c r="K86" s="112">
        <f t="shared" si="6"/>
        <v>0</v>
      </c>
      <c r="L86" s="346">
        <f>IFERROR(VLOOKUP(C86,'[4]DE x PARA'!C81:K2080,7,FALSE),"SINTÉTICA")</f>
        <v>500001</v>
      </c>
      <c r="M86">
        <f>IFERROR(VLOOKUP(B86,'[4]DE x PARA'!B81:K2080,10,FALSE),"SINTÉTICA")</f>
        <v>600017</v>
      </c>
      <c r="N86">
        <f>IFERROR(VLOOKUP(M86,'[4]DE x PARA'!$K$2:$L$2001,2,FALSE),0)</f>
        <v>-1</v>
      </c>
      <c r="O86">
        <f t="shared" si="7"/>
        <v>0</v>
      </c>
    </row>
    <row r="87" spans="1:15" ht="18">
      <c r="A87" t="str">
        <f t="shared" si="4"/>
        <v>2.1.1.04.0011</v>
      </c>
      <c r="B87" t="s">
        <v>675</v>
      </c>
      <c r="C87" t="s">
        <v>676</v>
      </c>
      <c r="D87" t="s">
        <v>677</v>
      </c>
      <c r="E87" s="77">
        <v>-980</v>
      </c>
      <c r="F87" s="77">
        <v>626951.6</v>
      </c>
      <c r="G87" s="77">
        <v>-651285.44999999995</v>
      </c>
      <c r="H87" s="77">
        <v>-24333.85</v>
      </c>
      <c r="I87" s="77">
        <v>-25313.85</v>
      </c>
      <c r="J87" s="112">
        <f t="shared" si="5"/>
        <v>-25.313849999999999</v>
      </c>
      <c r="K87" s="112">
        <f t="shared" si="6"/>
        <v>-25</v>
      </c>
      <c r="L87" s="346">
        <f>IFERROR(VLOOKUP(C87,'[4]DE x PARA'!C82:K2081,7,FALSE),"SINTÉTICA")</f>
        <v>500001</v>
      </c>
      <c r="M87">
        <f>IFERROR(VLOOKUP(B87,'[4]DE x PARA'!B82:K2081,10,FALSE),"SINTÉTICA")</f>
        <v>600017</v>
      </c>
      <c r="N87">
        <f>IFERROR(VLOOKUP(M87,'[4]DE x PARA'!$K$2:$L$2001,2,FALSE),0)</f>
        <v>-1</v>
      </c>
      <c r="O87">
        <f t="shared" si="7"/>
        <v>24333.85</v>
      </c>
    </row>
    <row r="88" spans="1:15" ht="18">
      <c r="A88" t="str">
        <f t="shared" si="4"/>
        <v>2.1.1.04.0031</v>
      </c>
      <c r="B88" t="s">
        <v>678</v>
      </c>
      <c r="C88" t="s">
        <v>679</v>
      </c>
      <c r="D88" t="s">
        <v>680</v>
      </c>
      <c r="E88" s="77">
        <v>0</v>
      </c>
      <c r="F88" s="77">
        <v>43270.559999999998</v>
      </c>
      <c r="G88" s="77">
        <v>-49270.559999999998</v>
      </c>
      <c r="H88" s="77">
        <v>-6000</v>
      </c>
      <c r="I88" s="77">
        <v>-6000</v>
      </c>
      <c r="J88" s="112">
        <f t="shared" si="5"/>
        <v>-6</v>
      </c>
      <c r="K88" s="112">
        <f t="shared" si="6"/>
        <v>-6</v>
      </c>
      <c r="L88" s="346">
        <f>IFERROR(VLOOKUP(C88,'[4]DE x PARA'!C83:K2082,7,FALSE),"SINTÉTICA")</f>
        <v>500001</v>
      </c>
      <c r="M88">
        <f>IFERROR(VLOOKUP(B88,'[4]DE x PARA'!B83:K2082,10,FALSE),"SINTÉTICA")</f>
        <v>600017</v>
      </c>
      <c r="N88">
        <f>IFERROR(VLOOKUP(M88,'[4]DE x PARA'!$K$2:$L$2001,2,FALSE),0)</f>
        <v>-1</v>
      </c>
      <c r="O88">
        <f t="shared" si="7"/>
        <v>6000</v>
      </c>
    </row>
    <row r="89" spans="1:15" ht="18">
      <c r="A89" t="str">
        <f t="shared" si="4"/>
        <v>2.1.1.04.0041</v>
      </c>
      <c r="B89" t="s">
        <v>681</v>
      </c>
      <c r="C89" t="s">
        <v>682</v>
      </c>
      <c r="D89" t="s">
        <v>683</v>
      </c>
      <c r="E89" s="77">
        <v>0</v>
      </c>
      <c r="F89" s="77">
        <v>1355732.03</v>
      </c>
      <c r="G89" s="77">
        <v>-1574362.87</v>
      </c>
      <c r="H89" s="77">
        <v>-218630.84</v>
      </c>
      <c r="I89" s="77">
        <v>-218630.84</v>
      </c>
      <c r="J89" s="112">
        <f t="shared" si="5"/>
        <v>-218.63084000000001</v>
      </c>
      <c r="K89" s="112">
        <f t="shared" si="6"/>
        <v>-219</v>
      </c>
      <c r="L89" s="346">
        <f>IFERROR(VLOOKUP(C89,'[4]DE x PARA'!C84:K2083,7,FALSE),"SINTÉTICA")</f>
        <v>500001</v>
      </c>
      <c r="M89">
        <f>IFERROR(VLOOKUP(B89,'[4]DE x PARA'!B84:K2083,10,FALSE),"SINTÉTICA")</f>
        <v>600017</v>
      </c>
      <c r="N89">
        <f>IFERROR(VLOOKUP(M89,'[4]DE x PARA'!$K$2:$L$2001,2,FALSE),0)</f>
        <v>-1</v>
      </c>
      <c r="O89">
        <f t="shared" si="7"/>
        <v>218630.84</v>
      </c>
    </row>
    <row r="90" spans="1:15" ht="18">
      <c r="A90" t="str">
        <f t="shared" si="4"/>
        <v>2.1.1.04.0069</v>
      </c>
      <c r="B90" t="s">
        <v>1883</v>
      </c>
      <c r="C90" t="s">
        <v>1884</v>
      </c>
      <c r="D90" t="s">
        <v>1885</v>
      </c>
      <c r="E90" s="77">
        <v>0</v>
      </c>
      <c r="F90" s="77">
        <v>523858.32</v>
      </c>
      <c r="G90" s="77">
        <v>-523858.32</v>
      </c>
      <c r="H90" s="77">
        <v>0</v>
      </c>
      <c r="I90" s="77">
        <v>0</v>
      </c>
      <c r="J90" s="112">
        <f t="shared" si="5"/>
        <v>0</v>
      </c>
      <c r="K90" s="112">
        <f t="shared" si="6"/>
        <v>0</v>
      </c>
      <c r="L90" s="346">
        <f>IFERROR(VLOOKUP(C90,'[4]DE x PARA'!C85:K2084,7,FALSE),"SINTÉTICA")</f>
        <v>500001</v>
      </c>
      <c r="M90">
        <f>IFERROR(VLOOKUP(B90,'[4]DE x PARA'!B85:K2084,10,FALSE),"SINTÉTICA")</f>
        <v>600017</v>
      </c>
      <c r="N90">
        <f>IFERROR(VLOOKUP(M90,'[4]DE x PARA'!$K$2:$L$2001,2,FALSE),0)</f>
        <v>-1</v>
      </c>
      <c r="O90">
        <f t="shared" si="7"/>
        <v>0</v>
      </c>
    </row>
    <row r="91" spans="1:15" ht="18">
      <c r="A91" t="str">
        <f t="shared" si="4"/>
        <v>2.1.1.04.0076</v>
      </c>
      <c r="B91" t="s">
        <v>684</v>
      </c>
      <c r="C91" t="s">
        <v>685</v>
      </c>
      <c r="D91" t="s">
        <v>686</v>
      </c>
      <c r="E91" s="77">
        <v>0</v>
      </c>
      <c r="F91" s="77">
        <v>50724.72</v>
      </c>
      <c r="G91" s="77">
        <v>-50724.72</v>
      </c>
      <c r="H91" s="77">
        <v>0</v>
      </c>
      <c r="I91" s="77">
        <v>0</v>
      </c>
      <c r="J91" s="112">
        <f t="shared" si="5"/>
        <v>0</v>
      </c>
      <c r="K91" s="112">
        <f t="shared" si="6"/>
        <v>0</v>
      </c>
      <c r="L91" s="346">
        <f>IFERROR(VLOOKUP(C91,'[4]DE x PARA'!C86:K2085,7,FALSE),"SINTÉTICA")</f>
        <v>500001</v>
      </c>
      <c r="M91">
        <f>IFERROR(VLOOKUP(B91,'[4]DE x PARA'!B86:K2085,10,FALSE),"SINTÉTICA")</f>
        <v>600017</v>
      </c>
      <c r="N91">
        <f>IFERROR(VLOOKUP(M91,'[4]DE x PARA'!$K$2:$L$2001,2,FALSE),0)</f>
        <v>-1</v>
      </c>
      <c r="O91">
        <f t="shared" si="7"/>
        <v>0</v>
      </c>
    </row>
    <row r="92" spans="1:15" ht="18">
      <c r="A92" t="str">
        <f t="shared" si="4"/>
        <v>2.1.1.04.0081</v>
      </c>
      <c r="B92" t="s">
        <v>687</v>
      </c>
      <c r="C92" t="s">
        <v>688</v>
      </c>
      <c r="D92" t="s">
        <v>689</v>
      </c>
      <c r="E92" s="77">
        <v>0</v>
      </c>
      <c r="F92" s="77">
        <v>20619</v>
      </c>
      <c r="G92" s="77">
        <v>-23200</v>
      </c>
      <c r="H92" s="77">
        <v>-2581</v>
      </c>
      <c r="I92" s="77">
        <v>-2581</v>
      </c>
      <c r="J92" s="112">
        <f t="shared" si="5"/>
        <v>-2.581</v>
      </c>
      <c r="K92" s="112">
        <f t="shared" si="6"/>
        <v>-3</v>
      </c>
      <c r="L92" s="346">
        <f>IFERROR(VLOOKUP(C92,'[4]DE x PARA'!C87:K2086,7,FALSE),"SINTÉTICA")</f>
        <v>500001</v>
      </c>
      <c r="M92">
        <f>IFERROR(VLOOKUP(B92,'[4]DE x PARA'!B87:K2086,10,FALSE),"SINTÉTICA")</f>
        <v>600017</v>
      </c>
      <c r="N92">
        <f>IFERROR(VLOOKUP(M92,'[4]DE x PARA'!$K$2:$L$2001,2,FALSE),0)</f>
        <v>-1</v>
      </c>
      <c r="O92">
        <f t="shared" si="7"/>
        <v>2581</v>
      </c>
    </row>
    <row r="93" spans="1:15" ht="18">
      <c r="A93" t="str">
        <f t="shared" si="4"/>
        <v>2.1.1.04.0103</v>
      </c>
      <c r="B93" t="s">
        <v>690</v>
      </c>
      <c r="C93" t="s">
        <v>691</v>
      </c>
      <c r="D93" t="s">
        <v>692</v>
      </c>
      <c r="E93" s="77">
        <v>-2241.17</v>
      </c>
      <c r="F93" s="77">
        <v>9157.4699999999993</v>
      </c>
      <c r="G93" s="77">
        <v>-7722.32</v>
      </c>
      <c r="H93" s="77">
        <v>1435.15</v>
      </c>
      <c r="I93" s="77">
        <v>-806.02</v>
      </c>
      <c r="J93" s="112">
        <f t="shared" si="5"/>
        <v>-0.80601999999999996</v>
      </c>
      <c r="K93" s="112">
        <f t="shared" si="6"/>
        <v>-1</v>
      </c>
      <c r="L93" s="346">
        <f>IFERROR(VLOOKUP(C93,'[4]DE x PARA'!C88:K2087,7,FALSE),"SINTÉTICA")</f>
        <v>500001</v>
      </c>
      <c r="M93">
        <f>IFERROR(VLOOKUP(B93,'[4]DE x PARA'!B88:K2087,10,FALSE),"SINTÉTICA")</f>
        <v>600017</v>
      </c>
      <c r="N93">
        <f>IFERROR(VLOOKUP(M93,'[4]DE x PARA'!$K$2:$L$2001,2,FALSE),0)</f>
        <v>-1</v>
      </c>
      <c r="O93">
        <f t="shared" si="7"/>
        <v>-1435.15</v>
      </c>
    </row>
    <row r="94" spans="1:15" ht="18">
      <c r="A94" t="str">
        <f t="shared" si="4"/>
        <v>2.1.1.04.0105</v>
      </c>
      <c r="B94" t="s">
        <v>1976</v>
      </c>
      <c r="C94" t="s">
        <v>1977</v>
      </c>
      <c r="D94" t="s">
        <v>1978</v>
      </c>
      <c r="E94" s="77">
        <v>0</v>
      </c>
      <c r="F94" s="77">
        <v>790</v>
      </c>
      <c r="G94" s="77">
        <v>-790</v>
      </c>
      <c r="H94" s="77">
        <v>0</v>
      </c>
      <c r="I94" s="77">
        <v>0</v>
      </c>
      <c r="J94" s="112">
        <f t="shared" si="5"/>
        <v>0</v>
      </c>
      <c r="K94" s="112">
        <f t="shared" si="6"/>
        <v>0</v>
      </c>
      <c r="L94" s="346">
        <f>IFERROR(VLOOKUP(C94,'[4]DE x PARA'!C89:K2088,7,FALSE),"SINTÉTICA")</f>
        <v>500001</v>
      </c>
      <c r="M94">
        <f>IFERROR(VLOOKUP(B94,'[4]DE x PARA'!B89:K2088,10,FALSE),"SINTÉTICA")</f>
        <v>600017</v>
      </c>
      <c r="N94">
        <f>IFERROR(VLOOKUP(M94,'[4]DE x PARA'!$K$2:$L$2001,2,FALSE),0)</f>
        <v>-1</v>
      </c>
      <c r="O94">
        <f t="shared" si="7"/>
        <v>0</v>
      </c>
    </row>
    <row r="95" spans="1:15" ht="18">
      <c r="A95" t="str">
        <f t="shared" si="4"/>
        <v>2.1.1.04.0112</v>
      </c>
      <c r="B95" t="s">
        <v>1997</v>
      </c>
      <c r="C95" t="s">
        <v>1998</v>
      </c>
      <c r="D95" t="s">
        <v>1999</v>
      </c>
      <c r="E95" s="77">
        <v>0</v>
      </c>
      <c r="F95" s="77">
        <v>790</v>
      </c>
      <c r="G95" s="77">
        <v>-790</v>
      </c>
      <c r="H95" s="77">
        <v>0</v>
      </c>
      <c r="I95" s="77">
        <v>0</v>
      </c>
      <c r="J95" s="112">
        <f t="shared" si="5"/>
        <v>0</v>
      </c>
      <c r="K95" s="112">
        <f t="shared" si="6"/>
        <v>0</v>
      </c>
      <c r="L95" s="346">
        <f>IFERROR(VLOOKUP(C95,'[4]DE x PARA'!C90:K2089,7,FALSE),"SINTÉTICA")</f>
        <v>500001</v>
      </c>
      <c r="M95">
        <f>IFERROR(VLOOKUP(B95,'[4]DE x PARA'!B90:K2089,10,FALSE),"SINTÉTICA")</f>
        <v>600017</v>
      </c>
      <c r="N95">
        <f>IFERROR(VLOOKUP(M95,'[4]DE x PARA'!$K$2:$L$2001,2,FALSE),0)</f>
        <v>-1</v>
      </c>
      <c r="O95">
        <f t="shared" si="7"/>
        <v>0</v>
      </c>
    </row>
    <row r="96" spans="1:15" ht="18">
      <c r="A96" t="str">
        <f t="shared" si="4"/>
        <v>2.1.1.04.0121</v>
      </c>
      <c r="B96" t="s">
        <v>693</v>
      </c>
      <c r="C96" s="580" t="s">
        <v>694</v>
      </c>
      <c r="D96" t="s">
        <v>695</v>
      </c>
      <c r="E96" s="77">
        <v>0</v>
      </c>
      <c r="F96" s="77">
        <v>0</v>
      </c>
      <c r="G96" s="77">
        <v>-11560</v>
      </c>
      <c r="H96" s="77">
        <v>-11560</v>
      </c>
      <c r="I96" s="77">
        <v>-11560</v>
      </c>
      <c r="J96" s="112">
        <f t="shared" si="5"/>
        <v>-11.56</v>
      </c>
      <c r="K96" s="112">
        <f t="shared" si="6"/>
        <v>-12</v>
      </c>
      <c r="L96" s="346">
        <f>IFERROR(VLOOKUP(C96,'[4]DE x PARA'!C91:K2090,7,FALSE),"SINTÉTICA")</f>
        <v>500001</v>
      </c>
      <c r="M96">
        <f>IFERROR(VLOOKUP(B96,'[4]DE x PARA'!B91:K2090,10,FALSE),"SINTÉTICA")</f>
        <v>600017</v>
      </c>
      <c r="N96">
        <f>IFERROR(VLOOKUP(M96,'[4]DE x PARA'!$K$2:$L$2001,2,FALSE),0)</f>
        <v>-1</v>
      </c>
      <c r="O96">
        <f t="shared" si="7"/>
        <v>11560</v>
      </c>
    </row>
    <row r="97" spans="1:15" ht="18">
      <c r="A97" t="str">
        <f t="shared" si="4"/>
        <v>2.1.1.04.0138</v>
      </c>
      <c r="B97" t="s">
        <v>696</v>
      </c>
      <c r="C97" s="580">
        <v>33634300000000</v>
      </c>
      <c r="D97" t="s">
        <v>697</v>
      </c>
      <c r="E97" s="77">
        <v>0</v>
      </c>
      <c r="F97" s="77">
        <v>65306.59</v>
      </c>
      <c r="G97" s="77">
        <v>-79548.759999999995</v>
      </c>
      <c r="H97" s="77">
        <v>-14242.17</v>
      </c>
      <c r="I97" s="77">
        <v>-14242.17</v>
      </c>
      <c r="J97" s="112">
        <f t="shared" si="5"/>
        <v>-14.24217</v>
      </c>
      <c r="K97" s="112">
        <f t="shared" si="6"/>
        <v>-14</v>
      </c>
      <c r="L97" s="346" t="str">
        <f>IFERROR(VLOOKUP(C97,'[4]DE x PARA'!C92:K2091,7,FALSE),"SINTÉTICA")</f>
        <v>SINTÉTICA</v>
      </c>
      <c r="M97">
        <f>IFERROR(VLOOKUP(B97,'[4]DE x PARA'!B92:K2091,10,FALSE),"SINTÉTICA")</f>
        <v>600017</v>
      </c>
      <c r="N97">
        <f>IFERROR(VLOOKUP(M97,'[4]DE x PARA'!$K$2:$L$2001,2,FALSE),0)</f>
        <v>-1</v>
      </c>
      <c r="O97">
        <f t="shared" si="7"/>
        <v>14242.17</v>
      </c>
    </row>
    <row r="98" spans="1:15" ht="18">
      <c r="A98" t="str">
        <f t="shared" si="4"/>
        <v>2.1.1.04.0148</v>
      </c>
      <c r="B98" t="s">
        <v>698</v>
      </c>
      <c r="C98" s="580" t="s">
        <v>699</v>
      </c>
      <c r="D98" t="s">
        <v>700</v>
      </c>
      <c r="E98" s="77">
        <v>0</v>
      </c>
      <c r="F98" s="77">
        <v>10208.31</v>
      </c>
      <c r="G98" s="77">
        <v>-11666.64</v>
      </c>
      <c r="H98" s="77">
        <v>-1458.33</v>
      </c>
      <c r="I98" s="77">
        <v>-1458.33</v>
      </c>
      <c r="J98" s="112">
        <f t="shared" si="5"/>
        <v>-1.4583299999999999</v>
      </c>
      <c r="K98" s="112">
        <f t="shared" si="6"/>
        <v>-1</v>
      </c>
      <c r="L98" s="346">
        <f>IFERROR(VLOOKUP(C98,'[4]DE x PARA'!C93:K2092,7,FALSE),"SINTÉTICA")</f>
        <v>500001</v>
      </c>
      <c r="M98">
        <f>IFERROR(VLOOKUP(B98,'[4]DE x PARA'!B93:K2092,10,FALSE),"SINTÉTICA")</f>
        <v>600017</v>
      </c>
      <c r="N98">
        <f>IFERROR(VLOOKUP(M98,'[4]DE x PARA'!$K$2:$L$2001,2,FALSE),0)</f>
        <v>-1</v>
      </c>
      <c r="O98">
        <f t="shared" si="7"/>
        <v>1458.33</v>
      </c>
    </row>
    <row r="99" spans="1:15" ht="18">
      <c r="A99" t="str">
        <f t="shared" si="4"/>
        <v>2.1.1.04.0161</v>
      </c>
      <c r="B99" t="s">
        <v>2134</v>
      </c>
      <c r="C99" s="580">
        <v>30033800000000</v>
      </c>
      <c r="D99" t="s">
        <v>2135</v>
      </c>
      <c r="E99" s="77">
        <v>0</v>
      </c>
      <c r="F99" s="77">
        <v>6510</v>
      </c>
      <c r="G99" s="77">
        <v>-6510</v>
      </c>
      <c r="H99" s="77">
        <v>0</v>
      </c>
      <c r="I99" s="77">
        <v>0</v>
      </c>
      <c r="J99" s="112">
        <f t="shared" si="5"/>
        <v>0</v>
      </c>
      <c r="K99" s="112">
        <f t="shared" si="6"/>
        <v>0</v>
      </c>
      <c r="L99" s="346" t="str">
        <f>IFERROR(VLOOKUP(C99,'[4]DE x PARA'!C94:K2093,7,FALSE),"SINTÉTICA")</f>
        <v>SINTÉTICA</v>
      </c>
      <c r="M99">
        <f>IFERROR(VLOOKUP(B99,'[4]DE x PARA'!B94:K2093,10,FALSE),"SINTÉTICA")</f>
        <v>600017</v>
      </c>
      <c r="N99">
        <f>IFERROR(VLOOKUP(M99,'[4]DE x PARA'!$K$2:$L$2001,2,FALSE),0)</f>
        <v>-1</v>
      </c>
      <c r="O99">
        <f t="shared" si="7"/>
        <v>0</v>
      </c>
    </row>
    <row r="100" spans="1:15" ht="18">
      <c r="A100" t="str">
        <f t="shared" si="4"/>
        <v>2.1.1.04.0242</v>
      </c>
      <c r="B100" t="s">
        <v>2374</v>
      </c>
      <c r="C100" t="s">
        <v>2375</v>
      </c>
      <c r="D100" t="s">
        <v>2376</v>
      </c>
      <c r="E100" s="77">
        <v>0</v>
      </c>
      <c r="F100" s="77">
        <v>655.5</v>
      </c>
      <c r="G100" s="77">
        <v>-655.5</v>
      </c>
      <c r="H100" s="77">
        <v>0</v>
      </c>
      <c r="I100" s="77">
        <v>0</v>
      </c>
      <c r="J100" s="112">
        <f t="shared" si="5"/>
        <v>0</v>
      </c>
      <c r="K100" s="112">
        <f t="shared" si="6"/>
        <v>0</v>
      </c>
      <c r="L100" s="346">
        <f>IFERROR(VLOOKUP(C100,'[4]DE x PARA'!C95:K2094,7,FALSE),"SINTÉTICA")</f>
        <v>500001</v>
      </c>
      <c r="M100">
        <f>IFERROR(VLOOKUP(B100,'[4]DE x PARA'!B95:K2094,10,FALSE),"SINTÉTICA")</f>
        <v>600017</v>
      </c>
      <c r="N100">
        <f>IFERROR(VLOOKUP(M100,'[4]DE x PARA'!$K$2:$L$2001,2,FALSE),0)</f>
        <v>-1</v>
      </c>
      <c r="O100">
        <f t="shared" si="7"/>
        <v>0</v>
      </c>
    </row>
    <row r="101" spans="1:15" ht="18">
      <c r="A101" t="str">
        <f t="shared" si="4"/>
        <v>2.1.1.04.0289</v>
      </c>
      <c r="B101" t="s">
        <v>2514</v>
      </c>
      <c r="C101" t="s">
        <v>2515</v>
      </c>
      <c r="D101" t="s">
        <v>2516</v>
      </c>
      <c r="E101" s="77">
        <v>0</v>
      </c>
      <c r="F101" s="77">
        <v>558691.13</v>
      </c>
      <c r="G101" s="77">
        <v>-558691.13</v>
      </c>
      <c r="H101" s="77">
        <v>0</v>
      </c>
      <c r="I101" s="77">
        <v>0</v>
      </c>
      <c r="J101" s="112">
        <f t="shared" si="5"/>
        <v>0</v>
      </c>
      <c r="K101" s="112">
        <f t="shared" si="6"/>
        <v>0</v>
      </c>
      <c r="L101" s="346">
        <f>IFERROR(VLOOKUP(C101,'[4]DE x PARA'!C96:K2095,7,FALSE),"SINTÉTICA")</f>
        <v>500001</v>
      </c>
      <c r="M101">
        <f>IFERROR(VLOOKUP(B101,'[4]DE x PARA'!B96:K2095,10,FALSE),"SINTÉTICA")</f>
        <v>600017</v>
      </c>
      <c r="N101">
        <f>IFERROR(VLOOKUP(M101,'[4]DE x PARA'!$K$2:$L$2001,2,FALSE),0)</f>
        <v>-1</v>
      </c>
      <c r="O101">
        <f t="shared" si="7"/>
        <v>0</v>
      </c>
    </row>
    <row r="102" spans="1:15" ht="18">
      <c r="A102" t="str">
        <f t="shared" si="4"/>
        <v>2.1.1.04.0293</v>
      </c>
      <c r="B102" t="s">
        <v>701</v>
      </c>
      <c r="C102" s="580" t="s">
        <v>702</v>
      </c>
      <c r="D102" t="s">
        <v>703</v>
      </c>
      <c r="E102" s="77">
        <v>0</v>
      </c>
      <c r="F102" s="77">
        <v>30000</v>
      </c>
      <c r="G102" s="77">
        <v>-33000</v>
      </c>
      <c r="H102" s="77">
        <v>-3000</v>
      </c>
      <c r="I102" s="77">
        <v>-3000</v>
      </c>
      <c r="J102" s="112">
        <f t="shared" si="5"/>
        <v>-3</v>
      </c>
      <c r="K102" s="112">
        <f t="shared" si="6"/>
        <v>-3</v>
      </c>
      <c r="L102" s="346">
        <f>IFERROR(VLOOKUP(C102,'[4]DE x PARA'!C97:K2096,7,FALSE),"SINTÉTICA")</f>
        <v>500001</v>
      </c>
      <c r="M102">
        <f>IFERROR(VLOOKUP(B102,'[4]DE x PARA'!B97:K2096,10,FALSE),"SINTÉTICA")</f>
        <v>600017</v>
      </c>
      <c r="N102">
        <f>IFERROR(VLOOKUP(M102,'[4]DE x PARA'!$K$2:$L$2001,2,FALSE),0)</f>
        <v>-1</v>
      </c>
      <c r="O102">
        <f t="shared" si="7"/>
        <v>3000</v>
      </c>
    </row>
    <row r="103" spans="1:15" ht="18">
      <c r="A103" t="str">
        <f t="shared" si="4"/>
        <v>2.1.1.04.0310</v>
      </c>
      <c r="B103" t="s">
        <v>704</v>
      </c>
      <c r="C103" s="580" t="s">
        <v>705</v>
      </c>
      <c r="D103" t="s">
        <v>706</v>
      </c>
      <c r="E103" s="77">
        <v>-9179.42</v>
      </c>
      <c r="F103" s="77">
        <v>142063.07999999999</v>
      </c>
      <c r="G103" s="77">
        <v>-132883.66</v>
      </c>
      <c r="H103" s="77">
        <v>9179.42</v>
      </c>
      <c r="I103" s="77">
        <v>0</v>
      </c>
      <c r="J103" s="112">
        <f t="shared" si="5"/>
        <v>0</v>
      </c>
      <c r="K103" s="112">
        <f t="shared" si="6"/>
        <v>0</v>
      </c>
      <c r="L103" s="346">
        <f>IFERROR(VLOOKUP(C103,'[4]DE x PARA'!C98:K2097,7,FALSE),"SINTÉTICA")</f>
        <v>500001</v>
      </c>
      <c r="M103">
        <f>IFERROR(VLOOKUP(B103,'[4]DE x PARA'!B98:K2097,10,FALSE),"SINTÉTICA")</f>
        <v>600017</v>
      </c>
      <c r="N103">
        <f>IFERROR(VLOOKUP(M103,'[4]DE x PARA'!$K$2:$L$2001,2,FALSE),0)</f>
        <v>-1</v>
      </c>
      <c r="O103">
        <f t="shared" si="7"/>
        <v>-9179.42</v>
      </c>
    </row>
    <row r="104" spans="1:15" ht="18">
      <c r="A104" t="str">
        <f t="shared" si="4"/>
        <v>2.1.1.04.0336</v>
      </c>
      <c r="B104" t="s">
        <v>707</v>
      </c>
      <c r="C104" s="580" t="s">
        <v>708</v>
      </c>
      <c r="D104" t="s">
        <v>709</v>
      </c>
      <c r="E104" s="77">
        <v>0</v>
      </c>
      <c r="F104" s="77">
        <v>50000</v>
      </c>
      <c r="G104" s="77">
        <v>-50000</v>
      </c>
      <c r="H104" s="77">
        <v>0</v>
      </c>
      <c r="I104" s="77">
        <v>0</v>
      </c>
      <c r="J104" s="112">
        <f t="shared" si="5"/>
        <v>0</v>
      </c>
      <c r="K104" s="112">
        <f t="shared" si="6"/>
        <v>0</v>
      </c>
      <c r="L104" s="346">
        <f>IFERROR(VLOOKUP(C104,'[4]DE x PARA'!C99:K2098,7,FALSE),"SINTÉTICA")</f>
        <v>500001</v>
      </c>
      <c r="M104">
        <f>IFERROR(VLOOKUP(B104,'[4]DE x PARA'!B99:K2098,10,FALSE),"SINTÉTICA")</f>
        <v>600017</v>
      </c>
      <c r="N104">
        <f>IFERROR(VLOOKUP(M104,'[4]DE x PARA'!$K$2:$L$2001,2,FALSE),0)</f>
        <v>-1</v>
      </c>
      <c r="O104">
        <f t="shared" si="7"/>
        <v>0</v>
      </c>
    </row>
    <row r="105" spans="1:15" ht="18">
      <c r="A105" t="str">
        <f t="shared" si="4"/>
        <v>2.1.1.04.0375</v>
      </c>
      <c r="B105" t="s">
        <v>710</v>
      </c>
      <c r="C105" s="580" t="s">
        <v>711</v>
      </c>
      <c r="D105" t="s">
        <v>712</v>
      </c>
      <c r="E105" s="77">
        <v>0</v>
      </c>
      <c r="F105" s="77">
        <v>9748.1</v>
      </c>
      <c r="G105" s="77">
        <v>-9748.1</v>
      </c>
      <c r="H105" s="77">
        <v>0</v>
      </c>
      <c r="I105" s="77">
        <v>0</v>
      </c>
      <c r="J105" s="112">
        <f t="shared" si="5"/>
        <v>0</v>
      </c>
      <c r="K105" s="112">
        <f t="shared" si="6"/>
        <v>0</v>
      </c>
      <c r="L105" s="346">
        <f>IFERROR(VLOOKUP(C105,'[4]DE x PARA'!C100:K2099,7,FALSE),"SINTÉTICA")</f>
        <v>500001</v>
      </c>
      <c r="M105">
        <f>IFERROR(VLOOKUP(B105,'[4]DE x PARA'!B100:K2099,10,FALSE),"SINTÉTICA")</f>
        <v>600017</v>
      </c>
      <c r="N105">
        <f>IFERROR(VLOOKUP(M105,'[4]DE x PARA'!$K$2:$L$2001,2,FALSE),0)</f>
        <v>-1</v>
      </c>
      <c r="O105">
        <f t="shared" si="7"/>
        <v>0</v>
      </c>
    </row>
    <row r="106" spans="1:15" ht="18">
      <c r="A106" t="str">
        <f t="shared" si="4"/>
        <v>2.1.1.04.0447</v>
      </c>
      <c r="B106" t="s">
        <v>713</v>
      </c>
      <c r="C106" s="580" t="s">
        <v>714</v>
      </c>
      <c r="D106" t="s">
        <v>715</v>
      </c>
      <c r="E106" s="77">
        <v>0</v>
      </c>
      <c r="F106" s="77">
        <v>23556</v>
      </c>
      <c r="G106" s="77">
        <v>-23556</v>
      </c>
      <c r="H106" s="77">
        <v>0</v>
      </c>
      <c r="I106" s="77">
        <v>0</v>
      </c>
      <c r="J106" s="112">
        <f t="shared" si="5"/>
        <v>0</v>
      </c>
      <c r="K106" s="112">
        <f t="shared" si="6"/>
        <v>0</v>
      </c>
      <c r="L106" s="346">
        <f>IFERROR(VLOOKUP(C106,'[4]DE x PARA'!C101:K2100,7,FALSE),"SINTÉTICA")</f>
        <v>500001</v>
      </c>
      <c r="M106">
        <f>IFERROR(VLOOKUP(B106,'[4]DE x PARA'!B101:K2100,10,FALSE),"SINTÉTICA")</f>
        <v>600017</v>
      </c>
      <c r="N106">
        <f>IFERROR(VLOOKUP(M106,'[4]DE x PARA'!$K$2:$L$2001,2,FALSE),0)</f>
        <v>-1</v>
      </c>
      <c r="O106">
        <f t="shared" si="7"/>
        <v>0</v>
      </c>
    </row>
    <row r="107" spans="1:15" ht="18">
      <c r="A107" t="str">
        <f t="shared" si="4"/>
        <v>2.1.1.04.0455</v>
      </c>
      <c r="B107" t="s">
        <v>716</v>
      </c>
      <c r="C107" s="580" t="s">
        <v>717</v>
      </c>
      <c r="D107" t="s">
        <v>718</v>
      </c>
      <c r="E107" s="77">
        <v>0</v>
      </c>
      <c r="F107" s="77">
        <v>0</v>
      </c>
      <c r="G107" s="77">
        <v>-36225</v>
      </c>
      <c r="H107" s="77">
        <v>-36225</v>
      </c>
      <c r="I107" s="77">
        <v>-36225</v>
      </c>
      <c r="J107" s="112">
        <f t="shared" si="5"/>
        <v>-36.225000000000001</v>
      </c>
      <c r="K107" s="112">
        <f t="shared" si="6"/>
        <v>-36</v>
      </c>
      <c r="L107" s="346">
        <f>IFERROR(VLOOKUP(C107,'[4]DE x PARA'!C102:K2101,7,FALSE),"SINTÉTICA")</f>
        <v>500001</v>
      </c>
      <c r="M107">
        <f>IFERROR(VLOOKUP(B107,'[4]DE x PARA'!B102:K2101,10,FALSE),"SINTÉTICA")</f>
        <v>600017</v>
      </c>
      <c r="N107">
        <f>IFERROR(VLOOKUP(M107,'[4]DE x PARA'!$K$2:$L$2001,2,FALSE),0)</f>
        <v>-1</v>
      </c>
      <c r="O107">
        <f t="shared" si="7"/>
        <v>36225</v>
      </c>
    </row>
    <row r="108" spans="1:15" ht="18">
      <c r="A108" t="str">
        <f t="shared" si="4"/>
        <v>2.1.1.04.0471</v>
      </c>
      <c r="B108" t="s">
        <v>719</v>
      </c>
      <c r="C108" s="580" t="s">
        <v>720</v>
      </c>
      <c r="D108" t="s">
        <v>721</v>
      </c>
      <c r="E108" s="77">
        <v>0</v>
      </c>
      <c r="F108" s="77">
        <v>9450</v>
      </c>
      <c r="G108" s="77">
        <v>-10800</v>
      </c>
      <c r="H108" s="77">
        <v>-1350</v>
      </c>
      <c r="I108" s="77">
        <v>-1350</v>
      </c>
      <c r="J108" s="112">
        <f t="shared" si="5"/>
        <v>-1.35</v>
      </c>
      <c r="K108" s="112">
        <f t="shared" si="6"/>
        <v>-1</v>
      </c>
      <c r="L108" s="346">
        <f>IFERROR(VLOOKUP(C108,'[4]DE x PARA'!C103:K2102,7,FALSE),"SINTÉTICA")</f>
        <v>500001</v>
      </c>
      <c r="M108">
        <f>IFERROR(VLOOKUP(B108,'[4]DE x PARA'!B103:K2102,10,FALSE),"SINTÉTICA")</f>
        <v>600017</v>
      </c>
      <c r="N108">
        <f>IFERROR(VLOOKUP(M108,'[4]DE x PARA'!$K$2:$L$2001,2,FALSE),0)</f>
        <v>-1</v>
      </c>
      <c r="O108">
        <f t="shared" si="7"/>
        <v>1350</v>
      </c>
    </row>
    <row r="109" spans="1:15" ht="18">
      <c r="A109" t="str">
        <f t="shared" si="4"/>
        <v>2.1.1.04.0526</v>
      </c>
      <c r="B109" t="s">
        <v>722</v>
      </c>
      <c r="C109" s="580" t="s">
        <v>723</v>
      </c>
      <c r="D109" t="s">
        <v>724</v>
      </c>
      <c r="E109" s="77">
        <v>0</v>
      </c>
      <c r="F109" s="77">
        <v>1090</v>
      </c>
      <c r="G109" s="77">
        <v>-1090</v>
      </c>
      <c r="H109" s="77">
        <v>0</v>
      </c>
      <c r="I109" s="77">
        <v>0</v>
      </c>
      <c r="J109" s="112">
        <f t="shared" si="5"/>
        <v>0</v>
      </c>
      <c r="K109" s="112">
        <f t="shared" si="6"/>
        <v>0</v>
      </c>
      <c r="L109" s="346">
        <f>IFERROR(VLOOKUP(C109,'[4]DE x PARA'!C104:K2103,7,FALSE),"SINTÉTICA")</f>
        <v>500001</v>
      </c>
      <c r="M109">
        <f>IFERROR(VLOOKUP(B109,'[4]DE x PARA'!B104:K2103,10,FALSE),"SINTÉTICA")</f>
        <v>600017</v>
      </c>
      <c r="N109">
        <f>IFERROR(VLOOKUP(M109,'[4]DE x PARA'!$K$2:$L$2001,2,FALSE),0)</f>
        <v>-1</v>
      </c>
      <c r="O109">
        <f t="shared" si="7"/>
        <v>0</v>
      </c>
    </row>
    <row r="110" spans="1:15" ht="18">
      <c r="A110" t="str">
        <f t="shared" si="4"/>
        <v>2.1.1.04.0537</v>
      </c>
      <c r="B110" t="s">
        <v>725</v>
      </c>
      <c r="C110" s="580" t="s">
        <v>726</v>
      </c>
      <c r="D110" t="s">
        <v>727</v>
      </c>
      <c r="E110" s="77">
        <v>0</v>
      </c>
      <c r="F110" s="77">
        <v>148220.35</v>
      </c>
      <c r="G110" s="77">
        <v>-148220.35</v>
      </c>
      <c r="H110" s="77">
        <v>0</v>
      </c>
      <c r="I110" s="77">
        <v>0</v>
      </c>
      <c r="J110" s="112">
        <f t="shared" si="5"/>
        <v>0</v>
      </c>
      <c r="K110" s="112">
        <f t="shared" si="6"/>
        <v>0</v>
      </c>
      <c r="L110" s="346">
        <f>IFERROR(VLOOKUP(C110,'[4]DE x PARA'!C105:K2104,7,FALSE),"SINTÉTICA")</f>
        <v>500001</v>
      </c>
      <c r="M110">
        <f>IFERROR(VLOOKUP(B110,'[4]DE x PARA'!B105:K2104,10,FALSE),"SINTÉTICA")</f>
        <v>600017</v>
      </c>
      <c r="N110">
        <f>IFERROR(VLOOKUP(M110,'[4]DE x PARA'!$K$2:$L$2001,2,FALSE),0)</f>
        <v>-1</v>
      </c>
      <c r="O110">
        <f t="shared" si="7"/>
        <v>0</v>
      </c>
    </row>
    <row r="111" spans="1:15" ht="18">
      <c r="A111" t="str">
        <f t="shared" si="4"/>
        <v>2.1.1.04.0541</v>
      </c>
      <c r="B111" t="s">
        <v>3226</v>
      </c>
      <c r="C111" s="580" t="s">
        <v>3227</v>
      </c>
      <c r="D111" t="s">
        <v>3228</v>
      </c>
      <c r="E111" s="77">
        <v>0</v>
      </c>
      <c r="F111" s="77">
        <v>30000</v>
      </c>
      <c r="G111" s="77">
        <v>-30000</v>
      </c>
      <c r="H111" s="77">
        <v>0</v>
      </c>
      <c r="I111" s="77">
        <v>0</v>
      </c>
      <c r="J111" s="112">
        <f t="shared" si="5"/>
        <v>0</v>
      </c>
      <c r="K111" s="112">
        <f t="shared" si="6"/>
        <v>0</v>
      </c>
      <c r="L111" s="346">
        <f>IFERROR(VLOOKUP(C111,'[4]DE x PARA'!C106:K2105,7,FALSE),"SINTÉTICA")</f>
        <v>500001</v>
      </c>
      <c r="M111">
        <f>IFERROR(VLOOKUP(B111,'[4]DE x PARA'!B106:K2105,10,FALSE),"SINTÉTICA")</f>
        <v>600017</v>
      </c>
      <c r="N111">
        <f>IFERROR(VLOOKUP(M111,'[4]DE x PARA'!$K$2:$L$2001,2,FALSE),0)</f>
        <v>-1</v>
      </c>
      <c r="O111">
        <f t="shared" si="7"/>
        <v>0</v>
      </c>
    </row>
    <row r="112" spans="1:15" ht="18">
      <c r="A112" t="str">
        <f t="shared" si="4"/>
        <v>2.1.1.04.0549</v>
      </c>
      <c r="B112" t="s">
        <v>728</v>
      </c>
      <c r="C112" s="580" t="s">
        <v>729</v>
      </c>
      <c r="D112" t="s">
        <v>730</v>
      </c>
      <c r="E112" s="77">
        <v>-84229.6</v>
      </c>
      <c r="F112" s="77">
        <v>0</v>
      </c>
      <c r="G112" s="77">
        <v>0</v>
      </c>
      <c r="H112" s="77">
        <v>0</v>
      </c>
      <c r="I112" s="77">
        <v>-84229.6</v>
      </c>
      <c r="J112" s="112">
        <f t="shared" si="5"/>
        <v>-84.229600000000005</v>
      </c>
      <c r="K112" s="112">
        <f t="shared" si="6"/>
        <v>-84</v>
      </c>
      <c r="L112" s="346">
        <f>IFERROR(VLOOKUP(C112,'[4]DE x PARA'!C107:K2106,7,FALSE),"SINTÉTICA")</f>
        <v>500001</v>
      </c>
      <c r="M112">
        <f>IFERROR(VLOOKUP(B112,'[4]DE x PARA'!B107:K2106,10,FALSE),"SINTÉTICA")</f>
        <v>600017</v>
      </c>
      <c r="N112">
        <f>IFERROR(VLOOKUP(M112,'[4]DE x PARA'!$K$2:$L$2001,2,FALSE),0)</f>
        <v>-1</v>
      </c>
      <c r="O112">
        <f t="shared" si="7"/>
        <v>0</v>
      </c>
    </row>
    <row r="113" spans="1:15" ht="18">
      <c r="A113" t="str">
        <f t="shared" si="4"/>
        <v>2.1.1.04.0568</v>
      </c>
      <c r="B113" t="s">
        <v>731</v>
      </c>
      <c r="C113" s="580">
        <v>33754500000000</v>
      </c>
      <c r="D113" t="s">
        <v>732</v>
      </c>
      <c r="E113" s="77">
        <v>0</v>
      </c>
      <c r="F113" s="77">
        <v>2691195.96</v>
      </c>
      <c r="G113" s="77">
        <v>-2691195.96</v>
      </c>
      <c r="H113" s="77">
        <v>0</v>
      </c>
      <c r="I113" s="77">
        <v>0</v>
      </c>
      <c r="J113" s="112">
        <f t="shared" si="5"/>
        <v>0</v>
      </c>
      <c r="K113" s="112">
        <f t="shared" si="6"/>
        <v>0</v>
      </c>
      <c r="L113" s="346" t="str">
        <f>IFERROR(VLOOKUP(C113,'[4]DE x PARA'!C108:K2107,7,FALSE),"SINTÉTICA")</f>
        <v>SINTÉTICA</v>
      </c>
      <c r="M113">
        <f>IFERROR(VLOOKUP(B113,'[4]DE x PARA'!B108:K2107,10,FALSE),"SINTÉTICA")</f>
        <v>600017</v>
      </c>
      <c r="N113">
        <f>IFERROR(VLOOKUP(M113,'[4]DE x PARA'!$K$2:$L$2001,2,FALSE),0)</f>
        <v>-1</v>
      </c>
      <c r="O113">
        <f t="shared" si="7"/>
        <v>0</v>
      </c>
    </row>
    <row r="114" spans="1:15" ht="18">
      <c r="A114" t="str">
        <f t="shared" si="4"/>
        <v>2.1.1.04.0575</v>
      </c>
      <c r="B114" t="s">
        <v>3317</v>
      </c>
      <c r="C114" s="580">
        <v>23056200000000</v>
      </c>
      <c r="D114" t="s">
        <v>3318</v>
      </c>
      <c r="E114" s="77">
        <v>0</v>
      </c>
      <c r="F114" s="77">
        <v>1000</v>
      </c>
      <c r="G114" s="77">
        <v>-1000</v>
      </c>
      <c r="H114" s="77">
        <v>0</v>
      </c>
      <c r="I114" s="77">
        <v>0</v>
      </c>
      <c r="J114" s="112">
        <f t="shared" si="5"/>
        <v>0</v>
      </c>
      <c r="K114" s="112">
        <f t="shared" si="6"/>
        <v>0</v>
      </c>
      <c r="L114" s="346" t="str">
        <f>IFERROR(VLOOKUP(C114,'[4]DE x PARA'!C109:K2108,7,FALSE),"SINTÉTICA")</f>
        <v>SINTÉTICA</v>
      </c>
      <c r="M114">
        <f>IFERROR(VLOOKUP(B114,'[4]DE x PARA'!B109:K2108,10,FALSE),"SINTÉTICA")</f>
        <v>600017</v>
      </c>
      <c r="N114">
        <f>IFERROR(VLOOKUP(M114,'[4]DE x PARA'!$K$2:$L$2001,2,FALSE),0)</f>
        <v>-1</v>
      </c>
      <c r="O114">
        <f t="shared" si="7"/>
        <v>0</v>
      </c>
    </row>
    <row r="115" spans="1:15" ht="18">
      <c r="A115" t="str">
        <f t="shared" si="4"/>
        <v>2.1.1.04.0591</v>
      </c>
      <c r="B115" t="s">
        <v>733</v>
      </c>
      <c r="C115" s="580">
        <v>3017430000000</v>
      </c>
      <c r="D115" t="s">
        <v>734</v>
      </c>
      <c r="E115" s="77">
        <v>-15090</v>
      </c>
      <c r="F115" s="77">
        <v>57958</v>
      </c>
      <c r="G115" s="77">
        <v>-43268</v>
      </c>
      <c r="H115" s="77">
        <v>14690</v>
      </c>
      <c r="I115" s="77">
        <v>-400</v>
      </c>
      <c r="J115" s="112">
        <f t="shared" si="5"/>
        <v>-0.4</v>
      </c>
      <c r="K115" s="112">
        <f t="shared" si="6"/>
        <v>0</v>
      </c>
      <c r="L115" s="346" t="str">
        <f>IFERROR(VLOOKUP(C115,'[4]DE x PARA'!C110:K2109,7,FALSE),"SINTÉTICA")</f>
        <v>SINTÉTICA</v>
      </c>
      <c r="M115">
        <f>IFERROR(VLOOKUP(B115,'[4]DE x PARA'!B110:K2109,10,FALSE),"SINTÉTICA")</f>
        <v>600017</v>
      </c>
      <c r="N115">
        <f>IFERROR(VLOOKUP(M115,'[4]DE x PARA'!$K$2:$L$2001,2,FALSE),0)</f>
        <v>-1</v>
      </c>
      <c r="O115">
        <f t="shared" si="7"/>
        <v>-14690</v>
      </c>
    </row>
    <row r="116" spans="1:15" ht="18">
      <c r="A116" t="str">
        <f t="shared" si="4"/>
        <v>2.1.1.04.0618</v>
      </c>
      <c r="B116" t="s">
        <v>3417</v>
      </c>
      <c r="C116" s="580">
        <v>10499000000000</v>
      </c>
      <c r="D116" t="s">
        <v>3418</v>
      </c>
      <c r="E116" s="77">
        <v>0</v>
      </c>
      <c r="F116" s="77">
        <v>9826</v>
      </c>
      <c r="G116" s="77">
        <v>-9826</v>
      </c>
      <c r="H116" s="77">
        <v>0</v>
      </c>
      <c r="I116" s="77">
        <v>0</v>
      </c>
      <c r="J116" s="112">
        <f t="shared" si="5"/>
        <v>0</v>
      </c>
      <c r="K116" s="112">
        <f t="shared" si="6"/>
        <v>0</v>
      </c>
      <c r="L116" s="346" t="str">
        <f>IFERROR(VLOOKUP(C116,'[4]DE x PARA'!C111:K2110,7,FALSE),"SINTÉTICA")</f>
        <v>SINTÉTICA</v>
      </c>
      <c r="M116">
        <f>IFERROR(VLOOKUP(B116,'[4]DE x PARA'!B111:K2110,10,FALSE),"SINTÉTICA")</f>
        <v>600017</v>
      </c>
      <c r="N116">
        <f>IFERROR(VLOOKUP(M116,'[4]DE x PARA'!$K$2:$L$2001,2,FALSE),0)</f>
        <v>-1</v>
      </c>
      <c r="O116">
        <f t="shared" si="7"/>
        <v>0</v>
      </c>
    </row>
    <row r="117" spans="1:15" ht="18">
      <c r="A117" t="str">
        <f t="shared" si="4"/>
        <v>2.1.1.04.0632</v>
      </c>
      <c r="B117" t="s">
        <v>735</v>
      </c>
      <c r="C117" s="580">
        <v>33555900000000</v>
      </c>
      <c r="D117" t="s">
        <v>736</v>
      </c>
      <c r="E117" s="77">
        <v>0</v>
      </c>
      <c r="F117" s="77">
        <v>16876</v>
      </c>
      <c r="G117" s="77">
        <v>-16876</v>
      </c>
      <c r="H117" s="77">
        <v>0</v>
      </c>
      <c r="I117" s="77">
        <v>0</v>
      </c>
      <c r="J117" s="112">
        <f t="shared" si="5"/>
        <v>0</v>
      </c>
      <c r="K117" s="112">
        <f t="shared" si="6"/>
        <v>0</v>
      </c>
      <c r="L117" s="346" t="str">
        <f>IFERROR(VLOOKUP(C117,'[4]DE x PARA'!C112:K2111,7,FALSE),"SINTÉTICA")</f>
        <v>SINTÉTICA</v>
      </c>
      <c r="M117">
        <f>IFERROR(VLOOKUP(B117,'[4]DE x PARA'!B112:K2111,10,FALSE),"SINTÉTICA")</f>
        <v>600017</v>
      </c>
      <c r="N117">
        <f>IFERROR(VLOOKUP(M117,'[4]DE x PARA'!$K$2:$L$2001,2,FALSE),0)</f>
        <v>-1</v>
      </c>
      <c r="O117">
        <f t="shared" si="7"/>
        <v>0</v>
      </c>
    </row>
    <row r="118" spans="1:15" ht="18">
      <c r="A118" t="str">
        <f t="shared" si="4"/>
        <v>2.1.1.04.0633</v>
      </c>
      <c r="B118" t="s">
        <v>737</v>
      </c>
      <c r="C118" s="580">
        <v>482998000000</v>
      </c>
      <c r="D118" t="s">
        <v>738</v>
      </c>
      <c r="E118" s="77">
        <v>0</v>
      </c>
      <c r="F118" s="77">
        <v>379.63</v>
      </c>
      <c r="G118" s="77">
        <v>-379.63</v>
      </c>
      <c r="H118" s="77">
        <v>0</v>
      </c>
      <c r="I118" s="77">
        <v>0</v>
      </c>
      <c r="J118" s="112">
        <f t="shared" si="5"/>
        <v>0</v>
      </c>
      <c r="K118" s="112">
        <f t="shared" si="6"/>
        <v>0</v>
      </c>
      <c r="L118" s="346" t="str">
        <f>IFERROR(VLOOKUP(C118,'[4]DE x PARA'!C113:K2112,7,FALSE),"SINTÉTICA")</f>
        <v>SINTÉTICA</v>
      </c>
      <c r="M118">
        <f>IFERROR(VLOOKUP(B118,'[4]DE x PARA'!B113:K2112,10,FALSE),"SINTÉTICA")</f>
        <v>600017</v>
      </c>
      <c r="N118">
        <f>IFERROR(VLOOKUP(M118,'[4]DE x PARA'!$K$2:$L$2001,2,FALSE),0)</f>
        <v>-1</v>
      </c>
      <c r="O118">
        <f t="shared" si="7"/>
        <v>0</v>
      </c>
    </row>
    <row r="119" spans="1:15" ht="18">
      <c r="A119" t="str">
        <f t="shared" si="4"/>
        <v>2.1.1.04.0648</v>
      </c>
      <c r="B119" t="s">
        <v>739</v>
      </c>
      <c r="C119" s="580">
        <v>16727400000000</v>
      </c>
      <c r="D119" t="s">
        <v>740</v>
      </c>
      <c r="E119" s="77">
        <v>-484.69</v>
      </c>
      <c r="F119" s="77">
        <v>28441.84</v>
      </c>
      <c r="G119" s="77">
        <v>-31414.5</v>
      </c>
      <c r="H119" s="77">
        <v>-2972.66</v>
      </c>
      <c r="I119" s="77">
        <v>-3457.35</v>
      </c>
      <c r="J119" s="112">
        <f t="shared" si="5"/>
        <v>-3.4573499999999999</v>
      </c>
      <c r="K119" s="112">
        <f t="shared" si="6"/>
        <v>-3</v>
      </c>
      <c r="L119" s="346" t="str">
        <f>IFERROR(VLOOKUP(C119,'[4]DE x PARA'!C114:K2113,7,FALSE),"SINTÉTICA")</f>
        <v>SINTÉTICA</v>
      </c>
      <c r="M119">
        <f>IFERROR(VLOOKUP(B119,'[4]DE x PARA'!B114:K2113,10,FALSE),"SINTÉTICA")</f>
        <v>600017</v>
      </c>
      <c r="N119">
        <f>IFERROR(VLOOKUP(M119,'[4]DE x PARA'!$K$2:$L$2001,2,FALSE),0)</f>
        <v>-1</v>
      </c>
      <c r="O119">
        <f t="shared" si="7"/>
        <v>2972.66</v>
      </c>
    </row>
    <row r="120" spans="1:15" ht="18">
      <c r="A120" t="str">
        <f t="shared" si="4"/>
        <v>2.1.1.04.0652</v>
      </c>
      <c r="B120" t="s">
        <v>741</v>
      </c>
      <c r="C120" s="580">
        <v>3535900000000</v>
      </c>
      <c r="D120" t="s">
        <v>742</v>
      </c>
      <c r="E120" s="77">
        <v>0</v>
      </c>
      <c r="F120" s="77">
        <v>217855.77</v>
      </c>
      <c r="G120" s="77">
        <v>-217855.77</v>
      </c>
      <c r="H120" s="77">
        <v>0</v>
      </c>
      <c r="I120" s="77">
        <v>0</v>
      </c>
      <c r="J120" s="112">
        <f t="shared" si="5"/>
        <v>0</v>
      </c>
      <c r="K120" s="112">
        <f t="shared" si="6"/>
        <v>0</v>
      </c>
      <c r="L120" s="346" t="str">
        <f>IFERROR(VLOOKUP(C120,'[4]DE x PARA'!C115:K2114,7,FALSE),"SINTÉTICA")</f>
        <v>SINTÉTICA</v>
      </c>
      <c r="M120">
        <f>IFERROR(VLOOKUP(B120,'[4]DE x PARA'!B115:K2114,10,FALSE),"SINTÉTICA")</f>
        <v>600017</v>
      </c>
      <c r="N120">
        <f>IFERROR(VLOOKUP(M120,'[4]DE x PARA'!$K$2:$L$2001,2,FALSE),0)</f>
        <v>-1</v>
      </c>
      <c r="O120">
        <f t="shared" si="7"/>
        <v>0</v>
      </c>
    </row>
    <row r="121" spans="1:15" ht="18">
      <c r="A121" t="str">
        <f t="shared" si="4"/>
        <v>2.1.1.04.0654</v>
      </c>
      <c r="B121" t="s">
        <v>743</v>
      </c>
      <c r="C121" s="580">
        <v>18324158</v>
      </c>
      <c r="D121" t="s">
        <v>744</v>
      </c>
      <c r="E121" s="77">
        <v>0</v>
      </c>
      <c r="F121" s="77">
        <v>0</v>
      </c>
      <c r="G121" s="77">
        <v>-840</v>
      </c>
      <c r="H121" s="77">
        <v>-840</v>
      </c>
      <c r="I121" s="77">
        <v>-840</v>
      </c>
      <c r="J121" s="112">
        <f t="shared" si="5"/>
        <v>-0.84</v>
      </c>
      <c r="K121" s="112">
        <f t="shared" si="6"/>
        <v>-1</v>
      </c>
      <c r="L121" s="346">
        <f>IFERROR(VLOOKUP(C121,'[4]DE x PARA'!C116:K2115,7,FALSE),"SINTÉTICA")</f>
        <v>500001</v>
      </c>
      <c r="M121">
        <f>IFERROR(VLOOKUP(B121,'[4]DE x PARA'!B116:K2115,10,FALSE),"SINTÉTICA")</f>
        <v>600017</v>
      </c>
      <c r="N121">
        <f>IFERROR(VLOOKUP(M121,'[4]DE x PARA'!$K$2:$L$2001,2,FALSE),0)</f>
        <v>-1</v>
      </c>
      <c r="O121">
        <f t="shared" si="7"/>
        <v>840</v>
      </c>
    </row>
    <row r="122" spans="1:15" ht="18">
      <c r="A122" t="str">
        <f t="shared" si="4"/>
        <v>2.1.1.04.0663</v>
      </c>
      <c r="B122" t="s">
        <v>3502</v>
      </c>
      <c r="C122" s="580">
        <v>854137000000</v>
      </c>
      <c r="D122" t="s">
        <v>3503</v>
      </c>
      <c r="E122" s="77">
        <v>0</v>
      </c>
      <c r="F122" s="77">
        <v>3825</v>
      </c>
      <c r="G122" s="77">
        <v>-3825</v>
      </c>
      <c r="H122" s="77">
        <v>0</v>
      </c>
      <c r="I122" s="77">
        <v>0</v>
      </c>
      <c r="J122" s="112">
        <f t="shared" si="5"/>
        <v>0</v>
      </c>
      <c r="K122" s="112">
        <f t="shared" si="6"/>
        <v>0</v>
      </c>
      <c r="L122" s="346" t="str">
        <f>IFERROR(VLOOKUP(C122,'[4]DE x PARA'!C117:K2116,7,FALSE),"SINTÉTICA")</f>
        <v>SINTÉTICA</v>
      </c>
      <c r="M122">
        <f>IFERROR(VLOOKUP(B122,'[4]DE x PARA'!B117:K2116,10,FALSE),"SINTÉTICA")</f>
        <v>600017</v>
      </c>
      <c r="N122">
        <f>IFERROR(VLOOKUP(M122,'[4]DE x PARA'!$K$2:$L$2001,2,FALSE),0)</f>
        <v>-1</v>
      </c>
      <c r="O122">
        <f t="shared" si="7"/>
        <v>0</v>
      </c>
    </row>
    <row r="123" spans="1:15" ht="18">
      <c r="A123" t="str">
        <f t="shared" si="4"/>
        <v>2.1.1.04.0665</v>
      </c>
      <c r="B123" t="s">
        <v>745</v>
      </c>
      <c r="C123" s="580">
        <v>5555380000000</v>
      </c>
      <c r="D123" t="s">
        <v>746</v>
      </c>
      <c r="E123" s="77">
        <v>-99.6</v>
      </c>
      <c r="F123" s="77">
        <v>979.6</v>
      </c>
      <c r="G123" s="77">
        <v>-880</v>
      </c>
      <c r="H123" s="77">
        <v>99.6</v>
      </c>
      <c r="I123" s="77">
        <v>0</v>
      </c>
      <c r="J123" s="112">
        <f t="shared" si="5"/>
        <v>0</v>
      </c>
      <c r="K123" s="112">
        <f t="shared" si="6"/>
        <v>0</v>
      </c>
      <c r="L123" s="346" t="str">
        <f>IFERROR(VLOOKUP(C123,'[4]DE x PARA'!C118:K2117,7,FALSE),"SINTÉTICA")</f>
        <v>SINTÉTICA</v>
      </c>
      <c r="M123">
        <f>IFERROR(VLOOKUP(B123,'[4]DE x PARA'!B118:K2117,10,FALSE),"SINTÉTICA")</f>
        <v>600017</v>
      </c>
      <c r="N123">
        <f>IFERROR(VLOOKUP(M123,'[4]DE x PARA'!$K$2:$L$2001,2,FALSE),0)</f>
        <v>-1</v>
      </c>
      <c r="O123">
        <f t="shared" si="7"/>
        <v>-99.6</v>
      </c>
    </row>
    <row r="124" spans="1:15" ht="18">
      <c r="A124" t="str">
        <f t="shared" si="4"/>
        <v>2.1.1.04.0679</v>
      </c>
      <c r="B124" t="s">
        <v>3532</v>
      </c>
      <c r="C124" s="580">
        <v>26464900000000</v>
      </c>
      <c r="D124" t="s">
        <v>3533</v>
      </c>
      <c r="E124" s="77">
        <v>0</v>
      </c>
      <c r="F124" s="77">
        <v>360</v>
      </c>
      <c r="G124" s="77">
        <v>-360</v>
      </c>
      <c r="H124" s="77">
        <v>0</v>
      </c>
      <c r="I124" s="77">
        <v>0</v>
      </c>
      <c r="J124" s="112">
        <f t="shared" si="5"/>
        <v>0</v>
      </c>
      <c r="K124" s="112">
        <f t="shared" si="6"/>
        <v>0</v>
      </c>
      <c r="L124" s="346" t="str">
        <f>IFERROR(VLOOKUP(C124,'[4]DE x PARA'!C119:K2118,7,FALSE),"SINTÉTICA")</f>
        <v>SINTÉTICA</v>
      </c>
      <c r="M124">
        <f>IFERROR(VLOOKUP(B124,'[4]DE x PARA'!B119:K2118,10,FALSE),"SINTÉTICA")</f>
        <v>600017</v>
      </c>
      <c r="N124">
        <f>IFERROR(VLOOKUP(M124,'[4]DE x PARA'!$K$2:$L$2001,2,FALSE),0)</f>
        <v>-1</v>
      </c>
      <c r="O124">
        <f t="shared" si="7"/>
        <v>0</v>
      </c>
    </row>
    <row r="125" spans="1:15" ht="18">
      <c r="A125" t="str">
        <f t="shared" si="4"/>
        <v>2.1.1.04.0683</v>
      </c>
      <c r="B125" t="s">
        <v>747</v>
      </c>
      <c r="C125" s="580">
        <v>3200400001</v>
      </c>
      <c r="D125" t="s">
        <v>748</v>
      </c>
      <c r="E125" s="77">
        <v>-2176.25</v>
      </c>
      <c r="F125" s="77">
        <v>0</v>
      </c>
      <c r="G125" s="77">
        <v>0</v>
      </c>
      <c r="H125" s="77">
        <v>0</v>
      </c>
      <c r="I125" s="77">
        <v>-2176.25</v>
      </c>
      <c r="J125" s="112">
        <f t="shared" si="5"/>
        <v>-2.17625</v>
      </c>
      <c r="K125" s="112">
        <f t="shared" si="6"/>
        <v>-2</v>
      </c>
      <c r="L125" s="346">
        <f>IFERROR(VLOOKUP(C125,'[4]DE x PARA'!C120:K2119,7,FALSE),"SINTÉTICA")</f>
        <v>500001</v>
      </c>
      <c r="M125">
        <f>IFERROR(VLOOKUP(B125,'[4]DE x PARA'!B120:K2119,10,FALSE),"SINTÉTICA")</f>
        <v>600017</v>
      </c>
      <c r="N125">
        <f>IFERROR(VLOOKUP(M125,'[4]DE x PARA'!$K$2:$L$2001,2,FALSE),0)</f>
        <v>-1</v>
      </c>
      <c r="O125">
        <f t="shared" si="7"/>
        <v>0</v>
      </c>
    </row>
    <row r="126" spans="1:15" ht="18">
      <c r="A126" t="str">
        <f t="shared" si="4"/>
        <v>2.1.1.04.0703</v>
      </c>
      <c r="B126" t="s">
        <v>3578</v>
      </c>
      <c r="C126" s="580">
        <v>67632200000000</v>
      </c>
      <c r="D126" t="s">
        <v>3579</v>
      </c>
      <c r="E126" s="77">
        <v>0</v>
      </c>
      <c r="F126" s="77">
        <v>854441.93</v>
      </c>
      <c r="G126" s="77">
        <v>-854441.93</v>
      </c>
      <c r="H126" s="77">
        <v>0</v>
      </c>
      <c r="I126" s="77">
        <v>0</v>
      </c>
      <c r="J126" s="112">
        <f t="shared" si="5"/>
        <v>0</v>
      </c>
      <c r="K126" s="112">
        <f t="shared" si="6"/>
        <v>0</v>
      </c>
      <c r="L126" s="346" t="str">
        <f>IFERROR(VLOOKUP(C126,'[4]DE x PARA'!C121:K2120,7,FALSE),"SINTÉTICA")</f>
        <v>SINTÉTICA</v>
      </c>
      <c r="M126">
        <f>IFERROR(VLOOKUP(B126,'[4]DE x PARA'!B121:K2120,10,FALSE),"SINTÉTICA")</f>
        <v>600017</v>
      </c>
      <c r="N126">
        <f>IFERROR(VLOOKUP(M126,'[4]DE x PARA'!$K$2:$L$2001,2,FALSE),0)</f>
        <v>-1</v>
      </c>
      <c r="O126">
        <f t="shared" si="7"/>
        <v>0</v>
      </c>
    </row>
    <row r="127" spans="1:15" ht="18">
      <c r="A127" t="str">
        <f t="shared" si="4"/>
        <v>2.1.1.04.0704</v>
      </c>
      <c r="B127" t="s">
        <v>3580</v>
      </c>
      <c r="C127" s="580">
        <v>5761750000000</v>
      </c>
      <c r="D127" t="s">
        <v>3581</v>
      </c>
      <c r="E127" s="77">
        <v>0</v>
      </c>
      <c r="F127" s="77">
        <v>979124.44</v>
      </c>
      <c r="G127" s="77">
        <v>-979124.44</v>
      </c>
      <c r="H127" s="77">
        <v>0</v>
      </c>
      <c r="I127" s="77">
        <v>0</v>
      </c>
      <c r="J127" s="112">
        <f t="shared" si="5"/>
        <v>0</v>
      </c>
      <c r="K127" s="112">
        <f t="shared" si="6"/>
        <v>0</v>
      </c>
      <c r="L127" s="346" t="str">
        <f>IFERROR(VLOOKUP(C127,'[4]DE x PARA'!C122:K2121,7,FALSE),"SINTÉTICA")</f>
        <v>SINTÉTICA</v>
      </c>
      <c r="M127">
        <f>IFERROR(VLOOKUP(B127,'[4]DE x PARA'!B122:K2121,10,FALSE),"SINTÉTICA")</f>
        <v>600017</v>
      </c>
      <c r="N127">
        <f>IFERROR(VLOOKUP(M127,'[4]DE x PARA'!$K$2:$L$2001,2,FALSE),0)</f>
        <v>-1</v>
      </c>
      <c r="O127">
        <f t="shared" si="7"/>
        <v>0</v>
      </c>
    </row>
    <row r="128" spans="1:15" ht="18">
      <c r="A128" t="str">
        <f t="shared" si="4"/>
        <v>2.1.1.04.0744</v>
      </c>
      <c r="B128" t="s">
        <v>749</v>
      </c>
      <c r="C128" s="580">
        <v>10348300000000</v>
      </c>
      <c r="D128" t="s">
        <v>750</v>
      </c>
      <c r="E128" s="77">
        <v>0</v>
      </c>
      <c r="F128" s="77">
        <v>7965.56</v>
      </c>
      <c r="G128" s="77">
        <v>-7965.56</v>
      </c>
      <c r="H128" s="77">
        <v>0</v>
      </c>
      <c r="I128" s="77">
        <v>0</v>
      </c>
      <c r="J128" s="112">
        <f t="shared" si="5"/>
        <v>0</v>
      </c>
      <c r="K128" s="112">
        <f t="shared" si="6"/>
        <v>0</v>
      </c>
      <c r="L128" s="346" t="str">
        <f>IFERROR(VLOOKUP(C128,'[4]DE x PARA'!C123:K2122,7,FALSE),"SINTÉTICA")</f>
        <v>SINTÉTICA</v>
      </c>
      <c r="M128">
        <f>IFERROR(VLOOKUP(B128,'[4]DE x PARA'!B123:K2122,10,FALSE),"SINTÉTICA")</f>
        <v>600017</v>
      </c>
      <c r="N128">
        <f>IFERROR(VLOOKUP(M128,'[4]DE x PARA'!$K$2:$L$2001,2,FALSE),0)</f>
        <v>-1</v>
      </c>
      <c r="O128">
        <f t="shared" si="7"/>
        <v>0</v>
      </c>
    </row>
    <row r="129" spans="1:15" ht="18">
      <c r="A129" t="str">
        <f t="shared" si="4"/>
        <v>2.1.1.04.0748</v>
      </c>
      <c r="B129" t="s">
        <v>751</v>
      </c>
      <c r="C129" s="580">
        <v>16457800000000</v>
      </c>
      <c r="D129" t="s">
        <v>752</v>
      </c>
      <c r="E129" s="77">
        <v>0</v>
      </c>
      <c r="F129" s="77">
        <v>4496.5</v>
      </c>
      <c r="G129" s="77">
        <v>-4496.5</v>
      </c>
      <c r="H129" s="77">
        <v>0</v>
      </c>
      <c r="I129" s="77">
        <v>0</v>
      </c>
      <c r="J129" s="112">
        <f t="shared" si="5"/>
        <v>0</v>
      </c>
      <c r="K129" s="112">
        <f t="shared" si="6"/>
        <v>0</v>
      </c>
      <c r="L129" s="346" t="str">
        <f>IFERROR(VLOOKUP(C129,'[4]DE x PARA'!C124:K2123,7,FALSE),"SINTÉTICA")</f>
        <v>SINTÉTICA</v>
      </c>
      <c r="M129">
        <f>IFERROR(VLOOKUP(B129,'[4]DE x PARA'!B124:K2123,10,FALSE),"SINTÉTICA")</f>
        <v>600017</v>
      </c>
      <c r="N129">
        <f>IFERROR(VLOOKUP(M129,'[4]DE x PARA'!$K$2:$L$2001,2,FALSE),0)</f>
        <v>-1</v>
      </c>
      <c r="O129">
        <f t="shared" si="7"/>
        <v>0</v>
      </c>
    </row>
    <row r="130" spans="1:15" ht="18">
      <c r="A130" t="str">
        <f t="shared" si="4"/>
        <v>2.1.1.04.0751</v>
      </c>
      <c r="B130" t="s">
        <v>3671</v>
      </c>
      <c r="C130" s="580">
        <v>8896750000000</v>
      </c>
      <c r="D130" t="s">
        <v>3672</v>
      </c>
      <c r="E130" s="77">
        <v>0</v>
      </c>
      <c r="F130" s="77">
        <v>490088.99</v>
      </c>
      <c r="G130" s="77">
        <v>-490088.99</v>
      </c>
      <c r="H130" s="77">
        <v>0</v>
      </c>
      <c r="I130" s="77">
        <v>0</v>
      </c>
      <c r="J130" s="112">
        <f t="shared" si="5"/>
        <v>0</v>
      </c>
      <c r="K130" s="112">
        <f t="shared" si="6"/>
        <v>0</v>
      </c>
      <c r="L130" s="346" t="str">
        <f>IFERROR(VLOOKUP(C130,'[4]DE x PARA'!C125:K2124,7,FALSE),"SINTÉTICA")</f>
        <v>SINTÉTICA</v>
      </c>
      <c r="M130">
        <f>IFERROR(VLOOKUP(B130,'[4]DE x PARA'!B125:K2124,10,FALSE),"SINTÉTICA")</f>
        <v>600017</v>
      </c>
      <c r="N130">
        <f>IFERROR(VLOOKUP(M130,'[4]DE x PARA'!$K$2:$L$2001,2,FALSE),0)</f>
        <v>-1</v>
      </c>
      <c r="O130">
        <f t="shared" si="7"/>
        <v>0</v>
      </c>
    </row>
    <row r="131" spans="1:15" ht="18">
      <c r="A131" t="str">
        <f t="shared" si="4"/>
        <v>2.1.1.04.0761</v>
      </c>
      <c r="B131" t="s">
        <v>753</v>
      </c>
      <c r="C131" s="580">
        <v>23458500000000</v>
      </c>
      <c r="D131" t="s">
        <v>754</v>
      </c>
      <c r="E131" s="77">
        <v>-10564.17</v>
      </c>
      <c r="F131" s="77">
        <v>92230.86</v>
      </c>
      <c r="G131" s="77">
        <v>-81666.69</v>
      </c>
      <c r="H131" s="77">
        <v>10564.17</v>
      </c>
      <c r="I131" s="77">
        <v>0</v>
      </c>
      <c r="J131" s="112">
        <f t="shared" si="5"/>
        <v>0</v>
      </c>
      <c r="K131" s="112">
        <f t="shared" si="6"/>
        <v>0</v>
      </c>
      <c r="L131" s="346" t="str">
        <f>IFERROR(VLOOKUP(C131,'[4]DE x PARA'!C126:K2125,7,FALSE),"SINTÉTICA")</f>
        <v>SINTÉTICA</v>
      </c>
      <c r="M131">
        <f>IFERROR(VLOOKUP(B131,'[4]DE x PARA'!B126:K2125,10,FALSE),"SINTÉTICA")</f>
        <v>600017</v>
      </c>
      <c r="N131">
        <f>IFERROR(VLOOKUP(M131,'[4]DE x PARA'!$K$2:$L$2001,2,FALSE),0)</f>
        <v>-1</v>
      </c>
      <c r="O131">
        <f t="shared" si="7"/>
        <v>-10564.17</v>
      </c>
    </row>
    <row r="132" spans="1:15" ht="18">
      <c r="A132" t="str">
        <f t="shared" si="4"/>
        <v>2.1.1.04.0777</v>
      </c>
      <c r="B132" t="s">
        <v>755</v>
      </c>
      <c r="C132" s="580">
        <v>52618100000000</v>
      </c>
      <c r="D132" t="s">
        <v>756</v>
      </c>
      <c r="E132" s="77">
        <v>0</v>
      </c>
      <c r="F132" s="77">
        <v>2551.65</v>
      </c>
      <c r="G132" s="77">
        <v>-2946.8</v>
      </c>
      <c r="H132" s="77">
        <v>-395.15</v>
      </c>
      <c r="I132" s="77">
        <v>-395.15</v>
      </c>
      <c r="J132" s="112">
        <f t="shared" si="5"/>
        <v>-0.39515</v>
      </c>
      <c r="K132" s="112">
        <f t="shared" si="6"/>
        <v>0</v>
      </c>
      <c r="L132" s="346" t="str">
        <f>IFERROR(VLOOKUP(C132,'[4]DE x PARA'!C127:K2126,7,FALSE),"SINTÉTICA")</f>
        <v>SINTÉTICA</v>
      </c>
      <c r="M132">
        <f>IFERROR(VLOOKUP(B132,'[4]DE x PARA'!B127:K2126,10,FALSE),"SINTÉTICA")</f>
        <v>600017</v>
      </c>
      <c r="N132">
        <f>IFERROR(VLOOKUP(M132,'[4]DE x PARA'!$K$2:$L$2001,2,FALSE),0)</f>
        <v>-1</v>
      </c>
      <c r="O132">
        <f t="shared" si="7"/>
        <v>395.15</v>
      </c>
    </row>
    <row r="133" spans="1:15" ht="18">
      <c r="A133" t="str">
        <f t="shared" si="4"/>
        <v>2.1.1.04.0781</v>
      </c>
      <c r="B133" t="s">
        <v>757</v>
      </c>
      <c r="C133" s="580">
        <v>2593170000000</v>
      </c>
      <c r="D133" t="s">
        <v>758</v>
      </c>
      <c r="E133" s="77">
        <v>0</v>
      </c>
      <c r="F133" s="77">
        <v>220000</v>
      </c>
      <c r="G133" s="77">
        <v>-275000</v>
      </c>
      <c r="H133" s="77">
        <v>-55000</v>
      </c>
      <c r="I133" s="77">
        <v>-55000</v>
      </c>
      <c r="J133" s="112">
        <f t="shared" si="5"/>
        <v>-55</v>
      </c>
      <c r="K133" s="112">
        <f t="shared" si="6"/>
        <v>-55</v>
      </c>
      <c r="L133" s="346" t="str">
        <f>IFERROR(VLOOKUP(C133,'[4]DE x PARA'!C128:K2127,7,FALSE),"SINTÉTICA")</f>
        <v>SINTÉTICA</v>
      </c>
      <c r="M133">
        <f>IFERROR(VLOOKUP(B133,'[4]DE x PARA'!B128:K2127,10,FALSE),"SINTÉTICA")</f>
        <v>600017</v>
      </c>
      <c r="N133">
        <f>IFERROR(VLOOKUP(M133,'[4]DE x PARA'!$K$2:$L$2001,2,FALSE),0)</f>
        <v>-1</v>
      </c>
      <c r="O133">
        <f t="shared" si="7"/>
        <v>55000</v>
      </c>
    </row>
    <row r="134" spans="1:15" ht="18">
      <c r="A134" t="str">
        <f t="shared" si="4"/>
        <v>2.1.1.04.0811</v>
      </c>
      <c r="B134" t="s">
        <v>759</v>
      </c>
      <c r="C134" s="580">
        <v>2676310000000</v>
      </c>
      <c r="D134" t="s">
        <v>760</v>
      </c>
      <c r="E134" s="77">
        <v>-15147.19</v>
      </c>
      <c r="F134" s="77">
        <v>872136.37</v>
      </c>
      <c r="G134" s="77">
        <v>-856989.18</v>
      </c>
      <c r="H134" s="77">
        <v>15147.19</v>
      </c>
      <c r="I134" s="77">
        <v>0</v>
      </c>
      <c r="J134" s="112">
        <f t="shared" si="5"/>
        <v>0</v>
      </c>
      <c r="K134" s="112">
        <f t="shared" si="6"/>
        <v>0</v>
      </c>
      <c r="L134" s="346" t="str">
        <f>IFERROR(VLOOKUP(C134,'[4]DE x PARA'!C129:K2128,7,FALSE),"SINTÉTICA")</f>
        <v>SINTÉTICA</v>
      </c>
      <c r="M134">
        <f>IFERROR(VLOOKUP(B134,'[4]DE x PARA'!B129:K2128,10,FALSE),"SINTÉTICA")</f>
        <v>600017</v>
      </c>
      <c r="N134">
        <f>IFERROR(VLOOKUP(M134,'[4]DE x PARA'!$K$2:$L$2001,2,FALSE),0)</f>
        <v>-1</v>
      </c>
      <c r="O134">
        <f t="shared" si="7"/>
        <v>-15147.19</v>
      </c>
    </row>
    <row r="135" spans="1:15" ht="18">
      <c r="A135" t="str">
        <f t="shared" si="4"/>
        <v>2.1.1.04.0834</v>
      </c>
      <c r="B135" t="s">
        <v>761</v>
      </c>
      <c r="C135" s="580">
        <v>14031100000000</v>
      </c>
      <c r="D135" t="s">
        <v>762</v>
      </c>
      <c r="E135" s="77">
        <v>0</v>
      </c>
      <c r="F135" s="77">
        <v>1084886.3700000001</v>
      </c>
      <c r="G135" s="77">
        <v>-1084886.3700000001</v>
      </c>
      <c r="H135" s="77">
        <v>0</v>
      </c>
      <c r="I135" s="77">
        <v>0</v>
      </c>
      <c r="J135" s="112">
        <f t="shared" si="5"/>
        <v>0</v>
      </c>
      <c r="K135" s="112">
        <f t="shared" si="6"/>
        <v>0</v>
      </c>
      <c r="L135" s="346" t="str">
        <f>IFERROR(VLOOKUP(C135,'[4]DE x PARA'!C130:K2129,7,FALSE),"SINTÉTICA")</f>
        <v>SINTÉTICA</v>
      </c>
      <c r="M135">
        <f>IFERROR(VLOOKUP(B135,'[4]DE x PARA'!B130:K2129,10,FALSE),"SINTÉTICA")</f>
        <v>600017</v>
      </c>
      <c r="N135">
        <f>IFERROR(VLOOKUP(M135,'[4]DE x PARA'!$K$2:$L$2001,2,FALSE),0)</f>
        <v>-1</v>
      </c>
      <c r="O135">
        <f t="shared" si="7"/>
        <v>0</v>
      </c>
    </row>
    <row r="136" spans="1:15" ht="18">
      <c r="A136" t="str">
        <f t="shared" ref="A136:A199" si="8">B136</f>
        <v>2.1.1.04.0840</v>
      </c>
      <c r="B136" t="s">
        <v>763</v>
      </c>
      <c r="C136" s="580">
        <v>1082330000000</v>
      </c>
      <c r="D136" t="s">
        <v>764</v>
      </c>
      <c r="E136" s="77">
        <v>0</v>
      </c>
      <c r="F136" s="77">
        <v>8051</v>
      </c>
      <c r="G136" s="77">
        <v>-8051</v>
      </c>
      <c r="H136" s="77">
        <v>0</v>
      </c>
      <c r="I136" s="77">
        <v>0</v>
      </c>
      <c r="J136" s="112">
        <f t="shared" ref="J136:J199" si="9">I136/1000</f>
        <v>0</v>
      </c>
      <c r="K136" s="112">
        <f t="shared" ref="K136:K199" si="10">ROUND(J136,0)</f>
        <v>0</v>
      </c>
      <c r="L136" s="346" t="str">
        <f>IFERROR(VLOOKUP(C136,'[4]DE x PARA'!C131:K2130,7,FALSE),"SINTÉTICA")</f>
        <v>SINTÉTICA</v>
      </c>
      <c r="M136">
        <f>IFERROR(VLOOKUP(B136,'[4]DE x PARA'!B131:K2130,10,FALSE),"SINTÉTICA")</f>
        <v>600017</v>
      </c>
      <c r="N136">
        <f>IFERROR(VLOOKUP(M136,'[4]DE x PARA'!$K$2:$L$2001,2,FALSE),0)</f>
        <v>-1</v>
      </c>
      <c r="O136">
        <f t="shared" ref="O136:O199" si="11">+H136*N136</f>
        <v>0</v>
      </c>
    </row>
    <row r="137" spans="1:15" ht="18">
      <c r="A137" t="str">
        <f t="shared" si="8"/>
        <v>2.1.1.04.0842</v>
      </c>
      <c r="B137" t="s">
        <v>765</v>
      </c>
      <c r="C137" s="580">
        <v>21449300000000</v>
      </c>
      <c r="D137" t="s">
        <v>766</v>
      </c>
      <c r="E137" s="77">
        <v>0</v>
      </c>
      <c r="F137" s="77">
        <v>19758.490000000002</v>
      </c>
      <c r="G137" s="77">
        <v>-29652.48</v>
      </c>
      <c r="H137" s="77">
        <v>-9893.99</v>
      </c>
      <c r="I137" s="77">
        <v>-9893.99</v>
      </c>
      <c r="J137" s="112">
        <f t="shared" si="9"/>
        <v>-9.8939900000000005</v>
      </c>
      <c r="K137" s="112">
        <f t="shared" si="10"/>
        <v>-10</v>
      </c>
      <c r="L137" s="346" t="str">
        <f>IFERROR(VLOOKUP(C137,'[4]DE x PARA'!C132:K2131,7,FALSE),"SINTÉTICA")</f>
        <v>SINTÉTICA</v>
      </c>
      <c r="M137">
        <f>IFERROR(VLOOKUP(B137,'[4]DE x PARA'!B132:K2131,10,FALSE),"SINTÉTICA")</f>
        <v>600017</v>
      </c>
      <c r="N137">
        <f>IFERROR(VLOOKUP(M137,'[4]DE x PARA'!$K$2:$L$2001,2,FALSE),0)</f>
        <v>-1</v>
      </c>
      <c r="O137">
        <f t="shared" si="11"/>
        <v>9893.99</v>
      </c>
    </row>
    <row r="138" spans="1:15" ht="18">
      <c r="A138" t="str">
        <f t="shared" si="8"/>
        <v>2.1.1.04.0843</v>
      </c>
      <c r="B138" t="s">
        <v>767</v>
      </c>
      <c r="C138" s="580">
        <v>11825800000000</v>
      </c>
      <c r="D138" t="s">
        <v>768</v>
      </c>
      <c r="E138" s="77">
        <v>0</v>
      </c>
      <c r="F138" s="77">
        <v>2219.1999999999998</v>
      </c>
      <c r="G138" s="77">
        <v>-2219.1999999999998</v>
      </c>
      <c r="H138" s="77">
        <v>0</v>
      </c>
      <c r="I138" s="77">
        <v>0</v>
      </c>
      <c r="J138" s="112">
        <f t="shared" si="9"/>
        <v>0</v>
      </c>
      <c r="K138" s="112">
        <f t="shared" si="10"/>
        <v>0</v>
      </c>
      <c r="L138" s="346" t="str">
        <f>IFERROR(VLOOKUP(C138,'[4]DE x PARA'!C133:K2132,7,FALSE),"SINTÉTICA")</f>
        <v>SINTÉTICA</v>
      </c>
      <c r="M138">
        <f>IFERROR(VLOOKUP(B138,'[4]DE x PARA'!B133:K2132,10,FALSE),"SINTÉTICA")</f>
        <v>600017</v>
      </c>
      <c r="N138">
        <f>IFERROR(VLOOKUP(M138,'[4]DE x PARA'!$K$2:$L$2001,2,FALSE),0)</f>
        <v>-1</v>
      </c>
      <c r="O138">
        <f t="shared" si="11"/>
        <v>0</v>
      </c>
    </row>
    <row r="139" spans="1:15" ht="18">
      <c r="A139" t="str">
        <f t="shared" si="8"/>
        <v>2.1.1.04.0844</v>
      </c>
      <c r="B139" t="s">
        <v>769</v>
      </c>
      <c r="C139" s="580">
        <v>14087600000000</v>
      </c>
      <c r="D139" t="s">
        <v>770</v>
      </c>
      <c r="E139" s="77">
        <v>0</v>
      </c>
      <c r="F139" s="77">
        <v>2900</v>
      </c>
      <c r="G139" s="77">
        <v>-2900</v>
      </c>
      <c r="H139" s="77">
        <v>0</v>
      </c>
      <c r="I139" s="77">
        <v>0</v>
      </c>
      <c r="J139" s="112">
        <f t="shared" si="9"/>
        <v>0</v>
      </c>
      <c r="K139" s="112">
        <f t="shared" si="10"/>
        <v>0</v>
      </c>
      <c r="L139" s="346" t="str">
        <f>IFERROR(VLOOKUP(C139,'[4]DE x PARA'!C134:K2133,7,FALSE),"SINTÉTICA")</f>
        <v>SINTÉTICA</v>
      </c>
      <c r="M139">
        <f>IFERROR(VLOOKUP(B139,'[4]DE x PARA'!B134:K2133,10,FALSE),"SINTÉTICA")</f>
        <v>600017</v>
      </c>
      <c r="N139">
        <f>IFERROR(VLOOKUP(M139,'[4]DE x PARA'!$K$2:$L$2001,2,FALSE),0)</f>
        <v>-1</v>
      </c>
      <c r="O139">
        <f t="shared" si="11"/>
        <v>0</v>
      </c>
    </row>
    <row r="140" spans="1:15" ht="18">
      <c r="A140" t="str">
        <f t="shared" si="8"/>
        <v>2.1.1.04.0857</v>
      </c>
      <c r="B140" t="s">
        <v>3865</v>
      </c>
      <c r="C140" s="580">
        <v>7192480000000</v>
      </c>
      <c r="D140" t="s">
        <v>3866</v>
      </c>
      <c r="E140" s="77">
        <v>-35809.9</v>
      </c>
      <c r="F140" s="77">
        <v>35809.9</v>
      </c>
      <c r="G140" s="77">
        <v>0</v>
      </c>
      <c r="H140" s="77">
        <v>35809.9</v>
      </c>
      <c r="I140" s="77">
        <v>0</v>
      </c>
      <c r="J140" s="112">
        <f t="shared" si="9"/>
        <v>0</v>
      </c>
      <c r="K140" s="112">
        <f t="shared" si="10"/>
        <v>0</v>
      </c>
      <c r="L140" s="346" t="str">
        <f>IFERROR(VLOOKUP(C140,'[4]DE x PARA'!C135:K2134,7,FALSE),"SINTÉTICA")</f>
        <v>SINTÉTICA</v>
      </c>
      <c r="M140">
        <f>IFERROR(VLOOKUP(B140,'[4]DE x PARA'!B135:K2134,10,FALSE),"SINTÉTICA")</f>
        <v>600017</v>
      </c>
      <c r="N140">
        <f>IFERROR(VLOOKUP(M140,'[4]DE x PARA'!$K$2:$L$2001,2,FALSE),0)</f>
        <v>-1</v>
      </c>
      <c r="O140">
        <f t="shared" si="11"/>
        <v>-35809.9</v>
      </c>
    </row>
    <row r="141" spans="1:15" ht="18">
      <c r="A141" t="str">
        <f t="shared" si="8"/>
        <v>2.1.1.04.0859</v>
      </c>
      <c r="B141" t="s">
        <v>771</v>
      </c>
      <c r="C141" s="580">
        <v>13529500000000</v>
      </c>
      <c r="D141" t="s">
        <v>772</v>
      </c>
      <c r="E141" s="77">
        <v>0</v>
      </c>
      <c r="F141" s="77">
        <v>0</v>
      </c>
      <c r="G141" s="77">
        <v>-1459.55</v>
      </c>
      <c r="H141" s="77">
        <v>-1459.55</v>
      </c>
      <c r="I141" s="77">
        <v>-1459.55</v>
      </c>
      <c r="J141" s="112">
        <f t="shared" si="9"/>
        <v>-1.4595499999999999</v>
      </c>
      <c r="K141" s="112">
        <f t="shared" si="10"/>
        <v>-1</v>
      </c>
      <c r="L141" s="346" t="str">
        <f>IFERROR(VLOOKUP(C141,'[4]DE x PARA'!C136:K2135,7,FALSE),"SINTÉTICA")</f>
        <v>SINTÉTICA</v>
      </c>
      <c r="M141">
        <f>IFERROR(VLOOKUP(B141,'[4]DE x PARA'!B136:K2135,10,FALSE),"SINTÉTICA")</f>
        <v>600017</v>
      </c>
      <c r="N141">
        <f>IFERROR(VLOOKUP(M141,'[4]DE x PARA'!$K$2:$L$2001,2,FALSE),0)</f>
        <v>-1</v>
      </c>
      <c r="O141">
        <f t="shared" si="11"/>
        <v>1459.55</v>
      </c>
    </row>
    <row r="142" spans="1:15" ht="18">
      <c r="A142" t="str">
        <f t="shared" si="8"/>
        <v>2.1.1.04.0872</v>
      </c>
      <c r="B142" t="s">
        <v>773</v>
      </c>
      <c r="C142" s="580">
        <v>15610500000000</v>
      </c>
      <c r="D142" t="s">
        <v>774</v>
      </c>
      <c r="E142" s="77">
        <v>0</v>
      </c>
      <c r="F142" s="77">
        <v>0</v>
      </c>
      <c r="G142" s="77">
        <v>-1320</v>
      </c>
      <c r="H142" s="77">
        <v>-1320</v>
      </c>
      <c r="I142" s="77">
        <v>-1320</v>
      </c>
      <c r="J142" s="112">
        <f t="shared" si="9"/>
        <v>-1.32</v>
      </c>
      <c r="K142" s="112">
        <f t="shared" si="10"/>
        <v>-1</v>
      </c>
      <c r="L142" s="346" t="str">
        <f>IFERROR(VLOOKUP(C142,'[4]DE x PARA'!C137:K2136,7,FALSE),"SINTÉTICA")</f>
        <v>SINTÉTICA</v>
      </c>
      <c r="M142">
        <f>IFERROR(VLOOKUP(B142,'[4]DE x PARA'!B137:K2136,10,FALSE),"SINTÉTICA")</f>
        <v>600017</v>
      </c>
      <c r="N142">
        <f>IFERROR(VLOOKUP(M142,'[4]DE x PARA'!$K$2:$L$2001,2,FALSE),0)</f>
        <v>-1</v>
      </c>
      <c r="O142">
        <f t="shared" si="11"/>
        <v>1320</v>
      </c>
    </row>
    <row r="143" spans="1:15" ht="18">
      <c r="A143" t="str">
        <f t="shared" si="8"/>
        <v>2.1.1.04.0875</v>
      </c>
      <c r="B143" t="s">
        <v>3897</v>
      </c>
      <c r="C143" s="580">
        <v>15011200000000</v>
      </c>
      <c r="D143" t="s">
        <v>3898</v>
      </c>
      <c r="E143" s="77">
        <v>0</v>
      </c>
      <c r="F143" s="77">
        <v>3960</v>
      </c>
      <c r="G143" s="77">
        <v>-3960</v>
      </c>
      <c r="H143" s="77">
        <v>0</v>
      </c>
      <c r="I143" s="77">
        <v>0</v>
      </c>
      <c r="J143" s="112">
        <f t="shared" si="9"/>
        <v>0</v>
      </c>
      <c r="K143" s="112">
        <f t="shared" si="10"/>
        <v>0</v>
      </c>
      <c r="L143" s="346" t="str">
        <f>IFERROR(VLOOKUP(C143,'[4]DE x PARA'!C138:K2137,7,FALSE),"SINTÉTICA")</f>
        <v>SINTÉTICA</v>
      </c>
      <c r="M143">
        <f>IFERROR(VLOOKUP(B143,'[4]DE x PARA'!B138:K2137,10,FALSE),"SINTÉTICA")</f>
        <v>600017</v>
      </c>
      <c r="N143">
        <f>IFERROR(VLOOKUP(M143,'[4]DE x PARA'!$K$2:$L$2001,2,FALSE),0)</f>
        <v>-1</v>
      </c>
      <c r="O143">
        <f t="shared" si="11"/>
        <v>0</v>
      </c>
    </row>
    <row r="144" spans="1:15" ht="18">
      <c r="A144" t="str">
        <f t="shared" si="8"/>
        <v>2.1.1.04.0881</v>
      </c>
      <c r="B144" t="s">
        <v>775</v>
      </c>
      <c r="C144" s="580">
        <v>3364280000000</v>
      </c>
      <c r="D144" t="s">
        <v>776</v>
      </c>
      <c r="E144" s="77">
        <v>0</v>
      </c>
      <c r="F144" s="77">
        <v>1856.25</v>
      </c>
      <c r="G144" s="77">
        <v>-1856.25</v>
      </c>
      <c r="H144" s="77">
        <v>0</v>
      </c>
      <c r="I144" s="77">
        <v>0</v>
      </c>
      <c r="J144" s="112">
        <f t="shared" si="9"/>
        <v>0</v>
      </c>
      <c r="K144" s="112">
        <f t="shared" si="10"/>
        <v>0</v>
      </c>
      <c r="L144" s="346" t="str">
        <f>IFERROR(VLOOKUP(C144,'[4]DE x PARA'!C139:K2138,7,FALSE),"SINTÉTICA")</f>
        <v>SINTÉTICA</v>
      </c>
      <c r="M144">
        <f>IFERROR(VLOOKUP(B144,'[4]DE x PARA'!B139:K2138,10,FALSE),"SINTÉTICA")</f>
        <v>600017</v>
      </c>
      <c r="N144">
        <f>IFERROR(VLOOKUP(M144,'[4]DE x PARA'!$K$2:$L$2001,2,FALSE),0)</f>
        <v>-1</v>
      </c>
      <c r="O144">
        <f t="shared" si="11"/>
        <v>0</v>
      </c>
    </row>
    <row r="145" spans="1:15" ht="18">
      <c r="A145" t="str">
        <f t="shared" si="8"/>
        <v>2.1.1.04.0884</v>
      </c>
      <c r="B145" t="s">
        <v>3911</v>
      </c>
      <c r="C145" s="580">
        <v>82429600000000</v>
      </c>
      <c r="D145" t="s">
        <v>3912</v>
      </c>
      <c r="E145" s="77">
        <v>0</v>
      </c>
      <c r="F145" s="77">
        <v>4441.6000000000004</v>
      </c>
      <c r="G145" s="77">
        <v>-4441.6000000000004</v>
      </c>
      <c r="H145" s="77">
        <v>0</v>
      </c>
      <c r="I145" s="77">
        <v>0</v>
      </c>
      <c r="J145" s="112">
        <f t="shared" si="9"/>
        <v>0</v>
      </c>
      <c r="K145" s="112">
        <f t="shared" si="10"/>
        <v>0</v>
      </c>
      <c r="L145" s="346" t="str">
        <f>IFERROR(VLOOKUP(C145,'[4]DE x PARA'!C140:K2139,7,FALSE),"SINTÉTICA")</f>
        <v>SINTÉTICA</v>
      </c>
      <c r="M145">
        <f>IFERROR(VLOOKUP(B145,'[4]DE x PARA'!B140:K2139,10,FALSE),"SINTÉTICA")</f>
        <v>600017</v>
      </c>
      <c r="N145">
        <f>IFERROR(VLOOKUP(M145,'[4]DE x PARA'!$K$2:$L$2001,2,FALSE),0)</f>
        <v>-1</v>
      </c>
      <c r="O145">
        <f t="shared" si="11"/>
        <v>0</v>
      </c>
    </row>
    <row r="146" spans="1:15" ht="18">
      <c r="A146" t="str">
        <f t="shared" si="8"/>
        <v>2.1.1.04.0886</v>
      </c>
      <c r="B146" t="s">
        <v>777</v>
      </c>
      <c r="C146" s="580">
        <v>7718940000000</v>
      </c>
      <c r="D146" t="s">
        <v>778</v>
      </c>
      <c r="E146" s="77">
        <v>0</v>
      </c>
      <c r="F146" s="77">
        <v>1120</v>
      </c>
      <c r="G146" s="77">
        <v>-1120</v>
      </c>
      <c r="H146" s="77">
        <v>0</v>
      </c>
      <c r="I146" s="77">
        <v>0</v>
      </c>
      <c r="J146" s="112">
        <f t="shared" si="9"/>
        <v>0</v>
      </c>
      <c r="K146" s="112">
        <f t="shared" si="10"/>
        <v>0</v>
      </c>
      <c r="L146" s="346" t="str">
        <f>IFERROR(VLOOKUP(C146,'[4]DE x PARA'!C141:K2140,7,FALSE),"SINTÉTICA")</f>
        <v>SINTÉTICA</v>
      </c>
      <c r="M146">
        <f>IFERROR(VLOOKUP(B146,'[4]DE x PARA'!B141:K2140,10,FALSE),"SINTÉTICA")</f>
        <v>600017</v>
      </c>
      <c r="N146">
        <f>IFERROR(VLOOKUP(M146,'[4]DE x PARA'!$K$2:$L$2001,2,FALSE),0)</f>
        <v>-1</v>
      </c>
      <c r="O146">
        <f t="shared" si="11"/>
        <v>0</v>
      </c>
    </row>
    <row r="147" spans="1:15" ht="18">
      <c r="A147" t="str">
        <f t="shared" si="8"/>
        <v>2.1.1.04.0892</v>
      </c>
      <c r="B147" t="s">
        <v>779</v>
      </c>
      <c r="C147" s="580">
        <v>9079570000000</v>
      </c>
      <c r="D147" t="s">
        <v>780</v>
      </c>
      <c r="E147" s="77">
        <v>-5888.85</v>
      </c>
      <c r="F147" s="77">
        <v>21843.89</v>
      </c>
      <c r="G147" s="77">
        <v>-19955.04</v>
      </c>
      <c r="H147" s="77">
        <v>1888.85</v>
      </c>
      <c r="I147" s="77">
        <v>-4000</v>
      </c>
      <c r="J147" s="112">
        <f t="shared" si="9"/>
        <v>-4</v>
      </c>
      <c r="K147" s="112">
        <f t="shared" si="10"/>
        <v>-4</v>
      </c>
      <c r="L147" s="346" t="str">
        <f>IFERROR(VLOOKUP(C147,'[4]DE x PARA'!C142:K2141,7,FALSE),"SINTÉTICA")</f>
        <v>SINTÉTICA</v>
      </c>
      <c r="M147">
        <f>IFERROR(VLOOKUP(B147,'[4]DE x PARA'!B142:K2141,10,FALSE),"SINTÉTICA")</f>
        <v>600017</v>
      </c>
      <c r="N147">
        <f>IFERROR(VLOOKUP(M147,'[4]DE x PARA'!$K$2:$L$2001,2,FALSE),0)</f>
        <v>-1</v>
      </c>
      <c r="O147">
        <f t="shared" si="11"/>
        <v>-1888.85</v>
      </c>
    </row>
    <row r="148" spans="1:15" ht="18">
      <c r="A148" t="str">
        <f t="shared" si="8"/>
        <v>2.1.1.04.0895</v>
      </c>
      <c r="B148" t="s">
        <v>3929</v>
      </c>
      <c r="C148" s="580">
        <v>6070150000000</v>
      </c>
      <c r="D148" t="s">
        <v>3930</v>
      </c>
      <c r="E148" s="77">
        <v>0</v>
      </c>
      <c r="F148" s="77">
        <v>8062.99</v>
      </c>
      <c r="G148" s="77">
        <v>-8062.99</v>
      </c>
      <c r="H148" s="77">
        <v>0</v>
      </c>
      <c r="I148" s="77">
        <v>0</v>
      </c>
      <c r="J148" s="112">
        <f t="shared" si="9"/>
        <v>0</v>
      </c>
      <c r="K148" s="112">
        <f t="shared" si="10"/>
        <v>0</v>
      </c>
      <c r="L148" s="346" t="str">
        <f>IFERROR(VLOOKUP(C148,'[4]DE x PARA'!C143:K2142,7,FALSE),"SINTÉTICA")</f>
        <v>SINTÉTICA</v>
      </c>
      <c r="M148">
        <f>IFERROR(VLOOKUP(B148,'[4]DE x PARA'!B143:K2142,10,FALSE),"SINTÉTICA")</f>
        <v>600017</v>
      </c>
      <c r="N148">
        <f>IFERROR(VLOOKUP(M148,'[4]DE x PARA'!$K$2:$L$2001,2,FALSE),0)</f>
        <v>-1</v>
      </c>
      <c r="O148">
        <f t="shared" si="11"/>
        <v>0</v>
      </c>
    </row>
    <row r="149" spans="1:15" ht="18">
      <c r="A149" t="str">
        <f t="shared" si="8"/>
        <v>2.1.1.04.0897</v>
      </c>
      <c r="B149" t="s">
        <v>781</v>
      </c>
      <c r="C149" s="580">
        <v>54207700000000</v>
      </c>
      <c r="D149" t="s">
        <v>782</v>
      </c>
      <c r="E149" s="77">
        <v>0</v>
      </c>
      <c r="F149" s="77">
        <v>350</v>
      </c>
      <c r="G149" s="77">
        <v>-700</v>
      </c>
      <c r="H149" s="77">
        <v>-350</v>
      </c>
      <c r="I149" s="77">
        <v>-350</v>
      </c>
      <c r="J149" s="112">
        <f t="shared" si="9"/>
        <v>-0.35</v>
      </c>
      <c r="K149" s="112">
        <f t="shared" si="10"/>
        <v>0</v>
      </c>
      <c r="L149" s="346" t="str">
        <f>IFERROR(VLOOKUP(C149,'[4]DE x PARA'!C144:K2143,7,FALSE),"SINTÉTICA")</f>
        <v>SINTÉTICA</v>
      </c>
      <c r="M149">
        <f>IFERROR(VLOOKUP(B149,'[4]DE x PARA'!B144:K2143,10,FALSE),"SINTÉTICA")</f>
        <v>600017</v>
      </c>
      <c r="N149">
        <f>IFERROR(VLOOKUP(M149,'[4]DE x PARA'!$K$2:$L$2001,2,FALSE),0)</f>
        <v>-1</v>
      </c>
      <c r="O149">
        <f t="shared" si="11"/>
        <v>350</v>
      </c>
    </row>
    <row r="150" spans="1:15" ht="18">
      <c r="A150" t="str">
        <f t="shared" si="8"/>
        <v>2.1.1.04.0901</v>
      </c>
      <c r="B150" t="s">
        <v>783</v>
      </c>
      <c r="C150" s="580">
        <v>19088600000000</v>
      </c>
      <c r="D150" t="s">
        <v>784</v>
      </c>
      <c r="E150" s="77">
        <v>-9751.69</v>
      </c>
      <c r="F150" s="77">
        <v>709738.41</v>
      </c>
      <c r="G150" s="77">
        <v>-789986.72</v>
      </c>
      <c r="H150" s="77">
        <v>-80248.31</v>
      </c>
      <c r="I150" s="77">
        <v>-90000</v>
      </c>
      <c r="J150" s="112">
        <f t="shared" si="9"/>
        <v>-90</v>
      </c>
      <c r="K150" s="112">
        <f t="shared" si="10"/>
        <v>-90</v>
      </c>
      <c r="L150" s="346" t="str">
        <f>IFERROR(VLOOKUP(C150,'[4]DE x PARA'!C145:K2144,7,FALSE),"SINTÉTICA")</f>
        <v>SINTÉTICA</v>
      </c>
      <c r="M150">
        <f>IFERROR(VLOOKUP(B150,'[4]DE x PARA'!B145:K2144,10,FALSE),"SINTÉTICA")</f>
        <v>600017</v>
      </c>
      <c r="N150">
        <f>IFERROR(VLOOKUP(M150,'[4]DE x PARA'!$K$2:$L$2001,2,FALSE),0)</f>
        <v>-1</v>
      </c>
      <c r="O150">
        <f t="shared" si="11"/>
        <v>80248.31</v>
      </c>
    </row>
    <row r="151" spans="1:15" ht="18">
      <c r="A151" t="str">
        <f t="shared" si="8"/>
        <v>2.1.1.04.0906</v>
      </c>
      <c r="B151" t="s">
        <v>785</v>
      </c>
      <c r="C151" s="580">
        <v>34036200000000</v>
      </c>
      <c r="D151" t="s">
        <v>786</v>
      </c>
      <c r="E151" s="77">
        <v>-14168.85</v>
      </c>
      <c r="F151" s="77">
        <v>1031775.02</v>
      </c>
      <c r="G151" s="77">
        <v>-1137606.17</v>
      </c>
      <c r="H151" s="77">
        <v>-105831.15</v>
      </c>
      <c r="I151" s="77">
        <v>-120000</v>
      </c>
      <c r="J151" s="112">
        <f t="shared" si="9"/>
        <v>-120</v>
      </c>
      <c r="K151" s="112">
        <f t="shared" si="10"/>
        <v>-120</v>
      </c>
      <c r="L151" s="346" t="str">
        <f>IFERROR(VLOOKUP(C151,'[4]DE x PARA'!C146:K2145,7,FALSE),"SINTÉTICA")</f>
        <v>SINTÉTICA</v>
      </c>
      <c r="M151">
        <f>IFERROR(VLOOKUP(B151,'[4]DE x PARA'!B146:K2145,10,FALSE),"SINTÉTICA")</f>
        <v>600017</v>
      </c>
      <c r="N151">
        <f>IFERROR(VLOOKUP(M151,'[4]DE x PARA'!$K$2:$L$2001,2,FALSE),0)</f>
        <v>-1</v>
      </c>
      <c r="O151">
        <f t="shared" si="11"/>
        <v>105831.15</v>
      </c>
    </row>
    <row r="152" spans="1:15" ht="18">
      <c r="A152" t="str">
        <f t="shared" si="8"/>
        <v>2.1.1.04.0907</v>
      </c>
      <c r="B152" t="s">
        <v>787</v>
      </c>
      <c r="C152" s="580">
        <v>36813600000000</v>
      </c>
      <c r="D152" t="s">
        <v>788</v>
      </c>
      <c r="E152" s="77">
        <v>0</v>
      </c>
      <c r="F152" s="77">
        <v>100965.27</v>
      </c>
      <c r="G152" s="77">
        <v>-115777.8</v>
      </c>
      <c r="H152" s="77">
        <v>-14812.53</v>
      </c>
      <c r="I152" s="77">
        <v>-14812.53</v>
      </c>
      <c r="J152" s="112">
        <f t="shared" si="9"/>
        <v>-14.812530000000001</v>
      </c>
      <c r="K152" s="112">
        <f t="shared" si="10"/>
        <v>-15</v>
      </c>
      <c r="L152" s="346" t="str">
        <f>IFERROR(VLOOKUP(C152,'[4]DE x PARA'!C147:K2146,7,FALSE),"SINTÉTICA")</f>
        <v>SINTÉTICA</v>
      </c>
      <c r="M152">
        <f>IFERROR(VLOOKUP(B152,'[4]DE x PARA'!B147:K2146,10,FALSE),"SINTÉTICA")</f>
        <v>600017</v>
      </c>
      <c r="N152">
        <f>IFERROR(VLOOKUP(M152,'[4]DE x PARA'!$K$2:$L$2001,2,FALSE),0)</f>
        <v>-1</v>
      </c>
      <c r="O152">
        <f t="shared" si="11"/>
        <v>14812.53</v>
      </c>
    </row>
    <row r="153" spans="1:15" ht="18">
      <c r="A153" t="str">
        <f t="shared" si="8"/>
        <v>2.1.1.04.0911</v>
      </c>
      <c r="B153" t="s">
        <v>789</v>
      </c>
      <c r="C153" s="580">
        <v>191477000000</v>
      </c>
      <c r="D153" t="s">
        <v>790</v>
      </c>
      <c r="E153" s="77">
        <v>0</v>
      </c>
      <c r="F153" s="77">
        <v>172865.4</v>
      </c>
      <c r="G153" s="77">
        <v>-172865.4</v>
      </c>
      <c r="H153" s="77">
        <v>0</v>
      </c>
      <c r="I153" s="77">
        <v>0</v>
      </c>
      <c r="J153" s="112">
        <f t="shared" si="9"/>
        <v>0</v>
      </c>
      <c r="K153" s="112">
        <f t="shared" si="10"/>
        <v>0</v>
      </c>
      <c r="L153" s="346" t="str">
        <f>IFERROR(VLOOKUP(C153,'[4]DE x PARA'!C148:K2147,7,FALSE),"SINTÉTICA")</f>
        <v>SINTÉTICA</v>
      </c>
      <c r="M153">
        <f>IFERROR(VLOOKUP(B153,'[4]DE x PARA'!B148:K2147,10,FALSE),"SINTÉTICA")</f>
        <v>600017</v>
      </c>
      <c r="N153">
        <f>IFERROR(VLOOKUP(M153,'[4]DE x PARA'!$K$2:$L$2001,2,FALSE),0)</f>
        <v>-1</v>
      </c>
      <c r="O153">
        <f t="shared" si="11"/>
        <v>0</v>
      </c>
    </row>
    <row r="154" spans="1:15" ht="18">
      <c r="A154" t="str">
        <f t="shared" si="8"/>
        <v>2.1.1.04.0926</v>
      </c>
      <c r="B154" t="s">
        <v>791</v>
      </c>
      <c r="C154" s="580">
        <v>34977900000000</v>
      </c>
      <c r="D154" t="s">
        <v>792</v>
      </c>
      <c r="E154" s="77">
        <v>0</v>
      </c>
      <c r="F154" s="77">
        <v>12666.16</v>
      </c>
      <c r="G154" s="77">
        <v>-12666.16</v>
      </c>
      <c r="H154" s="77">
        <v>0</v>
      </c>
      <c r="I154" s="77">
        <v>0</v>
      </c>
      <c r="J154" s="112">
        <f t="shared" si="9"/>
        <v>0</v>
      </c>
      <c r="K154" s="112">
        <f t="shared" si="10"/>
        <v>0</v>
      </c>
      <c r="L154" s="346" t="str">
        <f>IFERROR(VLOOKUP(C154,'[4]DE x PARA'!C149:K2148,7,FALSE),"SINTÉTICA")</f>
        <v>SINTÉTICA</v>
      </c>
      <c r="M154">
        <f>IFERROR(VLOOKUP(B154,'[4]DE x PARA'!B149:K2148,10,FALSE),"SINTÉTICA")</f>
        <v>600017</v>
      </c>
      <c r="N154">
        <f>IFERROR(VLOOKUP(M154,'[4]DE x PARA'!$K$2:$L$2001,2,FALSE),0)</f>
        <v>-1</v>
      </c>
      <c r="O154">
        <f t="shared" si="11"/>
        <v>0</v>
      </c>
    </row>
    <row r="155" spans="1:15" ht="18">
      <c r="A155" t="str">
        <f t="shared" si="8"/>
        <v>2.1.1.04.0930</v>
      </c>
      <c r="B155" t="s">
        <v>793</v>
      </c>
      <c r="C155" s="580">
        <v>25131900000000</v>
      </c>
      <c r="D155" t="s">
        <v>794</v>
      </c>
      <c r="E155" s="77">
        <v>0</v>
      </c>
      <c r="F155" s="77">
        <v>58180</v>
      </c>
      <c r="G155" s="77">
        <v>-58180</v>
      </c>
      <c r="H155" s="77">
        <v>0</v>
      </c>
      <c r="I155" s="77">
        <v>0</v>
      </c>
      <c r="J155" s="112">
        <f t="shared" si="9"/>
        <v>0</v>
      </c>
      <c r="K155" s="112">
        <f t="shared" si="10"/>
        <v>0</v>
      </c>
      <c r="L155" s="346" t="str">
        <f>IFERROR(VLOOKUP(C155,'[4]DE x PARA'!C150:K2149,7,FALSE),"SINTÉTICA")</f>
        <v>SINTÉTICA</v>
      </c>
      <c r="M155">
        <f>IFERROR(VLOOKUP(B155,'[4]DE x PARA'!B150:K2149,10,FALSE),"SINTÉTICA")</f>
        <v>600017</v>
      </c>
      <c r="N155">
        <f>IFERROR(VLOOKUP(M155,'[4]DE x PARA'!$K$2:$L$2001,2,FALSE),0)</f>
        <v>-1</v>
      </c>
      <c r="O155">
        <f t="shared" si="11"/>
        <v>0</v>
      </c>
    </row>
    <row r="156" spans="1:15" ht="18">
      <c r="A156" t="str">
        <f t="shared" si="8"/>
        <v>2.1.1.04.0932</v>
      </c>
      <c r="B156" t="s">
        <v>795</v>
      </c>
      <c r="C156" s="580">
        <v>33198300000000</v>
      </c>
      <c r="D156" t="s">
        <v>796</v>
      </c>
      <c r="E156" s="77">
        <v>0</v>
      </c>
      <c r="F156" s="77">
        <v>3996.8</v>
      </c>
      <c r="G156" s="77">
        <v>-3996.8</v>
      </c>
      <c r="H156" s="77">
        <v>0</v>
      </c>
      <c r="I156" s="77">
        <v>0</v>
      </c>
      <c r="J156" s="112">
        <f t="shared" si="9"/>
        <v>0</v>
      </c>
      <c r="K156" s="112">
        <f t="shared" si="10"/>
        <v>0</v>
      </c>
      <c r="L156" s="346" t="str">
        <f>IFERROR(VLOOKUP(C156,'[4]DE x PARA'!C151:K2150,7,FALSE),"SINTÉTICA")</f>
        <v>SINTÉTICA</v>
      </c>
      <c r="M156">
        <f>IFERROR(VLOOKUP(B156,'[4]DE x PARA'!B151:K2150,10,FALSE),"SINTÉTICA")</f>
        <v>600017</v>
      </c>
      <c r="N156">
        <f>IFERROR(VLOOKUP(M156,'[4]DE x PARA'!$K$2:$L$2001,2,FALSE),0)</f>
        <v>-1</v>
      </c>
      <c r="O156">
        <f t="shared" si="11"/>
        <v>0</v>
      </c>
    </row>
    <row r="157" spans="1:15" ht="18">
      <c r="A157" t="str">
        <f t="shared" si="8"/>
        <v>2.1.1.04.0937</v>
      </c>
      <c r="B157" t="s">
        <v>797</v>
      </c>
      <c r="C157" s="580">
        <v>28712100000000</v>
      </c>
      <c r="D157" t="s">
        <v>798</v>
      </c>
      <c r="E157" s="77">
        <v>0</v>
      </c>
      <c r="F157" s="77">
        <v>138300</v>
      </c>
      <c r="G157" s="77">
        <v>-142800</v>
      </c>
      <c r="H157" s="77">
        <v>-4500</v>
      </c>
      <c r="I157" s="77">
        <v>-4500</v>
      </c>
      <c r="J157" s="112">
        <f t="shared" si="9"/>
        <v>-4.5</v>
      </c>
      <c r="K157" s="112">
        <f t="shared" si="10"/>
        <v>-5</v>
      </c>
      <c r="L157" s="346" t="str">
        <f>IFERROR(VLOOKUP(C157,'[4]DE x PARA'!C152:K2151,7,FALSE),"SINTÉTICA")</f>
        <v>SINTÉTICA</v>
      </c>
      <c r="M157">
        <f>IFERROR(VLOOKUP(B157,'[4]DE x PARA'!B152:K2151,10,FALSE),"SINTÉTICA")</f>
        <v>600017</v>
      </c>
      <c r="N157">
        <f>IFERROR(VLOOKUP(M157,'[4]DE x PARA'!$K$2:$L$2001,2,FALSE),0)</f>
        <v>-1</v>
      </c>
      <c r="O157">
        <f t="shared" si="11"/>
        <v>4500</v>
      </c>
    </row>
    <row r="158" spans="1:15" ht="18">
      <c r="A158" t="str">
        <f t="shared" si="8"/>
        <v>2.1.1.04.0942</v>
      </c>
      <c r="B158" t="s">
        <v>799</v>
      </c>
      <c r="C158" s="580">
        <v>1406620000000</v>
      </c>
      <c r="D158" t="s">
        <v>800</v>
      </c>
      <c r="E158" s="77">
        <v>0</v>
      </c>
      <c r="F158" s="77">
        <v>430816.85</v>
      </c>
      <c r="G158" s="77">
        <v>-504180.96</v>
      </c>
      <c r="H158" s="77">
        <v>-73364.11</v>
      </c>
      <c r="I158" s="77">
        <v>-73364.11</v>
      </c>
      <c r="J158" s="112">
        <f t="shared" si="9"/>
        <v>-73.364109999999997</v>
      </c>
      <c r="K158" s="112">
        <f t="shared" si="10"/>
        <v>-73</v>
      </c>
      <c r="L158" s="346" t="str">
        <f>IFERROR(VLOOKUP(C158,'[4]DE x PARA'!C153:K2152,7,FALSE),"SINTÉTICA")</f>
        <v>SINTÉTICA</v>
      </c>
      <c r="M158">
        <f>IFERROR(VLOOKUP(B158,'[4]DE x PARA'!B153:K2152,10,FALSE),"SINTÉTICA")</f>
        <v>600017</v>
      </c>
      <c r="N158">
        <f>IFERROR(VLOOKUP(M158,'[4]DE x PARA'!$K$2:$L$2001,2,FALSE),0)</f>
        <v>-1</v>
      </c>
      <c r="O158">
        <f t="shared" si="11"/>
        <v>73364.11</v>
      </c>
    </row>
    <row r="159" spans="1:15" ht="18">
      <c r="A159" t="str">
        <f t="shared" si="8"/>
        <v>2.1.1.04.0943</v>
      </c>
      <c r="B159" t="s">
        <v>801</v>
      </c>
      <c r="C159" s="580">
        <v>12499500000000</v>
      </c>
      <c r="D159" t="s">
        <v>802</v>
      </c>
      <c r="E159" s="77">
        <v>0</v>
      </c>
      <c r="F159" s="77">
        <v>2583.15</v>
      </c>
      <c r="G159" s="77">
        <v>-2583.15</v>
      </c>
      <c r="H159" s="77">
        <v>0</v>
      </c>
      <c r="I159" s="77">
        <v>0</v>
      </c>
      <c r="J159" s="112">
        <f t="shared" si="9"/>
        <v>0</v>
      </c>
      <c r="K159" s="112">
        <f t="shared" si="10"/>
        <v>0</v>
      </c>
      <c r="L159" s="346" t="str">
        <f>IFERROR(VLOOKUP(C159,'[4]DE x PARA'!C154:K2153,7,FALSE),"SINTÉTICA")</f>
        <v>SINTÉTICA</v>
      </c>
      <c r="M159">
        <f>IFERROR(VLOOKUP(B159,'[4]DE x PARA'!B154:K2153,10,FALSE),"SINTÉTICA")</f>
        <v>600017</v>
      </c>
      <c r="N159">
        <f>IFERROR(VLOOKUP(M159,'[4]DE x PARA'!$K$2:$L$2001,2,FALSE),0)</f>
        <v>-1</v>
      </c>
      <c r="O159">
        <f t="shared" si="11"/>
        <v>0</v>
      </c>
    </row>
    <row r="160" spans="1:15" ht="18">
      <c r="A160" t="str">
        <f t="shared" si="8"/>
        <v>2.1.1.04.0948</v>
      </c>
      <c r="B160" t="s">
        <v>803</v>
      </c>
      <c r="C160" s="580">
        <v>7843950000000</v>
      </c>
      <c r="D160" t="s">
        <v>804</v>
      </c>
      <c r="E160" s="77">
        <v>0</v>
      </c>
      <c r="F160" s="77">
        <v>22000</v>
      </c>
      <c r="G160" s="77">
        <v>-22000</v>
      </c>
      <c r="H160" s="77">
        <v>0</v>
      </c>
      <c r="I160" s="77">
        <v>0</v>
      </c>
      <c r="J160" s="112">
        <f t="shared" si="9"/>
        <v>0</v>
      </c>
      <c r="K160" s="112">
        <f t="shared" si="10"/>
        <v>0</v>
      </c>
      <c r="L160" s="346" t="str">
        <f>IFERROR(VLOOKUP(C160,'[4]DE x PARA'!C155:K2154,7,FALSE),"SINTÉTICA")</f>
        <v>SINTÉTICA</v>
      </c>
      <c r="M160">
        <f>IFERROR(VLOOKUP(B160,'[4]DE x PARA'!B155:K2154,10,FALSE),"SINTÉTICA")</f>
        <v>600017</v>
      </c>
      <c r="N160">
        <f>IFERROR(VLOOKUP(M160,'[4]DE x PARA'!$K$2:$L$2001,2,FALSE),0)</f>
        <v>-1</v>
      </c>
      <c r="O160">
        <f t="shared" si="11"/>
        <v>0</v>
      </c>
    </row>
    <row r="161" spans="1:15" ht="18">
      <c r="A161" t="str">
        <f t="shared" si="8"/>
        <v>2.1.1.04.0952</v>
      </c>
      <c r="B161" t="s">
        <v>4018</v>
      </c>
      <c r="C161" s="580">
        <v>35419400000000</v>
      </c>
      <c r="D161" t="s">
        <v>4019</v>
      </c>
      <c r="E161" s="77">
        <v>-7491.67</v>
      </c>
      <c r="F161" s="77">
        <v>7491.67</v>
      </c>
      <c r="G161" s="77">
        <v>0</v>
      </c>
      <c r="H161" s="77">
        <v>7491.67</v>
      </c>
      <c r="I161" s="77">
        <v>0</v>
      </c>
      <c r="J161" s="112">
        <f t="shared" si="9"/>
        <v>0</v>
      </c>
      <c r="K161" s="112">
        <f t="shared" si="10"/>
        <v>0</v>
      </c>
      <c r="L161" s="346" t="str">
        <f>IFERROR(VLOOKUP(C161,'[4]DE x PARA'!C156:K2155,7,FALSE),"SINTÉTICA")</f>
        <v>SINTÉTICA</v>
      </c>
      <c r="M161">
        <f>IFERROR(VLOOKUP(B161,'[4]DE x PARA'!B156:K2155,10,FALSE),"SINTÉTICA")</f>
        <v>600017</v>
      </c>
      <c r="N161">
        <f>IFERROR(VLOOKUP(M161,'[4]DE x PARA'!$K$2:$L$2001,2,FALSE),0)</f>
        <v>-1</v>
      </c>
      <c r="O161">
        <f t="shared" si="11"/>
        <v>-7491.67</v>
      </c>
    </row>
    <row r="162" spans="1:15" ht="18">
      <c r="A162" t="str">
        <f t="shared" si="8"/>
        <v>2.1.1.04.0954</v>
      </c>
      <c r="B162" t="s">
        <v>805</v>
      </c>
      <c r="C162" s="580">
        <v>12979000000000</v>
      </c>
      <c r="D162" t="s">
        <v>806</v>
      </c>
      <c r="E162" s="77">
        <v>0</v>
      </c>
      <c r="F162" s="77">
        <v>231355.16</v>
      </c>
      <c r="G162" s="77">
        <v>-231355.16</v>
      </c>
      <c r="H162" s="77">
        <v>0</v>
      </c>
      <c r="I162" s="77">
        <v>0</v>
      </c>
      <c r="J162" s="112">
        <f t="shared" si="9"/>
        <v>0</v>
      </c>
      <c r="K162" s="112">
        <f t="shared" si="10"/>
        <v>0</v>
      </c>
      <c r="L162" s="346" t="str">
        <f>IFERROR(VLOOKUP(C162,'[4]DE x PARA'!C157:K2156,7,FALSE),"SINTÉTICA")</f>
        <v>SINTÉTICA</v>
      </c>
      <c r="M162">
        <f>IFERROR(VLOOKUP(B162,'[4]DE x PARA'!B157:K2156,10,FALSE),"SINTÉTICA")</f>
        <v>600017</v>
      </c>
      <c r="N162">
        <f>IFERROR(VLOOKUP(M162,'[4]DE x PARA'!$K$2:$L$2001,2,FALSE),0)</f>
        <v>-1</v>
      </c>
      <c r="O162">
        <f t="shared" si="11"/>
        <v>0</v>
      </c>
    </row>
    <row r="163" spans="1:15" ht="18">
      <c r="A163" t="str">
        <f t="shared" si="8"/>
        <v>2.1.1.04.0957</v>
      </c>
      <c r="B163" t="s">
        <v>807</v>
      </c>
      <c r="C163" s="580">
        <v>38056400000000</v>
      </c>
      <c r="D163" t="s">
        <v>808</v>
      </c>
      <c r="E163" s="77">
        <v>0</v>
      </c>
      <c r="F163" s="77">
        <v>227419.22</v>
      </c>
      <c r="G163" s="77">
        <v>-227419.22</v>
      </c>
      <c r="H163" s="77">
        <v>0</v>
      </c>
      <c r="I163" s="77">
        <v>0</v>
      </c>
      <c r="J163" s="112">
        <f t="shared" si="9"/>
        <v>0</v>
      </c>
      <c r="K163" s="112">
        <f t="shared" si="10"/>
        <v>0</v>
      </c>
      <c r="L163" s="346" t="str">
        <f>IFERROR(VLOOKUP(C163,'[4]DE x PARA'!C158:K2157,7,FALSE),"SINTÉTICA")</f>
        <v>SINTÉTICA</v>
      </c>
      <c r="M163">
        <f>IFERROR(VLOOKUP(B163,'[4]DE x PARA'!B158:K2157,10,FALSE),"SINTÉTICA")</f>
        <v>600017</v>
      </c>
      <c r="N163">
        <f>IFERROR(VLOOKUP(M163,'[4]DE x PARA'!$K$2:$L$2001,2,FALSE),0)</f>
        <v>-1</v>
      </c>
      <c r="O163">
        <f t="shared" si="11"/>
        <v>0</v>
      </c>
    </row>
    <row r="164" spans="1:15" ht="18">
      <c r="A164" t="str">
        <f t="shared" si="8"/>
        <v>2.1.1.04.0967</v>
      </c>
      <c r="B164" t="s">
        <v>809</v>
      </c>
      <c r="C164" s="580" t="s">
        <v>810</v>
      </c>
      <c r="D164" t="s">
        <v>811</v>
      </c>
      <c r="E164" s="77">
        <v>0</v>
      </c>
      <c r="F164" s="77">
        <v>254479.19</v>
      </c>
      <c r="G164" s="77">
        <v>-254479.19</v>
      </c>
      <c r="H164" s="77">
        <v>0</v>
      </c>
      <c r="I164" s="77">
        <v>0</v>
      </c>
      <c r="J164" s="112">
        <f t="shared" si="9"/>
        <v>0</v>
      </c>
      <c r="K164" s="112">
        <f t="shared" si="10"/>
        <v>0</v>
      </c>
      <c r="L164" s="346">
        <f>IFERROR(VLOOKUP(C164,'[4]DE x PARA'!C159:K2158,7,FALSE),"SINTÉTICA")</f>
        <v>500001</v>
      </c>
      <c r="M164">
        <f>IFERROR(VLOOKUP(B164,'[4]DE x PARA'!B159:K2158,10,FALSE),"SINTÉTICA")</f>
        <v>600017</v>
      </c>
      <c r="N164">
        <f>IFERROR(VLOOKUP(M164,'[4]DE x PARA'!$K$2:$L$2001,2,FALSE),0)</f>
        <v>-1</v>
      </c>
      <c r="O164">
        <f t="shared" si="11"/>
        <v>0</v>
      </c>
    </row>
    <row r="165" spans="1:15" ht="18">
      <c r="A165" t="str">
        <f t="shared" si="8"/>
        <v>2.1.1.04.0970</v>
      </c>
      <c r="B165" t="s">
        <v>812</v>
      </c>
      <c r="C165" s="580">
        <v>26915400000000</v>
      </c>
      <c r="D165" t="s">
        <v>813</v>
      </c>
      <c r="E165" s="77">
        <v>0</v>
      </c>
      <c r="F165" s="77">
        <v>12512</v>
      </c>
      <c r="G165" s="77">
        <v>-15436</v>
      </c>
      <c r="H165" s="77">
        <v>-2924</v>
      </c>
      <c r="I165" s="77">
        <v>-2924</v>
      </c>
      <c r="J165" s="112">
        <f t="shared" si="9"/>
        <v>-2.9239999999999999</v>
      </c>
      <c r="K165" s="112">
        <f t="shared" si="10"/>
        <v>-3</v>
      </c>
      <c r="L165" s="346" t="str">
        <f>IFERROR(VLOOKUP(C165,'[4]DE x PARA'!C160:K2159,7,FALSE),"SINTÉTICA")</f>
        <v>SINTÉTICA</v>
      </c>
      <c r="M165">
        <f>IFERROR(VLOOKUP(B165,'[4]DE x PARA'!B160:K2159,10,FALSE),"SINTÉTICA")</f>
        <v>600017</v>
      </c>
      <c r="N165">
        <f>IFERROR(VLOOKUP(M165,'[4]DE x PARA'!$K$2:$L$2001,2,FALSE),0)</f>
        <v>-1</v>
      </c>
      <c r="O165">
        <f t="shared" si="11"/>
        <v>2924</v>
      </c>
    </row>
    <row r="166" spans="1:15" ht="18">
      <c r="A166" t="str">
        <f t="shared" si="8"/>
        <v>2.1.1.04.0972</v>
      </c>
      <c r="B166" t="s">
        <v>4049</v>
      </c>
      <c r="C166" s="580">
        <v>34260600000000</v>
      </c>
      <c r="D166" t="s">
        <v>4050</v>
      </c>
      <c r="E166" s="77">
        <v>-2346.33</v>
      </c>
      <c r="F166" s="77">
        <v>2346.33</v>
      </c>
      <c r="G166" s="77">
        <v>0</v>
      </c>
      <c r="H166" s="77">
        <v>2346.33</v>
      </c>
      <c r="I166" s="77">
        <v>0</v>
      </c>
      <c r="J166" s="112">
        <f t="shared" si="9"/>
        <v>0</v>
      </c>
      <c r="K166" s="112">
        <f t="shared" si="10"/>
        <v>0</v>
      </c>
      <c r="L166" s="346" t="str">
        <f>IFERROR(VLOOKUP(C166,'[4]DE x PARA'!C161:K2160,7,FALSE),"SINTÉTICA")</f>
        <v>SINTÉTICA</v>
      </c>
      <c r="M166">
        <f>IFERROR(VLOOKUP(B166,'[4]DE x PARA'!B161:K2160,10,FALSE),"SINTÉTICA")</f>
        <v>600017</v>
      </c>
      <c r="N166">
        <f>IFERROR(VLOOKUP(M166,'[4]DE x PARA'!$K$2:$L$2001,2,FALSE),0)</f>
        <v>-1</v>
      </c>
      <c r="O166">
        <f t="shared" si="11"/>
        <v>-2346.33</v>
      </c>
    </row>
    <row r="167" spans="1:15" ht="18">
      <c r="A167" t="str">
        <f t="shared" si="8"/>
        <v>2.1.1.04.0973</v>
      </c>
      <c r="B167" t="s">
        <v>4051</v>
      </c>
      <c r="C167" s="580">
        <v>29483800000000</v>
      </c>
      <c r="D167" t="s">
        <v>4052</v>
      </c>
      <c r="E167" s="77">
        <v>0</v>
      </c>
      <c r="F167" s="77">
        <v>23777.52</v>
      </c>
      <c r="G167" s="77">
        <v>-23777.52</v>
      </c>
      <c r="H167" s="77">
        <v>0</v>
      </c>
      <c r="I167" s="77">
        <v>0</v>
      </c>
      <c r="J167" s="112">
        <f t="shared" si="9"/>
        <v>0</v>
      </c>
      <c r="K167" s="112">
        <f t="shared" si="10"/>
        <v>0</v>
      </c>
      <c r="L167" s="346" t="str">
        <f>IFERROR(VLOOKUP(C167,'[4]DE x PARA'!C162:K2161,7,FALSE),"SINTÉTICA")</f>
        <v>SINTÉTICA</v>
      </c>
      <c r="M167">
        <f>IFERROR(VLOOKUP(B167,'[4]DE x PARA'!B162:K2161,10,FALSE),"SINTÉTICA")</f>
        <v>600017</v>
      </c>
      <c r="N167">
        <f>IFERROR(VLOOKUP(M167,'[4]DE x PARA'!$K$2:$L$2001,2,FALSE),0)</f>
        <v>-1</v>
      </c>
      <c r="O167">
        <f t="shared" si="11"/>
        <v>0</v>
      </c>
    </row>
    <row r="168" spans="1:15" ht="18">
      <c r="A168" t="str">
        <f t="shared" si="8"/>
        <v>2.1.1.04.0974</v>
      </c>
      <c r="B168" t="s">
        <v>4053</v>
      </c>
      <c r="C168" s="580">
        <v>32969400000000</v>
      </c>
      <c r="D168" t="s">
        <v>4054</v>
      </c>
      <c r="E168" s="77">
        <v>0</v>
      </c>
      <c r="F168" s="77">
        <v>6318.9</v>
      </c>
      <c r="G168" s="77">
        <v>-6318.9</v>
      </c>
      <c r="H168" s="77">
        <v>0</v>
      </c>
      <c r="I168" s="77">
        <v>0</v>
      </c>
      <c r="J168" s="112">
        <f t="shared" si="9"/>
        <v>0</v>
      </c>
      <c r="K168" s="112">
        <f t="shared" si="10"/>
        <v>0</v>
      </c>
      <c r="L168" s="346" t="str">
        <f>IFERROR(VLOOKUP(C168,'[4]DE x PARA'!C163:K2162,7,FALSE),"SINTÉTICA")</f>
        <v>SINTÉTICA</v>
      </c>
      <c r="M168">
        <f>IFERROR(VLOOKUP(B168,'[4]DE x PARA'!B163:K2162,10,FALSE),"SINTÉTICA")</f>
        <v>600017</v>
      </c>
      <c r="N168">
        <f>IFERROR(VLOOKUP(M168,'[4]DE x PARA'!$K$2:$L$2001,2,FALSE),0)</f>
        <v>-1</v>
      </c>
      <c r="O168">
        <f t="shared" si="11"/>
        <v>0</v>
      </c>
    </row>
    <row r="169" spans="1:15" ht="18">
      <c r="A169" t="str">
        <f t="shared" si="8"/>
        <v>2.1.1.04.0979</v>
      </c>
      <c r="B169" t="s">
        <v>814</v>
      </c>
      <c r="C169" s="580">
        <v>37563500000000</v>
      </c>
      <c r="D169" t="s">
        <v>815</v>
      </c>
      <c r="E169" s="77">
        <v>0</v>
      </c>
      <c r="F169" s="77">
        <v>1389.41</v>
      </c>
      <c r="G169" s="77">
        <v>-1389.41</v>
      </c>
      <c r="H169" s="77">
        <v>0</v>
      </c>
      <c r="I169" s="77">
        <v>0</v>
      </c>
      <c r="J169" s="112">
        <f t="shared" si="9"/>
        <v>0</v>
      </c>
      <c r="K169" s="112">
        <f t="shared" si="10"/>
        <v>0</v>
      </c>
      <c r="L169" s="346" t="str">
        <f>IFERROR(VLOOKUP(C169,'[4]DE x PARA'!C164:K2163,7,FALSE),"SINTÉTICA")</f>
        <v>SINTÉTICA</v>
      </c>
      <c r="M169">
        <f>IFERROR(VLOOKUP(B169,'[4]DE x PARA'!B164:K2163,10,FALSE),"SINTÉTICA")</f>
        <v>600017</v>
      </c>
      <c r="N169">
        <f>IFERROR(VLOOKUP(M169,'[4]DE x PARA'!$K$2:$L$2001,2,FALSE),0)</f>
        <v>-1</v>
      </c>
      <c r="O169">
        <f t="shared" si="11"/>
        <v>0</v>
      </c>
    </row>
    <row r="170" spans="1:15" ht="18">
      <c r="A170" t="str">
        <f t="shared" si="8"/>
        <v>2.1.1.04.0983</v>
      </c>
      <c r="B170" t="s">
        <v>816</v>
      </c>
      <c r="C170" s="580">
        <v>32681700000000</v>
      </c>
      <c r="D170" t="s">
        <v>817</v>
      </c>
      <c r="E170" s="77">
        <v>0</v>
      </c>
      <c r="F170" s="77">
        <v>965</v>
      </c>
      <c r="G170" s="77">
        <v>-965</v>
      </c>
      <c r="H170" s="77">
        <v>0</v>
      </c>
      <c r="I170" s="77">
        <v>0</v>
      </c>
      <c r="J170" s="112">
        <f t="shared" si="9"/>
        <v>0</v>
      </c>
      <c r="K170" s="112">
        <f t="shared" si="10"/>
        <v>0</v>
      </c>
      <c r="L170" s="346" t="str">
        <f>IFERROR(VLOOKUP(C170,'[4]DE x PARA'!C165:K2164,7,FALSE),"SINTÉTICA")</f>
        <v>SINTÉTICA</v>
      </c>
      <c r="M170">
        <f>IFERROR(VLOOKUP(B170,'[4]DE x PARA'!B165:K2164,10,FALSE),"SINTÉTICA")</f>
        <v>600017</v>
      </c>
      <c r="N170">
        <f>IFERROR(VLOOKUP(M170,'[4]DE x PARA'!$K$2:$L$2001,2,FALSE),0)</f>
        <v>-1</v>
      </c>
      <c r="O170">
        <f t="shared" si="11"/>
        <v>0</v>
      </c>
    </row>
    <row r="171" spans="1:15" ht="18">
      <c r="A171" t="str">
        <f t="shared" si="8"/>
        <v>2.1.1.04.0987</v>
      </c>
      <c r="B171" t="s">
        <v>818</v>
      </c>
      <c r="C171" s="580">
        <v>27553300000000</v>
      </c>
      <c r="D171" t="s">
        <v>819</v>
      </c>
      <c r="E171" s="77">
        <v>0</v>
      </c>
      <c r="F171" s="77">
        <v>12800</v>
      </c>
      <c r="G171" s="77">
        <v>-12800</v>
      </c>
      <c r="H171" s="77">
        <v>0</v>
      </c>
      <c r="I171" s="77">
        <v>0</v>
      </c>
      <c r="J171" s="112">
        <f t="shared" si="9"/>
        <v>0</v>
      </c>
      <c r="K171" s="112">
        <f t="shared" si="10"/>
        <v>0</v>
      </c>
      <c r="L171" s="346" t="str">
        <f>IFERROR(VLOOKUP(C171,'[4]DE x PARA'!C166:K2165,7,FALSE),"SINTÉTICA")</f>
        <v>SINTÉTICA</v>
      </c>
      <c r="M171">
        <f>IFERROR(VLOOKUP(B171,'[4]DE x PARA'!B166:K2165,10,FALSE),"SINTÉTICA")</f>
        <v>600017</v>
      </c>
      <c r="N171">
        <f>IFERROR(VLOOKUP(M171,'[4]DE x PARA'!$K$2:$L$2001,2,FALSE),0)</f>
        <v>-1</v>
      </c>
      <c r="O171">
        <f t="shared" si="11"/>
        <v>0</v>
      </c>
    </row>
    <row r="172" spans="1:15" ht="18">
      <c r="A172" t="str">
        <f t="shared" si="8"/>
        <v>2.1.1.04.0996</v>
      </c>
      <c r="B172" t="s">
        <v>820</v>
      </c>
      <c r="C172" s="580">
        <v>5630090000000</v>
      </c>
      <c r="D172" t="s">
        <v>821</v>
      </c>
      <c r="E172" s="77">
        <v>0</v>
      </c>
      <c r="F172" s="77">
        <v>26942.84</v>
      </c>
      <c r="G172" s="77">
        <v>-26942.84</v>
      </c>
      <c r="H172" s="77">
        <v>0</v>
      </c>
      <c r="I172" s="77">
        <v>0</v>
      </c>
      <c r="J172" s="112">
        <f t="shared" si="9"/>
        <v>0</v>
      </c>
      <c r="K172" s="112">
        <f t="shared" si="10"/>
        <v>0</v>
      </c>
      <c r="L172" s="346" t="str">
        <f>IFERROR(VLOOKUP(C172,'[4]DE x PARA'!C167:K2166,7,FALSE),"SINTÉTICA")</f>
        <v>SINTÉTICA</v>
      </c>
      <c r="M172">
        <f>IFERROR(VLOOKUP(B172,'[4]DE x PARA'!B167:K2166,10,FALSE),"SINTÉTICA")</f>
        <v>600017</v>
      </c>
      <c r="N172">
        <f>IFERROR(VLOOKUP(M172,'[4]DE x PARA'!$K$2:$L$2001,2,FALSE),0)</f>
        <v>-1</v>
      </c>
      <c r="O172">
        <f t="shared" si="11"/>
        <v>0</v>
      </c>
    </row>
    <row r="173" spans="1:15" ht="18">
      <c r="A173" t="str">
        <f t="shared" si="8"/>
        <v>2.1.1.04.0998</v>
      </c>
      <c r="B173" t="s">
        <v>822</v>
      </c>
      <c r="C173" s="580">
        <v>2114998</v>
      </c>
      <c r="D173" t="s">
        <v>823</v>
      </c>
      <c r="E173" s="77">
        <v>0</v>
      </c>
      <c r="F173" s="77">
        <v>256448</v>
      </c>
      <c r="G173" s="77">
        <v>-256448</v>
      </c>
      <c r="H173" s="77">
        <v>0</v>
      </c>
      <c r="I173" s="77">
        <v>0</v>
      </c>
      <c r="J173" s="112">
        <f t="shared" si="9"/>
        <v>0</v>
      </c>
      <c r="K173" s="112">
        <f t="shared" si="10"/>
        <v>0</v>
      </c>
      <c r="L173" s="346">
        <f>IFERROR(VLOOKUP(C173,'[4]DE x PARA'!C168:K2167,7,FALSE),"SINTÉTICA")</f>
        <v>500001</v>
      </c>
      <c r="M173">
        <f>IFERROR(VLOOKUP(B173,'[4]DE x PARA'!B168:K2167,10,FALSE),"SINTÉTICA")</f>
        <v>600017</v>
      </c>
      <c r="N173">
        <f>IFERROR(VLOOKUP(M173,'[4]DE x PARA'!$K$2:$L$2001,2,FALSE),0)</f>
        <v>-1</v>
      </c>
      <c r="O173">
        <f t="shared" si="11"/>
        <v>0</v>
      </c>
    </row>
    <row r="174" spans="1:15" ht="18">
      <c r="A174" t="str">
        <f t="shared" si="8"/>
        <v>2.1.1.04.1001</v>
      </c>
      <c r="B174" t="s">
        <v>4096</v>
      </c>
      <c r="C174" s="580">
        <v>38458400000000</v>
      </c>
      <c r="D174" t="s">
        <v>4097</v>
      </c>
      <c r="E174" s="77">
        <v>0</v>
      </c>
      <c r="F174" s="77">
        <v>1597.55</v>
      </c>
      <c r="G174" s="77">
        <v>-1597.55</v>
      </c>
      <c r="H174" s="77">
        <v>0</v>
      </c>
      <c r="I174" s="77">
        <v>0</v>
      </c>
      <c r="J174" s="112">
        <f t="shared" si="9"/>
        <v>0</v>
      </c>
      <c r="K174" s="112">
        <f t="shared" si="10"/>
        <v>0</v>
      </c>
      <c r="L174" s="346" t="str">
        <f>IFERROR(VLOOKUP(C174,'[4]DE x PARA'!C169:K2168,7,FALSE),"SINTÉTICA")</f>
        <v>SINTÉTICA</v>
      </c>
      <c r="M174">
        <f>IFERROR(VLOOKUP(B174,'[4]DE x PARA'!B169:K2168,10,FALSE),"SINTÉTICA")</f>
        <v>600017</v>
      </c>
      <c r="N174">
        <f>IFERROR(VLOOKUP(M174,'[4]DE x PARA'!$K$2:$L$2001,2,FALSE),0)</f>
        <v>-1</v>
      </c>
      <c r="O174">
        <f t="shared" si="11"/>
        <v>0</v>
      </c>
    </row>
    <row r="175" spans="1:15" ht="18">
      <c r="A175" t="str">
        <f t="shared" si="8"/>
        <v>2.1.1.04.1002</v>
      </c>
      <c r="B175" t="s">
        <v>824</v>
      </c>
      <c r="C175" s="580">
        <v>8210270000000</v>
      </c>
      <c r="D175" t="s">
        <v>825</v>
      </c>
      <c r="E175" s="77">
        <v>0</v>
      </c>
      <c r="F175" s="77">
        <v>12812</v>
      </c>
      <c r="G175" s="77">
        <v>-12812</v>
      </c>
      <c r="H175" s="77">
        <v>0</v>
      </c>
      <c r="I175" s="77">
        <v>0</v>
      </c>
      <c r="J175" s="112">
        <f t="shared" si="9"/>
        <v>0</v>
      </c>
      <c r="K175" s="112">
        <f t="shared" si="10"/>
        <v>0</v>
      </c>
      <c r="L175" s="346" t="str">
        <f>IFERROR(VLOOKUP(C175,'[4]DE x PARA'!C170:K2169,7,FALSE),"SINTÉTICA")</f>
        <v>SINTÉTICA</v>
      </c>
      <c r="M175">
        <f>IFERROR(VLOOKUP(B175,'[4]DE x PARA'!B170:K2169,10,FALSE),"SINTÉTICA")</f>
        <v>600017</v>
      </c>
      <c r="N175">
        <f>IFERROR(VLOOKUP(M175,'[4]DE x PARA'!$K$2:$L$2001,2,FALSE),0)</f>
        <v>-1</v>
      </c>
      <c r="O175">
        <f t="shared" si="11"/>
        <v>0</v>
      </c>
    </row>
    <row r="176" spans="1:15" ht="18">
      <c r="A176" t="str">
        <f t="shared" si="8"/>
        <v>2.1.1.04.1010</v>
      </c>
      <c r="B176" t="s">
        <v>4112</v>
      </c>
      <c r="C176" s="580">
        <v>19485900000000</v>
      </c>
      <c r="D176" t="s">
        <v>4113</v>
      </c>
      <c r="E176" s="77">
        <v>-24928</v>
      </c>
      <c r="F176" s="77">
        <v>24928</v>
      </c>
      <c r="G176" s="77">
        <v>0</v>
      </c>
      <c r="H176" s="77">
        <v>24928</v>
      </c>
      <c r="I176" s="77">
        <v>0</v>
      </c>
      <c r="J176" s="112">
        <f t="shared" si="9"/>
        <v>0</v>
      </c>
      <c r="K176" s="112">
        <f t="shared" si="10"/>
        <v>0</v>
      </c>
      <c r="L176" s="346" t="str">
        <f>IFERROR(VLOOKUP(C176,'[4]DE x PARA'!C171:K2170,7,FALSE),"SINTÉTICA")</f>
        <v>SINTÉTICA</v>
      </c>
      <c r="M176">
        <f>IFERROR(VLOOKUP(B176,'[4]DE x PARA'!B171:K2170,10,FALSE),"SINTÉTICA")</f>
        <v>600017</v>
      </c>
      <c r="N176">
        <f>IFERROR(VLOOKUP(M176,'[4]DE x PARA'!$K$2:$L$2001,2,FALSE),0)</f>
        <v>-1</v>
      </c>
      <c r="O176">
        <f t="shared" si="11"/>
        <v>-24928</v>
      </c>
    </row>
    <row r="177" spans="1:15" ht="18">
      <c r="A177" t="str">
        <f t="shared" si="8"/>
        <v>2.1.1.04.1011</v>
      </c>
      <c r="B177" t="s">
        <v>4114</v>
      </c>
      <c r="C177" s="580">
        <v>3812750000000</v>
      </c>
      <c r="D177" t="s">
        <v>4115</v>
      </c>
      <c r="E177" s="77">
        <v>-64998.98</v>
      </c>
      <c r="F177" s="77">
        <v>64999.98</v>
      </c>
      <c r="G177" s="77">
        <v>-1</v>
      </c>
      <c r="H177" s="77">
        <v>64998.98</v>
      </c>
      <c r="I177" s="77">
        <v>0</v>
      </c>
      <c r="J177" s="112">
        <f t="shared" si="9"/>
        <v>0</v>
      </c>
      <c r="K177" s="112">
        <f t="shared" si="10"/>
        <v>0</v>
      </c>
      <c r="L177" s="346" t="str">
        <f>IFERROR(VLOOKUP(C177,'[4]DE x PARA'!C172:K2171,7,FALSE),"SINTÉTICA")</f>
        <v>SINTÉTICA</v>
      </c>
      <c r="M177">
        <f>IFERROR(VLOOKUP(B177,'[4]DE x PARA'!B172:K2171,10,FALSE),"SINTÉTICA")</f>
        <v>600017</v>
      </c>
      <c r="N177">
        <f>IFERROR(VLOOKUP(M177,'[4]DE x PARA'!$K$2:$L$2001,2,FALSE),0)</f>
        <v>-1</v>
      </c>
      <c r="O177">
        <f t="shared" si="11"/>
        <v>-64998.98</v>
      </c>
    </row>
    <row r="178" spans="1:15" ht="18">
      <c r="A178" t="str">
        <f t="shared" si="8"/>
        <v>2.1.1.04.1012</v>
      </c>
      <c r="B178" t="s">
        <v>826</v>
      </c>
      <c r="C178" s="580">
        <v>1976530000000</v>
      </c>
      <c r="D178" t="s">
        <v>827</v>
      </c>
      <c r="E178" s="77">
        <v>0</v>
      </c>
      <c r="F178" s="77">
        <v>5592</v>
      </c>
      <c r="G178" s="77">
        <v>-5592</v>
      </c>
      <c r="H178" s="77">
        <v>0</v>
      </c>
      <c r="I178" s="77">
        <v>0</v>
      </c>
      <c r="J178" s="112">
        <f t="shared" si="9"/>
        <v>0</v>
      </c>
      <c r="K178" s="112">
        <f t="shared" si="10"/>
        <v>0</v>
      </c>
      <c r="L178" s="346" t="str">
        <f>IFERROR(VLOOKUP(C178,'[4]DE x PARA'!C173:K2172,7,FALSE),"SINTÉTICA")</f>
        <v>SINTÉTICA</v>
      </c>
      <c r="M178">
        <f>IFERROR(VLOOKUP(B178,'[4]DE x PARA'!B173:K2172,10,FALSE),"SINTÉTICA")</f>
        <v>600017</v>
      </c>
      <c r="N178">
        <f>IFERROR(VLOOKUP(M178,'[4]DE x PARA'!$K$2:$L$2001,2,FALSE),0)</f>
        <v>-1</v>
      </c>
      <c r="O178">
        <f t="shared" si="11"/>
        <v>0</v>
      </c>
    </row>
    <row r="179" spans="1:15" ht="18">
      <c r="A179" t="str">
        <f t="shared" si="8"/>
        <v>2.1.1.04.1013</v>
      </c>
      <c r="B179" t="s">
        <v>828</v>
      </c>
      <c r="C179" s="580">
        <v>44459900000000</v>
      </c>
      <c r="D179" t="s">
        <v>829</v>
      </c>
      <c r="E179" s="77">
        <v>0</v>
      </c>
      <c r="F179" s="77">
        <v>23285.67</v>
      </c>
      <c r="G179" s="77">
        <v>-23285.67</v>
      </c>
      <c r="H179" s="77">
        <v>0</v>
      </c>
      <c r="I179" s="77">
        <v>0</v>
      </c>
      <c r="J179" s="112">
        <f t="shared" si="9"/>
        <v>0</v>
      </c>
      <c r="K179" s="112">
        <f t="shared" si="10"/>
        <v>0</v>
      </c>
      <c r="L179" s="346" t="str">
        <f>IFERROR(VLOOKUP(C179,'[4]DE x PARA'!C174:K2173,7,FALSE),"SINTÉTICA")</f>
        <v>SINTÉTICA</v>
      </c>
      <c r="M179">
        <f>IFERROR(VLOOKUP(B179,'[4]DE x PARA'!B174:K2173,10,FALSE),"SINTÉTICA")</f>
        <v>600017</v>
      </c>
      <c r="N179">
        <f>IFERROR(VLOOKUP(M179,'[4]DE x PARA'!$K$2:$L$2001,2,FALSE),0)</f>
        <v>-1</v>
      </c>
      <c r="O179">
        <f t="shared" si="11"/>
        <v>0</v>
      </c>
    </row>
    <row r="180" spans="1:15" ht="18">
      <c r="A180" t="str">
        <f t="shared" si="8"/>
        <v>2.1.1.04.1014</v>
      </c>
      <c r="B180" t="s">
        <v>4116</v>
      </c>
      <c r="C180" s="580">
        <v>13369400000000</v>
      </c>
      <c r="D180" t="s">
        <v>4117</v>
      </c>
      <c r="E180" s="77">
        <v>0</v>
      </c>
      <c r="F180" s="77">
        <v>4980.5</v>
      </c>
      <c r="G180" s="77">
        <v>-4980.5</v>
      </c>
      <c r="H180" s="77">
        <v>0</v>
      </c>
      <c r="I180" s="77">
        <v>0</v>
      </c>
      <c r="J180" s="112">
        <f t="shared" si="9"/>
        <v>0</v>
      </c>
      <c r="K180" s="112">
        <f t="shared" si="10"/>
        <v>0</v>
      </c>
      <c r="L180" s="346" t="str">
        <f>IFERROR(VLOOKUP(C180,'[4]DE x PARA'!C175:K2174,7,FALSE),"SINTÉTICA")</f>
        <v>SINTÉTICA</v>
      </c>
      <c r="M180">
        <f>IFERROR(VLOOKUP(B180,'[4]DE x PARA'!B175:K2174,10,FALSE),"SINTÉTICA")</f>
        <v>600017</v>
      </c>
      <c r="N180">
        <f>IFERROR(VLOOKUP(M180,'[4]DE x PARA'!$K$2:$L$2001,2,FALSE),0)</f>
        <v>-1</v>
      </c>
      <c r="O180">
        <f t="shared" si="11"/>
        <v>0</v>
      </c>
    </row>
    <row r="181" spans="1:15" ht="18">
      <c r="A181" t="str">
        <f t="shared" si="8"/>
        <v>2.1.1.04.1015</v>
      </c>
      <c r="B181" t="s">
        <v>830</v>
      </c>
      <c r="C181" s="580">
        <v>37381900000000</v>
      </c>
      <c r="D181" t="s">
        <v>831</v>
      </c>
      <c r="E181" s="77">
        <v>0</v>
      </c>
      <c r="F181" s="77">
        <v>24469.08</v>
      </c>
      <c r="G181" s="77">
        <v>-28268.85</v>
      </c>
      <c r="H181" s="77">
        <v>-3799.77</v>
      </c>
      <c r="I181" s="77">
        <v>-3799.77</v>
      </c>
      <c r="J181" s="112">
        <f t="shared" si="9"/>
        <v>-3.7997700000000001</v>
      </c>
      <c r="K181" s="112">
        <f t="shared" si="10"/>
        <v>-4</v>
      </c>
      <c r="L181" s="346" t="str">
        <f>IFERROR(VLOOKUP(C181,'[4]DE x PARA'!C176:K2175,7,FALSE),"SINTÉTICA")</f>
        <v>SINTÉTICA</v>
      </c>
      <c r="M181">
        <f>IFERROR(VLOOKUP(B181,'[4]DE x PARA'!B176:K2175,10,FALSE),"SINTÉTICA")</f>
        <v>600017</v>
      </c>
      <c r="N181">
        <f>IFERROR(VLOOKUP(M181,'[4]DE x PARA'!$K$2:$L$2001,2,FALSE),0)</f>
        <v>-1</v>
      </c>
      <c r="O181">
        <f t="shared" si="11"/>
        <v>3799.77</v>
      </c>
    </row>
    <row r="182" spans="1:15" ht="18">
      <c r="A182" t="str">
        <f t="shared" si="8"/>
        <v>2.1.1.04.1016</v>
      </c>
      <c r="B182" t="s">
        <v>4118</v>
      </c>
      <c r="C182" s="580">
        <v>7273920000000</v>
      </c>
      <c r="D182" t="s">
        <v>4119</v>
      </c>
      <c r="E182" s="77">
        <v>0</v>
      </c>
      <c r="F182" s="77">
        <v>45190</v>
      </c>
      <c r="G182" s="77">
        <v>-45190</v>
      </c>
      <c r="H182" s="77">
        <v>0</v>
      </c>
      <c r="I182" s="77">
        <v>0</v>
      </c>
      <c r="J182" s="112">
        <f t="shared" si="9"/>
        <v>0</v>
      </c>
      <c r="K182" s="112">
        <f t="shared" si="10"/>
        <v>0</v>
      </c>
      <c r="L182" s="346" t="str">
        <f>IFERROR(VLOOKUP(C182,'[4]DE x PARA'!C177:K2176,7,FALSE),"SINTÉTICA")</f>
        <v>SINTÉTICA</v>
      </c>
      <c r="M182">
        <f>IFERROR(VLOOKUP(B182,'[4]DE x PARA'!B177:K2176,10,FALSE),"SINTÉTICA")</f>
        <v>600017</v>
      </c>
      <c r="N182">
        <f>IFERROR(VLOOKUP(M182,'[4]DE x PARA'!$K$2:$L$2001,2,FALSE),0)</f>
        <v>-1</v>
      </c>
      <c r="O182">
        <f t="shared" si="11"/>
        <v>0</v>
      </c>
    </row>
    <row r="183" spans="1:15" ht="18">
      <c r="A183" t="str">
        <f t="shared" si="8"/>
        <v>2.1.1.04.1019</v>
      </c>
      <c r="B183" t="s">
        <v>4124</v>
      </c>
      <c r="C183" s="580">
        <v>45499300000000</v>
      </c>
      <c r="D183" t="s">
        <v>4125</v>
      </c>
      <c r="E183" s="77">
        <v>0</v>
      </c>
      <c r="F183" s="77">
        <v>299750</v>
      </c>
      <c r="G183" s="77">
        <v>-299750</v>
      </c>
      <c r="H183" s="77">
        <v>0</v>
      </c>
      <c r="I183" s="77">
        <v>0</v>
      </c>
      <c r="J183" s="112">
        <f t="shared" si="9"/>
        <v>0</v>
      </c>
      <c r="K183" s="112">
        <f t="shared" si="10"/>
        <v>0</v>
      </c>
      <c r="L183" s="346" t="str">
        <f>IFERROR(VLOOKUP(C183,'[4]DE x PARA'!C178:K2177,7,FALSE),"SINTÉTICA")</f>
        <v>SINTÉTICA</v>
      </c>
      <c r="M183">
        <f>IFERROR(VLOOKUP(B183,'[4]DE x PARA'!B178:K2177,10,FALSE),"SINTÉTICA")</f>
        <v>600017</v>
      </c>
      <c r="N183">
        <f>IFERROR(VLOOKUP(M183,'[4]DE x PARA'!$K$2:$L$2001,2,FALSE),0)</f>
        <v>-1</v>
      </c>
      <c r="O183">
        <f t="shared" si="11"/>
        <v>0</v>
      </c>
    </row>
    <row r="184" spans="1:15" ht="18">
      <c r="A184" t="str">
        <f t="shared" si="8"/>
        <v>2.1.1.04.1021</v>
      </c>
      <c r="B184" t="s">
        <v>832</v>
      </c>
      <c r="C184" s="580">
        <v>12782100000000</v>
      </c>
      <c r="D184" t="s">
        <v>833</v>
      </c>
      <c r="E184" s="77">
        <v>0</v>
      </c>
      <c r="F184" s="77">
        <v>30247.26</v>
      </c>
      <c r="G184" s="77">
        <v>-30247.26</v>
      </c>
      <c r="H184" s="77">
        <v>0</v>
      </c>
      <c r="I184" s="77">
        <v>0</v>
      </c>
      <c r="J184" s="112">
        <f t="shared" si="9"/>
        <v>0</v>
      </c>
      <c r="K184" s="112">
        <f t="shared" si="10"/>
        <v>0</v>
      </c>
      <c r="L184" s="346" t="str">
        <f>IFERROR(VLOOKUP(C184,'[4]DE x PARA'!C179:K2178,7,FALSE),"SINTÉTICA")</f>
        <v>SINTÉTICA</v>
      </c>
      <c r="M184">
        <f>IFERROR(VLOOKUP(B184,'[4]DE x PARA'!B179:K2178,10,FALSE),"SINTÉTICA")</f>
        <v>600017</v>
      </c>
      <c r="N184">
        <f>IFERROR(VLOOKUP(M184,'[4]DE x PARA'!$K$2:$L$2001,2,FALSE),0)</f>
        <v>-1</v>
      </c>
      <c r="O184">
        <f t="shared" si="11"/>
        <v>0</v>
      </c>
    </row>
    <row r="185" spans="1:15" ht="18">
      <c r="A185" t="str">
        <f t="shared" si="8"/>
        <v>2.1.1.04.1022</v>
      </c>
      <c r="B185" t="s">
        <v>834</v>
      </c>
      <c r="C185" s="580">
        <v>7658540000000</v>
      </c>
      <c r="D185" t="s">
        <v>835</v>
      </c>
      <c r="E185" s="77">
        <v>0</v>
      </c>
      <c r="F185" s="77">
        <v>111800</v>
      </c>
      <c r="G185" s="77">
        <v>-111800</v>
      </c>
      <c r="H185" s="77">
        <v>0</v>
      </c>
      <c r="I185" s="77">
        <v>0</v>
      </c>
      <c r="J185" s="112">
        <f t="shared" si="9"/>
        <v>0</v>
      </c>
      <c r="K185" s="112">
        <f t="shared" si="10"/>
        <v>0</v>
      </c>
      <c r="L185" s="346" t="str">
        <f>IFERROR(VLOOKUP(C185,'[4]DE x PARA'!C180:K2179,7,FALSE),"SINTÉTICA")</f>
        <v>SINTÉTICA</v>
      </c>
      <c r="M185">
        <f>IFERROR(VLOOKUP(B185,'[4]DE x PARA'!B180:K2179,10,FALSE),"SINTÉTICA")</f>
        <v>600017</v>
      </c>
      <c r="N185">
        <f>IFERROR(VLOOKUP(M185,'[4]DE x PARA'!$K$2:$L$2001,2,FALSE),0)</f>
        <v>-1</v>
      </c>
      <c r="O185">
        <f t="shared" si="11"/>
        <v>0</v>
      </c>
    </row>
    <row r="186" spans="1:15" ht="18">
      <c r="A186" t="str">
        <f t="shared" si="8"/>
        <v>2.1.1.04.1023</v>
      </c>
      <c r="B186" t="s">
        <v>4127</v>
      </c>
      <c r="C186" s="580">
        <v>46792800000000</v>
      </c>
      <c r="D186" t="s">
        <v>4128</v>
      </c>
      <c r="E186" s="77">
        <v>0</v>
      </c>
      <c r="F186" s="77">
        <v>16370</v>
      </c>
      <c r="G186" s="77">
        <v>-16370</v>
      </c>
      <c r="H186" s="77">
        <v>0</v>
      </c>
      <c r="I186" s="77">
        <v>0</v>
      </c>
      <c r="J186" s="112">
        <f t="shared" si="9"/>
        <v>0</v>
      </c>
      <c r="K186" s="112">
        <f t="shared" si="10"/>
        <v>0</v>
      </c>
      <c r="L186" s="346" t="str">
        <f>IFERROR(VLOOKUP(C186,'[4]DE x PARA'!C181:K2180,7,FALSE),"SINTÉTICA")</f>
        <v>SINTÉTICA</v>
      </c>
      <c r="M186">
        <f>IFERROR(VLOOKUP(B186,'[4]DE x PARA'!B181:K2180,10,FALSE),"SINTÉTICA")</f>
        <v>600017</v>
      </c>
      <c r="N186">
        <f>IFERROR(VLOOKUP(M186,'[4]DE x PARA'!$K$2:$L$2001,2,FALSE),0)</f>
        <v>-1</v>
      </c>
      <c r="O186">
        <f t="shared" si="11"/>
        <v>0</v>
      </c>
    </row>
    <row r="187" spans="1:15" ht="18">
      <c r="A187" t="str">
        <f t="shared" si="8"/>
        <v>2.1.1.04.1024</v>
      </c>
      <c r="B187" t="s">
        <v>4129</v>
      </c>
      <c r="C187" s="580">
        <v>31030100000000</v>
      </c>
      <c r="D187" t="s">
        <v>4130</v>
      </c>
      <c r="E187" s="77">
        <v>0</v>
      </c>
      <c r="F187" s="77">
        <v>1080</v>
      </c>
      <c r="G187" s="77">
        <v>-1080</v>
      </c>
      <c r="H187" s="77">
        <v>0</v>
      </c>
      <c r="I187" s="77">
        <v>0</v>
      </c>
      <c r="J187" s="112">
        <f t="shared" si="9"/>
        <v>0</v>
      </c>
      <c r="K187" s="112">
        <f t="shared" si="10"/>
        <v>0</v>
      </c>
      <c r="L187" s="346" t="str">
        <f>IFERROR(VLOOKUP(C187,'[4]DE x PARA'!C182:K2181,7,FALSE),"SINTÉTICA")</f>
        <v>SINTÉTICA</v>
      </c>
      <c r="M187">
        <f>IFERROR(VLOOKUP(B187,'[4]DE x PARA'!B182:K2181,10,FALSE),"SINTÉTICA")</f>
        <v>600017</v>
      </c>
      <c r="N187">
        <f>IFERROR(VLOOKUP(M187,'[4]DE x PARA'!$K$2:$L$2001,2,FALSE),0)</f>
        <v>-1</v>
      </c>
      <c r="O187">
        <f t="shared" si="11"/>
        <v>0</v>
      </c>
    </row>
    <row r="188" spans="1:15" ht="18">
      <c r="A188" t="str">
        <f t="shared" si="8"/>
        <v>2.1.1.04.1025</v>
      </c>
      <c r="B188" t="s">
        <v>4131</v>
      </c>
      <c r="C188" s="580">
        <v>22243800000000</v>
      </c>
      <c r="D188" t="s">
        <v>4132</v>
      </c>
      <c r="E188" s="77">
        <v>0</v>
      </c>
      <c r="F188" s="77">
        <v>1500</v>
      </c>
      <c r="G188" s="77">
        <v>-1500</v>
      </c>
      <c r="H188" s="77">
        <v>0</v>
      </c>
      <c r="I188" s="77">
        <v>0</v>
      </c>
      <c r="J188" s="112">
        <f t="shared" si="9"/>
        <v>0</v>
      </c>
      <c r="K188" s="112">
        <f t="shared" si="10"/>
        <v>0</v>
      </c>
      <c r="L188" s="346" t="str">
        <f>IFERROR(VLOOKUP(C188,'[4]DE x PARA'!C183:K2182,7,FALSE),"SINTÉTICA")</f>
        <v>SINTÉTICA</v>
      </c>
      <c r="M188">
        <f>IFERROR(VLOOKUP(B188,'[4]DE x PARA'!B183:K2182,10,FALSE),"SINTÉTICA")</f>
        <v>600017</v>
      </c>
      <c r="N188">
        <f>IFERROR(VLOOKUP(M188,'[4]DE x PARA'!$K$2:$L$2001,2,FALSE),0)</f>
        <v>-1</v>
      </c>
      <c r="O188">
        <f t="shared" si="11"/>
        <v>0</v>
      </c>
    </row>
    <row r="189" spans="1:15" ht="18">
      <c r="A189" t="str">
        <f t="shared" si="8"/>
        <v>2.1.1.04.1026</v>
      </c>
      <c r="B189" t="s">
        <v>4133</v>
      </c>
      <c r="C189" s="580">
        <v>42112700000000</v>
      </c>
      <c r="D189" t="s">
        <v>4134</v>
      </c>
      <c r="E189" s="77">
        <v>0</v>
      </c>
      <c r="F189" s="77">
        <v>12600</v>
      </c>
      <c r="G189" s="77">
        <v>-12600</v>
      </c>
      <c r="H189" s="77">
        <v>0</v>
      </c>
      <c r="I189" s="77">
        <v>0</v>
      </c>
      <c r="J189" s="112">
        <f t="shared" si="9"/>
        <v>0</v>
      </c>
      <c r="K189" s="112">
        <f t="shared" si="10"/>
        <v>0</v>
      </c>
      <c r="L189" s="346" t="str">
        <f>IFERROR(VLOOKUP(C189,'[4]DE x PARA'!C184:K2183,7,FALSE),"SINTÉTICA")</f>
        <v>SINTÉTICA</v>
      </c>
      <c r="M189">
        <f>IFERROR(VLOOKUP(B189,'[4]DE x PARA'!B184:K2183,10,FALSE),"SINTÉTICA")</f>
        <v>600017</v>
      </c>
      <c r="N189">
        <f>IFERROR(VLOOKUP(M189,'[4]DE x PARA'!$K$2:$L$2001,2,FALSE),0)</f>
        <v>-1</v>
      </c>
      <c r="O189">
        <f t="shared" si="11"/>
        <v>0</v>
      </c>
    </row>
    <row r="190" spans="1:15" ht="18">
      <c r="A190" t="str">
        <f t="shared" si="8"/>
        <v>2.1.1.04.1027</v>
      </c>
      <c r="B190" t="s">
        <v>4135</v>
      </c>
      <c r="C190" s="580">
        <v>23605900000000</v>
      </c>
      <c r="D190" t="s">
        <v>4136</v>
      </c>
      <c r="E190" s="77">
        <v>0</v>
      </c>
      <c r="F190" s="77">
        <v>1298.7</v>
      </c>
      <c r="G190" s="77">
        <v>-1298.7</v>
      </c>
      <c r="H190" s="77">
        <v>0</v>
      </c>
      <c r="I190" s="77">
        <v>0</v>
      </c>
      <c r="J190" s="112">
        <f t="shared" si="9"/>
        <v>0</v>
      </c>
      <c r="K190" s="112">
        <f t="shared" si="10"/>
        <v>0</v>
      </c>
      <c r="L190" s="346" t="str">
        <f>IFERROR(VLOOKUP(C190,'[4]DE x PARA'!C185:K2184,7,FALSE),"SINTÉTICA")</f>
        <v>SINTÉTICA</v>
      </c>
      <c r="M190">
        <f>IFERROR(VLOOKUP(B190,'[4]DE x PARA'!B185:K2184,10,FALSE),"SINTÉTICA")</f>
        <v>600017</v>
      </c>
      <c r="N190">
        <f>IFERROR(VLOOKUP(M190,'[4]DE x PARA'!$K$2:$L$2001,2,FALSE),0)</f>
        <v>-1</v>
      </c>
      <c r="O190">
        <f t="shared" si="11"/>
        <v>0</v>
      </c>
    </row>
    <row r="191" spans="1:15" ht="18">
      <c r="A191" t="str">
        <f t="shared" si="8"/>
        <v>2.1.1.04.1028</v>
      </c>
      <c r="B191" t="s">
        <v>4137</v>
      </c>
      <c r="C191" s="580">
        <v>18241200000000</v>
      </c>
      <c r="D191" t="s">
        <v>4138</v>
      </c>
      <c r="E191" s="77">
        <v>0</v>
      </c>
      <c r="F191" s="77">
        <v>1180</v>
      </c>
      <c r="G191" s="77">
        <v>-1180</v>
      </c>
      <c r="H191" s="77">
        <v>0</v>
      </c>
      <c r="I191" s="77">
        <v>0</v>
      </c>
      <c r="J191" s="112">
        <f t="shared" si="9"/>
        <v>0</v>
      </c>
      <c r="K191" s="112">
        <f t="shared" si="10"/>
        <v>0</v>
      </c>
      <c r="L191" s="346" t="str">
        <f>IFERROR(VLOOKUP(C191,'[4]DE x PARA'!C186:K2185,7,FALSE),"SINTÉTICA")</f>
        <v>SINTÉTICA</v>
      </c>
      <c r="M191">
        <f>IFERROR(VLOOKUP(B191,'[4]DE x PARA'!B186:K2185,10,FALSE),"SINTÉTICA")</f>
        <v>600017</v>
      </c>
      <c r="N191">
        <f>IFERROR(VLOOKUP(M191,'[4]DE x PARA'!$K$2:$L$2001,2,FALSE),0)</f>
        <v>-1</v>
      </c>
      <c r="O191">
        <f t="shared" si="11"/>
        <v>0</v>
      </c>
    </row>
    <row r="192" spans="1:15" ht="18">
      <c r="A192" t="str">
        <f t="shared" si="8"/>
        <v>2.1.1.04.1029</v>
      </c>
      <c r="B192" t="s">
        <v>4139</v>
      </c>
      <c r="C192" s="580">
        <v>772864000000</v>
      </c>
      <c r="D192" t="s">
        <v>4140</v>
      </c>
      <c r="E192" s="77">
        <v>0</v>
      </c>
      <c r="F192" s="77">
        <v>18600</v>
      </c>
      <c r="G192" s="77">
        <v>-18600</v>
      </c>
      <c r="H192" s="77">
        <v>0</v>
      </c>
      <c r="I192" s="77">
        <v>0</v>
      </c>
      <c r="J192" s="112">
        <f t="shared" si="9"/>
        <v>0</v>
      </c>
      <c r="K192" s="112">
        <f t="shared" si="10"/>
        <v>0</v>
      </c>
      <c r="L192" s="346" t="str">
        <f>IFERROR(VLOOKUP(C192,'[4]DE x PARA'!C187:K2186,7,FALSE),"SINTÉTICA")</f>
        <v>SINTÉTICA</v>
      </c>
      <c r="M192">
        <f>IFERROR(VLOOKUP(B192,'[4]DE x PARA'!B187:K2186,10,FALSE),"SINTÉTICA")</f>
        <v>600017</v>
      </c>
      <c r="N192">
        <f>IFERROR(VLOOKUP(M192,'[4]DE x PARA'!$K$2:$L$2001,2,FALSE),0)</f>
        <v>-1</v>
      </c>
      <c r="O192">
        <f t="shared" si="11"/>
        <v>0</v>
      </c>
    </row>
    <row r="193" spans="1:15" ht="18">
      <c r="A193" t="str">
        <f t="shared" si="8"/>
        <v>2.1.1.04.1030</v>
      </c>
      <c r="B193" t="s">
        <v>4141</v>
      </c>
      <c r="C193" s="580">
        <v>10302200000000</v>
      </c>
      <c r="D193" t="s">
        <v>4142</v>
      </c>
      <c r="E193" s="77">
        <v>0</v>
      </c>
      <c r="F193" s="77">
        <v>40000</v>
      </c>
      <c r="G193" s="77">
        <v>-40000</v>
      </c>
      <c r="H193" s="77">
        <v>0</v>
      </c>
      <c r="I193" s="77">
        <v>0</v>
      </c>
      <c r="J193" s="112">
        <f t="shared" si="9"/>
        <v>0</v>
      </c>
      <c r="K193" s="112">
        <f t="shared" si="10"/>
        <v>0</v>
      </c>
      <c r="L193" s="346" t="str">
        <f>IFERROR(VLOOKUP(C193,'[4]DE x PARA'!C188:K2187,7,FALSE),"SINTÉTICA")</f>
        <v>SINTÉTICA</v>
      </c>
      <c r="M193">
        <f>IFERROR(VLOOKUP(B193,'[4]DE x PARA'!B188:K2187,10,FALSE),"SINTÉTICA")</f>
        <v>600017</v>
      </c>
      <c r="N193">
        <f>IFERROR(VLOOKUP(M193,'[4]DE x PARA'!$K$2:$L$2001,2,FALSE),0)</f>
        <v>-1</v>
      </c>
      <c r="O193">
        <f t="shared" si="11"/>
        <v>0</v>
      </c>
    </row>
    <row r="194" spans="1:15" ht="18">
      <c r="A194" t="str">
        <f t="shared" si="8"/>
        <v>2.1.1.04.1031</v>
      </c>
      <c r="B194" t="s">
        <v>836</v>
      </c>
      <c r="C194" s="580">
        <v>24185200000000</v>
      </c>
      <c r="D194" t="s">
        <v>837</v>
      </c>
      <c r="E194" s="77">
        <v>0</v>
      </c>
      <c r="F194" s="77">
        <v>14450</v>
      </c>
      <c r="G194" s="77">
        <v>-14450</v>
      </c>
      <c r="H194" s="77">
        <v>0</v>
      </c>
      <c r="I194" s="77">
        <v>0</v>
      </c>
      <c r="J194" s="112">
        <f t="shared" si="9"/>
        <v>0</v>
      </c>
      <c r="K194" s="112">
        <f t="shared" si="10"/>
        <v>0</v>
      </c>
      <c r="L194" s="346" t="str">
        <f>IFERROR(VLOOKUP(C194,'[4]DE x PARA'!C189:K2188,7,FALSE),"SINTÉTICA")</f>
        <v>SINTÉTICA</v>
      </c>
      <c r="M194">
        <f>IFERROR(VLOOKUP(B194,'[4]DE x PARA'!B189:K2188,10,FALSE),"SINTÉTICA")</f>
        <v>600017</v>
      </c>
      <c r="N194">
        <f>IFERROR(VLOOKUP(M194,'[4]DE x PARA'!$K$2:$L$2001,2,FALSE),0)</f>
        <v>-1</v>
      </c>
      <c r="O194">
        <f t="shared" si="11"/>
        <v>0</v>
      </c>
    </row>
    <row r="195" spans="1:15" ht="18">
      <c r="A195" t="str">
        <f t="shared" si="8"/>
        <v>2.1.1.04.1032</v>
      </c>
      <c r="B195" t="s">
        <v>4143</v>
      </c>
      <c r="C195" s="580">
        <v>29300300000000</v>
      </c>
      <c r="D195" t="s">
        <v>4144</v>
      </c>
      <c r="E195" s="77">
        <v>0</v>
      </c>
      <c r="F195" s="77">
        <v>8600</v>
      </c>
      <c r="G195" s="77">
        <v>-8600</v>
      </c>
      <c r="H195" s="77">
        <v>0</v>
      </c>
      <c r="I195" s="77">
        <v>0</v>
      </c>
      <c r="J195" s="112">
        <f t="shared" si="9"/>
        <v>0</v>
      </c>
      <c r="K195" s="112">
        <f t="shared" si="10"/>
        <v>0</v>
      </c>
      <c r="L195" s="346" t="str">
        <f>IFERROR(VLOOKUP(C195,'[4]DE x PARA'!C190:K2189,7,FALSE),"SINTÉTICA")</f>
        <v>SINTÉTICA</v>
      </c>
      <c r="M195">
        <f>IFERROR(VLOOKUP(B195,'[4]DE x PARA'!B190:K2189,10,FALSE),"SINTÉTICA")</f>
        <v>600017</v>
      </c>
      <c r="N195">
        <f>IFERROR(VLOOKUP(M195,'[4]DE x PARA'!$K$2:$L$2001,2,FALSE),0)</f>
        <v>-1</v>
      </c>
      <c r="O195">
        <f t="shared" si="11"/>
        <v>0</v>
      </c>
    </row>
    <row r="196" spans="1:15" ht="18">
      <c r="A196" t="str">
        <f t="shared" si="8"/>
        <v>2.1.1.04.1033</v>
      </c>
      <c r="B196" t="s">
        <v>4145</v>
      </c>
      <c r="C196" s="580">
        <v>9183500000000</v>
      </c>
      <c r="D196" t="s">
        <v>4146</v>
      </c>
      <c r="E196" s="77">
        <v>0</v>
      </c>
      <c r="F196" s="77">
        <v>12600</v>
      </c>
      <c r="G196" s="77">
        <v>-12600</v>
      </c>
      <c r="H196" s="77">
        <v>0</v>
      </c>
      <c r="I196" s="77">
        <v>0</v>
      </c>
      <c r="J196" s="112">
        <f t="shared" si="9"/>
        <v>0</v>
      </c>
      <c r="K196" s="112">
        <f t="shared" si="10"/>
        <v>0</v>
      </c>
      <c r="L196" s="346" t="str">
        <f>IFERROR(VLOOKUP(C196,'[4]DE x PARA'!C191:K2190,7,FALSE),"SINTÉTICA")</f>
        <v>SINTÉTICA</v>
      </c>
      <c r="M196">
        <f>IFERROR(VLOOKUP(B196,'[4]DE x PARA'!B191:K2190,10,FALSE),"SINTÉTICA")</f>
        <v>600017</v>
      </c>
      <c r="N196">
        <f>IFERROR(VLOOKUP(M196,'[4]DE x PARA'!$K$2:$L$2001,2,FALSE),0)</f>
        <v>-1</v>
      </c>
      <c r="O196">
        <f t="shared" si="11"/>
        <v>0</v>
      </c>
    </row>
    <row r="197" spans="1:15" ht="18">
      <c r="A197" t="str">
        <f t="shared" si="8"/>
        <v>2.1.1.04.1034</v>
      </c>
      <c r="B197" t="s">
        <v>4147</v>
      </c>
      <c r="C197" s="580">
        <v>19908100000000</v>
      </c>
      <c r="D197" t="s">
        <v>4148</v>
      </c>
      <c r="E197" s="77">
        <v>0</v>
      </c>
      <c r="F197" s="77">
        <v>596</v>
      </c>
      <c r="G197" s="77">
        <v>-596</v>
      </c>
      <c r="H197" s="77">
        <v>0</v>
      </c>
      <c r="I197" s="77">
        <v>0</v>
      </c>
      <c r="J197" s="112">
        <f t="shared" si="9"/>
        <v>0</v>
      </c>
      <c r="K197" s="112">
        <f t="shared" si="10"/>
        <v>0</v>
      </c>
      <c r="L197" s="346" t="str">
        <f>IFERROR(VLOOKUP(C197,'[4]DE x PARA'!C192:K2191,7,FALSE),"SINTÉTICA")</f>
        <v>SINTÉTICA</v>
      </c>
      <c r="M197">
        <f>IFERROR(VLOOKUP(B197,'[4]DE x PARA'!B192:K2191,10,FALSE),"SINTÉTICA")</f>
        <v>600017</v>
      </c>
      <c r="N197">
        <f>IFERROR(VLOOKUP(M197,'[4]DE x PARA'!$K$2:$L$2001,2,FALSE),0)</f>
        <v>-1</v>
      </c>
      <c r="O197">
        <f t="shared" si="11"/>
        <v>0</v>
      </c>
    </row>
    <row r="198" spans="1:15" ht="18">
      <c r="A198" t="str">
        <f t="shared" si="8"/>
        <v>2.1.1.04.1035</v>
      </c>
      <c r="B198" t="s">
        <v>4149</v>
      </c>
      <c r="C198" s="580">
        <v>10299000000000</v>
      </c>
      <c r="D198" t="s">
        <v>4150</v>
      </c>
      <c r="E198" s="77">
        <v>0</v>
      </c>
      <c r="F198" s="77">
        <v>627</v>
      </c>
      <c r="G198" s="77">
        <v>-627</v>
      </c>
      <c r="H198" s="77">
        <v>0</v>
      </c>
      <c r="I198" s="77">
        <v>0</v>
      </c>
      <c r="J198" s="112">
        <f t="shared" si="9"/>
        <v>0</v>
      </c>
      <c r="K198" s="112">
        <f t="shared" si="10"/>
        <v>0</v>
      </c>
      <c r="L198" s="346" t="str">
        <f>IFERROR(VLOOKUP(C198,'[4]DE x PARA'!C193:K2192,7,FALSE),"SINTÉTICA")</f>
        <v>SINTÉTICA</v>
      </c>
      <c r="M198">
        <f>IFERROR(VLOOKUP(B198,'[4]DE x PARA'!B193:K2192,10,FALSE),"SINTÉTICA")</f>
        <v>600017</v>
      </c>
      <c r="N198">
        <f>IFERROR(VLOOKUP(M198,'[4]DE x PARA'!$K$2:$L$2001,2,FALSE),0)</f>
        <v>-1</v>
      </c>
      <c r="O198">
        <f t="shared" si="11"/>
        <v>0</v>
      </c>
    </row>
    <row r="199" spans="1:15" ht="18">
      <c r="A199" t="str">
        <f t="shared" si="8"/>
        <v>2.1.1.04.1036</v>
      </c>
      <c r="B199" t="s">
        <v>4151</v>
      </c>
      <c r="C199" s="580">
        <v>5507500000000</v>
      </c>
      <c r="D199" t="s">
        <v>4152</v>
      </c>
      <c r="E199" s="77">
        <v>0</v>
      </c>
      <c r="F199" s="77">
        <v>14257.46</v>
      </c>
      <c r="G199" s="77">
        <v>-14257.46</v>
      </c>
      <c r="H199" s="77">
        <v>0</v>
      </c>
      <c r="I199" s="77">
        <v>0</v>
      </c>
      <c r="J199" s="112">
        <f t="shared" si="9"/>
        <v>0</v>
      </c>
      <c r="K199" s="112">
        <f t="shared" si="10"/>
        <v>0</v>
      </c>
      <c r="L199" s="346" t="str">
        <f>IFERROR(VLOOKUP(C199,'[4]DE x PARA'!C194:K2193,7,FALSE),"SINTÉTICA")</f>
        <v>SINTÉTICA</v>
      </c>
      <c r="M199">
        <f>IFERROR(VLOOKUP(B199,'[4]DE x PARA'!B194:K2193,10,FALSE),"SINTÉTICA")</f>
        <v>600017</v>
      </c>
      <c r="N199">
        <f>IFERROR(VLOOKUP(M199,'[4]DE x PARA'!$K$2:$L$2001,2,FALSE),0)</f>
        <v>-1</v>
      </c>
      <c r="O199">
        <f t="shared" si="11"/>
        <v>0</v>
      </c>
    </row>
    <row r="200" spans="1:15" ht="18">
      <c r="A200" t="str">
        <f t="shared" ref="A200:A263" si="12">B200</f>
        <v>2.1.1.04.1037</v>
      </c>
      <c r="B200" t="s">
        <v>4153</v>
      </c>
      <c r="C200" s="580">
        <v>47463300000000</v>
      </c>
      <c r="D200" t="s">
        <v>4154</v>
      </c>
      <c r="E200" s="77">
        <v>0</v>
      </c>
      <c r="F200" s="77">
        <v>4462</v>
      </c>
      <c r="G200" s="77">
        <v>-4462</v>
      </c>
      <c r="H200" s="77">
        <v>0</v>
      </c>
      <c r="I200" s="77">
        <v>0</v>
      </c>
      <c r="J200" s="112">
        <f t="shared" ref="J200:J263" si="13">I200/1000</f>
        <v>0</v>
      </c>
      <c r="K200" s="112">
        <f t="shared" ref="K200:K263" si="14">ROUND(J200,0)</f>
        <v>0</v>
      </c>
      <c r="L200" s="346" t="str">
        <f>IFERROR(VLOOKUP(C200,'[4]DE x PARA'!C195:K2194,7,FALSE),"SINTÉTICA")</f>
        <v>SINTÉTICA</v>
      </c>
      <c r="M200">
        <f>IFERROR(VLOOKUP(B200,'[4]DE x PARA'!B195:K2194,10,FALSE),"SINTÉTICA")</f>
        <v>600017</v>
      </c>
      <c r="N200">
        <f>IFERROR(VLOOKUP(M200,'[4]DE x PARA'!$K$2:$L$2001,2,FALSE),0)</f>
        <v>-1</v>
      </c>
      <c r="O200">
        <f t="shared" ref="O200:O263" si="15">+H200*N200</f>
        <v>0</v>
      </c>
    </row>
    <row r="201" spans="1:15" ht="18">
      <c r="A201" t="str">
        <f t="shared" si="12"/>
        <v>2.1.1.04.1039</v>
      </c>
      <c r="B201" t="s">
        <v>838</v>
      </c>
      <c r="C201" s="580">
        <v>48659500000000</v>
      </c>
      <c r="D201" t="s">
        <v>839</v>
      </c>
      <c r="E201" s="77">
        <v>0</v>
      </c>
      <c r="F201" s="77">
        <v>2760</v>
      </c>
      <c r="G201" s="77">
        <v>-2760</v>
      </c>
      <c r="H201" s="77">
        <v>0</v>
      </c>
      <c r="I201" s="77">
        <v>0</v>
      </c>
      <c r="J201" s="112">
        <f t="shared" si="13"/>
        <v>0</v>
      </c>
      <c r="K201" s="112">
        <f t="shared" si="14"/>
        <v>0</v>
      </c>
      <c r="L201" s="346" t="str">
        <f>IFERROR(VLOOKUP(C201,'[4]DE x PARA'!C196:K2195,7,FALSE),"SINTÉTICA")</f>
        <v>SINTÉTICA</v>
      </c>
      <c r="M201">
        <f>IFERROR(VLOOKUP(B201,'[4]DE x PARA'!B196:K2195,10,FALSE),"SINTÉTICA")</f>
        <v>600017</v>
      </c>
      <c r="N201">
        <f>IFERROR(VLOOKUP(M201,'[4]DE x PARA'!$K$2:$L$2001,2,FALSE),0)</f>
        <v>-1</v>
      </c>
      <c r="O201">
        <f t="shared" si="15"/>
        <v>0</v>
      </c>
    </row>
    <row r="202" spans="1:15" ht="18">
      <c r="A202" t="str">
        <f t="shared" si="12"/>
        <v>2.1.1.04.1040</v>
      </c>
      <c r="B202" t="s">
        <v>4157</v>
      </c>
      <c r="C202" s="580">
        <v>4053320000000</v>
      </c>
      <c r="D202" t="s">
        <v>4158</v>
      </c>
      <c r="E202" s="77">
        <v>0</v>
      </c>
      <c r="F202" s="77">
        <v>3990</v>
      </c>
      <c r="G202" s="77">
        <v>-3990</v>
      </c>
      <c r="H202" s="77">
        <v>0</v>
      </c>
      <c r="I202" s="77">
        <v>0</v>
      </c>
      <c r="J202" s="112">
        <f t="shared" si="13"/>
        <v>0</v>
      </c>
      <c r="K202" s="112">
        <f t="shared" si="14"/>
        <v>0</v>
      </c>
      <c r="L202" s="346" t="str">
        <f>IFERROR(VLOOKUP(C202,'[4]DE x PARA'!C197:K2196,7,FALSE),"SINTÉTICA")</f>
        <v>SINTÉTICA</v>
      </c>
      <c r="M202">
        <f>IFERROR(VLOOKUP(B202,'[4]DE x PARA'!B197:K2196,10,FALSE),"SINTÉTICA")</f>
        <v>600017</v>
      </c>
      <c r="N202">
        <f>IFERROR(VLOOKUP(M202,'[4]DE x PARA'!$K$2:$L$2001,2,FALSE),0)</f>
        <v>-1</v>
      </c>
      <c r="O202">
        <f t="shared" si="15"/>
        <v>0</v>
      </c>
    </row>
    <row r="203" spans="1:15" ht="18">
      <c r="A203" t="str">
        <f t="shared" si="12"/>
        <v>2.1.1.04.1041</v>
      </c>
      <c r="B203" t="s">
        <v>4159</v>
      </c>
      <c r="C203" s="580">
        <v>27116100000000</v>
      </c>
      <c r="D203" t="s">
        <v>4160</v>
      </c>
      <c r="E203" s="77">
        <v>0</v>
      </c>
      <c r="F203" s="77">
        <v>2700</v>
      </c>
      <c r="G203" s="77">
        <v>-2700</v>
      </c>
      <c r="H203" s="77">
        <v>0</v>
      </c>
      <c r="I203" s="77">
        <v>0</v>
      </c>
      <c r="J203" s="112">
        <f t="shared" si="13"/>
        <v>0</v>
      </c>
      <c r="K203" s="112">
        <f t="shared" si="14"/>
        <v>0</v>
      </c>
      <c r="L203" s="346" t="str">
        <f>IFERROR(VLOOKUP(C203,'[4]DE x PARA'!C198:K2197,7,FALSE),"SINTÉTICA")</f>
        <v>SINTÉTICA</v>
      </c>
      <c r="M203">
        <f>IFERROR(VLOOKUP(B203,'[4]DE x PARA'!B198:K2197,10,FALSE),"SINTÉTICA")</f>
        <v>600017</v>
      </c>
      <c r="N203">
        <f>IFERROR(VLOOKUP(M203,'[4]DE x PARA'!$K$2:$L$2001,2,FALSE),0)</f>
        <v>-1</v>
      </c>
      <c r="O203">
        <f t="shared" si="15"/>
        <v>0</v>
      </c>
    </row>
    <row r="204" spans="1:15" ht="18">
      <c r="A204" t="str">
        <f t="shared" si="12"/>
        <v>2.1.1.04.1042</v>
      </c>
      <c r="B204" t="s">
        <v>840</v>
      </c>
      <c r="C204" s="580">
        <v>9012640000000</v>
      </c>
      <c r="D204" t="s">
        <v>841</v>
      </c>
      <c r="E204" s="77">
        <v>0</v>
      </c>
      <c r="F204" s="77">
        <v>9132</v>
      </c>
      <c r="G204" s="77">
        <v>-9132</v>
      </c>
      <c r="H204" s="77">
        <v>0</v>
      </c>
      <c r="I204" s="77">
        <v>0</v>
      </c>
      <c r="J204" s="112">
        <f t="shared" si="13"/>
        <v>0</v>
      </c>
      <c r="K204" s="112">
        <f t="shared" si="14"/>
        <v>0</v>
      </c>
      <c r="L204" s="346" t="str">
        <f>IFERROR(VLOOKUP(C204,'[4]DE x PARA'!C199:K2198,7,FALSE),"SINTÉTICA")</f>
        <v>SINTÉTICA</v>
      </c>
      <c r="M204">
        <f>IFERROR(VLOOKUP(B204,'[4]DE x PARA'!B199:K2198,10,FALSE),"SINTÉTICA")</f>
        <v>600017</v>
      </c>
      <c r="N204">
        <f>IFERROR(VLOOKUP(M204,'[4]DE x PARA'!$K$2:$L$2001,2,FALSE),0)</f>
        <v>-1</v>
      </c>
      <c r="O204">
        <f t="shared" si="15"/>
        <v>0</v>
      </c>
    </row>
    <row r="205" spans="1:15" ht="18">
      <c r="A205" t="str">
        <f t="shared" si="12"/>
        <v>2.1.1.04.1043</v>
      </c>
      <c r="B205" t="s">
        <v>842</v>
      </c>
      <c r="C205" s="580">
        <v>47982500000000</v>
      </c>
      <c r="D205" t="s">
        <v>843</v>
      </c>
      <c r="E205" s="77">
        <v>0</v>
      </c>
      <c r="F205" s="77">
        <v>8316</v>
      </c>
      <c r="G205" s="77">
        <v>-8316</v>
      </c>
      <c r="H205" s="77">
        <v>0</v>
      </c>
      <c r="I205" s="77">
        <v>0</v>
      </c>
      <c r="J205" s="112">
        <f t="shared" si="13"/>
        <v>0</v>
      </c>
      <c r="K205" s="112">
        <f t="shared" si="14"/>
        <v>0</v>
      </c>
      <c r="L205" s="346" t="str">
        <f>IFERROR(VLOOKUP(C205,'[4]DE x PARA'!C200:K2199,7,FALSE),"SINTÉTICA")</f>
        <v>SINTÉTICA</v>
      </c>
      <c r="M205">
        <f>IFERROR(VLOOKUP(B205,'[4]DE x PARA'!B200:K2199,10,FALSE),"SINTÉTICA")</f>
        <v>600017</v>
      </c>
      <c r="N205">
        <f>IFERROR(VLOOKUP(M205,'[4]DE x PARA'!$K$2:$L$2001,2,FALSE),0)</f>
        <v>-1</v>
      </c>
      <c r="O205">
        <f t="shared" si="15"/>
        <v>0</v>
      </c>
    </row>
    <row r="206" spans="1:15" ht="18">
      <c r="A206" t="str">
        <f t="shared" si="12"/>
        <v>2.1.1.04.1045</v>
      </c>
      <c r="B206" t="s">
        <v>844</v>
      </c>
      <c r="C206" s="580">
        <v>40176000000000</v>
      </c>
      <c r="D206" t="s">
        <v>845</v>
      </c>
      <c r="E206" s="77">
        <v>0</v>
      </c>
      <c r="F206" s="77">
        <v>29250</v>
      </c>
      <c r="G206" s="77">
        <v>-29250</v>
      </c>
      <c r="H206" s="77">
        <v>0</v>
      </c>
      <c r="I206" s="77">
        <v>0</v>
      </c>
      <c r="J206" s="112">
        <f t="shared" si="13"/>
        <v>0</v>
      </c>
      <c r="K206" s="112">
        <f t="shared" si="14"/>
        <v>0</v>
      </c>
      <c r="L206" s="346" t="str">
        <f>IFERROR(VLOOKUP(C206,'[4]DE x PARA'!C201:K2200,7,FALSE),"SINTÉTICA")</f>
        <v>SINTÉTICA</v>
      </c>
      <c r="M206">
        <f>IFERROR(VLOOKUP(B206,'[4]DE x PARA'!B201:K2200,10,FALSE),"SINTÉTICA")</f>
        <v>600017</v>
      </c>
      <c r="N206">
        <f>IFERROR(VLOOKUP(M206,'[4]DE x PARA'!$K$2:$L$2001,2,FALSE),0)</f>
        <v>-1</v>
      </c>
      <c r="O206">
        <f t="shared" si="15"/>
        <v>0</v>
      </c>
    </row>
    <row r="207" spans="1:15" ht="18">
      <c r="A207" t="str">
        <f t="shared" si="12"/>
        <v>2.1.1.04.1046</v>
      </c>
      <c r="B207" t="s">
        <v>846</v>
      </c>
      <c r="C207" s="580">
        <v>6201990000000</v>
      </c>
      <c r="D207" t="s">
        <v>847</v>
      </c>
      <c r="E207" s="77">
        <v>0</v>
      </c>
      <c r="F207" s="77">
        <v>2330.16</v>
      </c>
      <c r="G207" s="77">
        <v>-2330.16</v>
      </c>
      <c r="H207" s="77">
        <v>0</v>
      </c>
      <c r="I207" s="77">
        <v>0</v>
      </c>
      <c r="J207" s="112">
        <f t="shared" si="13"/>
        <v>0</v>
      </c>
      <c r="K207" s="112">
        <f t="shared" si="14"/>
        <v>0</v>
      </c>
      <c r="L207" s="346" t="str">
        <f>IFERROR(VLOOKUP(C207,'[4]DE x PARA'!C202:K2201,7,FALSE),"SINTÉTICA")</f>
        <v>SINTÉTICA</v>
      </c>
      <c r="M207">
        <f>IFERROR(VLOOKUP(B207,'[4]DE x PARA'!B202:K2201,10,FALSE),"SINTÉTICA")</f>
        <v>600017</v>
      </c>
      <c r="N207">
        <f>IFERROR(VLOOKUP(M207,'[4]DE x PARA'!$K$2:$L$2001,2,FALSE),0)</f>
        <v>-1</v>
      </c>
      <c r="O207">
        <f t="shared" si="15"/>
        <v>0</v>
      </c>
    </row>
    <row r="208" spans="1:15" ht="18">
      <c r="A208" t="str">
        <f t="shared" si="12"/>
        <v>2.1.1.04.1047</v>
      </c>
      <c r="B208" t="s">
        <v>848</v>
      </c>
      <c r="C208" s="580">
        <v>48753000000000</v>
      </c>
      <c r="D208" t="s">
        <v>849</v>
      </c>
      <c r="E208" s="77">
        <v>0</v>
      </c>
      <c r="F208" s="77">
        <v>473</v>
      </c>
      <c r="G208" s="77">
        <v>-473</v>
      </c>
      <c r="H208" s="77">
        <v>0</v>
      </c>
      <c r="I208" s="77">
        <v>0</v>
      </c>
      <c r="J208" s="112">
        <f t="shared" si="13"/>
        <v>0</v>
      </c>
      <c r="K208" s="112">
        <f t="shared" si="14"/>
        <v>0</v>
      </c>
      <c r="L208" s="346" t="str">
        <f>IFERROR(VLOOKUP(C208,'[4]DE x PARA'!C203:K2202,7,FALSE),"SINTÉTICA")</f>
        <v>SINTÉTICA</v>
      </c>
      <c r="M208">
        <f>IFERROR(VLOOKUP(B208,'[4]DE x PARA'!B203:K2202,10,FALSE),"SINTÉTICA")</f>
        <v>600017</v>
      </c>
      <c r="N208">
        <f>IFERROR(VLOOKUP(M208,'[4]DE x PARA'!$K$2:$L$2001,2,FALSE),0)</f>
        <v>-1</v>
      </c>
      <c r="O208">
        <f t="shared" si="15"/>
        <v>0</v>
      </c>
    </row>
    <row r="209" spans="1:15" ht="18">
      <c r="A209" t="str">
        <f t="shared" si="12"/>
        <v>2.1.1.04.1048</v>
      </c>
      <c r="B209" t="s">
        <v>850</v>
      </c>
      <c r="C209" s="580">
        <v>5824180000000</v>
      </c>
      <c r="D209" t="s">
        <v>851</v>
      </c>
      <c r="E209" s="77">
        <v>0</v>
      </c>
      <c r="F209" s="77">
        <v>1025</v>
      </c>
      <c r="G209" s="77">
        <v>-1025</v>
      </c>
      <c r="H209" s="77">
        <v>0</v>
      </c>
      <c r="I209" s="77">
        <v>0</v>
      </c>
      <c r="J209" s="112">
        <f t="shared" si="13"/>
        <v>0</v>
      </c>
      <c r="K209" s="112">
        <f t="shared" si="14"/>
        <v>0</v>
      </c>
      <c r="L209" s="346" t="str">
        <f>IFERROR(VLOOKUP(C209,'[4]DE x PARA'!C204:K2203,7,FALSE),"SINTÉTICA")</f>
        <v>SINTÉTICA</v>
      </c>
      <c r="M209">
        <f>IFERROR(VLOOKUP(B209,'[4]DE x PARA'!B204:K2203,10,FALSE),"SINTÉTICA")</f>
        <v>600017</v>
      </c>
      <c r="N209">
        <f>IFERROR(VLOOKUP(M209,'[4]DE x PARA'!$K$2:$L$2001,2,FALSE),0)</f>
        <v>-1</v>
      </c>
      <c r="O209">
        <f t="shared" si="15"/>
        <v>0</v>
      </c>
    </row>
    <row r="210" spans="1:15" ht="18">
      <c r="A210" t="str">
        <f t="shared" si="12"/>
        <v>2.1.1.04.1049</v>
      </c>
      <c r="B210" t="s">
        <v>852</v>
      </c>
      <c r="C210" s="580">
        <v>50396700000000</v>
      </c>
      <c r="D210" t="s">
        <v>853</v>
      </c>
      <c r="E210" s="77">
        <v>0</v>
      </c>
      <c r="F210" s="77">
        <v>49600</v>
      </c>
      <c r="G210" s="77">
        <v>-49600</v>
      </c>
      <c r="H210" s="77">
        <v>0</v>
      </c>
      <c r="I210" s="77">
        <v>0</v>
      </c>
      <c r="J210" s="112">
        <f t="shared" si="13"/>
        <v>0</v>
      </c>
      <c r="K210" s="112">
        <f t="shared" si="14"/>
        <v>0</v>
      </c>
      <c r="L210" s="346" t="str">
        <f>IFERROR(VLOOKUP(C210,'[4]DE x PARA'!C205:K2204,7,FALSE),"SINTÉTICA")</f>
        <v>SINTÉTICA</v>
      </c>
      <c r="M210">
        <f>IFERROR(VLOOKUP(B210,'[4]DE x PARA'!B205:K2204,10,FALSE),"SINTÉTICA")</f>
        <v>600017</v>
      </c>
      <c r="N210">
        <f>IFERROR(VLOOKUP(M210,'[4]DE x PARA'!$K$2:$L$2001,2,FALSE),0)</f>
        <v>-1</v>
      </c>
      <c r="O210">
        <f t="shared" si="15"/>
        <v>0</v>
      </c>
    </row>
    <row r="211" spans="1:15" ht="18">
      <c r="A211" t="str">
        <f t="shared" si="12"/>
        <v>2.1.1.04.1050</v>
      </c>
      <c r="B211" t="s">
        <v>854</v>
      </c>
      <c r="C211" s="580">
        <v>29864300000000</v>
      </c>
      <c r="D211" t="s">
        <v>855</v>
      </c>
      <c r="E211" s="77">
        <v>0</v>
      </c>
      <c r="F211" s="77">
        <v>0</v>
      </c>
      <c r="G211" s="77">
        <v>-2013</v>
      </c>
      <c r="H211" s="77">
        <v>-2013</v>
      </c>
      <c r="I211" s="77">
        <v>-2013</v>
      </c>
      <c r="J211" s="112">
        <f t="shared" si="13"/>
        <v>-2.0129999999999999</v>
      </c>
      <c r="K211" s="112">
        <f t="shared" si="14"/>
        <v>-2</v>
      </c>
      <c r="L211" s="346" t="str">
        <f>IFERROR(VLOOKUP(C211,'[4]DE x PARA'!C206:K2205,7,FALSE),"SINTÉTICA")</f>
        <v>SINTÉTICA</v>
      </c>
      <c r="M211">
        <f>IFERROR(VLOOKUP(B211,'[4]DE x PARA'!B206:K2205,10,FALSE),"SINTÉTICA")</f>
        <v>600017</v>
      </c>
      <c r="N211">
        <f>IFERROR(VLOOKUP(M211,'[4]DE x PARA'!$K$2:$L$2001,2,FALSE),0)</f>
        <v>-1</v>
      </c>
      <c r="O211">
        <f t="shared" si="15"/>
        <v>2013</v>
      </c>
    </row>
    <row r="212" spans="1:15" ht="18">
      <c r="A212" t="str">
        <f t="shared" si="12"/>
        <v>2.1.1.04.1051</v>
      </c>
      <c r="B212" t="s">
        <v>856</v>
      </c>
      <c r="C212" s="580">
        <v>10535800000000</v>
      </c>
      <c r="D212" t="s">
        <v>857</v>
      </c>
      <c r="E212" s="77">
        <v>0</v>
      </c>
      <c r="F212" s="77">
        <v>0</v>
      </c>
      <c r="G212" s="77">
        <v>-2216.4299999999998</v>
      </c>
      <c r="H212" s="77">
        <v>-2216.4299999999998</v>
      </c>
      <c r="I212" s="77">
        <v>-2216.4299999999998</v>
      </c>
      <c r="J212" s="112">
        <f t="shared" si="13"/>
        <v>-2.2164299999999999</v>
      </c>
      <c r="K212" s="112">
        <f t="shared" si="14"/>
        <v>-2</v>
      </c>
      <c r="L212" s="346" t="str">
        <f>IFERROR(VLOOKUP(C212,'[4]DE x PARA'!C207:K2206,7,FALSE),"SINTÉTICA")</f>
        <v>SINTÉTICA</v>
      </c>
      <c r="M212">
        <f>IFERROR(VLOOKUP(B212,'[4]DE x PARA'!B207:K2206,10,FALSE),"SINTÉTICA")</f>
        <v>600017</v>
      </c>
      <c r="N212">
        <f>IFERROR(VLOOKUP(M212,'[4]DE x PARA'!$K$2:$L$2001,2,FALSE),0)</f>
        <v>-1</v>
      </c>
      <c r="O212">
        <f t="shared" si="15"/>
        <v>2216.4299999999998</v>
      </c>
    </row>
    <row r="213" spans="1:15" ht="18">
      <c r="A213" t="str">
        <f t="shared" si="12"/>
        <v>2.1.1.04.1052</v>
      </c>
      <c r="B213" t="s">
        <v>858</v>
      </c>
      <c r="C213" s="580">
        <v>69112500000000</v>
      </c>
      <c r="D213" t="s">
        <v>859</v>
      </c>
      <c r="E213" s="77">
        <v>0</v>
      </c>
      <c r="F213" s="77">
        <v>0</v>
      </c>
      <c r="G213" s="77">
        <v>-13890</v>
      </c>
      <c r="H213" s="77">
        <v>-13890</v>
      </c>
      <c r="I213" s="77">
        <v>-13890</v>
      </c>
      <c r="J213" s="112">
        <f t="shared" si="13"/>
        <v>-13.89</v>
      </c>
      <c r="K213" s="112">
        <f t="shared" si="14"/>
        <v>-14</v>
      </c>
      <c r="L213" s="346" t="str">
        <f>IFERROR(VLOOKUP(C213,'[4]DE x PARA'!C208:K2207,7,FALSE),"SINTÉTICA")</f>
        <v>SINTÉTICA</v>
      </c>
      <c r="M213">
        <f>IFERROR(VLOOKUP(B213,'[4]DE x PARA'!B208:K2207,10,FALSE),"SINTÉTICA")</f>
        <v>600017</v>
      </c>
      <c r="N213">
        <f>IFERROR(VLOOKUP(M213,'[4]DE x PARA'!$K$2:$L$2001,2,FALSE),0)</f>
        <v>-1</v>
      </c>
      <c r="O213">
        <f t="shared" si="15"/>
        <v>13890</v>
      </c>
    </row>
    <row r="214" spans="1:15" ht="18">
      <c r="A214" t="str">
        <f t="shared" si="12"/>
        <v>2.1.1.04.1053</v>
      </c>
      <c r="B214" t="s">
        <v>860</v>
      </c>
      <c r="C214" s="580">
        <v>67129900000000</v>
      </c>
      <c r="D214" t="s">
        <v>861</v>
      </c>
      <c r="E214" s="77">
        <v>0</v>
      </c>
      <c r="F214" s="77">
        <v>0</v>
      </c>
      <c r="G214" s="77">
        <v>-200000</v>
      </c>
      <c r="H214" s="77">
        <v>-200000</v>
      </c>
      <c r="I214" s="77">
        <v>-200000</v>
      </c>
      <c r="J214" s="112">
        <f t="shared" si="13"/>
        <v>-200</v>
      </c>
      <c r="K214" s="112">
        <f t="shared" si="14"/>
        <v>-200</v>
      </c>
      <c r="L214" s="346" t="str">
        <f>IFERROR(VLOOKUP(C214,'[4]DE x PARA'!C209:K2208,7,FALSE),"SINTÉTICA")</f>
        <v>SINTÉTICA</v>
      </c>
      <c r="M214">
        <f>IFERROR(VLOOKUP(B214,'[4]DE x PARA'!B209:K2208,10,FALSE),"SINTÉTICA")</f>
        <v>600017</v>
      </c>
      <c r="N214">
        <f>IFERROR(VLOOKUP(M214,'[4]DE x PARA'!$K$2:$L$2001,2,FALSE),0)</f>
        <v>-1</v>
      </c>
      <c r="O214">
        <f t="shared" si="15"/>
        <v>200000</v>
      </c>
    </row>
    <row r="215" spans="1:15" ht="18">
      <c r="A215" t="str">
        <f t="shared" si="12"/>
        <v>2.1.1.04.1054</v>
      </c>
      <c r="B215" t="s">
        <v>862</v>
      </c>
      <c r="C215" s="580">
        <v>33327000000000</v>
      </c>
      <c r="D215" t="s">
        <v>863</v>
      </c>
      <c r="E215" s="77">
        <v>0</v>
      </c>
      <c r="F215" s="77">
        <v>0</v>
      </c>
      <c r="G215" s="77">
        <v>-2555.9699999999998</v>
      </c>
      <c r="H215" s="77">
        <v>-2555.9699999999998</v>
      </c>
      <c r="I215" s="77">
        <v>-2555.9699999999998</v>
      </c>
      <c r="J215" s="112">
        <f t="shared" si="13"/>
        <v>-2.5559699999999999</v>
      </c>
      <c r="K215" s="112">
        <f t="shared" si="14"/>
        <v>-3</v>
      </c>
      <c r="L215" s="346" t="str">
        <f>IFERROR(VLOOKUP(C215,'[4]DE x PARA'!C210:K2209,7,FALSE),"SINTÉTICA")</f>
        <v>SINTÉTICA</v>
      </c>
      <c r="M215">
        <f>IFERROR(VLOOKUP(B215,'[4]DE x PARA'!B210:K2209,10,FALSE),"SINTÉTICA")</f>
        <v>600017</v>
      </c>
      <c r="N215">
        <f>IFERROR(VLOOKUP(M215,'[4]DE x PARA'!$K$2:$L$2001,2,FALSE),0)</f>
        <v>-1</v>
      </c>
      <c r="O215">
        <f t="shared" si="15"/>
        <v>2555.9699999999998</v>
      </c>
    </row>
    <row r="216" spans="1:15" ht="18">
      <c r="A216" t="str">
        <f t="shared" si="12"/>
        <v>2.1.1.06</v>
      </c>
      <c r="B216" t="s">
        <v>864</v>
      </c>
      <c r="C216">
        <v>2116</v>
      </c>
      <c r="D216" t="s">
        <v>180</v>
      </c>
      <c r="E216" s="77">
        <v>-97970.68</v>
      </c>
      <c r="F216" s="77">
        <v>1506896.39</v>
      </c>
      <c r="G216" s="77">
        <v>-1457004.38</v>
      </c>
      <c r="H216" s="77">
        <v>49892.01</v>
      </c>
      <c r="I216" s="77">
        <v>-48078.67</v>
      </c>
      <c r="J216" s="112">
        <f t="shared" si="13"/>
        <v>-48.078669999999995</v>
      </c>
      <c r="K216" s="112">
        <f t="shared" si="14"/>
        <v>-48</v>
      </c>
      <c r="L216" s="346">
        <f>IFERROR(VLOOKUP(C216,'[4]DE x PARA'!C211:K2210,7,FALSE),"SINTÉTICA")</f>
        <v>0</v>
      </c>
      <c r="M216">
        <f>IFERROR(VLOOKUP(B216,'[4]DE x PARA'!B211:K2210,10,FALSE),"SINTÉTICA")</f>
        <v>0</v>
      </c>
      <c r="N216">
        <f>IFERROR(VLOOKUP(M216,'[4]DE x PARA'!$K$2:$L$2001,2,FALSE),0)</f>
        <v>0</v>
      </c>
      <c r="O216">
        <f t="shared" si="15"/>
        <v>0</v>
      </c>
    </row>
    <row r="217" spans="1:15" ht="18">
      <c r="A217" t="str">
        <f t="shared" si="12"/>
        <v>2.1.1.06.0001</v>
      </c>
      <c r="B217" t="s">
        <v>4574</v>
      </c>
      <c r="C217">
        <v>21161</v>
      </c>
      <c r="D217" t="s">
        <v>4575</v>
      </c>
      <c r="E217" s="77">
        <v>0</v>
      </c>
      <c r="F217" s="77">
        <v>842004.23</v>
      </c>
      <c r="G217" s="77">
        <v>-842004.23</v>
      </c>
      <c r="H217" s="77">
        <v>0</v>
      </c>
      <c r="I217" s="77">
        <v>0</v>
      </c>
      <c r="J217" s="112">
        <f t="shared" si="13"/>
        <v>0</v>
      </c>
      <c r="K217" s="112">
        <f t="shared" si="14"/>
        <v>0</v>
      </c>
      <c r="L217" s="346">
        <f>IFERROR(VLOOKUP(C217,'[4]DE x PARA'!C212:K2211,7,FALSE),"SINTÉTICA")</f>
        <v>500001</v>
      </c>
      <c r="M217">
        <f>IFERROR(VLOOKUP(B217,'[4]DE x PARA'!B212:K2211,10,FALSE),"SINTÉTICA")</f>
        <v>600018</v>
      </c>
      <c r="N217">
        <f>IFERROR(VLOOKUP(M217,'[4]DE x PARA'!$K$2:$L$2001,2,FALSE),0)</f>
        <v>-1</v>
      </c>
      <c r="O217">
        <f t="shared" si="15"/>
        <v>0</v>
      </c>
    </row>
    <row r="218" spans="1:15" ht="18">
      <c r="A218" t="str">
        <f t="shared" si="12"/>
        <v>2.1.1.06.0002</v>
      </c>
      <c r="B218" t="s">
        <v>865</v>
      </c>
      <c r="C218">
        <v>21162</v>
      </c>
      <c r="D218" t="s">
        <v>866</v>
      </c>
      <c r="E218" s="77">
        <v>-17452.14</v>
      </c>
      <c r="F218" s="77">
        <v>58138.21</v>
      </c>
      <c r="G218" s="77">
        <v>-49150.87</v>
      </c>
      <c r="H218" s="77">
        <v>8987.34</v>
      </c>
      <c r="I218" s="77">
        <v>-8464.7999999999993</v>
      </c>
      <c r="J218" s="112">
        <f t="shared" si="13"/>
        <v>-8.4647999999999985</v>
      </c>
      <c r="K218" s="112">
        <f t="shared" si="14"/>
        <v>-8</v>
      </c>
      <c r="L218" s="346">
        <f>IFERROR(VLOOKUP(C218,'[4]DE x PARA'!C213:K2212,7,FALSE),"SINTÉTICA")</f>
        <v>500001</v>
      </c>
      <c r="M218">
        <f>IFERROR(VLOOKUP(B218,'[4]DE x PARA'!B213:K2212,10,FALSE),"SINTÉTICA")</f>
        <v>600018</v>
      </c>
      <c r="N218">
        <f>IFERROR(VLOOKUP(M218,'[4]DE x PARA'!$K$2:$L$2001,2,FALSE),0)</f>
        <v>-1</v>
      </c>
      <c r="O218">
        <f t="shared" si="15"/>
        <v>-8987.34</v>
      </c>
    </row>
    <row r="219" spans="1:15" ht="18">
      <c r="A219" t="str">
        <f t="shared" si="12"/>
        <v>2.1.1.06.0003</v>
      </c>
      <c r="B219" t="s">
        <v>867</v>
      </c>
      <c r="C219" s="580">
        <v>21163</v>
      </c>
      <c r="D219" t="s">
        <v>868</v>
      </c>
      <c r="E219" s="77">
        <v>-80518.539999999994</v>
      </c>
      <c r="F219" s="77">
        <v>271479.49</v>
      </c>
      <c r="G219" s="77">
        <v>-230574.82</v>
      </c>
      <c r="H219" s="77">
        <v>40904.67</v>
      </c>
      <c r="I219" s="77">
        <v>-39613.870000000003</v>
      </c>
      <c r="J219" s="112">
        <f t="shared" si="13"/>
        <v>-39.613870000000006</v>
      </c>
      <c r="K219" s="112">
        <f t="shared" si="14"/>
        <v>-40</v>
      </c>
      <c r="L219" s="346">
        <f>IFERROR(VLOOKUP(C219,'[4]DE x PARA'!C214:K2213,7,FALSE),"SINTÉTICA")</f>
        <v>500001</v>
      </c>
      <c r="M219">
        <f>IFERROR(VLOOKUP(B219,'[4]DE x PARA'!B214:K2213,10,FALSE),"SINTÉTICA")</f>
        <v>600018</v>
      </c>
      <c r="N219">
        <f>IFERROR(VLOOKUP(M219,'[4]DE x PARA'!$K$2:$L$2001,2,FALSE),0)</f>
        <v>-1</v>
      </c>
      <c r="O219">
        <f t="shared" si="15"/>
        <v>-40904.67</v>
      </c>
    </row>
    <row r="220" spans="1:15" ht="18">
      <c r="A220" t="str">
        <f t="shared" si="12"/>
        <v>2.1.1.06.0007</v>
      </c>
      <c r="B220" t="s">
        <v>4583</v>
      </c>
      <c r="C220">
        <v>21167</v>
      </c>
      <c r="D220" t="s">
        <v>4584</v>
      </c>
      <c r="E220" s="77">
        <v>0</v>
      </c>
      <c r="F220" s="77">
        <v>335274.46000000002</v>
      </c>
      <c r="G220" s="77">
        <v>-335274.46000000002</v>
      </c>
      <c r="H220" s="77">
        <v>0</v>
      </c>
      <c r="I220" s="77">
        <v>0</v>
      </c>
      <c r="J220" s="112">
        <f t="shared" si="13"/>
        <v>0</v>
      </c>
      <c r="K220" s="112">
        <f t="shared" si="14"/>
        <v>0</v>
      </c>
      <c r="L220" s="346">
        <f>IFERROR(VLOOKUP(C220,'[4]DE x PARA'!C215:K2214,7,FALSE),"SINTÉTICA")</f>
        <v>500001</v>
      </c>
      <c r="M220">
        <f>IFERROR(VLOOKUP(B220,'[4]DE x PARA'!B215:K2214,10,FALSE),"SINTÉTICA")</f>
        <v>600018</v>
      </c>
      <c r="N220">
        <f>IFERROR(VLOOKUP(M220,'[4]DE x PARA'!$K$2:$L$2001,2,FALSE),0)</f>
        <v>-1</v>
      </c>
      <c r="O220">
        <f t="shared" si="15"/>
        <v>0</v>
      </c>
    </row>
    <row r="221" spans="1:15" ht="18">
      <c r="A221" t="str">
        <f t="shared" si="12"/>
        <v>2.1.1.07</v>
      </c>
      <c r="B221" t="s">
        <v>869</v>
      </c>
      <c r="C221">
        <v>2117</v>
      </c>
      <c r="D221" t="s">
        <v>870</v>
      </c>
      <c r="E221" s="77">
        <v>-888130.34</v>
      </c>
      <c r="F221" s="77">
        <v>8406196.8399999999</v>
      </c>
      <c r="G221" s="77">
        <v>-9218750.7899999991</v>
      </c>
      <c r="H221" s="77">
        <v>-812553.95</v>
      </c>
      <c r="I221" s="77">
        <v>-1700684.29</v>
      </c>
      <c r="J221" s="112">
        <f t="shared" si="13"/>
        <v>-1700.6842900000001</v>
      </c>
      <c r="K221" s="112">
        <f t="shared" si="14"/>
        <v>-1701</v>
      </c>
      <c r="L221" s="346">
        <f>IFERROR(VLOOKUP(C221,'[4]DE x PARA'!C216:K2215,7,FALSE),"SINTÉTICA")</f>
        <v>0</v>
      </c>
      <c r="M221">
        <f>IFERROR(VLOOKUP(B221,'[4]DE x PARA'!B216:K2215,10,FALSE),"SINTÉTICA")</f>
        <v>0</v>
      </c>
      <c r="N221">
        <f>IFERROR(VLOOKUP(M221,'[4]DE x PARA'!$K$2:$L$2001,2,FALSE),0)</f>
        <v>0</v>
      </c>
      <c r="O221">
        <f t="shared" si="15"/>
        <v>0</v>
      </c>
    </row>
    <row r="222" spans="1:15" ht="18">
      <c r="A222" t="str">
        <f t="shared" si="12"/>
        <v>2.1.1.07.0001</v>
      </c>
      <c r="B222" t="s">
        <v>871</v>
      </c>
      <c r="C222">
        <v>561</v>
      </c>
      <c r="D222" t="s">
        <v>872</v>
      </c>
      <c r="E222" s="77">
        <v>-858137.67</v>
      </c>
      <c r="F222" s="77">
        <v>7326134.1399999997</v>
      </c>
      <c r="G222" s="77">
        <v>-8152754.8799999999</v>
      </c>
      <c r="H222" s="77">
        <v>-826620.74</v>
      </c>
      <c r="I222" s="77">
        <v>-1684758.41</v>
      </c>
      <c r="J222" s="112">
        <f t="shared" si="13"/>
        <v>-1684.7584099999999</v>
      </c>
      <c r="K222" s="112">
        <f t="shared" si="14"/>
        <v>-1685</v>
      </c>
      <c r="L222" s="346">
        <f>IFERROR(VLOOKUP(C222,'[4]DE x PARA'!C217:K2216,7,FALSE),"SINTÉTICA")</f>
        <v>500001</v>
      </c>
      <c r="M222">
        <f>IFERROR(VLOOKUP(B222,'[4]DE x PARA'!B217:K2216,10,FALSE),"SINTÉTICA")</f>
        <v>600018</v>
      </c>
      <c r="N222">
        <f>IFERROR(VLOOKUP(M222,'[4]DE x PARA'!$K$2:$L$2001,2,FALSE),0)</f>
        <v>-1</v>
      </c>
      <c r="O222">
        <f t="shared" si="15"/>
        <v>826620.74</v>
      </c>
    </row>
    <row r="223" spans="1:15" ht="18">
      <c r="A223" t="str">
        <f t="shared" si="12"/>
        <v>2.1.1.07.0003</v>
      </c>
      <c r="B223" t="s">
        <v>873</v>
      </c>
      <c r="C223" t="s">
        <v>874</v>
      </c>
      <c r="D223" t="s">
        <v>875</v>
      </c>
      <c r="E223" s="77">
        <v>-29992.67</v>
      </c>
      <c r="F223" s="77">
        <v>129310.39</v>
      </c>
      <c r="G223" s="77">
        <v>-115243.6</v>
      </c>
      <c r="H223" s="77">
        <v>14066.79</v>
      </c>
      <c r="I223" s="77">
        <v>-15925.88</v>
      </c>
      <c r="J223" s="112">
        <f t="shared" si="13"/>
        <v>-15.925879999999999</v>
      </c>
      <c r="K223" s="112">
        <f t="shared" si="14"/>
        <v>-16</v>
      </c>
      <c r="L223" s="346">
        <f>IFERROR(VLOOKUP(C223,'[4]DE x PARA'!C218:K2217,7,FALSE),"SINTÉTICA")</f>
        <v>500001</v>
      </c>
      <c r="M223">
        <f>IFERROR(VLOOKUP(B223,'[4]DE x PARA'!B218:K2217,10,FALSE),"SINTÉTICA")</f>
        <v>600018</v>
      </c>
      <c r="N223">
        <f>IFERROR(VLOOKUP(M223,'[4]DE x PARA'!$K$2:$L$2001,2,FALSE),0)</f>
        <v>-1</v>
      </c>
      <c r="O223">
        <f t="shared" si="15"/>
        <v>-14066.79</v>
      </c>
    </row>
    <row r="224" spans="1:15" ht="18">
      <c r="A224" t="str">
        <f t="shared" si="12"/>
        <v>2.1.1.07.0008</v>
      </c>
      <c r="B224" t="s">
        <v>876</v>
      </c>
      <c r="C224">
        <v>6147</v>
      </c>
      <c r="D224" t="s">
        <v>877</v>
      </c>
      <c r="E224" s="77">
        <v>0</v>
      </c>
      <c r="F224" s="77">
        <v>32425.88</v>
      </c>
      <c r="G224" s="77">
        <v>-32425.88</v>
      </c>
      <c r="H224" s="77">
        <v>0</v>
      </c>
      <c r="I224" s="77">
        <v>0</v>
      </c>
      <c r="J224" s="112">
        <f t="shared" si="13"/>
        <v>0</v>
      </c>
      <c r="K224" s="112">
        <f t="shared" si="14"/>
        <v>0</v>
      </c>
      <c r="L224" s="346">
        <f>IFERROR(VLOOKUP(C224,'[4]DE x PARA'!C219:K2218,7,FALSE),"SINTÉTICA")</f>
        <v>500001</v>
      </c>
      <c r="M224">
        <f>IFERROR(VLOOKUP(B224,'[4]DE x PARA'!B219:K2218,10,FALSE),"SINTÉTICA")</f>
        <v>600018</v>
      </c>
      <c r="N224">
        <f>IFERROR(VLOOKUP(M224,'[4]DE x PARA'!$K$2:$L$2001,2,FALSE),0)</f>
        <v>-1</v>
      </c>
      <c r="O224">
        <f t="shared" si="15"/>
        <v>0</v>
      </c>
    </row>
    <row r="225" spans="1:15" ht="18">
      <c r="A225" t="str">
        <f t="shared" si="12"/>
        <v>2.1.1.07.0009</v>
      </c>
      <c r="B225" t="s">
        <v>878</v>
      </c>
      <c r="C225">
        <v>6190</v>
      </c>
      <c r="D225" t="s">
        <v>879</v>
      </c>
      <c r="E225" s="77">
        <v>0</v>
      </c>
      <c r="F225" s="77">
        <v>776411.45</v>
      </c>
      <c r="G225" s="77">
        <v>-776411.45</v>
      </c>
      <c r="H225" s="77">
        <v>0</v>
      </c>
      <c r="I225" s="77">
        <v>0</v>
      </c>
      <c r="J225" s="112">
        <f t="shared" si="13"/>
        <v>0</v>
      </c>
      <c r="K225" s="112">
        <f t="shared" si="14"/>
        <v>0</v>
      </c>
      <c r="L225" s="346">
        <f>IFERROR(VLOOKUP(C225,'[4]DE x PARA'!C220:K2219,7,FALSE),"SINTÉTICA")</f>
        <v>500001</v>
      </c>
      <c r="M225">
        <f>IFERROR(VLOOKUP(B225,'[4]DE x PARA'!B220:K2219,10,FALSE),"SINTÉTICA")</f>
        <v>600018</v>
      </c>
      <c r="N225">
        <f>IFERROR(VLOOKUP(M225,'[4]DE x PARA'!$K$2:$L$2001,2,FALSE),0)</f>
        <v>-1</v>
      </c>
      <c r="O225">
        <f t="shared" si="15"/>
        <v>0</v>
      </c>
    </row>
    <row r="226" spans="1:15" ht="18">
      <c r="A226" t="str">
        <f t="shared" si="12"/>
        <v>2.1.1.07.0010</v>
      </c>
      <c r="B226" t="s">
        <v>880</v>
      </c>
      <c r="C226">
        <v>6175</v>
      </c>
      <c r="D226" t="s">
        <v>881</v>
      </c>
      <c r="E226" s="77">
        <v>0</v>
      </c>
      <c r="F226" s="77">
        <v>7470.44</v>
      </c>
      <c r="G226" s="77">
        <v>-7470.44</v>
      </c>
      <c r="H226" s="77">
        <v>0</v>
      </c>
      <c r="I226" s="77">
        <v>0</v>
      </c>
      <c r="J226" s="112">
        <f t="shared" si="13"/>
        <v>0</v>
      </c>
      <c r="K226" s="112">
        <f t="shared" si="14"/>
        <v>0</v>
      </c>
      <c r="L226" s="346">
        <f>IFERROR(VLOOKUP(C226,'[4]DE x PARA'!C221:K2220,7,FALSE),"SINTÉTICA")</f>
        <v>500001</v>
      </c>
      <c r="M226">
        <f>IFERROR(VLOOKUP(B226,'[4]DE x PARA'!B221:K2220,10,FALSE),"SINTÉTICA")</f>
        <v>600018</v>
      </c>
      <c r="N226">
        <f>IFERROR(VLOOKUP(M226,'[4]DE x PARA'!$K$2:$L$2001,2,FALSE),0)</f>
        <v>-1</v>
      </c>
      <c r="O226">
        <f t="shared" si="15"/>
        <v>0</v>
      </c>
    </row>
    <row r="227" spans="1:15" ht="18">
      <c r="A227" t="str">
        <f t="shared" si="12"/>
        <v>2.1.1.07.0015</v>
      </c>
      <c r="B227" t="s">
        <v>882</v>
      </c>
      <c r="C227" t="s">
        <v>883</v>
      </c>
      <c r="D227" t="s">
        <v>884</v>
      </c>
      <c r="E227" s="77">
        <v>0</v>
      </c>
      <c r="F227" s="77">
        <v>115535.52</v>
      </c>
      <c r="G227" s="77">
        <v>-115535.52</v>
      </c>
      <c r="H227" s="77">
        <v>0</v>
      </c>
      <c r="I227" s="77">
        <v>0</v>
      </c>
      <c r="J227" s="112">
        <f t="shared" si="13"/>
        <v>0</v>
      </c>
      <c r="K227" s="112">
        <f t="shared" si="14"/>
        <v>0</v>
      </c>
      <c r="L227" s="346">
        <f>IFERROR(VLOOKUP(C227,'[4]DE x PARA'!C222:K2221,7,FALSE),"SINTÉTICA")</f>
        <v>500001</v>
      </c>
      <c r="M227">
        <f>IFERROR(VLOOKUP(B227,'[4]DE x PARA'!B222:K2221,10,FALSE),"SINTÉTICA")</f>
        <v>600018</v>
      </c>
      <c r="N227">
        <f>IFERROR(VLOOKUP(M227,'[4]DE x PARA'!$K$2:$L$2001,2,FALSE),0)</f>
        <v>-1</v>
      </c>
      <c r="O227">
        <f t="shared" si="15"/>
        <v>0</v>
      </c>
    </row>
    <row r="228" spans="1:15" ht="18">
      <c r="A228" t="str">
        <f t="shared" si="12"/>
        <v>2.1.1.07.0073</v>
      </c>
      <c r="B228" t="s">
        <v>885</v>
      </c>
      <c r="C228">
        <v>211773</v>
      </c>
      <c r="D228" t="s">
        <v>886</v>
      </c>
      <c r="E228" s="77">
        <v>0</v>
      </c>
      <c r="F228" s="77">
        <v>13347.54</v>
      </c>
      <c r="G228" s="77">
        <v>-13347.54</v>
      </c>
      <c r="H228" s="77">
        <v>0</v>
      </c>
      <c r="I228" s="77">
        <v>0</v>
      </c>
      <c r="J228" s="112">
        <f t="shared" si="13"/>
        <v>0</v>
      </c>
      <c r="K228" s="112">
        <f t="shared" si="14"/>
        <v>0</v>
      </c>
      <c r="L228" s="346">
        <f>IFERROR(VLOOKUP(C228,'[4]DE x PARA'!C223:K2222,7,FALSE),"SINTÉTICA")</f>
        <v>500001</v>
      </c>
      <c r="M228">
        <f>IFERROR(VLOOKUP(B228,'[4]DE x PARA'!B223:K2222,10,FALSE),"SINTÉTICA")</f>
        <v>600018</v>
      </c>
      <c r="N228">
        <f>IFERROR(VLOOKUP(M228,'[4]DE x PARA'!$K$2:$L$2001,2,FALSE),0)</f>
        <v>-1</v>
      </c>
      <c r="O228">
        <f t="shared" si="15"/>
        <v>0</v>
      </c>
    </row>
    <row r="229" spans="1:15" ht="18">
      <c r="A229" t="str">
        <f t="shared" si="12"/>
        <v>2.1.1.07.0074</v>
      </c>
      <c r="B229" t="s">
        <v>887</v>
      </c>
      <c r="C229">
        <v>211774</v>
      </c>
      <c r="D229" t="s">
        <v>888</v>
      </c>
      <c r="E229" s="77">
        <v>0</v>
      </c>
      <c r="F229" s="77">
        <v>5561.48</v>
      </c>
      <c r="G229" s="77">
        <v>-5561.48</v>
      </c>
      <c r="H229" s="77">
        <v>0</v>
      </c>
      <c r="I229" s="77">
        <v>0</v>
      </c>
      <c r="J229" s="112">
        <f t="shared" si="13"/>
        <v>0</v>
      </c>
      <c r="K229" s="112">
        <f t="shared" si="14"/>
        <v>0</v>
      </c>
      <c r="L229" s="346">
        <f>IFERROR(VLOOKUP(C229,'[4]DE x PARA'!C224:K2223,7,FALSE),"SINTÉTICA")</f>
        <v>500001</v>
      </c>
      <c r="M229">
        <f>IFERROR(VLOOKUP(B229,'[4]DE x PARA'!B224:K2223,10,FALSE),"SINTÉTICA")</f>
        <v>600018</v>
      </c>
      <c r="N229">
        <f>IFERROR(VLOOKUP(M229,'[4]DE x PARA'!$K$2:$L$2001,2,FALSE),0)</f>
        <v>-1</v>
      </c>
      <c r="O229">
        <f t="shared" si="15"/>
        <v>0</v>
      </c>
    </row>
    <row r="230" spans="1:15" ht="18">
      <c r="A230" t="str">
        <f t="shared" si="12"/>
        <v>2.1.1.08</v>
      </c>
      <c r="B230" t="s">
        <v>889</v>
      </c>
      <c r="C230">
        <v>2118</v>
      </c>
      <c r="D230" t="s">
        <v>537</v>
      </c>
      <c r="E230" s="77">
        <v>-14650416.050000001</v>
      </c>
      <c r="F230" s="77">
        <v>67760391.939999998</v>
      </c>
      <c r="G230" s="77">
        <v>-70750633.030000001</v>
      </c>
      <c r="H230" s="77">
        <v>-2990241.09</v>
      </c>
      <c r="I230" s="77">
        <v>-17640657.140000001</v>
      </c>
      <c r="J230" s="112">
        <f t="shared" si="13"/>
        <v>-17640.657139999999</v>
      </c>
      <c r="K230" s="112">
        <f t="shared" si="14"/>
        <v>-17641</v>
      </c>
      <c r="L230" s="346">
        <f>IFERROR(VLOOKUP(C230,'[4]DE x PARA'!C225:K2224,7,FALSE),"SINTÉTICA")</f>
        <v>0</v>
      </c>
      <c r="M230">
        <f>IFERROR(VLOOKUP(B230,'[4]DE x PARA'!B225:K2224,10,FALSE),"SINTÉTICA")</f>
        <v>0</v>
      </c>
      <c r="N230">
        <f>IFERROR(VLOOKUP(M230,'[4]DE x PARA'!$K$2:$L$2001,2,FALSE),0)</f>
        <v>0</v>
      </c>
      <c r="O230">
        <f t="shared" si="15"/>
        <v>0</v>
      </c>
    </row>
    <row r="231" spans="1:15" ht="18">
      <c r="A231" t="str">
        <f t="shared" si="12"/>
        <v>2.1.1.08.0001</v>
      </c>
      <c r="B231" t="s">
        <v>890</v>
      </c>
      <c r="C231">
        <v>21181</v>
      </c>
      <c r="D231" t="s">
        <v>891</v>
      </c>
      <c r="E231" s="77">
        <v>-3296800.97</v>
      </c>
      <c r="F231" s="77">
        <v>44578217.219999999</v>
      </c>
      <c r="G231" s="77">
        <v>-44584575.43</v>
      </c>
      <c r="H231" s="77">
        <v>-6358.21</v>
      </c>
      <c r="I231" s="77">
        <v>-3303159.18</v>
      </c>
      <c r="J231" s="112">
        <f t="shared" si="13"/>
        <v>-3303.1591800000001</v>
      </c>
      <c r="K231" s="112">
        <f t="shared" si="14"/>
        <v>-3303</v>
      </c>
      <c r="L231" s="346">
        <f>IFERROR(VLOOKUP(C231,'[4]DE x PARA'!C226:K2225,7,FALSE),"SINTÉTICA")</f>
        <v>500001</v>
      </c>
      <c r="M231">
        <f>IFERROR(VLOOKUP(B231,'[4]DE x PARA'!B226:K2225,10,FALSE),"SINTÉTICA")</f>
        <v>600019</v>
      </c>
      <c r="N231">
        <f>IFERROR(VLOOKUP(M231,'[4]DE x PARA'!$K$2:$L$2001,2,FALSE),0)</f>
        <v>-1</v>
      </c>
      <c r="O231">
        <f t="shared" si="15"/>
        <v>6358.21</v>
      </c>
    </row>
    <row r="232" spans="1:15" ht="18">
      <c r="A232" t="str">
        <f t="shared" si="12"/>
        <v>2.1.1.08.0002</v>
      </c>
      <c r="B232" t="s">
        <v>892</v>
      </c>
      <c r="C232">
        <v>21182</v>
      </c>
      <c r="D232" t="s">
        <v>893</v>
      </c>
      <c r="E232" s="77">
        <v>0</v>
      </c>
      <c r="F232" s="77">
        <v>37684</v>
      </c>
      <c r="G232" s="77">
        <v>-3167666.66</v>
      </c>
      <c r="H232" s="77">
        <v>-3129982.66</v>
      </c>
      <c r="I232" s="77">
        <v>-3129982.66</v>
      </c>
      <c r="J232" s="112">
        <f t="shared" si="13"/>
        <v>-3129.9826600000001</v>
      </c>
      <c r="K232" s="112">
        <f t="shared" si="14"/>
        <v>-3130</v>
      </c>
      <c r="L232" s="346">
        <f>IFERROR(VLOOKUP(C232,'[4]DE x PARA'!C227:K2226,7,FALSE),"SINTÉTICA")</f>
        <v>500001</v>
      </c>
      <c r="M232">
        <f>IFERROR(VLOOKUP(B232,'[4]DE x PARA'!B227:K2226,10,FALSE),"SINTÉTICA")</f>
        <v>600019</v>
      </c>
      <c r="N232">
        <f>IFERROR(VLOOKUP(M232,'[4]DE x PARA'!$K$2:$L$2001,2,FALSE),0)</f>
        <v>-1</v>
      </c>
      <c r="O232">
        <f t="shared" si="15"/>
        <v>3129982.66</v>
      </c>
    </row>
    <row r="233" spans="1:15" ht="18">
      <c r="A233" t="str">
        <f t="shared" si="12"/>
        <v>2.1.1.08.0003</v>
      </c>
      <c r="B233" t="s">
        <v>894</v>
      </c>
      <c r="C233">
        <v>21183</v>
      </c>
      <c r="D233" t="s">
        <v>895</v>
      </c>
      <c r="E233" s="77">
        <v>-7042192.4800000004</v>
      </c>
      <c r="F233" s="77">
        <v>4861552.75</v>
      </c>
      <c r="G233" s="77">
        <v>-4419401.79</v>
      </c>
      <c r="H233" s="77">
        <v>442150.96</v>
      </c>
      <c r="I233" s="77">
        <v>-6600041.5199999996</v>
      </c>
      <c r="J233" s="112">
        <f t="shared" si="13"/>
        <v>-6600.0415199999998</v>
      </c>
      <c r="K233" s="112">
        <f t="shared" si="14"/>
        <v>-6600</v>
      </c>
      <c r="L233" s="346">
        <f>IFERROR(VLOOKUP(C233,'[4]DE x PARA'!C228:K2227,7,FALSE),"SINTÉTICA")</f>
        <v>500001</v>
      </c>
      <c r="M233">
        <f>IFERROR(VLOOKUP(B233,'[4]DE x PARA'!B228:K2227,10,FALSE),"SINTÉTICA")</f>
        <v>600019</v>
      </c>
      <c r="N233">
        <f>IFERROR(VLOOKUP(M233,'[4]DE x PARA'!$K$2:$L$2001,2,FALSE),0)</f>
        <v>-1</v>
      </c>
      <c r="O233">
        <f t="shared" si="15"/>
        <v>-442150.96</v>
      </c>
    </row>
    <row r="234" spans="1:15" ht="18">
      <c r="A234" t="str">
        <f t="shared" si="12"/>
        <v>2.1.1.08.0004</v>
      </c>
      <c r="B234" t="s">
        <v>896</v>
      </c>
      <c r="C234">
        <v>21184</v>
      </c>
      <c r="D234" t="s">
        <v>897</v>
      </c>
      <c r="E234" s="77">
        <v>-1314535.46</v>
      </c>
      <c r="F234" s="77">
        <v>10129392.25</v>
      </c>
      <c r="G234" s="77">
        <v>-10034393.9</v>
      </c>
      <c r="H234" s="77">
        <v>94998.35</v>
      </c>
      <c r="I234" s="77">
        <v>-1219537.1100000001</v>
      </c>
      <c r="J234" s="112">
        <f t="shared" si="13"/>
        <v>-1219.5371100000002</v>
      </c>
      <c r="K234" s="112">
        <f t="shared" si="14"/>
        <v>-1220</v>
      </c>
      <c r="L234" s="346">
        <f>IFERROR(VLOOKUP(C234,'[4]DE x PARA'!C229:K2228,7,FALSE),"SINTÉTICA")</f>
        <v>500001</v>
      </c>
      <c r="M234">
        <f>IFERROR(VLOOKUP(B234,'[4]DE x PARA'!B229:K2228,10,FALSE),"SINTÉTICA")</f>
        <v>600019</v>
      </c>
      <c r="N234">
        <f>IFERROR(VLOOKUP(M234,'[4]DE x PARA'!$K$2:$L$2001,2,FALSE),0)</f>
        <v>-1</v>
      </c>
      <c r="O234">
        <f t="shared" si="15"/>
        <v>-94998.35</v>
      </c>
    </row>
    <row r="235" spans="1:15" ht="18">
      <c r="A235" t="str">
        <f t="shared" si="12"/>
        <v>2.1.1.08.0005</v>
      </c>
      <c r="B235" t="s">
        <v>898</v>
      </c>
      <c r="C235">
        <v>21185</v>
      </c>
      <c r="D235" t="s">
        <v>899</v>
      </c>
      <c r="E235" s="77">
        <v>-607966.32999999996</v>
      </c>
      <c r="F235" s="77">
        <v>3539583.57</v>
      </c>
      <c r="G235" s="77">
        <v>-3320505.52</v>
      </c>
      <c r="H235" s="77">
        <v>219078.05</v>
      </c>
      <c r="I235" s="77">
        <v>-388888.28</v>
      </c>
      <c r="J235" s="112">
        <f t="shared" si="13"/>
        <v>-388.88828000000001</v>
      </c>
      <c r="K235" s="112">
        <f t="shared" si="14"/>
        <v>-389</v>
      </c>
      <c r="L235" s="346">
        <f>IFERROR(VLOOKUP(C235,'[4]DE x PARA'!C230:K2229,7,FALSE),"SINTÉTICA")</f>
        <v>500001</v>
      </c>
      <c r="M235">
        <f>IFERROR(VLOOKUP(B235,'[4]DE x PARA'!B230:K2229,10,FALSE),"SINTÉTICA")</f>
        <v>600019</v>
      </c>
      <c r="N235">
        <f>IFERROR(VLOOKUP(M235,'[4]DE x PARA'!$K$2:$L$2001,2,FALSE),0)</f>
        <v>-1</v>
      </c>
      <c r="O235">
        <f t="shared" si="15"/>
        <v>-219078.05</v>
      </c>
    </row>
    <row r="236" spans="1:15" ht="18">
      <c r="A236" t="str">
        <f t="shared" si="12"/>
        <v>2.1.1.08.0006</v>
      </c>
      <c r="B236" t="s">
        <v>900</v>
      </c>
      <c r="C236">
        <v>21186</v>
      </c>
      <c r="D236" t="s">
        <v>901</v>
      </c>
      <c r="E236" s="77">
        <v>0</v>
      </c>
      <c r="F236" s="77">
        <v>1200</v>
      </c>
      <c r="G236" s="77">
        <v>-1200</v>
      </c>
      <c r="H236" s="77">
        <v>0</v>
      </c>
      <c r="I236" s="77">
        <v>0</v>
      </c>
      <c r="J236" s="112">
        <f t="shared" si="13"/>
        <v>0</v>
      </c>
      <c r="K236" s="112">
        <f t="shared" si="14"/>
        <v>0</v>
      </c>
      <c r="L236" s="346">
        <f>IFERROR(VLOOKUP(C236,'[4]DE x PARA'!C231:K2230,7,FALSE),"SINTÉTICA")</f>
        <v>500001</v>
      </c>
      <c r="M236">
        <f>IFERROR(VLOOKUP(B236,'[4]DE x PARA'!B231:K2230,10,FALSE),"SINTÉTICA")</f>
        <v>600019</v>
      </c>
      <c r="N236">
        <f>IFERROR(VLOOKUP(M236,'[4]DE x PARA'!$K$2:$L$2001,2,FALSE),0)</f>
        <v>-1</v>
      </c>
      <c r="O236">
        <f t="shared" si="15"/>
        <v>0</v>
      </c>
    </row>
    <row r="237" spans="1:15" ht="18">
      <c r="A237" t="str">
        <f t="shared" si="12"/>
        <v>2.1.1.08.0007</v>
      </c>
      <c r="B237" t="s">
        <v>902</v>
      </c>
      <c r="C237">
        <v>21187</v>
      </c>
      <c r="D237" t="s">
        <v>903</v>
      </c>
      <c r="E237" s="77">
        <v>0</v>
      </c>
      <c r="F237" s="77">
        <v>145295.07999999999</v>
      </c>
      <c r="G237" s="77">
        <v>-145295.07999999999</v>
      </c>
      <c r="H237" s="77">
        <v>0</v>
      </c>
      <c r="I237" s="77">
        <v>0</v>
      </c>
      <c r="J237" s="112">
        <f t="shared" si="13"/>
        <v>0</v>
      </c>
      <c r="K237" s="112">
        <f t="shared" si="14"/>
        <v>0</v>
      </c>
      <c r="L237" s="346">
        <f>IFERROR(VLOOKUP(C237,'[4]DE x PARA'!C232:K2231,7,FALSE),"SINTÉTICA")</f>
        <v>500001</v>
      </c>
      <c r="M237">
        <f>IFERROR(VLOOKUP(B237,'[4]DE x PARA'!B232:K2231,10,FALSE),"SINTÉTICA")</f>
        <v>600019</v>
      </c>
      <c r="N237">
        <f>IFERROR(VLOOKUP(M237,'[4]DE x PARA'!$K$2:$L$2001,2,FALSE),0)</f>
        <v>-1</v>
      </c>
      <c r="O237">
        <f t="shared" si="15"/>
        <v>0</v>
      </c>
    </row>
    <row r="238" spans="1:15" ht="18">
      <c r="A238" t="str">
        <f t="shared" si="12"/>
        <v>2.1.1.08.0008</v>
      </c>
      <c r="B238" t="s">
        <v>904</v>
      </c>
      <c r="C238">
        <v>21188</v>
      </c>
      <c r="D238" t="s">
        <v>905</v>
      </c>
      <c r="E238" s="77">
        <v>-10670.47</v>
      </c>
      <c r="F238" s="77">
        <v>173373.83</v>
      </c>
      <c r="G238" s="77">
        <v>-162703.35999999999</v>
      </c>
      <c r="H238" s="77">
        <v>10670.47</v>
      </c>
      <c r="I238" s="77">
        <v>0</v>
      </c>
      <c r="J238" s="112">
        <f t="shared" si="13"/>
        <v>0</v>
      </c>
      <c r="K238" s="112">
        <f t="shared" si="14"/>
        <v>0</v>
      </c>
      <c r="L238" s="346">
        <f>IFERROR(VLOOKUP(C238,'[4]DE x PARA'!C233:K2232,7,FALSE),"SINTÉTICA")</f>
        <v>500001</v>
      </c>
      <c r="M238">
        <f>IFERROR(VLOOKUP(B238,'[4]DE x PARA'!B233:K2232,10,FALSE),"SINTÉTICA")</f>
        <v>600019</v>
      </c>
      <c r="N238">
        <f>IFERROR(VLOOKUP(M238,'[4]DE x PARA'!$K$2:$L$2001,2,FALSE),0)</f>
        <v>-1</v>
      </c>
      <c r="O238">
        <f t="shared" si="15"/>
        <v>-10670.47</v>
      </c>
    </row>
    <row r="239" spans="1:15" ht="18">
      <c r="A239" t="str">
        <f t="shared" si="12"/>
        <v>2.1.1.08.0009</v>
      </c>
      <c r="B239" t="s">
        <v>906</v>
      </c>
      <c r="C239">
        <v>21189</v>
      </c>
      <c r="D239" t="s">
        <v>907</v>
      </c>
      <c r="E239" s="77">
        <v>-335918.14</v>
      </c>
      <c r="F239" s="77">
        <v>2672978.64</v>
      </c>
      <c r="G239" s="77">
        <v>-2676608.1</v>
      </c>
      <c r="H239" s="77">
        <v>-3629.46</v>
      </c>
      <c r="I239" s="77">
        <v>-339547.6</v>
      </c>
      <c r="J239" s="112">
        <f t="shared" si="13"/>
        <v>-339.54759999999999</v>
      </c>
      <c r="K239" s="112">
        <f t="shared" si="14"/>
        <v>-340</v>
      </c>
      <c r="L239" s="346">
        <f>IFERROR(VLOOKUP(C239,'[4]DE x PARA'!C234:K2233,7,FALSE),"SINTÉTICA")</f>
        <v>500001</v>
      </c>
      <c r="M239">
        <f>IFERROR(VLOOKUP(B239,'[4]DE x PARA'!B234:K2233,10,FALSE),"SINTÉTICA")</f>
        <v>600032</v>
      </c>
      <c r="N239">
        <f>IFERROR(VLOOKUP(M239,'[4]DE x PARA'!$K$2:$L$2001,2,FALSE),0)</f>
        <v>-1</v>
      </c>
      <c r="O239">
        <f t="shared" si="15"/>
        <v>3629.46</v>
      </c>
    </row>
    <row r="240" spans="1:15" ht="18">
      <c r="A240" t="str">
        <f t="shared" si="12"/>
        <v>2.1.1.08.0010</v>
      </c>
      <c r="B240" t="s">
        <v>908</v>
      </c>
      <c r="C240">
        <v>211810</v>
      </c>
      <c r="D240" t="s">
        <v>909</v>
      </c>
      <c r="E240" s="77">
        <v>0</v>
      </c>
      <c r="F240" s="77">
        <v>9141.4500000000007</v>
      </c>
      <c r="G240" s="77">
        <v>-662860.99</v>
      </c>
      <c r="H240" s="77">
        <v>-653719.54</v>
      </c>
      <c r="I240" s="77">
        <v>-653719.54</v>
      </c>
      <c r="J240" s="112">
        <f t="shared" si="13"/>
        <v>-653.71954000000005</v>
      </c>
      <c r="K240" s="112">
        <f t="shared" si="14"/>
        <v>-654</v>
      </c>
      <c r="L240" s="346">
        <f>IFERROR(VLOOKUP(C240,'[4]DE x PARA'!C235:K2234,7,FALSE),"SINTÉTICA")</f>
        <v>500001</v>
      </c>
      <c r="M240">
        <f>IFERROR(VLOOKUP(B240,'[4]DE x PARA'!B235:K2234,10,FALSE),"SINTÉTICA")</f>
        <v>600019</v>
      </c>
      <c r="N240">
        <f>IFERROR(VLOOKUP(M240,'[4]DE x PARA'!$K$2:$L$2001,2,FALSE),0)</f>
        <v>-1</v>
      </c>
      <c r="O240">
        <f t="shared" si="15"/>
        <v>653719.54</v>
      </c>
    </row>
    <row r="241" spans="1:15" ht="18">
      <c r="A241" t="str">
        <f t="shared" si="12"/>
        <v>2.1.1.08.0011</v>
      </c>
      <c r="B241" t="s">
        <v>910</v>
      </c>
      <c r="C241">
        <v>211811</v>
      </c>
      <c r="D241" t="s">
        <v>911</v>
      </c>
      <c r="E241" s="77">
        <v>0</v>
      </c>
      <c r="F241" s="77">
        <v>230533.24</v>
      </c>
      <c r="G241" s="77">
        <v>-294033.43</v>
      </c>
      <c r="H241" s="77">
        <v>-63500.19</v>
      </c>
      <c r="I241" s="77">
        <v>-63500.19</v>
      </c>
      <c r="J241" s="112">
        <f t="shared" si="13"/>
        <v>-63.500190000000003</v>
      </c>
      <c r="K241" s="112">
        <f t="shared" si="14"/>
        <v>-64</v>
      </c>
      <c r="L241" s="346">
        <f>IFERROR(VLOOKUP(C241,'[4]DE x PARA'!C236:K2235,7,FALSE),"SINTÉTICA")</f>
        <v>500001</v>
      </c>
      <c r="M241">
        <f>IFERROR(VLOOKUP(B241,'[4]DE x PARA'!B236:K2235,10,FALSE),"SINTÉTICA")</f>
        <v>600019</v>
      </c>
      <c r="N241">
        <f>IFERROR(VLOOKUP(M241,'[4]DE x PARA'!$K$2:$L$2001,2,FALSE),0)</f>
        <v>-1</v>
      </c>
      <c r="O241">
        <f t="shared" si="15"/>
        <v>63500.19</v>
      </c>
    </row>
    <row r="242" spans="1:15" ht="18">
      <c r="A242" t="str">
        <f t="shared" si="12"/>
        <v>2.1.1.08.0012</v>
      </c>
      <c r="B242" t="s">
        <v>912</v>
      </c>
      <c r="C242">
        <v>211812</v>
      </c>
      <c r="D242" t="s">
        <v>913</v>
      </c>
      <c r="E242" s="77">
        <v>-1478930.54</v>
      </c>
      <c r="F242" s="77">
        <v>1000353.3</v>
      </c>
      <c r="G242" s="77">
        <v>-927902.59</v>
      </c>
      <c r="H242" s="77">
        <v>72450.710000000006</v>
      </c>
      <c r="I242" s="77">
        <v>-1406479.83</v>
      </c>
      <c r="J242" s="112">
        <f t="shared" si="13"/>
        <v>-1406.47983</v>
      </c>
      <c r="K242" s="112">
        <f t="shared" si="14"/>
        <v>-1406</v>
      </c>
      <c r="L242" s="346">
        <f>IFERROR(VLOOKUP(C242,'[4]DE x PARA'!C237:K2236,7,FALSE),"SINTÉTICA")</f>
        <v>500001</v>
      </c>
      <c r="M242">
        <f>IFERROR(VLOOKUP(B242,'[4]DE x PARA'!B237:K2236,10,FALSE),"SINTÉTICA")</f>
        <v>600019</v>
      </c>
      <c r="N242">
        <f>IFERROR(VLOOKUP(M242,'[4]DE x PARA'!$K$2:$L$2001,2,FALSE),0)</f>
        <v>-1</v>
      </c>
      <c r="O242">
        <f t="shared" si="15"/>
        <v>-72450.710000000006</v>
      </c>
    </row>
    <row r="243" spans="1:15" ht="18">
      <c r="A243" t="str">
        <f t="shared" si="12"/>
        <v>2.1.1.08.0013</v>
      </c>
      <c r="B243" t="s">
        <v>914</v>
      </c>
      <c r="C243">
        <v>211813</v>
      </c>
      <c r="D243" t="s">
        <v>915</v>
      </c>
      <c r="E243" s="77">
        <v>-563401.66</v>
      </c>
      <c r="F243" s="77">
        <v>381086.61</v>
      </c>
      <c r="G243" s="77">
        <v>-353486.18</v>
      </c>
      <c r="H243" s="77">
        <v>27600.43</v>
      </c>
      <c r="I243" s="77">
        <v>-535801.23</v>
      </c>
      <c r="J243" s="112">
        <f t="shared" si="13"/>
        <v>-535.80123000000003</v>
      </c>
      <c r="K243" s="112">
        <f t="shared" si="14"/>
        <v>-536</v>
      </c>
      <c r="L243" s="346">
        <f>IFERROR(VLOOKUP(C243,'[4]DE x PARA'!C238:K2237,7,FALSE),"SINTÉTICA")</f>
        <v>500001</v>
      </c>
      <c r="M243">
        <f>IFERROR(VLOOKUP(B243,'[4]DE x PARA'!B238:K2237,10,FALSE),"SINTÉTICA")</f>
        <v>600019</v>
      </c>
      <c r="N243">
        <f>IFERROR(VLOOKUP(M243,'[4]DE x PARA'!$K$2:$L$2001,2,FALSE),0)</f>
        <v>-1</v>
      </c>
      <c r="O243">
        <f t="shared" si="15"/>
        <v>-27600.43</v>
      </c>
    </row>
    <row r="244" spans="1:15" ht="18">
      <c r="A244" t="str">
        <f t="shared" si="12"/>
        <v>2.1.1.11</v>
      </c>
      <c r="B244" t="s">
        <v>4758</v>
      </c>
      <c r="C244">
        <v>211110</v>
      </c>
      <c r="D244" t="s">
        <v>924</v>
      </c>
      <c r="E244" s="77">
        <v>-2825115.32</v>
      </c>
      <c r="F244" s="77">
        <v>2832148.54</v>
      </c>
      <c r="G244" s="77">
        <v>-7033.22</v>
      </c>
      <c r="H244" s="77">
        <v>2825115.32</v>
      </c>
      <c r="I244" s="77">
        <v>0</v>
      </c>
      <c r="J244" s="112">
        <f t="shared" si="13"/>
        <v>0</v>
      </c>
      <c r="K244" s="112">
        <f t="shared" si="14"/>
        <v>0</v>
      </c>
      <c r="L244" s="346">
        <f>IFERROR(VLOOKUP(C244,'[4]DE x PARA'!C239:K2238,7,FALSE),"SINTÉTICA")</f>
        <v>0</v>
      </c>
      <c r="M244">
        <f>IFERROR(VLOOKUP(B244,'[4]DE x PARA'!B239:K2238,10,FALSE),"SINTÉTICA")</f>
        <v>0</v>
      </c>
      <c r="N244">
        <f>IFERROR(VLOOKUP(M244,'[4]DE x PARA'!$K$2:$L$2001,2,FALSE),0)</f>
        <v>0</v>
      </c>
      <c r="O244">
        <f t="shared" si="15"/>
        <v>0</v>
      </c>
    </row>
    <row r="245" spans="1:15" ht="18">
      <c r="A245" t="str">
        <f t="shared" si="12"/>
        <v>2.1.1.11.0001</v>
      </c>
      <c r="B245" t="s">
        <v>4759</v>
      </c>
      <c r="C245">
        <v>211111</v>
      </c>
      <c r="D245" t="s">
        <v>926</v>
      </c>
      <c r="E245" s="77">
        <v>-2825115.32</v>
      </c>
      <c r="F245" s="77">
        <v>2832148.54</v>
      </c>
      <c r="G245" s="77">
        <v>-7033.22</v>
      </c>
      <c r="H245" s="77">
        <v>2825115.32</v>
      </c>
      <c r="I245" s="77">
        <v>0</v>
      </c>
      <c r="J245" s="112">
        <f t="shared" si="13"/>
        <v>0</v>
      </c>
      <c r="K245" s="112">
        <f t="shared" si="14"/>
        <v>0</v>
      </c>
      <c r="L245" s="346">
        <f>IFERROR(VLOOKUP(C245,'[4]DE x PARA'!C240:K2239,7,FALSE),"SINTÉTICA")</f>
        <v>500001</v>
      </c>
      <c r="M245">
        <f>IFERROR(VLOOKUP(B245,'[4]DE x PARA'!B240:K2239,10,FALSE),"SINTÉTICA")</f>
        <v>600008</v>
      </c>
      <c r="N245">
        <f>IFERROR(VLOOKUP(M245,'[4]DE x PARA'!$K$2:$L$2001,2,FALSE),0)</f>
        <v>-1</v>
      </c>
      <c r="O245">
        <f t="shared" si="15"/>
        <v>-2825115.32</v>
      </c>
    </row>
    <row r="246" spans="1:15" ht="18">
      <c r="A246" t="str">
        <f t="shared" si="12"/>
        <v>2.1.1.14</v>
      </c>
      <c r="B246" t="s">
        <v>80</v>
      </c>
      <c r="C246">
        <v>21114</v>
      </c>
      <c r="D246" t="s">
        <v>79</v>
      </c>
      <c r="E246" s="77">
        <v>-25485.42</v>
      </c>
      <c r="F246" s="77">
        <v>211418.59</v>
      </c>
      <c r="G246" s="77">
        <v>-211800.98</v>
      </c>
      <c r="H246" s="77">
        <v>-382.39</v>
      </c>
      <c r="I246" s="77">
        <v>-25867.81</v>
      </c>
      <c r="J246" s="112">
        <f t="shared" si="13"/>
        <v>-25.867810000000002</v>
      </c>
      <c r="K246" s="112">
        <f t="shared" si="14"/>
        <v>-26</v>
      </c>
      <c r="L246" s="346">
        <f>IFERROR(VLOOKUP(C246,'[4]DE x PARA'!C241:K2240,7,FALSE),"SINTÉTICA")</f>
        <v>0</v>
      </c>
      <c r="M246">
        <f>IFERROR(VLOOKUP(B246,'[4]DE x PARA'!B241:K2240,10,FALSE),"SINTÉTICA")</f>
        <v>0</v>
      </c>
      <c r="N246">
        <f>IFERROR(VLOOKUP(M246,'[4]DE x PARA'!$K$2:$L$2001,2,FALSE),0)</f>
        <v>0</v>
      </c>
      <c r="O246">
        <f t="shared" si="15"/>
        <v>0</v>
      </c>
    </row>
    <row r="247" spans="1:15" ht="18">
      <c r="A247" t="str">
        <f t="shared" si="12"/>
        <v>2.1.1.14.0005</v>
      </c>
      <c r="B247" t="s">
        <v>916</v>
      </c>
      <c r="C247">
        <v>211145</v>
      </c>
      <c r="D247" t="s">
        <v>917</v>
      </c>
      <c r="E247" s="77">
        <v>0</v>
      </c>
      <c r="F247" s="77">
        <v>185933.17</v>
      </c>
      <c r="G247" s="77">
        <v>-211800.98</v>
      </c>
      <c r="H247" s="77">
        <v>-25867.81</v>
      </c>
      <c r="I247" s="77">
        <v>-25867.81</v>
      </c>
      <c r="J247" s="112">
        <f t="shared" si="13"/>
        <v>-25.867810000000002</v>
      </c>
      <c r="K247" s="112">
        <f t="shared" si="14"/>
        <v>-26</v>
      </c>
      <c r="L247" s="346">
        <f>IFERROR(VLOOKUP(C247,'[4]DE x PARA'!C242:K2241,7,FALSE),"SINTÉTICA")</f>
        <v>500001</v>
      </c>
      <c r="M247">
        <f>IFERROR(VLOOKUP(B247,'[4]DE x PARA'!B242:K2241,10,FALSE),"SINTÉTICA")</f>
        <v>600021</v>
      </c>
      <c r="N247">
        <f>IFERROR(VLOOKUP(M247,'[4]DE x PARA'!$K$2:$L$2001,2,FALSE),0)</f>
        <v>-1</v>
      </c>
      <c r="O247">
        <f t="shared" si="15"/>
        <v>25867.81</v>
      </c>
    </row>
    <row r="248" spans="1:15" ht="18">
      <c r="A248" t="str">
        <f t="shared" si="12"/>
        <v>2.1.1.14.0007</v>
      </c>
      <c r="B248" t="s">
        <v>4816</v>
      </c>
      <c r="C248">
        <v>211147</v>
      </c>
      <c r="D248" t="s">
        <v>4817</v>
      </c>
      <c r="E248" s="77">
        <v>-25485.42</v>
      </c>
      <c r="F248" s="77">
        <v>25485.42</v>
      </c>
      <c r="G248" s="77">
        <v>0</v>
      </c>
      <c r="H248" s="77">
        <v>25485.42</v>
      </c>
      <c r="I248" s="77">
        <v>0</v>
      </c>
      <c r="J248" s="112">
        <f t="shared" si="13"/>
        <v>0</v>
      </c>
      <c r="K248" s="112">
        <f t="shared" si="14"/>
        <v>0</v>
      </c>
      <c r="L248" s="346">
        <f>IFERROR(VLOOKUP(C248,'[4]DE x PARA'!C243:K2242,7,FALSE),"SINTÉTICA")</f>
        <v>500001</v>
      </c>
      <c r="M248">
        <f>IFERROR(VLOOKUP(B248,'[4]DE x PARA'!B243:K2242,10,FALSE),"SINTÉTICA")</f>
        <v>600021</v>
      </c>
      <c r="N248">
        <f>IFERROR(VLOOKUP(M248,'[4]DE x PARA'!$K$2:$L$2001,2,FALSE),0)</f>
        <v>-1</v>
      </c>
      <c r="O248">
        <f t="shared" si="15"/>
        <v>-25485.42</v>
      </c>
    </row>
    <row r="249" spans="1:15" ht="18">
      <c r="A249" t="str">
        <f t="shared" si="12"/>
        <v>2.1.1.15</v>
      </c>
      <c r="B249" t="s">
        <v>918</v>
      </c>
      <c r="C249">
        <v>21115</v>
      </c>
      <c r="D249" t="s">
        <v>907</v>
      </c>
      <c r="E249" s="77">
        <v>-332046.78000000003</v>
      </c>
      <c r="F249" s="77">
        <v>2649433.91</v>
      </c>
      <c r="G249" s="77">
        <v>-2654845.41</v>
      </c>
      <c r="H249" s="77">
        <v>-5411.5</v>
      </c>
      <c r="I249" s="77">
        <v>-337458.28</v>
      </c>
      <c r="J249" s="112">
        <f t="shared" si="13"/>
        <v>-337.45828</v>
      </c>
      <c r="K249" s="112">
        <f t="shared" si="14"/>
        <v>-337</v>
      </c>
      <c r="L249" s="346">
        <f>IFERROR(VLOOKUP(C249,'[4]DE x PARA'!C244:K2243,7,FALSE),"SINTÉTICA")</f>
        <v>0</v>
      </c>
      <c r="M249">
        <f>IFERROR(VLOOKUP(B249,'[4]DE x PARA'!B244:K2243,10,FALSE),"SINTÉTICA")</f>
        <v>0</v>
      </c>
      <c r="N249">
        <f>IFERROR(VLOOKUP(M249,'[4]DE x PARA'!$K$2:$L$2001,2,FALSE),0)</f>
        <v>0</v>
      </c>
      <c r="O249">
        <f t="shared" si="15"/>
        <v>0</v>
      </c>
    </row>
    <row r="250" spans="1:15" ht="18">
      <c r="A250" t="str">
        <f t="shared" si="12"/>
        <v>2.1.1.15.0001</v>
      </c>
      <c r="B250" t="s">
        <v>919</v>
      </c>
      <c r="C250">
        <v>211151</v>
      </c>
      <c r="D250" t="s">
        <v>920</v>
      </c>
      <c r="E250" s="77">
        <v>-332046.78000000003</v>
      </c>
      <c r="F250" s="77">
        <v>2649433.91</v>
      </c>
      <c r="G250" s="77">
        <v>-2654845.41</v>
      </c>
      <c r="H250" s="77">
        <v>-5411.5</v>
      </c>
      <c r="I250" s="77">
        <v>-337458.28</v>
      </c>
      <c r="J250" s="112">
        <f t="shared" si="13"/>
        <v>-337.45828</v>
      </c>
      <c r="K250" s="112">
        <f t="shared" si="14"/>
        <v>-337</v>
      </c>
      <c r="L250" s="346">
        <f>IFERROR(VLOOKUP(C250,'[4]DE x PARA'!C245:K2244,7,FALSE),"SINTÉTICA")</f>
        <v>500001</v>
      </c>
      <c r="M250">
        <f>IFERROR(VLOOKUP(B250,'[4]DE x PARA'!B245:K2244,10,FALSE),"SINTÉTICA")</f>
        <v>600032</v>
      </c>
      <c r="N250">
        <f>IFERROR(VLOOKUP(M250,'[4]DE x PARA'!$K$2:$L$2001,2,FALSE),0)</f>
        <v>-1</v>
      </c>
      <c r="O250">
        <f t="shared" si="15"/>
        <v>5411.5</v>
      </c>
    </row>
    <row r="251" spans="1:15" ht="18">
      <c r="A251" t="str">
        <f t="shared" si="12"/>
        <v>2.2</v>
      </c>
      <c r="B251" t="s">
        <v>921</v>
      </c>
      <c r="C251">
        <v>22</v>
      </c>
      <c r="D251" t="s">
        <v>369</v>
      </c>
      <c r="E251" s="77">
        <v>-7039774.5599999996</v>
      </c>
      <c r="F251" s="77">
        <v>642698.18999999994</v>
      </c>
      <c r="G251" s="77">
        <v>-4663402.8499999996</v>
      </c>
      <c r="H251" s="77">
        <v>-4020704.66</v>
      </c>
      <c r="I251" s="77">
        <v>-11060479.220000001</v>
      </c>
      <c r="J251" s="112">
        <f t="shared" si="13"/>
        <v>-11060.479220000001</v>
      </c>
      <c r="K251" s="112">
        <f t="shared" si="14"/>
        <v>-11060</v>
      </c>
      <c r="L251" s="346">
        <f>IFERROR(VLOOKUP(C251,'[4]DE x PARA'!C246:K2245,7,FALSE),"SINTÉTICA")</f>
        <v>0</v>
      </c>
      <c r="M251">
        <f>IFERROR(VLOOKUP(B251,'[4]DE x PARA'!B246:K2245,10,FALSE),"SINTÉTICA")</f>
        <v>0</v>
      </c>
      <c r="N251">
        <f>IFERROR(VLOOKUP(M251,'[4]DE x PARA'!$K$2:$L$2001,2,FALSE),0)</f>
        <v>0</v>
      </c>
      <c r="O251">
        <f t="shared" si="15"/>
        <v>0</v>
      </c>
    </row>
    <row r="252" spans="1:15" ht="18">
      <c r="A252" t="str">
        <f t="shared" si="12"/>
        <v>2.2.1</v>
      </c>
      <c r="B252" t="s">
        <v>922</v>
      </c>
      <c r="C252">
        <v>221</v>
      </c>
      <c r="D252" t="s">
        <v>923</v>
      </c>
      <c r="E252" s="77">
        <v>-7039774.5599999996</v>
      </c>
      <c r="F252" s="77">
        <v>642698.18999999994</v>
      </c>
      <c r="G252" s="77">
        <v>-4663402.8499999996</v>
      </c>
      <c r="H252" s="77">
        <v>-4020704.66</v>
      </c>
      <c r="I252" s="77">
        <v>-11060479.220000001</v>
      </c>
      <c r="J252" s="112">
        <f t="shared" si="13"/>
        <v>-11060.479220000001</v>
      </c>
      <c r="K252" s="112">
        <f t="shared" si="14"/>
        <v>-11060</v>
      </c>
      <c r="L252" s="346">
        <f>IFERROR(VLOOKUP(C252,'[4]DE x PARA'!C247:K2246,7,FALSE),"SINTÉTICA")</f>
        <v>0</v>
      </c>
      <c r="M252">
        <f>IFERROR(VLOOKUP(B252,'[4]DE x PARA'!B247:K2246,10,FALSE),"SINTÉTICA")</f>
        <v>0</v>
      </c>
      <c r="N252">
        <f>IFERROR(VLOOKUP(M252,'[4]DE x PARA'!$K$2:$L$2001,2,FALSE),0)</f>
        <v>0</v>
      </c>
      <c r="O252">
        <f t="shared" si="15"/>
        <v>0</v>
      </c>
    </row>
    <row r="253" spans="1:15" ht="18">
      <c r="A253" t="str">
        <f t="shared" si="12"/>
        <v>2.2.1.05</v>
      </c>
      <c r="B253" t="s">
        <v>85</v>
      </c>
      <c r="C253">
        <v>2215</v>
      </c>
      <c r="D253" t="s">
        <v>924</v>
      </c>
      <c r="E253" s="77">
        <v>-7039774.5599999996</v>
      </c>
      <c r="F253" s="77">
        <v>642698.18999999994</v>
      </c>
      <c r="G253" s="77">
        <v>-4663402.8499999996</v>
      </c>
      <c r="H253" s="77">
        <v>-4020704.66</v>
      </c>
      <c r="I253" s="77">
        <v>-11060479.220000001</v>
      </c>
      <c r="J253" s="112">
        <f t="shared" si="13"/>
        <v>-11060.479220000001</v>
      </c>
      <c r="K253" s="112">
        <f t="shared" si="14"/>
        <v>-11060</v>
      </c>
      <c r="L253" s="346">
        <f>IFERROR(VLOOKUP(C253,'[4]DE x PARA'!C248:K2247,7,FALSE),"SINTÉTICA")</f>
        <v>0</v>
      </c>
      <c r="M253">
        <f>IFERROR(VLOOKUP(B253,'[4]DE x PARA'!B248:K2247,10,FALSE),"SINTÉTICA")</f>
        <v>0</v>
      </c>
      <c r="N253">
        <f>IFERROR(VLOOKUP(M253,'[4]DE x PARA'!$K$2:$L$2001,2,FALSE),0)</f>
        <v>0</v>
      </c>
      <c r="O253">
        <f t="shared" si="15"/>
        <v>0</v>
      </c>
    </row>
    <row r="254" spans="1:15" ht="18">
      <c r="A254" t="str">
        <f t="shared" si="12"/>
        <v>2.2.1.05.0001</v>
      </c>
      <c r="B254" t="s">
        <v>925</v>
      </c>
      <c r="C254">
        <v>22151</v>
      </c>
      <c r="D254" t="s">
        <v>926</v>
      </c>
      <c r="E254" s="77">
        <v>-404002.73</v>
      </c>
      <c r="F254" s="77">
        <v>0</v>
      </c>
      <c r="G254" s="77">
        <v>-4066236.96</v>
      </c>
      <c r="H254" s="77">
        <v>-4066236.96</v>
      </c>
      <c r="I254" s="77">
        <v>-4470239.6900000004</v>
      </c>
      <c r="J254" s="112">
        <f t="shared" si="13"/>
        <v>-4470.2396900000003</v>
      </c>
      <c r="K254" s="112">
        <f t="shared" si="14"/>
        <v>-4470</v>
      </c>
      <c r="L254" s="346">
        <f>IFERROR(VLOOKUP(C254,'[4]DE x PARA'!C249:K2248,7,FALSE),"SINTÉTICA")</f>
        <v>500001</v>
      </c>
      <c r="M254">
        <f>IFERROR(VLOOKUP(B254,'[4]DE x PARA'!B249:K2248,10,FALSE),"SINTÉTICA")</f>
        <v>600008</v>
      </c>
      <c r="N254">
        <f>IFERROR(VLOOKUP(M254,'[4]DE x PARA'!$K$2:$L$2001,2,FALSE),0)</f>
        <v>-1</v>
      </c>
      <c r="O254">
        <f t="shared" si="15"/>
        <v>4066236.96</v>
      </c>
    </row>
    <row r="255" spans="1:15" ht="18">
      <c r="A255" t="str">
        <f t="shared" si="12"/>
        <v>2.2.1.05.0002</v>
      </c>
      <c r="B255" t="s">
        <v>927</v>
      </c>
      <c r="C255">
        <v>22152</v>
      </c>
      <c r="D255" t="s">
        <v>928</v>
      </c>
      <c r="E255" s="77">
        <v>0</v>
      </c>
      <c r="F255" s="77">
        <v>0</v>
      </c>
      <c r="G255" s="77">
        <v>-2456.08</v>
      </c>
      <c r="H255" s="77">
        <v>-2456.08</v>
      </c>
      <c r="I255" s="77">
        <v>-2456.08</v>
      </c>
      <c r="J255" s="112">
        <f t="shared" si="13"/>
        <v>-2.45608</v>
      </c>
      <c r="K255" s="112">
        <f t="shared" si="14"/>
        <v>-2</v>
      </c>
      <c r="L255" s="346">
        <f>IFERROR(VLOOKUP(C255,'[4]DE x PARA'!C250:K2249,7,FALSE),"SINTÉTICA")</f>
        <v>500001</v>
      </c>
      <c r="M255">
        <f>IFERROR(VLOOKUP(B255,'[4]DE x PARA'!B250:K2249,10,FALSE),"SINTÉTICA")</f>
        <v>600008</v>
      </c>
      <c r="N255">
        <f>IFERROR(VLOOKUP(M255,'[4]DE x PARA'!$K$2:$L$2001,2,FALSE),0)</f>
        <v>-1</v>
      </c>
      <c r="O255">
        <f t="shared" si="15"/>
        <v>2456.08</v>
      </c>
    </row>
    <row r="256" spans="1:15" ht="18">
      <c r="A256" t="str">
        <f t="shared" si="12"/>
        <v>2.2.1.05.0003</v>
      </c>
      <c r="B256" t="s">
        <v>929</v>
      </c>
      <c r="C256">
        <v>22153</v>
      </c>
      <c r="D256" t="s">
        <v>930</v>
      </c>
      <c r="E256" s="77">
        <v>-6633425.5300000003</v>
      </c>
      <c r="F256" s="77">
        <v>640310.85</v>
      </c>
      <c r="G256" s="77">
        <v>-594668.77</v>
      </c>
      <c r="H256" s="77">
        <v>45642.080000000002</v>
      </c>
      <c r="I256" s="77">
        <v>-6587783.4500000002</v>
      </c>
      <c r="J256" s="112">
        <f t="shared" si="13"/>
        <v>-6587.7834499999999</v>
      </c>
      <c r="K256" s="112">
        <f t="shared" si="14"/>
        <v>-6588</v>
      </c>
      <c r="L256" s="346">
        <f>IFERROR(VLOOKUP(C256,'[4]DE x PARA'!C251:K2250,7,FALSE),"SINTÉTICA")</f>
        <v>500001</v>
      </c>
      <c r="M256">
        <f>IFERROR(VLOOKUP(B256,'[4]DE x PARA'!B251:K2250,10,FALSE),"SINTÉTICA")</f>
        <v>600008</v>
      </c>
      <c r="N256">
        <f>IFERROR(VLOOKUP(M256,'[4]DE x PARA'!$K$2:$L$2001,2,FALSE),0)</f>
        <v>-1</v>
      </c>
      <c r="O256">
        <f t="shared" si="15"/>
        <v>-45642.080000000002</v>
      </c>
    </row>
    <row r="257" spans="1:15" ht="18">
      <c r="A257" t="str">
        <f t="shared" si="12"/>
        <v>2.2.1.05.0004</v>
      </c>
      <c r="B257" t="s">
        <v>4850</v>
      </c>
      <c r="C257">
        <v>22154</v>
      </c>
      <c r="D257" t="s">
        <v>4851</v>
      </c>
      <c r="E257" s="77">
        <v>-2346.3000000000002</v>
      </c>
      <c r="F257" s="77">
        <v>2387.34</v>
      </c>
      <c r="G257" s="77">
        <v>-41.04</v>
      </c>
      <c r="H257" s="77">
        <v>2346.3000000000002</v>
      </c>
      <c r="I257" s="77">
        <v>0</v>
      </c>
      <c r="J257" s="112">
        <f t="shared" si="13"/>
        <v>0</v>
      </c>
      <c r="K257" s="112">
        <f t="shared" si="14"/>
        <v>0</v>
      </c>
      <c r="L257" s="346">
        <f>IFERROR(VLOOKUP(C257,'[4]DE x PARA'!C252:K2251,7,FALSE),"SINTÉTICA")</f>
        <v>500001</v>
      </c>
      <c r="M257">
        <f>IFERROR(VLOOKUP(B257,'[4]DE x PARA'!B252:K2251,10,FALSE),"SINTÉTICA")</f>
        <v>600008</v>
      </c>
      <c r="N257">
        <f>IFERROR(VLOOKUP(M257,'[4]DE x PARA'!$K$2:$L$2001,2,FALSE),0)</f>
        <v>-1</v>
      </c>
      <c r="O257">
        <f t="shared" si="15"/>
        <v>-2346.3000000000002</v>
      </c>
    </row>
    <row r="258" spans="1:15" ht="18">
      <c r="A258" t="str">
        <f t="shared" si="12"/>
        <v>2.4</v>
      </c>
      <c r="B258" t="s">
        <v>931</v>
      </c>
      <c r="C258" t="s">
        <v>932</v>
      </c>
      <c r="D258" t="s">
        <v>371</v>
      </c>
      <c r="E258" s="77">
        <v>-25208883.989999998</v>
      </c>
      <c r="F258" s="77">
        <v>8528105.2200000007</v>
      </c>
      <c r="G258" s="77">
        <v>-10148458.710000001</v>
      </c>
      <c r="H258" s="77">
        <v>-1620353.49</v>
      </c>
      <c r="I258" s="77">
        <v>-26829237.48</v>
      </c>
      <c r="J258" s="112">
        <f t="shared" si="13"/>
        <v>-26829.23748</v>
      </c>
      <c r="K258" s="112">
        <f t="shared" si="14"/>
        <v>-26829</v>
      </c>
      <c r="L258" s="346">
        <f>IFERROR(VLOOKUP(C258,'[4]DE x PARA'!C253:K2252,7,FALSE),"SINTÉTICA")</f>
        <v>0</v>
      </c>
      <c r="M258">
        <f>IFERROR(VLOOKUP(B258,'[4]DE x PARA'!B253:K2252,10,FALSE),"SINTÉTICA")</f>
        <v>0</v>
      </c>
      <c r="N258">
        <f>IFERROR(VLOOKUP(M258,'[4]DE x PARA'!$K$2:$L$2001,2,FALSE),0)</f>
        <v>0</v>
      </c>
      <c r="O258">
        <f t="shared" si="15"/>
        <v>0</v>
      </c>
    </row>
    <row r="259" spans="1:15" ht="18">
      <c r="A259" t="str">
        <f t="shared" si="12"/>
        <v>2.4.1</v>
      </c>
      <c r="B259" t="s">
        <v>89</v>
      </c>
      <c r="C259">
        <v>241</v>
      </c>
      <c r="D259" t="s">
        <v>88</v>
      </c>
      <c r="E259" s="77">
        <v>-28468909.870000001</v>
      </c>
      <c r="F259" s="77">
        <v>0</v>
      </c>
      <c r="G259" s="77">
        <v>-2550004.59</v>
      </c>
      <c r="H259" s="77">
        <v>-2550004.59</v>
      </c>
      <c r="I259" s="77">
        <v>-31018914.460000001</v>
      </c>
      <c r="J259" s="112">
        <f t="shared" si="13"/>
        <v>-31018.91446</v>
      </c>
      <c r="K259" s="112">
        <f t="shared" si="14"/>
        <v>-31019</v>
      </c>
      <c r="L259" s="346">
        <f>IFERROR(VLOOKUP(C259,'[4]DE x PARA'!C254:K2253,7,FALSE),"SINTÉTICA")</f>
        <v>0</v>
      </c>
      <c r="M259">
        <f>IFERROR(VLOOKUP(B259,'[4]DE x PARA'!B254:K2253,10,FALSE),"SINTÉTICA")</f>
        <v>0</v>
      </c>
      <c r="N259">
        <f>IFERROR(VLOOKUP(M259,'[4]DE x PARA'!$K$2:$L$2001,2,FALSE),0)</f>
        <v>0</v>
      </c>
      <c r="O259">
        <f t="shared" si="15"/>
        <v>0</v>
      </c>
    </row>
    <row r="260" spans="1:15" ht="18">
      <c r="A260" t="str">
        <f t="shared" si="12"/>
        <v>2.4.1.01</v>
      </c>
      <c r="B260" t="s">
        <v>933</v>
      </c>
      <c r="C260">
        <v>2411</v>
      </c>
      <c r="D260" t="s">
        <v>934</v>
      </c>
      <c r="E260" s="77">
        <v>-28468909.870000001</v>
      </c>
      <c r="F260" s="77">
        <v>0</v>
      </c>
      <c r="G260" s="77">
        <v>-2550004.59</v>
      </c>
      <c r="H260" s="77">
        <v>-2550004.59</v>
      </c>
      <c r="I260" s="77">
        <v>-31018914.460000001</v>
      </c>
      <c r="J260" s="112">
        <f t="shared" si="13"/>
        <v>-31018.91446</v>
      </c>
      <c r="K260" s="112">
        <f t="shared" si="14"/>
        <v>-31019</v>
      </c>
      <c r="L260" s="346">
        <f>IFERROR(VLOOKUP(C260,'[4]DE x PARA'!C255:K2254,7,FALSE),"SINTÉTICA")</f>
        <v>0</v>
      </c>
      <c r="M260">
        <f>IFERROR(VLOOKUP(B260,'[4]DE x PARA'!B255:K2254,10,FALSE),"SINTÉTICA")</f>
        <v>0</v>
      </c>
      <c r="N260">
        <f>IFERROR(VLOOKUP(M260,'[4]DE x PARA'!$K$2:$L$2001,2,FALSE),0)</f>
        <v>0</v>
      </c>
      <c r="O260">
        <f t="shared" si="15"/>
        <v>0</v>
      </c>
    </row>
    <row r="261" spans="1:15" ht="18">
      <c r="A261" t="str">
        <f t="shared" si="12"/>
        <v>2.4.1.01.0001</v>
      </c>
      <c r="B261" t="s">
        <v>935</v>
      </c>
      <c r="C261">
        <v>24111</v>
      </c>
      <c r="D261" t="s">
        <v>934</v>
      </c>
      <c r="E261" s="77">
        <v>-28468909.870000001</v>
      </c>
      <c r="F261" s="77">
        <v>0</v>
      </c>
      <c r="G261" s="77">
        <v>-2550004.59</v>
      </c>
      <c r="H261" s="77">
        <v>-2550004.59</v>
      </c>
      <c r="I261" s="77">
        <v>-31018914.460000001</v>
      </c>
      <c r="J261" s="112">
        <f t="shared" si="13"/>
        <v>-31018.91446</v>
      </c>
      <c r="K261" s="112">
        <f t="shared" si="14"/>
        <v>-31019</v>
      </c>
      <c r="L261" s="346">
        <f>IFERROR(VLOOKUP(C261,'[4]DE x PARA'!C256:K2255,7,FALSE),"SINTÉTICA")</f>
        <v>500001</v>
      </c>
      <c r="M261">
        <f>IFERROR(VLOOKUP(B261,'[4]DE x PARA'!B256:K2255,10,FALSE),"SINTÉTICA")</f>
        <v>600028</v>
      </c>
      <c r="N261">
        <f>IFERROR(VLOOKUP(M261,'[4]DE x PARA'!$K$2:$L$2001,2,FALSE),0)</f>
        <v>-1</v>
      </c>
      <c r="O261">
        <f t="shared" si="15"/>
        <v>2550004.59</v>
      </c>
    </row>
    <row r="262" spans="1:15" ht="18">
      <c r="A262" t="str">
        <f t="shared" si="12"/>
        <v>2.4.3</v>
      </c>
      <c r="B262" t="s">
        <v>936</v>
      </c>
      <c r="C262">
        <v>243</v>
      </c>
      <c r="D262" t="s">
        <v>937</v>
      </c>
      <c r="E262" s="77">
        <v>46.6</v>
      </c>
      <c r="F262" s="77">
        <v>0</v>
      </c>
      <c r="G262" s="77">
        <v>-24.92</v>
      </c>
      <c r="H262" s="77">
        <v>-24.92</v>
      </c>
      <c r="I262" s="77">
        <v>21.68</v>
      </c>
      <c r="J262" s="112">
        <f t="shared" si="13"/>
        <v>2.1680000000000001E-2</v>
      </c>
      <c r="K262" s="112">
        <f t="shared" si="14"/>
        <v>0</v>
      </c>
      <c r="L262" s="346">
        <f>IFERROR(VLOOKUP(C262,'[4]DE x PARA'!C257:K2256,7,FALSE),"SINTÉTICA")</f>
        <v>0</v>
      </c>
      <c r="M262">
        <f>IFERROR(VLOOKUP(B262,'[4]DE x PARA'!B257:K2256,10,FALSE),"SINTÉTICA")</f>
        <v>0</v>
      </c>
      <c r="N262">
        <f>IFERROR(VLOOKUP(M262,'[4]DE x PARA'!$K$2:$L$2001,2,FALSE),0)</f>
        <v>0</v>
      </c>
      <c r="O262">
        <f t="shared" si="15"/>
        <v>0</v>
      </c>
    </row>
    <row r="263" spans="1:15" ht="18">
      <c r="A263" t="str">
        <f t="shared" si="12"/>
        <v>2.4.3.01</v>
      </c>
      <c r="B263" t="s">
        <v>938</v>
      </c>
      <c r="C263">
        <v>2431</v>
      </c>
      <c r="D263" t="s">
        <v>939</v>
      </c>
      <c r="E263" s="77">
        <v>46.6</v>
      </c>
      <c r="F263" s="77">
        <v>0</v>
      </c>
      <c r="G263" s="77">
        <v>-24.92</v>
      </c>
      <c r="H263" s="77">
        <v>-24.92</v>
      </c>
      <c r="I263" s="77">
        <v>21.68</v>
      </c>
      <c r="J263" s="112">
        <f t="shared" si="13"/>
        <v>2.1680000000000001E-2</v>
      </c>
      <c r="K263" s="112">
        <f t="shared" si="14"/>
        <v>0</v>
      </c>
      <c r="L263" s="346">
        <f>IFERROR(VLOOKUP(C263,'[4]DE x PARA'!C258:K2257,7,FALSE),"SINTÉTICA")</f>
        <v>0</v>
      </c>
      <c r="M263">
        <f>IFERROR(VLOOKUP(B263,'[4]DE x PARA'!B258:K2257,10,FALSE),"SINTÉTICA")</f>
        <v>0</v>
      </c>
      <c r="N263">
        <f>IFERROR(VLOOKUP(M263,'[4]DE x PARA'!$K$2:$L$2001,2,FALSE),0)</f>
        <v>0</v>
      </c>
      <c r="O263">
        <f t="shared" si="15"/>
        <v>0</v>
      </c>
    </row>
    <row r="264" spans="1:15" ht="18">
      <c r="A264" t="str">
        <f t="shared" ref="A264:A327" si="16">B264</f>
        <v>2.4.3.01.0001</v>
      </c>
      <c r="B264" t="s">
        <v>940</v>
      </c>
      <c r="C264">
        <v>24311</v>
      </c>
      <c r="D264" t="s">
        <v>941</v>
      </c>
      <c r="E264" s="77">
        <v>46.6</v>
      </c>
      <c r="F264" s="77">
        <v>0</v>
      </c>
      <c r="G264" s="77">
        <v>-24.92</v>
      </c>
      <c r="H264" s="77">
        <v>-24.92</v>
      </c>
      <c r="I264" s="77">
        <v>21.68</v>
      </c>
      <c r="J264" s="112">
        <f t="shared" ref="J264:J327" si="17">I264/1000</f>
        <v>2.1680000000000001E-2</v>
      </c>
      <c r="K264" s="112">
        <f t="shared" ref="K264:K327" si="18">ROUND(J264,0)</f>
        <v>0</v>
      </c>
      <c r="L264" s="346">
        <f>IFERROR(VLOOKUP(C264,'[4]DE x PARA'!C259:K2258,7,FALSE),"SINTÉTICA")</f>
        <v>500001</v>
      </c>
      <c r="M264">
        <f>IFERROR(VLOOKUP(B264,'[4]DE x PARA'!B259:K2258,10,FALSE),"SINTÉTICA")</f>
        <v>600021</v>
      </c>
      <c r="N264">
        <f>IFERROR(VLOOKUP(M264,'[4]DE x PARA'!$K$2:$L$2001,2,FALSE),0)</f>
        <v>-1</v>
      </c>
      <c r="O264">
        <f t="shared" ref="O264:O327" si="19">+H264*N264</f>
        <v>24.92</v>
      </c>
    </row>
    <row r="265" spans="1:15" ht="18">
      <c r="A265" t="str">
        <f t="shared" si="16"/>
        <v>2.4.6</v>
      </c>
      <c r="B265" t="s">
        <v>94</v>
      </c>
      <c r="C265">
        <v>246</v>
      </c>
      <c r="D265" t="s">
        <v>942</v>
      </c>
      <c r="E265" s="77">
        <v>5809983.8700000001</v>
      </c>
      <c r="F265" s="77">
        <v>5978100.6299999999</v>
      </c>
      <c r="G265" s="77">
        <v>-7365946.5800000001</v>
      </c>
      <c r="H265" s="77">
        <v>-1387845.95</v>
      </c>
      <c r="I265" s="77">
        <v>4422137.92</v>
      </c>
      <c r="J265" s="112">
        <f t="shared" si="17"/>
        <v>4422.1379200000001</v>
      </c>
      <c r="K265" s="112">
        <f t="shared" si="18"/>
        <v>4422</v>
      </c>
      <c r="L265" s="346">
        <f>IFERROR(VLOOKUP(C265,'[4]DE x PARA'!C260:K2259,7,FALSE),"SINTÉTICA")</f>
        <v>0</v>
      </c>
      <c r="M265">
        <f>IFERROR(VLOOKUP(B265,'[4]DE x PARA'!B260:K2259,10,FALSE),"SINTÉTICA")</f>
        <v>0</v>
      </c>
      <c r="N265">
        <f>IFERROR(VLOOKUP(M265,'[4]DE x PARA'!$K$2:$L$2001,2,FALSE),0)</f>
        <v>0</v>
      </c>
      <c r="O265">
        <f t="shared" si="19"/>
        <v>0</v>
      </c>
    </row>
    <row r="266" spans="1:15" ht="18">
      <c r="A266" t="str">
        <f t="shared" si="16"/>
        <v>2.4.6.02</v>
      </c>
      <c r="B266" t="s">
        <v>943</v>
      </c>
      <c r="C266">
        <v>2462</v>
      </c>
      <c r="D266" t="s">
        <v>944</v>
      </c>
      <c r="E266" s="77">
        <v>3358482.06</v>
      </c>
      <c r="F266" s="77">
        <v>2451501.81</v>
      </c>
      <c r="G266" s="77">
        <v>0</v>
      </c>
      <c r="H266" s="77">
        <v>2451501.81</v>
      </c>
      <c r="I266" s="77">
        <v>5809983.8700000001</v>
      </c>
      <c r="J266" s="112">
        <f t="shared" si="17"/>
        <v>5809.98387</v>
      </c>
      <c r="K266" s="112">
        <f t="shared" si="18"/>
        <v>5810</v>
      </c>
      <c r="L266" s="346">
        <f>IFERROR(VLOOKUP(C266,'[4]DE x PARA'!C261:K2260,7,FALSE),"SINTÉTICA")</f>
        <v>0</v>
      </c>
      <c r="M266">
        <f>IFERROR(VLOOKUP(B266,'[4]DE x PARA'!B261:K2260,10,FALSE),"SINTÉTICA")</f>
        <v>0</v>
      </c>
      <c r="N266">
        <f>IFERROR(VLOOKUP(M266,'[4]DE x PARA'!$K$2:$L$2001,2,FALSE),0)</f>
        <v>0</v>
      </c>
      <c r="O266">
        <f t="shared" si="19"/>
        <v>0</v>
      </c>
    </row>
    <row r="267" spans="1:15" ht="18">
      <c r="A267" t="str">
        <f t="shared" si="16"/>
        <v>2.4.6.02.0002</v>
      </c>
      <c r="B267" t="s">
        <v>945</v>
      </c>
      <c r="C267">
        <v>24622</v>
      </c>
      <c r="D267" t="s">
        <v>946</v>
      </c>
      <c r="E267" s="77">
        <v>3358482.06</v>
      </c>
      <c r="F267" s="77">
        <v>2451501.81</v>
      </c>
      <c r="G267" s="77">
        <v>0</v>
      </c>
      <c r="H267" s="77">
        <v>2451501.81</v>
      </c>
      <c r="I267" s="77">
        <v>5809983.8700000001</v>
      </c>
      <c r="J267" s="112">
        <f t="shared" si="17"/>
        <v>5809.98387</v>
      </c>
      <c r="K267" s="112">
        <f t="shared" si="18"/>
        <v>5810</v>
      </c>
      <c r="L267" s="346">
        <f>IFERROR(VLOOKUP(C267,'[4]DE x PARA'!C262:K2261,7,FALSE),"SINTÉTICA")</f>
        <v>500001</v>
      </c>
      <c r="M267">
        <f>IFERROR(VLOOKUP(B267,'[4]DE x PARA'!B262:K2261,10,FALSE),"SINTÉTICA")</f>
        <v>600002</v>
      </c>
      <c r="N267">
        <f>IFERROR(VLOOKUP(M267,'[4]DE x PARA'!$K$2:$L$2001,2,FALSE),0)</f>
        <v>-1</v>
      </c>
      <c r="O267">
        <f t="shared" si="19"/>
        <v>-2451501.81</v>
      </c>
    </row>
    <row r="268" spans="1:15" ht="18">
      <c r="A268" t="str">
        <f t="shared" si="16"/>
        <v>2.4.6.99</v>
      </c>
      <c r="B268" t="s">
        <v>947</v>
      </c>
      <c r="C268">
        <v>24699</v>
      </c>
      <c r="D268" t="s">
        <v>121</v>
      </c>
      <c r="E268" s="77">
        <v>2451501.81</v>
      </c>
      <c r="F268" s="77">
        <v>3526598.82</v>
      </c>
      <c r="G268" s="77">
        <v>-7365946.5800000001</v>
      </c>
      <c r="H268" s="77">
        <v>-3839347.76</v>
      </c>
      <c r="I268" s="77">
        <v>-1387845.95</v>
      </c>
      <c r="J268" s="112">
        <f t="shared" si="17"/>
        <v>-1387.8459499999999</v>
      </c>
      <c r="K268" s="112">
        <f t="shared" si="18"/>
        <v>-1388</v>
      </c>
      <c r="L268" s="346">
        <f>IFERROR(VLOOKUP(C268,'[4]DE x PARA'!C263:K2262,7,FALSE),"SINTÉTICA")</f>
        <v>0</v>
      </c>
      <c r="M268">
        <f>IFERROR(VLOOKUP(B268,'[4]DE x PARA'!B263:K2262,10,FALSE),"SINTÉTICA")</f>
        <v>0</v>
      </c>
      <c r="N268">
        <f>IFERROR(VLOOKUP(M268,'[4]DE x PARA'!$K$2:$L$2001,2,FALSE),0)</f>
        <v>0</v>
      </c>
      <c r="O268">
        <f t="shared" si="19"/>
        <v>0</v>
      </c>
    </row>
    <row r="269" spans="1:15" ht="18">
      <c r="A269" t="str">
        <f t="shared" si="16"/>
        <v>2.4.6.99.0001</v>
      </c>
      <c r="B269" t="s">
        <v>948</v>
      </c>
      <c r="C269">
        <v>246991</v>
      </c>
      <c r="D269" t="s">
        <v>121</v>
      </c>
      <c r="E269" s="77">
        <v>2451501.81</v>
      </c>
      <c r="F269" s="77">
        <v>3526598.82</v>
      </c>
      <c r="G269" s="77">
        <v>-7365946.5800000001</v>
      </c>
      <c r="H269" s="77">
        <v>-3839347.76</v>
      </c>
      <c r="I269" s="77">
        <v>-1387845.95</v>
      </c>
      <c r="J269" s="112">
        <f t="shared" si="17"/>
        <v>-1387.8459499999999</v>
      </c>
      <c r="K269" s="112">
        <f t="shared" si="18"/>
        <v>-1388</v>
      </c>
      <c r="L269" s="346">
        <f>IFERROR(VLOOKUP(C269,'[4]DE x PARA'!C264:K2263,7,FALSE),"SINTÉTICA")</f>
        <v>500001</v>
      </c>
      <c r="M269">
        <f>IFERROR(VLOOKUP(B269,'[4]DE x PARA'!B264:K2263,10,FALSE),"SINTÉTICA")</f>
        <v>600002</v>
      </c>
      <c r="N269">
        <f>IFERROR(VLOOKUP(M269,'[4]DE x PARA'!$K$2:$L$2001,2,FALSE),0)</f>
        <v>-1</v>
      </c>
      <c r="O269">
        <f t="shared" si="19"/>
        <v>3839347.76</v>
      </c>
    </row>
    <row r="270" spans="1:15" ht="18">
      <c r="A270" t="str">
        <f t="shared" si="16"/>
        <v>2.4.7</v>
      </c>
      <c r="B270" t="s">
        <v>92</v>
      </c>
      <c r="C270">
        <v>247</v>
      </c>
      <c r="D270" t="s">
        <v>949</v>
      </c>
      <c r="E270" s="77">
        <v>-2550004.59</v>
      </c>
      <c r="F270" s="77">
        <v>2550004.59</v>
      </c>
      <c r="G270" s="77">
        <v>-232482.62</v>
      </c>
      <c r="H270" s="77">
        <v>2317521.9700000002</v>
      </c>
      <c r="I270" s="77">
        <v>-232482.62</v>
      </c>
      <c r="J270" s="112">
        <f t="shared" si="17"/>
        <v>-232.48262</v>
      </c>
      <c r="K270" s="112">
        <f t="shared" si="18"/>
        <v>-232</v>
      </c>
      <c r="L270" s="346">
        <f>IFERROR(VLOOKUP(C270,'[4]DE x PARA'!C265:K2264,7,FALSE),"SINTÉTICA")</f>
        <v>0</v>
      </c>
      <c r="M270">
        <f>IFERROR(VLOOKUP(B270,'[4]DE x PARA'!B265:K2264,10,FALSE),"SINTÉTICA")</f>
        <v>0</v>
      </c>
      <c r="N270">
        <f>IFERROR(VLOOKUP(M270,'[4]DE x PARA'!$K$2:$L$2001,2,FALSE),0)</f>
        <v>0</v>
      </c>
      <c r="O270">
        <f t="shared" si="19"/>
        <v>0</v>
      </c>
    </row>
    <row r="271" spans="1:15" ht="18">
      <c r="A271" t="str">
        <f t="shared" si="16"/>
        <v>2.4.7.01</v>
      </c>
      <c r="B271" t="s">
        <v>950</v>
      </c>
      <c r="C271">
        <v>2471</v>
      </c>
      <c r="D271" t="s">
        <v>949</v>
      </c>
      <c r="E271" s="77">
        <v>-2550004.59</v>
      </c>
      <c r="F271" s="77">
        <v>2550004.59</v>
      </c>
      <c r="G271" s="77">
        <v>-232482.62</v>
      </c>
      <c r="H271" s="77">
        <v>2317521.9700000002</v>
      </c>
      <c r="I271" s="77">
        <v>-232482.62</v>
      </c>
      <c r="J271" s="112">
        <f t="shared" si="17"/>
        <v>-232.48262</v>
      </c>
      <c r="K271" s="112">
        <f t="shared" si="18"/>
        <v>-232</v>
      </c>
      <c r="L271" s="346">
        <f>IFERROR(VLOOKUP(C271,'[4]DE x PARA'!C266:K2265,7,FALSE),"SINTÉTICA")</f>
        <v>0</v>
      </c>
      <c r="M271">
        <f>IFERROR(VLOOKUP(B271,'[4]DE x PARA'!B266:K2265,10,FALSE),"SINTÉTICA")</f>
        <v>0</v>
      </c>
      <c r="N271">
        <f>IFERROR(VLOOKUP(M271,'[4]DE x PARA'!$K$2:$L$2001,2,FALSE),0)</f>
        <v>0</v>
      </c>
      <c r="O271">
        <f t="shared" si="19"/>
        <v>0</v>
      </c>
    </row>
    <row r="272" spans="1:15" ht="18">
      <c r="A272" t="str">
        <f t="shared" si="16"/>
        <v>2.4.7.01.0001</v>
      </c>
      <c r="B272" t="s">
        <v>951</v>
      </c>
      <c r="C272">
        <v>24711</v>
      </c>
      <c r="D272" t="s">
        <v>949</v>
      </c>
      <c r="E272" s="77">
        <v>-2550004.59</v>
      </c>
      <c r="F272" s="77">
        <v>2550004.59</v>
      </c>
      <c r="G272" s="77">
        <v>-232482.62</v>
      </c>
      <c r="H272" s="77">
        <v>2317521.9700000002</v>
      </c>
      <c r="I272" s="77">
        <v>-232482.62</v>
      </c>
      <c r="J272" s="112">
        <f t="shared" si="17"/>
        <v>-232.48262</v>
      </c>
      <c r="K272" s="112">
        <f t="shared" si="18"/>
        <v>-232</v>
      </c>
      <c r="L272" s="346">
        <f>IFERROR(VLOOKUP(C272,'[4]DE x PARA'!C267:K2266,7,FALSE),"SINTÉTICA")</f>
        <v>500001</v>
      </c>
      <c r="M272">
        <f>IFERROR(VLOOKUP(B272,'[4]DE x PARA'!B267:K2266,10,FALSE),"SINTÉTICA")</f>
        <v>600028</v>
      </c>
      <c r="N272">
        <f>IFERROR(VLOOKUP(M272,'[4]DE x PARA'!$K$2:$L$2001,2,FALSE),0)</f>
        <v>-1</v>
      </c>
      <c r="O272">
        <f t="shared" si="19"/>
        <v>-2317521.9700000002</v>
      </c>
    </row>
    <row r="273" spans="1:15" ht="18">
      <c r="A273">
        <f t="shared" si="16"/>
        <v>3</v>
      </c>
      <c r="B273">
        <v>3</v>
      </c>
      <c r="C273">
        <v>3</v>
      </c>
      <c r="D273" t="s">
        <v>184</v>
      </c>
      <c r="E273" s="77">
        <v>0</v>
      </c>
      <c r="F273" s="77">
        <v>20000.509999999998</v>
      </c>
      <c r="G273" s="77">
        <v>-84829863.799999997</v>
      </c>
      <c r="H273" s="77">
        <v>-84809863.290000007</v>
      </c>
      <c r="I273" s="77">
        <v>-84809863.290000007</v>
      </c>
      <c r="J273" s="112">
        <f t="shared" si="17"/>
        <v>-84809.863290000008</v>
      </c>
      <c r="K273" s="112">
        <f t="shared" si="18"/>
        <v>-84810</v>
      </c>
      <c r="L273" s="346">
        <f>IFERROR(VLOOKUP(C273,'[4]DE x PARA'!C268:K2267,7,FALSE),"SINTÉTICA")</f>
        <v>0</v>
      </c>
      <c r="M273">
        <f>IFERROR(VLOOKUP(B273,'[4]DE x PARA'!B268:K2267,10,FALSE),"SINTÉTICA")</f>
        <v>0</v>
      </c>
      <c r="N273">
        <f>IFERROR(VLOOKUP(M273,'[4]DE x PARA'!$K$2:$L$2001,2,FALSE),0)</f>
        <v>0</v>
      </c>
      <c r="O273">
        <f t="shared" si="19"/>
        <v>0</v>
      </c>
    </row>
    <row r="274" spans="1:15" ht="18">
      <c r="A274" t="str">
        <f t="shared" si="16"/>
        <v>3.1</v>
      </c>
      <c r="B274" t="s">
        <v>952</v>
      </c>
      <c r="C274">
        <v>31</v>
      </c>
      <c r="D274" t="s">
        <v>185</v>
      </c>
      <c r="E274" s="77">
        <v>0</v>
      </c>
      <c r="F274" s="77">
        <v>6155.22</v>
      </c>
      <c r="G274" s="77">
        <v>-81544583.269999996</v>
      </c>
      <c r="H274" s="77">
        <v>-81538428.049999997</v>
      </c>
      <c r="I274" s="77">
        <v>-81538428.049999997</v>
      </c>
      <c r="J274" s="112">
        <f t="shared" si="17"/>
        <v>-81538.428050000002</v>
      </c>
      <c r="K274" s="112">
        <f t="shared" si="18"/>
        <v>-81538</v>
      </c>
      <c r="L274" s="346">
        <f>IFERROR(VLOOKUP(C274,'[4]DE x PARA'!C269:K2268,7,FALSE),"SINTÉTICA")</f>
        <v>0</v>
      </c>
      <c r="M274">
        <f>IFERROR(VLOOKUP(B274,'[4]DE x PARA'!B269:K2268,10,FALSE),"SINTÉTICA")</f>
        <v>0</v>
      </c>
      <c r="N274">
        <f>IFERROR(VLOOKUP(M274,'[4]DE x PARA'!$K$2:$L$2001,2,FALSE),0)</f>
        <v>0</v>
      </c>
      <c r="O274">
        <f t="shared" si="19"/>
        <v>0</v>
      </c>
    </row>
    <row r="275" spans="1:15" ht="18">
      <c r="A275" t="str">
        <f t="shared" si="16"/>
        <v>3.1.1</v>
      </c>
      <c r="B275" t="s">
        <v>953</v>
      </c>
      <c r="C275">
        <v>311</v>
      </c>
      <c r="D275" t="s">
        <v>954</v>
      </c>
      <c r="E275" s="77">
        <v>0</v>
      </c>
      <c r="F275" s="77">
        <v>6155.22</v>
      </c>
      <c r="G275" s="77">
        <v>-81544583.269999996</v>
      </c>
      <c r="H275" s="77">
        <v>-81538428.049999997</v>
      </c>
      <c r="I275" s="77">
        <v>-81538428.049999997</v>
      </c>
      <c r="J275" s="112">
        <f t="shared" si="17"/>
        <v>-81538.428050000002</v>
      </c>
      <c r="K275" s="112">
        <f t="shared" si="18"/>
        <v>-81538</v>
      </c>
      <c r="L275" s="346">
        <f>IFERROR(VLOOKUP(C275,'[4]DE x PARA'!C270:K2269,7,FALSE),"SINTÉTICA")</f>
        <v>0</v>
      </c>
      <c r="M275">
        <f>IFERROR(VLOOKUP(B275,'[4]DE x PARA'!B270:K2269,10,FALSE),"SINTÉTICA")</f>
        <v>0</v>
      </c>
      <c r="N275">
        <f>IFERROR(VLOOKUP(M275,'[4]DE x PARA'!$K$2:$L$2001,2,FALSE),0)</f>
        <v>0</v>
      </c>
      <c r="O275">
        <f t="shared" si="19"/>
        <v>0</v>
      </c>
    </row>
    <row r="276" spans="1:15" ht="18">
      <c r="A276" t="str">
        <f t="shared" si="16"/>
        <v>3.1.1.01</v>
      </c>
      <c r="B276" t="s">
        <v>30</v>
      </c>
      <c r="C276">
        <v>3111</v>
      </c>
      <c r="D276" t="s">
        <v>954</v>
      </c>
      <c r="E276" s="77">
        <v>0</v>
      </c>
      <c r="F276" s="77">
        <v>6155.22</v>
      </c>
      <c r="G276" s="77">
        <v>-81544583.269999996</v>
      </c>
      <c r="H276" s="77">
        <v>-81538428.049999997</v>
      </c>
      <c r="I276" s="77">
        <v>-81538428.049999997</v>
      </c>
      <c r="J276" s="112">
        <f t="shared" si="17"/>
        <v>-81538.428050000002</v>
      </c>
      <c r="K276" s="112">
        <f t="shared" si="18"/>
        <v>-81538</v>
      </c>
      <c r="L276" s="346">
        <f>IFERROR(VLOOKUP(C276,'[4]DE x PARA'!C271:K2270,7,FALSE),"SINTÉTICA")</f>
        <v>0</v>
      </c>
      <c r="M276">
        <f>IFERROR(VLOOKUP(B276,'[4]DE x PARA'!B271:K2270,10,FALSE),"SINTÉTICA")</f>
        <v>0</v>
      </c>
      <c r="N276">
        <f>IFERROR(VLOOKUP(M276,'[4]DE x PARA'!$K$2:$L$2001,2,FALSE),0)</f>
        <v>0</v>
      </c>
      <c r="O276">
        <f t="shared" si="19"/>
        <v>0</v>
      </c>
    </row>
    <row r="277" spans="1:15" ht="18">
      <c r="A277" t="str">
        <f t="shared" si="16"/>
        <v>3.1.1.01.0001</v>
      </c>
      <c r="B277" t="s">
        <v>955</v>
      </c>
      <c r="C277">
        <v>31111</v>
      </c>
      <c r="D277" t="s">
        <v>29</v>
      </c>
      <c r="E277" s="77">
        <v>0</v>
      </c>
      <c r="F277" s="77">
        <v>6155.22</v>
      </c>
      <c r="G277" s="77">
        <v>-81544583.269999996</v>
      </c>
      <c r="H277" s="77">
        <v>-81538428.049999997</v>
      </c>
      <c r="I277" s="77">
        <v>-81538428.049999997</v>
      </c>
      <c r="J277" s="112">
        <f t="shared" si="17"/>
        <v>-81538.428050000002</v>
      </c>
      <c r="K277" s="112">
        <f t="shared" si="18"/>
        <v>-81538</v>
      </c>
      <c r="L277" s="346">
        <f>IFERROR(VLOOKUP(C277,'[4]DE x PARA'!C272:K2271,7,FALSE),"SINTÉTICA")</f>
        <v>500002</v>
      </c>
      <c r="M277">
        <f>IFERROR(VLOOKUP(B277,'[4]DE x PARA'!B272:K2271,10,FALSE),"SINTÉTICA")</f>
        <v>600003</v>
      </c>
      <c r="N277">
        <f>IFERROR(VLOOKUP(M277,'[4]DE x PARA'!$K$2:$L$2001,2,FALSE),0)</f>
        <v>1</v>
      </c>
      <c r="O277">
        <f t="shared" si="19"/>
        <v>-81538428.049999997</v>
      </c>
    </row>
    <row r="278" spans="1:15" ht="18">
      <c r="A278" t="str">
        <f t="shared" si="16"/>
        <v>3.3</v>
      </c>
      <c r="B278" t="s">
        <v>956</v>
      </c>
      <c r="C278">
        <v>33</v>
      </c>
      <c r="D278" t="s">
        <v>957</v>
      </c>
      <c r="E278" s="77">
        <v>0</v>
      </c>
      <c r="F278" s="77">
        <v>13845.29</v>
      </c>
      <c r="G278" s="77">
        <v>-3285280.53</v>
      </c>
      <c r="H278" s="77">
        <v>-3271435.24</v>
      </c>
      <c r="I278" s="77">
        <v>-3271435.24</v>
      </c>
      <c r="J278" s="112">
        <f t="shared" si="17"/>
        <v>-3271.4352400000002</v>
      </c>
      <c r="K278" s="112">
        <f t="shared" si="18"/>
        <v>-3271</v>
      </c>
      <c r="L278" s="346">
        <f>IFERROR(VLOOKUP(C278,'[4]DE x PARA'!C273:K2272,7,FALSE),"SINTÉTICA")</f>
        <v>0</v>
      </c>
      <c r="M278">
        <f>IFERROR(VLOOKUP(B278,'[4]DE x PARA'!B273:K2272,10,FALSE),"SINTÉTICA")</f>
        <v>0</v>
      </c>
      <c r="N278">
        <f>IFERROR(VLOOKUP(M278,'[4]DE x PARA'!$K$2:$L$2001,2,FALSE),0)</f>
        <v>0</v>
      </c>
      <c r="O278">
        <f t="shared" si="19"/>
        <v>0</v>
      </c>
    </row>
    <row r="279" spans="1:15" ht="18">
      <c r="A279" t="str">
        <f t="shared" si="16"/>
        <v>3.3.1</v>
      </c>
      <c r="B279" t="s">
        <v>37</v>
      </c>
      <c r="C279">
        <v>331</v>
      </c>
      <c r="D279" t="s">
        <v>36</v>
      </c>
      <c r="E279" s="77">
        <v>0</v>
      </c>
      <c r="F279" s="77">
        <v>12610</v>
      </c>
      <c r="G279" s="77">
        <v>-428378.49</v>
      </c>
      <c r="H279" s="77">
        <v>-415768.49</v>
      </c>
      <c r="I279" s="77">
        <v>-415768.49</v>
      </c>
      <c r="J279" s="112">
        <f t="shared" si="17"/>
        <v>-415.76848999999999</v>
      </c>
      <c r="K279" s="112">
        <f t="shared" si="18"/>
        <v>-416</v>
      </c>
      <c r="L279" s="346">
        <f>IFERROR(VLOOKUP(C279,'[4]DE x PARA'!C274:K2273,7,FALSE),"SINTÉTICA")</f>
        <v>0</v>
      </c>
      <c r="M279">
        <f>IFERROR(VLOOKUP(B279,'[4]DE x PARA'!B274:K2273,10,FALSE),"SINTÉTICA")</f>
        <v>0</v>
      </c>
      <c r="N279">
        <f>IFERROR(VLOOKUP(M279,'[4]DE x PARA'!$K$2:$L$2001,2,FALSE),0)</f>
        <v>0</v>
      </c>
      <c r="O279">
        <f t="shared" si="19"/>
        <v>0</v>
      </c>
    </row>
    <row r="280" spans="1:15" ht="18">
      <c r="A280" t="str">
        <f t="shared" si="16"/>
        <v>3.3.1.01</v>
      </c>
      <c r="B280" t="s">
        <v>958</v>
      </c>
      <c r="C280">
        <v>3311</v>
      </c>
      <c r="D280" t="s">
        <v>959</v>
      </c>
      <c r="E280" s="77">
        <v>0</v>
      </c>
      <c r="F280" s="77">
        <v>12610</v>
      </c>
      <c r="G280" s="77">
        <v>-428378.49</v>
      </c>
      <c r="H280" s="77">
        <v>-415768.49</v>
      </c>
      <c r="I280" s="77">
        <v>-415768.49</v>
      </c>
      <c r="J280" s="112">
        <f t="shared" si="17"/>
        <v>-415.76848999999999</v>
      </c>
      <c r="K280" s="112">
        <f t="shared" si="18"/>
        <v>-416</v>
      </c>
      <c r="L280" s="346">
        <f>IFERROR(VLOOKUP(C280,'[4]DE x PARA'!C275:K2274,7,FALSE),"SINTÉTICA")</f>
        <v>0</v>
      </c>
      <c r="M280">
        <f>IFERROR(VLOOKUP(B280,'[4]DE x PARA'!B275:K2274,10,FALSE),"SINTÉTICA")</f>
        <v>0</v>
      </c>
      <c r="N280">
        <f>IFERROR(VLOOKUP(M280,'[4]DE x PARA'!$K$2:$L$2001,2,FALSE),0)</f>
        <v>0</v>
      </c>
      <c r="O280">
        <f t="shared" si="19"/>
        <v>0</v>
      </c>
    </row>
    <row r="281" spans="1:15" ht="18">
      <c r="A281" t="str">
        <f t="shared" si="16"/>
        <v>3.3.1.01.0003</v>
      </c>
      <c r="B281" t="s">
        <v>960</v>
      </c>
      <c r="C281">
        <v>33113</v>
      </c>
      <c r="D281" t="s">
        <v>324</v>
      </c>
      <c r="E281" s="77">
        <v>0</v>
      </c>
      <c r="F281" s="77">
        <v>12610</v>
      </c>
      <c r="G281" s="77">
        <v>-423507.17</v>
      </c>
      <c r="H281" s="77">
        <v>-410897.17</v>
      </c>
      <c r="I281" s="77">
        <v>-410897.17</v>
      </c>
      <c r="J281" s="112">
        <f t="shared" si="17"/>
        <v>-410.89716999999996</v>
      </c>
      <c r="K281" s="112">
        <f t="shared" si="18"/>
        <v>-411</v>
      </c>
      <c r="L281" s="346">
        <f>IFERROR(VLOOKUP(C281,'[4]DE x PARA'!C276:K2275,7,FALSE),"SINTÉTICA")</f>
        <v>500006</v>
      </c>
      <c r="M281">
        <f>IFERROR(VLOOKUP(B281,'[4]DE x PARA'!B276:K2275,10,FALSE),"SINTÉTICA")</f>
        <v>600001</v>
      </c>
      <c r="N281">
        <f>IFERROR(VLOOKUP(M281,'[4]DE x PARA'!$K$2:$L$2001,2,FALSE),0)</f>
        <v>0</v>
      </c>
      <c r="O281">
        <f t="shared" si="19"/>
        <v>0</v>
      </c>
    </row>
    <row r="282" spans="1:15" ht="18">
      <c r="A282" t="str">
        <f t="shared" si="16"/>
        <v>3.3.1.01.0004</v>
      </c>
      <c r="B282" t="s">
        <v>961</v>
      </c>
      <c r="C282">
        <v>33114</v>
      </c>
      <c r="D282" t="s">
        <v>962</v>
      </c>
      <c r="E282" s="77">
        <v>0</v>
      </c>
      <c r="F282" s="77">
        <v>0</v>
      </c>
      <c r="G282" s="77">
        <v>-4871.32</v>
      </c>
      <c r="H282" s="77">
        <v>-4871.32</v>
      </c>
      <c r="I282" s="77">
        <v>-4871.32</v>
      </c>
      <c r="J282" s="112">
        <f t="shared" si="17"/>
        <v>-4.8713199999999999</v>
      </c>
      <c r="K282" s="112">
        <f t="shared" si="18"/>
        <v>-5</v>
      </c>
      <c r="L282" s="346">
        <f>IFERROR(VLOOKUP(C282,'[4]DE x PARA'!C277:K2276,7,FALSE),"SINTÉTICA")</f>
        <v>500006</v>
      </c>
      <c r="M282">
        <f>IFERROR(VLOOKUP(B282,'[4]DE x PARA'!B277:K2276,10,FALSE),"SINTÉTICA")</f>
        <v>600001</v>
      </c>
      <c r="N282">
        <f>IFERROR(VLOOKUP(M282,'[4]DE x PARA'!$K$2:$L$2001,2,FALSE),0)</f>
        <v>0</v>
      </c>
      <c r="O282">
        <f t="shared" si="19"/>
        <v>0</v>
      </c>
    </row>
    <row r="283" spans="1:15" ht="18">
      <c r="A283" t="str">
        <f t="shared" si="16"/>
        <v>3.3.2</v>
      </c>
      <c r="B283" t="s">
        <v>963</v>
      </c>
      <c r="C283">
        <v>332</v>
      </c>
      <c r="D283" t="s">
        <v>964</v>
      </c>
      <c r="E283" s="77">
        <v>0</v>
      </c>
      <c r="F283" s="77">
        <v>1235.29</v>
      </c>
      <c r="G283" s="77">
        <v>-2856902.04</v>
      </c>
      <c r="H283" s="77">
        <v>-2855666.75</v>
      </c>
      <c r="I283" s="77">
        <v>-2855666.75</v>
      </c>
      <c r="J283" s="112">
        <f t="shared" si="17"/>
        <v>-2855.6667499999999</v>
      </c>
      <c r="K283" s="112">
        <f t="shared" si="18"/>
        <v>-2856</v>
      </c>
      <c r="L283" s="346">
        <f>IFERROR(VLOOKUP(C283,'[4]DE x PARA'!C278:K2277,7,FALSE),"SINTÉTICA")</f>
        <v>0</v>
      </c>
      <c r="M283">
        <f>IFERROR(VLOOKUP(B283,'[4]DE x PARA'!B278:K2277,10,FALSE),"SINTÉTICA")</f>
        <v>0</v>
      </c>
      <c r="N283">
        <f>IFERROR(VLOOKUP(M283,'[4]DE x PARA'!$K$2:$L$2001,2,FALSE),0)</f>
        <v>0</v>
      </c>
      <c r="O283">
        <f t="shared" si="19"/>
        <v>0</v>
      </c>
    </row>
    <row r="284" spans="1:15" ht="18">
      <c r="A284" t="str">
        <f t="shared" si="16"/>
        <v>3.3.2.01</v>
      </c>
      <c r="B284" t="s">
        <v>965</v>
      </c>
      <c r="C284">
        <v>3321</v>
      </c>
      <c r="D284" t="s">
        <v>193</v>
      </c>
      <c r="E284" s="77">
        <v>0</v>
      </c>
      <c r="F284" s="77">
        <v>1235.29</v>
      </c>
      <c r="G284" s="77">
        <v>-2856902.04</v>
      </c>
      <c r="H284" s="77">
        <v>-2855666.75</v>
      </c>
      <c r="I284" s="77">
        <v>-2855666.75</v>
      </c>
      <c r="J284" s="112">
        <f t="shared" si="17"/>
        <v>-2855.6667499999999</v>
      </c>
      <c r="K284" s="112">
        <f t="shared" si="18"/>
        <v>-2856</v>
      </c>
      <c r="L284" s="346">
        <f>IFERROR(VLOOKUP(C284,'[4]DE x PARA'!C279:K2278,7,FALSE),"SINTÉTICA")</f>
        <v>0</v>
      </c>
      <c r="M284">
        <f>IFERROR(VLOOKUP(B284,'[4]DE x PARA'!B279:K2278,10,FALSE),"SINTÉTICA")</f>
        <v>0</v>
      </c>
      <c r="N284">
        <f>IFERROR(VLOOKUP(M284,'[4]DE x PARA'!$K$2:$L$2001,2,FALSE),0)</f>
        <v>0</v>
      </c>
      <c r="O284">
        <f t="shared" si="19"/>
        <v>0</v>
      </c>
    </row>
    <row r="285" spans="1:15" ht="18">
      <c r="A285" t="str">
        <f t="shared" si="16"/>
        <v>3.3.2.01.0002</v>
      </c>
      <c r="B285" t="s">
        <v>966</v>
      </c>
      <c r="C285">
        <v>33212</v>
      </c>
      <c r="D285" t="s">
        <v>967</v>
      </c>
      <c r="E285" s="77">
        <v>0</v>
      </c>
      <c r="F285" s="77">
        <v>0</v>
      </c>
      <c r="G285" s="77">
        <v>-2815053.48</v>
      </c>
      <c r="H285" s="77">
        <v>-2815053.48</v>
      </c>
      <c r="I285" s="77">
        <v>-2815053.48</v>
      </c>
      <c r="J285" s="112">
        <f t="shared" si="17"/>
        <v>-2815.05348</v>
      </c>
      <c r="K285" s="112">
        <f t="shared" si="18"/>
        <v>-2815</v>
      </c>
      <c r="L285" s="346">
        <f>IFERROR(VLOOKUP(C285,'[4]DE x PARA'!C280:K2279,7,FALSE),"SINTÉTICA")</f>
        <v>500003</v>
      </c>
      <c r="M285">
        <f>IFERROR(VLOOKUP(B285,'[4]DE x PARA'!B280:K2279,10,FALSE),"SINTÉTICA")</f>
        <v>600001</v>
      </c>
      <c r="N285">
        <f>IFERROR(VLOOKUP(M285,'[4]DE x PARA'!$K$2:$L$2001,2,FALSE),0)</f>
        <v>0</v>
      </c>
      <c r="O285">
        <f t="shared" si="19"/>
        <v>0</v>
      </c>
    </row>
    <row r="286" spans="1:15" ht="18">
      <c r="A286" t="str">
        <f t="shared" si="16"/>
        <v>3.3.2.01.0003</v>
      </c>
      <c r="B286" t="s">
        <v>968</v>
      </c>
      <c r="C286">
        <v>33213</v>
      </c>
      <c r="D286" t="s">
        <v>969</v>
      </c>
      <c r="E286" s="77">
        <v>0</v>
      </c>
      <c r="F286" s="77">
        <v>1235.29</v>
      </c>
      <c r="G286" s="77">
        <v>-41848.559999999998</v>
      </c>
      <c r="H286" s="77">
        <v>-40613.269999999997</v>
      </c>
      <c r="I286" s="77">
        <v>-40613.269999999997</v>
      </c>
      <c r="J286" s="112">
        <f t="shared" si="17"/>
        <v>-40.61327</v>
      </c>
      <c r="K286" s="112">
        <f t="shared" si="18"/>
        <v>-41</v>
      </c>
      <c r="L286" s="346">
        <f>IFERROR(VLOOKUP(C286,'[4]DE x PARA'!C281:K2280,7,FALSE),"SINTÉTICA")</f>
        <v>500003</v>
      </c>
      <c r="M286">
        <f>IFERROR(VLOOKUP(B286,'[4]DE x PARA'!B281:K2280,10,FALSE),"SINTÉTICA")</f>
        <v>600001</v>
      </c>
      <c r="N286">
        <f>IFERROR(VLOOKUP(M286,'[4]DE x PARA'!$K$2:$L$2001,2,FALSE),0)</f>
        <v>0</v>
      </c>
      <c r="O286">
        <f t="shared" si="19"/>
        <v>0</v>
      </c>
    </row>
    <row r="287" spans="1:15" ht="18">
      <c r="A287">
        <f t="shared" si="16"/>
        <v>4</v>
      </c>
      <c r="B287">
        <v>4</v>
      </c>
      <c r="C287">
        <v>4</v>
      </c>
      <c r="D287" t="s">
        <v>970</v>
      </c>
      <c r="E287" s="77">
        <v>0</v>
      </c>
      <c r="F287" s="77">
        <v>86333280.189999998</v>
      </c>
      <c r="G287" s="77">
        <v>-2911262.85</v>
      </c>
      <c r="H287" s="77">
        <v>83422017.340000004</v>
      </c>
      <c r="I287" s="77">
        <v>83422017.340000004</v>
      </c>
      <c r="J287" s="112">
        <f t="shared" si="17"/>
        <v>83422.017340000006</v>
      </c>
      <c r="K287" s="112">
        <f t="shared" si="18"/>
        <v>83422</v>
      </c>
      <c r="L287" s="346">
        <f>IFERROR(VLOOKUP(C287,'[4]DE x PARA'!C282:K2281,7,FALSE),"SINTÉTICA")</f>
        <v>0</v>
      </c>
      <c r="M287">
        <f>IFERROR(VLOOKUP(B287,'[4]DE x PARA'!B282:K2281,10,FALSE),"SINTÉTICA")</f>
        <v>0</v>
      </c>
      <c r="N287">
        <f>IFERROR(VLOOKUP(M287,'[4]DE x PARA'!$K$2:$L$2001,2,FALSE),0)</f>
        <v>0</v>
      </c>
      <c r="O287">
        <f t="shared" si="19"/>
        <v>0</v>
      </c>
    </row>
    <row r="288" spans="1:15" ht="18">
      <c r="A288" t="str">
        <f t="shared" si="16"/>
        <v>4.1</v>
      </c>
      <c r="B288" t="s">
        <v>971</v>
      </c>
      <c r="C288">
        <v>41</v>
      </c>
      <c r="D288" t="s">
        <v>972</v>
      </c>
      <c r="E288" s="77">
        <v>0</v>
      </c>
      <c r="F288" s="77">
        <v>55834089.049999997</v>
      </c>
      <c r="G288" s="77">
        <v>-1106513.28</v>
      </c>
      <c r="H288" s="77">
        <v>54727575.770000003</v>
      </c>
      <c r="I288" s="77">
        <v>54727575.770000003</v>
      </c>
      <c r="J288" s="112">
        <f t="shared" si="17"/>
        <v>54727.575770000003</v>
      </c>
      <c r="K288" s="112">
        <f t="shared" si="18"/>
        <v>54728</v>
      </c>
      <c r="L288" s="346">
        <f>IFERROR(VLOOKUP(C288,'[4]DE x PARA'!C283:K2282,7,FALSE),"SINTÉTICA")</f>
        <v>0</v>
      </c>
      <c r="M288">
        <f>IFERROR(VLOOKUP(B288,'[4]DE x PARA'!B283:K2282,10,FALSE),"SINTÉTICA")</f>
        <v>0</v>
      </c>
      <c r="N288">
        <f>IFERROR(VLOOKUP(M288,'[4]DE x PARA'!$K$2:$L$2001,2,FALSE),0)</f>
        <v>0</v>
      </c>
      <c r="O288">
        <f t="shared" si="19"/>
        <v>0</v>
      </c>
    </row>
    <row r="289" spans="1:15" ht="18">
      <c r="A289" t="str">
        <f t="shared" si="16"/>
        <v>4.1.1</v>
      </c>
      <c r="B289" t="s">
        <v>973</v>
      </c>
      <c r="C289">
        <v>411</v>
      </c>
      <c r="D289" t="s">
        <v>974</v>
      </c>
      <c r="E289" s="77">
        <v>0</v>
      </c>
      <c r="F289" s="77">
        <v>43662195.469999999</v>
      </c>
      <c r="G289" s="77">
        <v>-1075183.3400000001</v>
      </c>
      <c r="H289" s="77">
        <v>42587012.130000003</v>
      </c>
      <c r="I289" s="77">
        <v>42587012.130000003</v>
      </c>
      <c r="J289" s="112">
        <f t="shared" si="17"/>
        <v>42587.012130000003</v>
      </c>
      <c r="K289" s="112">
        <f t="shared" si="18"/>
        <v>42587</v>
      </c>
      <c r="L289" s="346">
        <f>IFERROR(VLOOKUP(C289,'[4]DE x PARA'!C284:K2283,7,FALSE),"SINTÉTICA")</f>
        <v>0</v>
      </c>
      <c r="M289">
        <f>IFERROR(VLOOKUP(B289,'[4]DE x PARA'!B284:K2283,10,FALSE),"SINTÉTICA")</f>
        <v>0</v>
      </c>
      <c r="N289">
        <f>IFERROR(VLOOKUP(M289,'[4]DE x PARA'!$K$2:$L$2001,2,FALSE),0)</f>
        <v>0</v>
      </c>
      <c r="O289">
        <f t="shared" si="19"/>
        <v>0</v>
      </c>
    </row>
    <row r="290" spans="1:15" ht="18">
      <c r="A290" t="str">
        <f t="shared" si="16"/>
        <v>4.1.1.01</v>
      </c>
      <c r="B290" t="s">
        <v>975</v>
      </c>
      <c r="C290">
        <v>4111</v>
      </c>
      <c r="D290" t="s">
        <v>976</v>
      </c>
      <c r="E290" s="77">
        <v>0</v>
      </c>
      <c r="F290" s="77">
        <v>30524893.02</v>
      </c>
      <c r="G290" s="77">
        <v>-918631.01</v>
      </c>
      <c r="H290" s="77">
        <v>29606262.010000002</v>
      </c>
      <c r="I290" s="77">
        <v>29606262.010000002</v>
      </c>
      <c r="J290" s="112">
        <f t="shared" si="17"/>
        <v>29606.262010000002</v>
      </c>
      <c r="K290" s="112">
        <f t="shared" si="18"/>
        <v>29606</v>
      </c>
      <c r="L290" s="346">
        <f>IFERROR(VLOOKUP(C290,'[4]DE x PARA'!C285:K2284,7,FALSE),"SINTÉTICA")</f>
        <v>0</v>
      </c>
      <c r="M290">
        <f>IFERROR(VLOOKUP(B290,'[4]DE x PARA'!B285:K2284,10,FALSE),"SINTÉTICA")</f>
        <v>0</v>
      </c>
      <c r="N290">
        <f>IFERROR(VLOOKUP(M290,'[4]DE x PARA'!$K$2:$L$2001,2,FALSE),0)</f>
        <v>0</v>
      </c>
      <c r="O290">
        <f t="shared" si="19"/>
        <v>0</v>
      </c>
    </row>
    <row r="291" spans="1:15" ht="18">
      <c r="A291" t="str">
        <f t="shared" si="16"/>
        <v>4.1.1.01.0001</v>
      </c>
      <c r="B291" t="s">
        <v>977</v>
      </c>
      <c r="C291">
        <v>41111</v>
      </c>
      <c r="D291" t="s">
        <v>978</v>
      </c>
      <c r="E291" s="77">
        <v>0</v>
      </c>
      <c r="F291" s="77">
        <v>24626180.469999999</v>
      </c>
      <c r="G291" s="77">
        <v>-491099.14</v>
      </c>
      <c r="H291" s="77">
        <v>24135081.329999998</v>
      </c>
      <c r="I291" s="77">
        <v>24135081.329999998</v>
      </c>
      <c r="J291" s="112">
        <f t="shared" si="17"/>
        <v>24135.081329999997</v>
      </c>
      <c r="K291" s="112">
        <f t="shared" si="18"/>
        <v>24135</v>
      </c>
      <c r="L291" s="346">
        <f>IFERROR(VLOOKUP(C291,'[4]DE x PARA'!C286:K2285,7,FALSE),"SINTÉTICA")</f>
        <v>500008</v>
      </c>
      <c r="M291">
        <f>IFERROR(VLOOKUP(B291,'[4]DE x PARA'!B286:K2285,10,FALSE),"SINTÉTICA")</f>
        <v>600001</v>
      </c>
      <c r="N291">
        <f>IFERROR(VLOOKUP(M291,'[4]DE x PARA'!$K$2:$L$2001,2,FALSE),0)</f>
        <v>0</v>
      </c>
      <c r="O291">
        <f t="shared" si="19"/>
        <v>0</v>
      </c>
    </row>
    <row r="292" spans="1:15" ht="18">
      <c r="A292" t="str">
        <f t="shared" si="16"/>
        <v>4.1.1.01.0007</v>
      </c>
      <c r="B292" t="s">
        <v>979</v>
      </c>
      <c r="C292">
        <v>41117</v>
      </c>
      <c r="D292" t="s">
        <v>980</v>
      </c>
      <c r="E292" s="77">
        <v>0</v>
      </c>
      <c r="F292" s="77">
        <v>3166417.87</v>
      </c>
      <c r="G292" s="77">
        <v>-426220.41</v>
      </c>
      <c r="H292" s="77">
        <v>2740197.46</v>
      </c>
      <c r="I292" s="77">
        <v>2740197.46</v>
      </c>
      <c r="J292" s="112">
        <f t="shared" si="17"/>
        <v>2740.1974599999999</v>
      </c>
      <c r="K292" s="112">
        <f t="shared" si="18"/>
        <v>2740</v>
      </c>
      <c r="L292" s="346">
        <f>IFERROR(VLOOKUP(C292,'[4]DE x PARA'!C287:K2286,7,FALSE),"SINTÉTICA")</f>
        <v>500008</v>
      </c>
      <c r="M292">
        <f>IFERROR(VLOOKUP(B292,'[4]DE x PARA'!B287:K2286,10,FALSE),"SINTÉTICA")</f>
        <v>600001</v>
      </c>
      <c r="N292">
        <f>IFERROR(VLOOKUP(M292,'[4]DE x PARA'!$K$2:$L$2001,2,FALSE),0)</f>
        <v>0</v>
      </c>
      <c r="O292">
        <f t="shared" si="19"/>
        <v>0</v>
      </c>
    </row>
    <row r="293" spans="1:15" ht="18">
      <c r="A293" t="str">
        <f t="shared" si="16"/>
        <v>4.1.1.01.0008</v>
      </c>
      <c r="B293" t="s">
        <v>981</v>
      </c>
      <c r="C293">
        <v>41118</v>
      </c>
      <c r="D293" t="s">
        <v>982</v>
      </c>
      <c r="E293" s="77">
        <v>0</v>
      </c>
      <c r="F293" s="77">
        <v>331845.43</v>
      </c>
      <c r="G293" s="77">
        <v>0</v>
      </c>
      <c r="H293" s="77">
        <v>331845.43</v>
      </c>
      <c r="I293" s="77">
        <v>331845.43</v>
      </c>
      <c r="J293" s="112">
        <f t="shared" si="17"/>
        <v>331.84542999999996</v>
      </c>
      <c r="K293" s="112">
        <f t="shared" si="18"/>
        <v>332</v>
      </c>
      <c r="L293" s="346">
        <f>IFERROR(VLOOKUP(C293,'[4]DE x PARA'!C288:K2287,7,FALSE),"SINTÉTICA")</f>
        <v>500008</v>
      </c>
      <c r="M293">
        <f>IFERROR(VLOOKUP(B293,'[4]DE x PARA'!B288:K2287,10,FALSE),"SINTÉTICA")</f>
        <v>600001</v>
      </c>
      <c r="N293">
        <f>IFERROR(VLOOKUP(M293,'[4]DE x PARA'!$K$2:$L$2001,2,FALSE),0)</f>
        <v>0</v>
      </c>
      <c r="O293">
        <f t="shared" si="19"/>
        <v>0</v>
      </c>
    </row>
    <row r="294" spans="1:15" ht="18">
      <c r="A294" t="str">
        <f t="shared" si="16"/>
        <v>4.1.1.01.0009</v>
      </c>
      <c r="B294" t="s">
        <v>983</v>
      </c>
      <c r="C294">
        <v>41119</v>
      </c>
      <c r="D294" t="s">
        <v>984</v>
      </c>
      <c r="E294" s="77">
        <v>0</v>
      </c>
      <c r="F294" s="77">
        <v>2265237.4500000002</v>
      </c>
      <c r="G294" s="77">
        <v>-1311.46</v>
      </c>
      <c r="H294" s="77">
        <v>2263925.9900000002</v>
      </c>
      <c r="I294" s="77">
        <v>2263925.9900000002</v>
      </c>
      <c r="J294" s="112">
        <f t="shared" si="17"/>
        <v>2263.9259900000002</v>
      </c>
      <c r="K294" s="112">
        <f t="shared" si="18"/>
        <v>2264</v>
      </c>
      <c r="L294" s="346">
        <f>IFERROR(VLOOKUP(C294,'[4]DE x PARA'!C289:K2288,7,FALSE),"SINTÉTICA")</f>
        <v>500008</v>
      </c>
      <c r="M294">
        <f>IFERROR(VLOOKUP(B294,'[4]DE x PARA'!B289:K2288,10,FALSE),"SINTÉTICA")</f>
        <v>600001</v>
      </c>
      <c r="N294">
        <f>IFERROR(VLOOKUP(M294,'[4]DE x PARA'!$K$2:$L$2001,2,FALSE),0)</f>
        <v>0</v>
      </c>
      <c r="O294">
        <f t="shared" si="19"/>
        <v>0</v>
      </c>
    </row>
    <row r="295" spans="1:15" ht="18">
      <c r="A295" t="str">
        <f t="shared" si="16"/>
        <v>4.1.1.01.0011</v>
      </c>
      <c r="B295" t="s">
        <v>985</v>
      </c>
      <c r="C295">
        <v>411111</v>
      </c>
      <c r="D295" t="s">
        <v>986</v>
      </c>
      <c r="E295" s="77">
        <v>0</v>
      </c>
      <c r="F295" s="77">
        <v>33396</v>
      </c>
      <c r="G295" s="77">
        <v>0</v>
      </c>
      <c r="H295" s="77">
        <v>33396</v>
      </c>
      <c r="I295" s="77">
        <v>33396</v>
      </c>
      <c r="J295" s="112">
        <f t="shared" si="17"/>
        <v>33.396000000000001</v>
      </c>
      <c r="K295" s="112">
        <f t="shared" si="18"/>
        <v>33</v>
      </c>
      <c r="L295" s="346">
        <f>IFERROR(VLOOKUP(C295,'[4]DE x PARA'!C290:K2289,7,FALSE),"SINTÉTICA")</f>
        <v>500008</v>
      </c>
      <c r="M295">
        <f>IFERROR(VLOOKUP(B295,'[4]DE x PARA'!B290:K2289,10,FALSE),"SINTÉTICA")</f>
        <v>600001</v>
      </c>
      <c r="N295">
        <f>IFERROR(VLOOKUP(M295,'[4]DE x PARA'!$K$2:$L$2001,2,FALSE),0)</f>
        <v>0</v>
      </c>
      <c r="O295">
        <f t="shared" si="19"/>
        <v>0</v>
      </c>
    </row>
    <row r="296" spans="1:15" ht="18">
      <c r="A296" t="str">
        <f t="shared" si="16"/>
        <v>4.1.1.01.0013</v>
      </c>
      <c r="B296" t="s">
        <v>987</v>
      </c>
      <c r="C296">
        <v>411113</v>
      </c>
      <c r="D296" t="s">
        <v>988</v>
      </c>
      <c r="E296" s="77">
        <v>0</v>
      </c>
      <c r="F296" s="77">
        <v>59872.6</v>
      </c>
      <c r="G296" s="77">
        <v>0</v>
      </c>
      <c r="H296" s="77">
        <v>59872.6</v>
      </c>
      <c r="I296" s="77">
        <v>59872.6</v>
      </c>
      <c r="J296" s="112">
        <f t="shared" si="17"/>
        <v>59.872599999999998</v>
      </c>
      <c r="K296" s="112">
        <f t="shared" si="18"/>
        <v>60</v>
      </c>
      <c r="L296" s="346">
        <f>IFERROR(VLOOKUP(C296,'[4]DE x PARA'!C291:K2290,7,FALSE),"SINTÉTICA")</f>
        <v>500008</v>
      </c>
      <c r="M296">
        <f>IFERROR(VLOOKUP(B296,'[4]DE x PARA'!B291:K2290,10,FALSE),"SINTÉTICA")</f>
        <v>600001</v>
      </c>
      <c r="N296">
        <f>IFERROR(VLOOKUP(M296,'[4]DE x PARA'!$K$2:$L$2001,2,FALSE),0)</f>
        <v>0</v>
      </c>
      <c r="O296">
        <f t="shared" si="19"/>
        <v>0</v>
      </c>
    </row>
    <row r="297" spans="1:15" ht="18">
      <c r="A297" t="str">
        <f t="shared" si="16"/>
        <v>4.1.1.01.0014</v>
      </c>
      <c r="B297" t="s">
        <v>989</v>
      </c>
      <c r="C297">
        <v>411114</v>
      </c>
      <c r="D297" t="s">
        <v>990</v>
      </c>
      <c r="E297" s="77">
        <v>0</v>
      </c>
      <c r="F297" s="77">
        <v>41943.199999999997</v>
      </c>
      <c r="G297" s="77">
        <v>0</v>
      </c>
      <c r="H297" s="77">
        <v>41943.199999999997</v>
      </c>
      <c r="I297" s="77">
        <v>41943.199999999997</v>
      </c>
      <c r="J297" s="112">
        <f t="shared" si="17"/>
        <v>41.943199999999997</v>
      </c>
      <c r="K297" s="112">
        <f t="shared" si="18"/>
        <v>42</v>
      </c>
      <c r="L297" s="346">
        <f>IFERROR(VLOOKUP(C297,'[4]DE x PARA'!C292:K2291,7,FALSE),"SINTÉTICA")</f>
        <v>500008</v>
      </c>
      <c r="M297">
        <f>IFERROR(VLOOKUP(B297,'[4]DE x PARA'!B292:K2291,10,FALSE),"SINTÉTICA")</f>
        <v>600001</v>
      </c>
      <c r="N297">
        <f>IFERROR(VLOOKUP(M297,'[4]DE x PARA'!$K$2:$L$2001,2,FALSE),0)</f>
        <v>0</v>
      </c>
      <c r="O297">
        <f t="shared" si="19"/>
        <v>0</v>
      </c>
    </row>
    <row r="298" spans="1:15" ht="18">
      <c r="A298" t="str">
        <f t="shared" si="16"/>
        <v>4.1.1.02</v>
      </c>
      <c r="B298" t="s">
        <v>991</v>
      </c>
      <c r="C298">
        <v>4112</v>
      </c>
      <c r="D298" t="s">
        <v>8</v>
      </c>
      <c r="E298" s="77">
        <v>0</v>
      </c>
      <c r="F298" s="77">
        <v>8831622.6400000006</v>
      </c>
      <c r="G298" s="77">
        <v>-140325.01</v>
      </c>
      <c r="H298" s="77">
        <v>8691297.6300000008</v>
      </c>
      <c r="I298" s="77">
        <v>8691297.6300000008</v>
      </c>
      <c r="J298" s="112">
        <f t="shared" si="17"/>
        <v>8691.2976300000009</v>
      </c>
      <c r="K298" s="112">
        <f t="shared" si="18"/>
        <v>8691</v>
      </c>
      <c r="L298" s="346">
        <f>IFERROR(VLOOKUP(C298,'[4]DE x PARA'!C293:K2292,7,FALSE),"SINTÉTICA")</f>
        <v>0</v>
      </c>
      <c r="M298">
        <f>IFERROR(VLOOKUP(B298,'[4]DE x PARA'!B293:K2292,10,FALSE),"SINTÉTICA")</f>
        <v>0</v>
      </c>
      <c r="N298">
        <f>IFERROR(VLOOKUP(M298,'[4]DE x PARA'!$K$2:$L$2001,2,FALSE),0)</f>
        <v>0</v>
      </c>
      <c r="O298">
        <f t="shared" si="19"/>
        <v>0</v>
      </c>
    </row>
    <row r="299" spans="1:15" ht="18">
      <c r="A299" t="str">
        <f t="shared" si="16"/>
        <v>4.1.1.02.0001</v>
      </c>
      <c r="B299" t="s">
        <v>992</v>
      </c>
      <c r="C299">
        <v>41121</v>
      </c>
      <c r="D299" t="s">
        <v>874</v>
      </c>
      <c r="E299" s="77">
        <v>0</v>
      </c>
      <c r="F299" s="77">
        <v>5247030.87</v>
      </c>
      <c r="G299" s="77">
        <v>0</v>
      </c>
      <c r="H299" s="77">
        <v>5247030.87</v>
      </c>
      <c r="I299" s="77">
        <v>5247030.87</v>
      </c>
      <c r="J299" s="112">
        <f t="shared" si="17"/>
        <v>5247.0308700000005</v>
      </c>
      <c r="K299" s="112">
        <f t="shared" si="18"/>
        <v>5247</v>
      </c>
      <c r="L299" s="346">
        <f>IFERROR(VLOOKUP(C299,'[4]DE x PARA'!C294:K2293,7,FALSE),"SINTÉTICA")</f>
        <v>500012</v>
      </c>
      <c r="M299">
        <f>IFERROR(VLOOKUP(B299,'[4]DE x PARA'!B294:K2293,10,FALSE),"SINTÉTICA")</f>
        <v>600001</v>
      </c>
      <c r="N299">
        <f>IFERROR(VLOOKUP(M299,'[4]DE x PARA'!$K$2:$L$2001,2,FALSE),0)</f>
        <v>0</v>
      </c>
      <c r="O299">
        <f t="shared" si="19"/>
        <v>0</v>
      </c>
    </row>
    <row r="300" spans="1:15" ht="18">
      <c r="A300" t="str">
        <f t="shared" si="16"/>
        <v>4.1.1.02.0002</v>
      </c>
      <c r="B300" t="s">
        <v>993</v>
      </c>
      <c r="C300">
        <v>41122</v>
      </c>
      <c r="D300" t="s">
        <v>198</v>
      </c>
      <c r="E300" s="77">
        <v>0</v>
      </c>
      <c r="F300" s="77">
        <v>2008957.28</v>
      </c>
      <c r="G300" s="77">
        <v>-0.04</v>
      </c>
      <c r="H300" s="77">
        <v>2008957.24</v>
      </c>
      <c r="I300" s="77">
        <v>2008957.24</v>
      </c>
      <c r="J300" s="112">
        <f t="shared" si="17"/>
        <v>2008.95724</v>
      </c>
      <c r="K300" s="112">
        <f t="shared" si="18"/>
        <v>2009</v>
      </c>
      <c r="L300" s="346">
        <f>IFERROR(VLOOKUP(C300,'[4]DE x PARA'!C295:K2294,7,FALSE),"SINTÉTICA")</f>
        <v>500010</v>
      </c>
      <c r="M300">
        <f>IFERROR(VLOOKUP(B300,'[4]DE x PARA'!B295:K2294,10,FALSE),"SINTÉTICA")</f>
        <v>600001</v>
      </c>
      <c r="N300">
        <f>IFERROR(VLOOKUP(M300,'[4]DE x PARA'!$K$2:$L$2001,2,FALSE),0)</f>
        <v>0</v>
      </c>
      <c r="O300">
        <f t="shared" si="19"/>
        <v>0</v>
      </c>
    </row>
    <row r="301" spans="1:15" ht="18">
      <c r="A301" t="str">
        <f t="shared" si="16"/>
        <v>4.1.1.02.0004</v>
      </c>
      <c r="B301" t="s">
        <v>994</v>
      </c>
      <c r="C301">
        <v>41124</v>
      </c>
      <c r="D301" t="s">
        <v>995</v>
      </c>
      <c r="E301" s="77">
        <v>0</v>
      </c>
      <c r="F301" s="77">
        <v>476314.8</v>
      </c>
      <c r="G301" s="77">
        <v>-1503.22</v>
      </c>
      <c r="H301" s="77">
        <v>474811.58</v>
      </c>
      <c r="I301" s="77">
        <v>474811.58</v>
      </c>
      <c r="J301" s="112">
        <f t="shared" si="17"/>
        <v>474.81157999999999</v>
      </c>
      <c r="K301" s="112">
        <f t="shared" si="18"/>
        <v>475</v>
      </c>
      <c r="L301" s="346">
        <f>IFERROR(VLOOKUP(C301,'[4]DE x PARA'!C296:K2295,7,FALSE),"SINTÉTICA")</f>
        <v>500012</v>
      </c>
      <c r="M301">
        <f>IFERROR(VLOOKUP(B301,'[4]DE x PARA'!B296:K2295,10,FALSE),"SINTÉTICA")</f>
        <v>600001</v>
      </c>
      <c r="N301">
        <f>IFERROR(VLOOKUP(M301,'[4]DE x PARA'!$K$2:$L$2001,2,FALSE),0)</f>
        <v>0</v>
      </c>
      <c r="O301">
        <f t="shared" si="19"/>
        <v>0</v>
      </c>
    </row>
    <row r="302" spans="1:15" ht="18">
      <c r="A302" t="str">
        <f t="shared" si="16"/>
        <v>4.1.1.02.0005</v>
      </c>
      <c r="B302" t="s">
        <v>996</v>
      </c>
      <c r="C302">
        <v>41125</v>
      </c>
      <c r="D302" t="s">
        <v>997</v>
      </c>
      <c r="E302" s="77">
        <v>0</v>
      </c>
      <c r="F302" s="77">
        <v>664736.69999999995</v>
      </c>
      <c r="G302" s="77">
        <v>-100449.25</v>
      </c>
      <c r="H302" s="77">
        <v>564287.44999999995</v>
      </c>
      <c r="I302" s="77">
        <v>564287.44999999995</v>
      </c>
      <c r="J302" s="112">
        <f t="shared" si="17"/>
        <v>564.28744999999992</v>
      </c>
      <c r="K302" s="112">
        <f t="shared" si="18"/>
        <v>564</v>
      </c>
      <c r="L302" s="346">
        <f>IFERROR(VLOOKUP(C302,'[4]DE x PARA'!C297:K2296,7,FALSE),"SINTÉTICA")</f>
        <v>500012</v>
      </c>
      <c r="M302">
        <f>IFERROR(VLOOKUP(B302,'[4]DE x PARA'!B297:K2296,10,FALSE),"SINTÉTICA")</f>
        <v>600001</v>
      </c>
      <c r="N302">
        <f>IFERROR(VLOOKUP(M302,'[4]DE x PARA'!$K$2:$L$2001,2,FALSE),0)</f>
        <v>0</v>
      </c>
      <c r="O302">
        <f t="shared" si="19"/>
        <v>0</v>
      </c>
    </row>
    <row r="303" spans="1:15" ht="18">
      <c r="A303" t="str">
        <f t="shared" si="16"/>
        <v>4.1.1.02.0006</v>
      </c>
      <c r="B303" t="s">
        <v>998</v>
      </c>
      <c r="C303">
        <v>41126</v>
      </c>
      <c r="D303" t="s">
        <v>999</v>
      </c>
      <c r="E303" s="77">
        <v>0</v>
      </c>
      <c r="F303" s="77">
        <v>253232.88</v>
      </c>
      <c r="G303" s="77">
        <v>-38266.06</v>
      </c>
      <c r="H303" s="77">
        <v>214966.82</v>
      </c>
      <c r="I303" s="77">
        <v>214966.82</v>
      </c>
      <c r="J303" s="112">
        <f t="shared" si="17"/>
        <v>214.96682000000001</v>
      </c>
      <c r="K303" s="112">
        <f t="shared" si="18"/>
        <v>215</v>
      </c>
      <c r="L303" s="346">
        <f>IFERROR(VLOOKUP(C303,'[4]DE x PARA'!C298:K2297,7,FALSE),"SINTÉTICA")</f>
        <v>500010</v>
      </c>
      <c r="M303">
        <f>IFERROR(VLOOKUP(B303,'[4]DE x PARA'!B298:K2297,10,FALSE),"SINTÉTICA")</f>
        <v>600001</v>
      </c>
      <c r="N303">
        <f>IFERROR(VLOOKUP(M303,'[4]DE x PARA'!$K$2:$L$2001,2,FALSE),0)</f>
        <v>0</v>
      </c>
      <c r="O303">
        <f t="shared" si="19"/>
        <v>0</v>
      </c>
    </row>
    <row r="304" spans="1:15" ht="18">
      <c r="A304" t="str">
        <f t="shared" si="16"/>
        <v>4.1.1.02.0007</v>
      </c>
      <c r="B304" t="s">
        <v>1000</v>
      </c>
      <c r="C304" s="580">
        <v>41127</v>
      </c>
      <c r="D304" t="s">
        <v>1001</v>
      </c>
      <c r="E304" s="77">
        <v>0</v>
      </c>
      <c r="F304" s="77">
        <v>181350.11</v>
      </c>
      <c r="G304" s="77">
        <v>-106.44</v>
      </c>
      <c r="H304" s="77">
        <v>181243.67</v>
      </c>
      <c r="I304" s="77">
        <v>181243.67</v>
      </c>
      <c r="J304" s="112">
        <f t="shared" si="17"/>
        <v>181.24367000000001</v>
      </c>
      <c r="K304" s="112">
        <f t="shared" si="18"/>
        <v>181</v>
      </c>
      <c r="L304" s="346">
        <f>IFERROR(VLOOKUP(C304,'[4]DE x PARA'!C299:K2298,7,FALSE),"SINTÉTICA")</f>
        <v>500010</v>
      </c>
      <c r="M304">
        <f>IFERROR(VLOOKUP(B304,'[4]DE x PARA'!B299:K2298,10,FALSE),"SINTÉTICA")</f>
        <v>600001</v>
      </c>
      <c r="N304">
        <f>IFERROR(VLOOKUP(M304,'[4]DE x PARA'!$K$2:$L$2001,2,FALSE),0)</f>
        <v>0</v>
      </c>
      <c r="O304">
        <f t="shared" si="19"/>
        <v>0</v>
      </c>
    </row>
    <row r="305" spans="1:15" ht="18">
      <c r="A305" t="str">
        <f t="shared" si="16"/>
        <v>4.1.1.03</v>
      </c>
      <c r="B305" t="s">
        <v>1002</v>
      </c>
      <c r="C305" s="580">
        <v>4113</v>
      </c>
      <c r="D305" t="s">
        <v>9</v>
      </c>
      <c r="E305" s="77">
        <v>0</v>
      </c>
      <c r="F305" s="77">
        <v>4171243.98</v>
      </c>
      <c r="G305" s="77">
        <v>-16227.32</v>
      </c>
      <c r="H305" s="77">
        <v>4155016.66</v>
      </c>
      <c r="I305" s="77">
        <v>4155016.66</v>
      </c>
      <c r="J305" s="112">
        <f t="shared" si="17"/>
        <v>4155.0166600000002</v>
      </c>
      <c r="K305" s="112">
        <f t="shared" si="18"/>
        <v>4155</v>
      </c>
      <c r="L305" s="346">
        <f>IFERROR(VLOOKUP(C305,'[4]DE x PARA'!C300:K2299,7,FALSE),"SINTÉTICA")</f>
        <v>0</v>
      </c>
      <c r="M305">
        <f>IFERROR(VLOOKUP(B305,'[4]DE x PARA'!B300:K2299,10,FALSE),"SINTÉTICA")</f>
        <v>0</v>
      </c>
      <c r="N305">
        <f>IFERROR(VLOOKUP(M305,'[4]DE x PARA'!$K$2:$L$2001,2,FALSE),0)</f>
        <v>0</v>
      </c>
      <c r="O305">
        <f t="shared" si="19"/>
        <v>0</v>
      </c>
    </row>
    <row r="306" spans="1:15" ht="18">
      <c r="A306" t="str">
        <f t="shared" si="16"/>
        <v>4.1.1.03.0001</v>
      </c>
      <c r="B306" t="s">
        <v>1003</v>
      </c>
      <c r="C306">
        <v>41131</v>
      </c>
      <c r="D306" t="s">
        <v>907</v>
      </c>
      <c r="E306" s="77">
        <v>0</v>
      </c>
      <c r="F306" s="77">
        <v>1877395.42</v>
      </c>
      <c r="G306" s="77">
        <v>-1060.1400000000001</v>
      </c>
      <c r="H306" s="77">
        <v>1876335.28</v>
      </c>
      <c r="I306" s="77">
        <v>1876335.28</v>
      </c>
      <c r="J306" s="112">
        <f t="shared" si="17"/>
        <v>1876.33528</v>
      </c>
      <c r="K306" s="112">
        <f t="shared" si="18"/>
        <v>1876</v>
      </c>
      <c r="L306" s="346">
        <f>IFERROR(VLOOKUP(C306,'[4]DE x PARA'!C301:K2300,7,FALSE),"SINTÉTICA")</f>
        <v>500009</v>
      </c>
      <c r="M306">
        <f>IFERROR(VLOOKUP(B306,'[4]DE x PARA'!B301:K2300,10,FALSE),"SINTÉTICA")</f>
        <v>600001</v>
      </c>
      <c r="N306">
        <f>IFERROR(VLOOKUP(M306,'[4]DE x PARA'!$K$2:$L$2001,2,FALSE),0)</f>
        <v>0</v>
      </c>
      <c r="O306">
        <f t="shared" si="19"/>
        <v>0</v>
      </c>
    </row>
    <row r="307" spans="1:15" ht="18">
      <c r="A307" t="str">
        <f t="shared" si="16"/>
        <v>4.1.1.03.0002</v>
      </c>
      <c r="B307" t="s">
        <v>1004</v>
      </c>
      <c r="C307">
        <v>41132</v>
      </c>
      <c r="D307" t="s">
        <v>1005</v>
      </c>
      <c r="E307" s="77">
        <v>0</v>
      </c>
      <c r="F307" s="77">
        <v>1078446.42</v>
      </c>
      <c r="G307" s="77">
        <v>-71.88</v>
      </c>
      <c r="H307" s="77">
        <v>1078374.54</v>
      </c>
      <c r="I307" s="77">
        <v>1078374.54</v>
      </c>
      <c r="J307" s="112">
        <f t="shared" si="17"/>
        <v>1078.37454</v>
      </c>
      <c r="K307" s="112">
        <f t="shared" si="18"/>
        <v>1078</v>
      </c>
      <c r="L307" s="346">
        <f>IFERROR(VLOOKUP(C307,'[4]DE x PARA'!C302:K2301,7,FALSE),"SINTÉTICA")</f>
        <v>500009</v>
      </c>
      <c r="M307">
        <f>IFERROR(VLOOKUP(B307,'[4]DE x PARA'!B302:K2301,10,FALSE),"SINTÉTICA")</f>
        <v>600001</v>
      </c>
      <c r="N307">
        <f>IFERROR(VLOOKUP(M307,'[4]DE x PARA'!$K$2:$L$2001,2,FALSE),0)</f>
        <v>0</v>
      </c>
      <c r="O307">
        <f t="shared" si="19"/>
        <v>0</v>
      </c>
    </row>
    <row r="308" spans="1:15" ht="18">
      <c r="A308" t="str">
        <f t="shared" si="16"/>
        <v>4.1.1.03.0003</v>
      </c>
      <c r="B308" t="s">
        <v>1006</v>
      </c>
      <c r="C308">
        <v>41133</v>
      </c>
      <c r="D308" t="s">
        <v>1007</v>
      </c>
      <c r="E308" s="77">
        <v>0</v>
      </c>
      <c r="F308" s="77">
        <v>12624.17</v>
      </c>
      <c r="G308" s="77">
        <v>-12624.17</v>
      </c>
      <c r="H308" s="77">
        <v>0</v>
      </c>
      <c r="I308" s="77">
        <v>0</v>
      </c>
      <c r="J308" s="112">
        <f t="shared" si="17"/>
        <v>0</v>
      </c>
      <c r="K308" s="112">
        <f t="shared" si="18"/>
        <v>0</v>
      </c>
      <c r="L308" s="346">
        <f>IFERROR(VLOOKUP(C308,'[4]DE x PARA'!C303:K2302,7,FALSE),"SINTÉTICA")</f>
        <v>500009</v>
      </c>
      <c r="M308">
        <f>IFERROR(VLOOKUP(B308,'[4]DE x PARA'!B303:K2302,10,FALSE),"SINTÉTICA")</f>
        <v>600001</v>
      </c>
      <c r="N308">
        <f>IFERROR(VLOOKUP(M308,'[4]DE x PARA'!$K$2:$L$2001,2,FALSE),0)</f>
        <v>0</v>
      </c>
      <c r="O308">
        <f t="shared" si="19"/>
        <v>0</v>
      </c>
    </row>
    <row r="309" spans="1:15" ht="18">
      <c r="A309" t="str">
        <f t="shared" si="16"/>
        <v>4.1.1.03.0005</v>
      </c>
      <c r="B309" t="s">
        <v>1008</v>
      </c>
      <c r="C309">
        <v>41135</v>
      </c>
      <c r="D309" t="s">
        <v>1009</v>
      </c>
      <c r="E309" s="77">
        <v>0</v>
      </c>
      <c r="F309" s="77">
        <v>328081.93</v>
      </c>
      <c r="G309" s="77">
        <v>0</v>
      </c>
      <c r="H309" s="77">
        <v>328081.93</v>
      </c>
      <c r="I309" s="77">
        <v>328081.93</v>
      </c>
      <c r="J309" s="112">
        <f t="shared" si="17"/>
        <v>328.08193</v>
      </c>
      <c r="K309" s="112">
        <f t="shared" si="18"/>
        <v>328</v>
      </c>
      <c r="L309" s="346">
        <f>IFERROR(VLOOKUP(C309,'[4]DE x PARA'!C304:K2303,7,FALSE),"SINTÉTICA")</f>
        <v>500009</v>
      </c>
      <c r="M309">
        <f>IFERROR(VLOOKUP(B309,'[4]DE x PARA'!B304:K2303,10,FALSE),"SINTÉTICA")</f>
        <v>600001</v>
      </c>
      <c r="N309">
        <f>IFERROR(VLOOKUP(M309,'[4]DE x PARA'!$K$2:$L$2001,2,FALSE),0)</f>
        <v>0</v>
      </c>
      <c r="O309">
        <f t="shared" si="19"/>
        <v>0</v>
      </c>
    </row>
    <row r="310" spans="1:15" ht="18">
      <c r="A310" t="str">
        <f t="shared" si="16"/>
        <v>4.1.1.03.0006</v>
      </c>
      <c r="B310" t="s">
        <v>1010</v>
      </c>
      <c r="C310">
        <v>41136</v>
      </c>
      <c r="D310" t="s">
        <v>1011</v>
      </c>
      <c r="E310" s="77">
        <v>0</v>
      </c>
      <c r="F310" s="77">
        <v>856181.84</v>
      </c>
      <c r="G310" s="77">
        <v>-761.13</v>
      </c>
      <c r="H310" s="77">
        <v>855420.71</v>
      </c>
      <c r="I310" s="77">
        <v>855420.71</v>
      </c>
      <c r="J310" s="112">
        <f t="shared" si="17"/>
        <v>855.42070999999999</v>
      </c>
      <c r="K310" s="112">
        <f t="shared" si="18"/>
        <v>855</v>
      </c>
      <c r="L310" s="346">
        <f>IFERROR(VLOOKUP(C310,'[4]DE x PARA'!C305:K2304,7,FALSE),"SINTÉTICA")</f>
        <v>500009</v>
      </c>
      <c r="M310">
        <f>IFERROR(VLOOKUP(B310,'[4]DE x PARA'!B305:K2304,10,FALSE),"SINTÉTICA")</f>
        <v>600001</v>
      </c>
      <c r="N310">
        <f>IFERROR(VLOOKUP(M310,'[4]DE x PARA'!$K$2:$L$2001,2,FALSE),0)</f>
        <v>0</v>
      </c>
      <c r="O310">
        <f t="shared" si="19"/>
        <v>0</v>
      </c>
    </row>
    <row r="311" spans="1:15" ht="18">
      <c r="A311" t="str">
        <f t="shared" si="16"/>
        <v>4.1.1.03.0010</v>
      </c>
      <c r="B311" t="s">
        <v>1012</v>
      </c>
      <c r="C311">
        <v>411310</v>
      </c>
      <c r="D311" t="s">
        <v>1013</v>
      </c>
      <c r="E311" s="77">
        <v>0</v>
      </c>
      <c r="F311" s="77">
        <v>4400</v>
      </c>
      <c r="G311" s="77">
        <v>-1710</v>
      </c>
      <c r="H311" s="77">
        <v>2690</v>
      </c>
      <c r="I311" s="77">
        <v>2690</v>
      </c>
      <c r="J311" s="112">
        <f t="shared" si="17"/>
        <v>2.69</v>
      </c>
      <c r="K311" s="112">
        <f t="shared" si="18"/>
        <v>3</v>
      </c>
      <c r="L311" s="346">
        <f>IFERROR(VLOOKUP(C311,'[4]DE x PARA'!C306:K2305,7,FALSE),"SINTÉTICA")</f>
        <v>500009</v>
      </c>
      <c r="M311">
        <f>IFERROR(VLOOKUP(B311,'[4]DE x PARA'!B306:K2305,10,FALSE),"SINTÉTICA")</f>
        <v>600001</v>
      </c>
      <c r="N311">
        <f>IFERROR(VLOOKUP(M311,'[4]DE x PARA'!$K$2:$L$2001,2,FALSE),0)</f>
        <v>0</v>
      </c>
      <c r="O311">
        <f t="shared" si="19"/>
        <v>0</v>
      </c>
    </row>
    <row r="312" spans="1:15" ht="18">
      <c r="A312" t="str">
        <f t="shared" si="16"/>
        <v>4.1.1.03.0011</v>
      </c>
      <c r="B312" t="s">
        <v>1014</v>
      </c>
      <c r="C312">
        <v>411311</v>
      </c>
      <c r="D312" t="s">
        <v>1015</v>
      </c>
      <c r="E312" s="77">
        <v>0</v>
      </c>
      <c r="F312" s="77">
        <v>14114.2</v>
      </c>
      <c r="G312" s="77">
        <v>0</v>
      </c>
      <c r="H312" s="77">
        <v>14114.2</v>
      </c>
      <c r="I312" s="77">
        <v>14114.2</v>
      </c>
      <c r="J312" s="112">
        <f t="shared" si="17"/>
        <v>14.1142</v>
      </c>
      <c r="K312" s="112">
        <f t="shared" si="18"/>
        <v>14</v>
      </c>
      <c r="L312" s="346">
        <f>IFERROR(VLOOKUP(C312,'[4]DE x PARA'!C307:K2306,7,FALSE),"SINTÉTICA")</f>
        <v>500009</v>
      </c>
      <c r="M312">
        <f>IFERROR(VLOOKUP(B312,'[4]DE x PARA'!B307:K2306,10,FALSE),"SINTÉTICA")</f>
        <v>600001</v>
      </c>
      <c r="N312">
        <f>IFERROR(VLOOKUP(M312,'[4]DE x PARA'!$K$2:$L$2001,2,FALSE),0)</f>
        <v>0</v>
      </c>
      <c r="O312">
        <f t="shared" si="19"/>
        <v>0</v>
      </c>
    </row>
    <row r="313" spans="1:15" ht="18">
      <c r="A313" t="str">
        <f t="shared" si="16"/>
        <v>4.1.1.10</v>
      </c>
      <c r="B313" t="s">
        <v>1016</v>
      </c>
      <c r="C313">
        <v>41110</v>
      </c>
      <c r="D313" t="s">
        <v>1017</v>
      </c>
      <c r="E313" s="77">
        <v>0</v>
      </c>
      <c r="F313" s="77">
        <v>134435.82999999999</v>
      </c>
      <c r="G313" s="77">
        <v>0</v>
      </c>
      <c r="H313" s="77">
        <v>134435.82999999999</v>
      </c>
      <c r="I313" s="77">
        <v>134435.82999999999</v>
      </c>
      <c r="J313" s="112">
        <f t="shared" si="17"/>
        <v>134.43582999999998</v>
      </c>
      <c r="K313" s="112">
        <f t="shared" si="18"/>
        <v>134</v>
      </c>
      <c r="L313" s="346">
        <f>IFERROR(VLOOKUP(C313,'[4]DE x PARA'!C308:K2307,7,FALSE),"SINTÉTICA")</f>
        <v>0</v>
      </c>
      <c r="M313">
        <f>IFERROR(VLOOKUP(B313,'[4]DE x PARA'!B308:K2307,10,FALSE),"SINTÉTICA")</f>
        <v>0</v>
      </c>
      <c r="N313">
        <f>IFERROR(VLOOKUP(M313,'[4]DE x PARA'!$K$2:$L$2001,2,FALSE),0)</f>
        <v>0</v>
      </c>
      <c r="O313">
        <f t="shared" si="19"/>
        <v>0</v>
      </c>
    </row>
    <row r="314" spans="1:15" ht="18">
      <c r="A314" t="str">
        <f t="shared" si="16"/>
        <v>4.1.1.10.0001</v>
      </c>
      <c r="B314" t="s">
        <v>1018</v>
      </c>
      <c r="C314">
        <v>411101</v>
      </c>
      <c r="D314" t="s">
        <v>1019</v>
      </c>
      <c r="E314" s="77">
        <v>0</v>
      </c>
      <c r="F314" s="77">
        <v>134435.82999999999</v>
      </c>
      <c r="G314" s="77">
        <v>0</v>
      </c>
      <c r="H314" s="77">
        <v>134435.82999999999</v>
      </c>
      <c r="I314" s="77">
        <v>134435.82999999999</v>
      </c>
      <c r="J314" s="112">
        <f t="shared" si="17"/>
        <v>134.43582999999998</v>
      </c>
      <c r="K314" s="112">
        <f t="shared" si="18"/>
        <v>134</v>
      </c>
      <c r="L314" s="346">
        <f>IFERROR(VLOOKUP(C314,'[4]DE x PARA'!C309:K2308,7,FALSE),"SINTÉTICA")</f>
        <v>500011</v>
      </c>
      <c r="M314">
        <f>IFERROR(VLOOKUP(B314,'[4]DE x PARA'!B309:K2308,10,FALSE),"SINTÉTICA")</f>
        <v>600001</v>
      </c>
      <c r="N314">
        <f>IFERROR(VLOOKUP(M314,'[4]DE x PARA'!$K$2:$L$2001,2,FALSE),0)</f>
        <v>0</v>
      </c>
      <c r="O314">
        <f t="shared" si="19"/>
        <v>0</v>
      </c>
    </row>
    <row r="315" spans="1:15" ht="18">
      <c r="A315" t="str">
        <f t="shared" si="16"/>
        <v>4.1.3</v>
      </c>
      <c r="B315" t="s">
        <v>1020</v>
      </c>
      <c r="C315">
        <v>413</v>
      </c>
      <c r="D315" t="s">
        <v>1021</v>
      </c>
      <c r="E315" s="77">
        <v>0</v>
      </c>
      <c r="F315" s="77">
        <v>6013137.9000000004</v>
      </c>
      <c r="G315" s="77">
        <v>-8691.77</v>
      </c>
      <c r="H315" s="77">
        <v>6004446.1299999999</v>
      </c>
      <c r="I315" s="77">
        <v>6004446.1299999999</v>
      </c>
      <c r="J315" s="112">
        <f t="shared" si="17"/>
        <v>6004.4461300000003</v>
      </c>
      <c r="K315" s="112">
        <f t="shared" si="18"/>
        <v>6004</v>
      </c>
      <c r="L315" s="346">
        <f>IFERROR(VLOOKUP(C315,'[4]DE x PARA'!C310:K2309,7,FALSE),"SINTÉTICA")</f>
        <v>0</v>
      </c>
      <c r="M315">
        <f>IFERROR(VLOOKUP(B315,'[4]DE x PARA'!B310:K2309,10,FALSE),"SINTÉTICA")</f>
        <v>0</v>
      </c>
      <c r="N315">
        <f>IFERROR(VLOOKUP(M315,'[4]DE x PARA'!$K$2:$L$2001,2,FALSE),0)</f>
        <v>0</v>
      </c>
      <c r="O315">
        <f t="shared" si="19"/>
        <v>0</v>
      </c>
    </row>
    <row r="316" spans="1:15" ht="18">
      <c r="A316" t="str">
        <f t="shared" si="16"/>
        <v>4.1.3.01</v>
      </c>
      <c r="B316" t="s">
        <v>12</v>
      </c>
      <c r="C316">
        <v>4131</v>
      </c>
      <c r="D316" t="s">
        <v>11</v>
      </c>
      <c r="E316" s="77">
        <v>0</v>
      </c>
      <c r="F316" s="77">
        <v>6013137.9000000004</v>
      </c>
      <c r="G316" s="77">
        <v>-8691.77</v>
      </c>
      <c r="H316" s="77">
        <v>6004446.1299999999</v>
      </c>
      <c r="I316" s="77">
        <v>6004446.1299999999</v>
      </c>
      <c r="J316" s="112">
        <f t="shared" si="17"/>
        <v>6004.4461300000003</v>
      </c>
      <c r="K316" s="112">
        <f t="shared" si="18"/>
        <v>6004</v>
      </c>
      <c r="L316" s="346">
        <f>IFERROR(VLOOKUP(C316,'[4]DE x PARA'!C311:K2310,7,FALSE),"SINTÉTICA")</f>
        <v>0</v>
      </c>
      <c r="M316">
        <f>IFERROR(VLOOKUP(B316,'[4]DE x PARA'!B311:K2310,10,FALSE),"SINTÉTICA")</f>
        <v>0</v>
      </c>
      <c r="N316">
        <f>IFERROR(VLOOKUP(M316,'[4]DE x PARA'!$K$2:$L$2001,2,FALSE),0)</f>
        <v>0</v>
      </c>
      <c r="O316">
        <f t="shared" si="19"/>
        <v>0</v>
      </c>
    </row>
    <row r="317" spans="1:15" ht="18">
      <c r="A317" t="str">
        <f t="shared" si="16"/>
        <v>4.1.3.01.0001</v>
      </c>
      <c r="B317" t="s">
        <v>1022</v>
      </c>
      <c r="C317">
        <v>41311</v>
      </c>
      <c r="D317" t="s">
        <v>1023</v>
      </c>
      <c r="E317" s="77">
        <v>0</v>
      </c>
      <c r="F317" s="77">
        <v>2940764.05</v>
      </c>
      <c r="G317" s="77">
        <v>0</v>
      </c>
      <c r="H317" s="77">
        <v>2940764.05</v>
      </c>
      <c r="I317" s="77">
        <v>2940764.05</v>
      </c>
      <c r="J317" s="112">
        <f t="shared" si="17"/>
        <v>2940.7640499999998</v>
      </c>
      <c r="K317" s="112">
        <f t="shared" si="18"/>
        <v>2941</v>
      </c>
      <c r="L317" s="346">
        <f>IFERROR(VLOOKUP(C317,'[4]DE x PARA'!C312:K2311,7,FALSE),"SINTÉTICA")</f>
        <v>500004</v>
      </c>
      <c r="M317">
        <f>IFERROR(VLOOKUP(B317,'[4]DE x PARA'!B312:K2311,10,FALSE),"SINTÉTICA")</f>
        <v>600001</v>
      </c>
      <c r="N317">
        <f>IFERROR(VLOOKUP(M317,'[4]DE x PARA'!$K$2:$L$2001,2,FALSE),0)</f>
        <v>0</v>
      </c>
      <c r="O317">
        <f t="shared" si="19"/>
        <v>0</v>
      </c>
    </row>
    <row r="318" spans="1:15" ht="18">
      <c r="A318" t="str">
        <f t="shared" si="16"/>
        <v>4.1.3.01.0002</v>
      </c>
      <c r="B318" t="s">
        <v>1024</v>
      </c>
      <c r="C318">
        <v>41312</v>
      </c>
      <c r="D318" t="s">
        <v>1025</v>
      </c>
      <c r="E318" s="77">
        <v>0</v>
      </c>
      <c r="F318" s="77">
        <v>833013.93</v>
      </c>
      <c r="G318" s="77">
        <v>0</v>
      </c>
      <c r="H318" s="77">
        <v>833013.93</v>
      </c>
      <c r="I318" s="77">
        <v>833013.93</v>
      </c>
      <c r="J318" s="112">
        <f t="shared" si="17"/>
        <v>833.01393000000007</v>
      </c>
      <c r="K318" s="112">
        <f t="shared" si="18"/>
        <v>833</v>
      </c>
      <c r="L318" s="346">
        <f>IFERROR(VLOOKUP(C318,'[4]DE x PARA'!C313:K2312,7,FALSE),"SINTÉTICA")</f>
        <v>500004</v>
      </c>
      <c r="M318">
        <f>IFERROR(VLOOKUP(B318,'[4]DE x PARA'!B313:K2312,10,FALSE),"SINTÉTICA")</f>
        <v>600001</v>
      </c>
      <c r="N318">
        <f>IFERROR(VLOOKUP(M318,'[4]DE x PARA'!$K$2:$L$2001,2,FALSE),0)</f>
        <v>0</v>
      </c>
      <c r="O318">
        <f t="shared" si="19"/>
        <v>0</v>
      </c>
    </row>
    <row r="319" spans="1:15" ht="18">
      <c r="A319" t="str">
        <f t="shared" si="16"/>
        <v>4.1.3.01.0005</v>
      </c>
      <c r="B319" t="s">
        <v>1026</v>
      </c>
      <c r="C319">
        <v>41315</v>
      </c>
      <c r="D319" t="s">
        <v>1027</v>
      </c>
      <c r="E319" s="77">
        <v>0</v>
      </c>
      <c r="F319" s="77">
        <v>605781.74</v>
      </c>
      <c r="G319" s="77">
        <v>-8691.77</v>
      </c>
      <c r="H319" s="77">
        <v>597089.97</v>
      </c>
      <c r="I319" s="77">
        <v>597089.97</v>
      </c>
      <c r="J319" s="112">
        <f t="shared" si="17"/>
        <v>597.08996999999999</v>
      </c>
      <c r="K319" s="112">
        <f t="shared" si="18"/>
        <v>597</v>
      </c>
      <c r="L319" s="346">
        <f>IFERROR(VLOOKUP(C319,'[4]DE x PARA'!C314:K2313,7,FALSE),"SINTÉTICA")</f>
        <v>500004</v>
      </c>
      <c r="M319">
        <f>IFERROR(VLOOKUP(B319,'[4]DE x PARA'!B314:K2313,10,FALSE),"SINTÉTICA")</f>
        <v>600001</v>
      </c>
      <c r="N319">
        <f>IFERROR(VLOOKUP(M319,'[4]DE x PARA'!$K$2:$L$2001,2,FALSE),0)</f>
        <v>0</v>
      </c>
      <c r="O319">
        <f t="shared" si="19"/>
        <v>0</v>
      </c>
    </row>
    <row r="320" spans="1:15" ht="18">
      <c r="A320" t="str">
        <f t="shared" si="16"/>
        <v>4.1.3.01.0014</v>
      </c>
      <c r="B320" t="s">
        <v>1028</v>
      </c>
      <c r="C320">
        <v>413114</v>
      </c>
      <c r="D320" t="s">
        <v>1029</v>
      </c>
      <c r="E320" s="77">
        <v>0</v>
      </c>
      <c r="F320" s="77">
        <v>1346200.75</v>
      </c>
      <c r="G320" s="77">
        <v>0</v>
      </c>
      <c r="H320" s="77">
        <v>1346200.75</v>
      </c>
      <c r="I320" s="77">
        <v>1346200.75</v>
      </c>
      <c r="J320" s="112">
        <f t="shared" si="17"/>
        <v>1346.20075</v>
      </c>
      <c r="K320" s="112">
        <f t="shared" si="18"/>
        <v>1346</v>
      </c>
      <c r="L320" s="346">
        <f>IFERROR(VLOOKUP(C320,'[4]DE x PARA'!C315:K2314,7,FALSE),"SINTÉTICA")</f>
        <v>500004</v>
      </c>
      <c r="M320">
        <f>IFERROR(VLOOKUP(B320,'[4]DE x PARA'!B315:K2314,10,FALSE),"SINTÉTICA")</f>
        <v>600001</v>
      </c>
      <c r="N320">
        <f>IFERROR(VLOOKUP(M320,'[4]DE x PARA'!$K$2:$L$2001,2,FALSE),0)</f>
        <v>0</v>
      </c>
      <c r="O320">
        <f t="shared" si="19"/>
        <v>0</v>
      </c>
    </row>
    <row r="321" spans="1:15" ht="18">
      <c r="A321" t="str">
        <f t="shared" si="16"/>
        <v>4.1.3.01.0017</v>
      </c>
      <c r="B321" t="s">
        <v>1030</v>
      </c>
      <c r="C321">
        <v>413117</v>
      </c>
      <c r="D321" t="s">
        <v>1031</v>
      </c>
      <c r="E321" s="77">
        <v>0</v>
      </c>
      <c r="F321" s="77">
        <v>276818.87</v>
      </c>
      <c r="G321" s="77">
        <v>0</v>
      </c>
      <c r="H321" s="77">
        <v>276818.87</v>
      </c>
      <c r="I321" s="77">
        <v>276818.87</v>
      </c>
      <c r="J321" s="112">
        <f t="shared" si="17"/>
        <v>276.81887</v>
      </c>
      <c r="K321" s="112">
        <f t="shared" si="18"/>
        <v>277</v>
      </c>
      <c r="L321" s="346">
        <f>IFERROR(VLOOKUP(C321,'[4]DE x PARA'!C316:K2315,7,FALSE),"SINTÉTICA")</f>
        <v>500008</v>
      </c>
      <c r="M321">
        <f>IFERROR(VLOOKUP(B321,'[4]DE x PARA'!B316:K2315,10,FALSE),"SINTÉTICA")</f>
        <v>600001</v>
      </c>
      <c r="N321">
        <f>IFERROR(VLOOKUP(M321,'[4]DE x PARA'!$K$2:$L$2001,2,FALSE),0)</f>
        <v>0</v>
      </c>
      <c r="O321">
        <f t="shared" si="19"/>
        <v>0</v>
      </c>
    </row>
    <row r="322" spans="1:15" ht="18">
      <c r="A322" t="str">
        <f t="shared" si="16"/>
        <v>4.1.3.01.0997</v>
      </c>
      <c r="B322" t="s">
        <v>1032</v>
      </c>
      <c r="C322">
        <v>4131997</v>
      </c>
      <c r="D322" t="s">
        <v>1033</v>
      </c>
      <c r="E322" s="77">
        <v>0</v>
      </c>
      <c r="F322" s="77">
        <v>10558.56</v>
      </c>
      <c r="G322" s="77">
        <v>0</v>
      </c>
      <c r="H322" s="77">
        <v>10558.56</v>
      </c>
      <c r="I322" s="77">
        <v>10558.56</v>
      </c>
      <c r="J322" s="112">
        <f t="shared" si="17"/>
        <v>10.55856</v>
      </c>
      <c r="K322" s="112">
        <f t="shared" si="18"/>
        <v>11</v>
      </c>
      <c r="L322" s="346">
        <f>IFERROR(VLOOKUP(C322,'[4]DE x PARA'!C317:K2316,7,FALSE),"SINTÉTICA")</f>
        <v>500004</v>
      </c>
      <c r="M322">
        <f>IFERROR(VLOOKUP(B322,'[4]DE x PARA'!B317:K2316,10,FALSE),"SINTÉTICA")</f>
        <v>600001</v>
      </c>
      <c r="N322">
        <f>IFERROR(VLOOKUP(M322,'[4]DE x PARA'!$K$2:$L$2001,2,FALSE),0)</f>
        <v>0</v>
      </c>
      <c r="O322">
        <f t="shared" si="19"/>
        <v>0</v>
      </c>
    </row>
    <row r="323" spans="1:15" ht="18">
      <c r="A323" t="str">
        <f t="shared" si="16"/>
        <v>4.1.4</v>
      </c>
      <c r="B323" t="s">
        <v>18</v>
      </c>
      <c r="C323">
        <v>414</v>
      </c>
      <c r="D323" t="s">
        <v>1034</v>
      </c>
      <c r="E323" s="77">
        <v>0</v>
      </c>
      <c r="F323" s="77">
        <v>222376.05</v>
      </c>
      <c r="G323" s="77">
        <v>0</v>
      </c>
      <c r="H323" s="77">
        <v>222376.05</v>
      </c>
      <c r="I323" s="77">
        <v>222376.05</v>
      </c>
      <c r="J323" s="112">
        <f t="shared" si="17"/>
        <v>222.37604999999999</v>
      </c>
      <c r="K323" s="112">
        <f t="shared" si="18"/>
        <v>222</v>
      </c>
      <c r="L323" s="346">
        <f>IFERROR(VLOOKUP(C323,'[4]DE x PARA'!C318:K2317,7,FALSE),"SINTÉTICA")</f>
        <v>0</v>
      </c>
      <c r="M323">
        <f>IFERROR(VLOOKUP(B323,'[4]DE x PARA'!B318:K2317,10,FALSE),"SINTÉTICA")</f>
        <v>0</v>
      </c>
      <c r="N323">
        <f>IFERROR(VLOOKUP(M323,'[4]DE x PARA'!$K$2:$L$2001,2,FALSE),0)</f>
        <v>0</v>
      </c>
      <c r="O323">
        <f t="shared" si="19"/>
        <v>0</v>
      </c>
    </row>
    <row r="324" spans="1:15" ht="18">
      <c r="A324" t="str">
        <f t="shared" si="16"/>
        <v>4.1.4.01</v>
      </c>
      <c r="B324" t="s">
        <v>1035</v>
      </c>
      <c r="C324">
        <v>4141</v>
      </c>
      <c r="D324" t="s">
        <v>17</v>
      </c>
      <c r="E324" s="77">
        <v>0</v>
      </c>
      <c r="F324" s="77">
        <v>222376.05</v>
      </c>
      <c r="G324" s="77">
        <v>0</v>
      </c>
      <c r="H324" s="77">
        <v>222376.05</v>
      </c>
      <c r="I324" s="77">
        <v>222376.05</v>
      </c>
      <c r="J324" s="112">
        <f t="shared" si="17"/>
        <v>222.37604999999999</v>
      </c>
      <c r="K324" s="112">
        <f t="shared" si="18"/>
        <v>222</v>
      </c>
      <c r="L324" s="346">
        <f>IFERROR(VLOOKUP(C324,'[4]DE x PARA'!C319:K2318,7,FALSE),"SINTÉTICA")</f>
        <v>0</v>
      </c>
      <c r="M324">
        <f>IFERROR(VLOOKUP(B324,'[4]DE x PARA'!B319:K2318,10,FALSE),"SINTÉTICA")</f>
        <v>0</v>
      </c>
      <c r="N324">
        <f>IFERROR(VLOOKUP(M324,'[4]DE x PARA'!$K$2:$L$2001,2,FALSE),0)</f>
        <v>0</v>
      </c>
      <c r="O324">
        <f t="shared" si="19"/>
        <v>0</v>
      </c>
    </row>
    <row r="325" spans="1:15" ht="18">
      <c r="A325" t="str">
        <f t="shared" si="16"/>
        <v>4.1.4.01.0002</v>
      </c>
      <c r="B325" t="s">
        <v>1036</v>
      </c>
      <c r="C325">
        <v>41412</v>
      </c>
      <c r="D325" t="s">
        <v>1037</v>
      </c>
      <c r="E325" s="77">
        <v>0</v>
      </c>
      <c r="F325" s="77">
        <v>210518.58</v>
      </c>
      <c r="G325" s="77">
        <v>0</v>
      </c>
      <c r="H325" s="77">
        <v>210518.58</v>
      </c>
      <c r="I325" s="77">
        <v>210518.58</v>
      </c>
      <c r="J325" s="112">
        <f t="shared" si="17"/>
        <v>210.51857999999999</v>
      </c>
      <c r="K325" s="112">
        <f t="shared" si="18"/>
        <v>211</v>
      </c>
      <c r="L325" s="346">
        <f>IFERROR(VLOOKUP(C325,'[4]DE x PARA'!C320:K2319,7,FALSE),"SINTÉTICA")</f>
        <v>500014</v>
      </c>
      <c r="M325">
        <f>IFERROR(VLOOKUP(B325,'[4]DE x PARA'!B320:K2319,10,FALSE),"SINTÉTICA")</f>
        <v>600001</v>
      </c>
      <c r="N325">
        <f>IFERROR(VLOOKUP(M325,'[4]DE x PARA'!$K$2:$L$2001,2,FALSE),0)</f>
        <v>0</v>
      </c>
      <c r="O325">
        <f t="shared" si="19"/>
        <v>0</v>
      </c>
    </row>
    <row r="326" spans="1:15" ht="18">
      <c r="A326" t="str">
        <f t="shared" si="16"/>
        <v>4.1.4.01.0008</v>
      </c>
      <c r="B326" t="s">
        <v>1038</v>
      </c>
      <c r="C326">
        <v>41418</v>
      </c>
      <c r="D326" t="s">
        <v>1039</v>
      </c>
      <c r="E326" s="77">
        <v>0</v>
      </c>
      <c r="F326" s="77">
        <v>11857.47</v>
      </c>
      <c r="G326" s="77">
        <v>0</v>
      </c>
      <c r="H326" s="77">
        <v>11857.47</v>
      </c>
      <c r="I326" s="77">
        <v>11857.47</v>
      </c>
      <c r="J326" s="112">
        <f t="shared" si="17"/>
        <v>11.857469999999999</v>
      </c>
      <c r="K326" s="112">
        <f t="shared" si="18"/>
        <v>12</v>
      </c>
      <c r="L326" s="346">
        <f>IFERROR(VLOOKUP(C326,'[4]DE x PARA'!C321:K2320,7,FALSE),"SINTÉTICA")</f>
        <v>500013</v>
      </c>
      <c r="M326">
        <f>IFERROR(VLOOKUP(B326,'[4]DE x PARA'!B321:K2320,10,FALSE),"SINTÉTICA")</f>
        <v>600001</v>
      </c>
      <c r="N326">
        <f>IFERROR(VLOOKUP(M326,'[4]DE x PARA'!$K$2:$L$2001,2,FALSE),0)</f>
        <v>0</v>
      </c>
      <c r="O326">
        <f t="shared" si="19"/>
        <v>0</v>
      </c>
    </row>
    <row r="327" spans="1:15" ht="18">
      <c r="A327" t="str">
        <f t="shared" si="16"/>
        <v>4.1.6</v>
      </c>
      <c r="B327" t="s">
        <v>1040</v>
      </c>
      <c r="C327">
        <v>416</v>
      </c>
      <c r="D327" t="s">
        <v>1041</v>
      </c>
      <c r="E327" s="77">
        <v>0</v>
      </c>
      <c r="F327" s="77">
        <v>5936379.6299999999</v>
      </c>
      <c r="G327" s="77">
        <v>-22638.17</v>
      </c>
      <c r="H327" s="77">
        <v>5913741.46</v>
      </c>
      <c r="I327" s="77">
        <v>5913741.46</v>
      </c>
      <c r="J327" s="112">
        <f t="shared" si="17"/>
        <v>5913.7414600000002</v>
      </c>
      <c r="K327" s="112">
        <f t="shared" si="18"/>
        <v>5914</v>
      </c>
      <c r="L327" s="346">
        <f>IFERROR(VLOOKUP(C327,'[4]DE x PARA'!C322:K2321,7,FALSE),"SINTÉTICA")</f>
        <v>0</v>
      </c>
      <c r="M327">
        <f>IFERROR(VLOOKUP(B327,'[4]DE x PARA'!B322:K2321,10,FALSE),"SINTÉTICA")</f>
        <v>0</v>
      </c>
      <c r="N327">
        <f>IFERROR(VLOOKUP(M327,'[4]DE x PARA'!$K$2:$L$2001,2,FALSE),0)</f>
        <v>0</v>
      </c>
      <c r="O327">
        <f t="shared" si="19"/>
        <v>0</v>
      </c>
    </row>
    <row r="328" spans="1:15" ht="18">
      <c r="A328" t="str">
        <f t="shared" ref="A328:A352" si="20">B328</f>
        <v>4.1.6.01</v>
      </c>
      <c r="B328" t="s">
        <v>14</v>
      </c>
      <c r="C328">
        <v>4161</v>
      </c>
      <c r="D328" t="s">
        <v>1042</v>
      </c>
      <c r="E328" s="77">
        <v>0</v>
      </c>
      <c r="F328" s="77">
        <v>3209058.83</v>
      </c>
      <c r="G328" s="77">
        <v>-2137.56</v>
      </c>
      <c r="H328" s="77">
        <v>3206921.27</v>
      </c>
      <c r="I328" s="77">
        <v>3206921.27</v>
      </c>
      <c r="J328" s="112">
        <f t="shared" ref="J328:J391" si="21">I328/1000</f>
        <v>3206.9212699999998</v>
      </c>
      <c r="K328" s="112">
        <f t="shared" ref="K328:K391" si="22">ROUND(J328,0)</f>
        <v>3207</v>
      </c>
      <c r="L328" s="346">
        <f>IFERROR(VLOOKUP(C328,'[4]DE x PARA'!C323:K2322,7,FALSE),"SINTÉTICA")</f>
        <v>0</v>
      </c>
      <c r="M328">
        <f>IFERROR(VLOOKUP(B328,'[4]DE x PARA'!B323:K2322,10,FALSE),"SINTÉTICA")</f>
        <v>0</v>
      </c>
      <c r="N328">
        <f>IFERROR(VLOOKUP(M328,'[4]DE x PARA'!$K$2:$L$2001,2,FALSE),0)</f>
        <v>0</v>
      </c>
      <c r="O328">
        <f t="shared" ref="O328:O391" si="23">+H328*N328</f>
        <v>0</v>
      </c>
    </row>
    <row r="329" spans="1:15" ht="18">
      <c r="A329" t="str">
        <f t="shared" si="20"/>
        <v>4.1.6.01.0001</v>
      </c>
      <c r="B329" t="s">
        <v>1043</v>
      </c>
      <c r="C329">
        <v>41611</v>
      </c>
      <c r="D329" t="s">
        <v>1044</v>
      </c>
      <c r="E329" s="77">
        <v>0</v>
      </c>
      <c r="F329" s="77">
        <v>1575414.4</v>
      </c>
      <c r="G329" s="77">
        <v>0</v>
      </c>
      <c r="H329" s="77">
        <v>1575414.4</v>
      </c>
      <c r="I329" s="77">
        <v>1575414.4</v>
      </c>
      <c r="J329" s="112">
        <f t="shared" si="21"/>
        <v>1575.4143999999999</v>
      </c>
      <c r="K329" s="112">
        <f t="shared" si="22"/>
        <v>1575</v>
      </c>
      <c r="L329" s="346">
        <f>IFERROR(VLOOKUP(C329,'[4]DE x PARA'!C324:K2323,7,FALSE),"SINTÉTICA")</f>
        <v>500017</v>
      </c>
      <c r="M329">
        <f>IFERROR(VLOOKUP(B329,'[4]DE x PARA'!B324:K2323,10,FALSE),"SINTÉTICA")</f>
        <v>600001</v>
      </c>
      <c r="N329">
        <f>IFERROR(VLOOKUP(M329,'[4]DE x PARA'!$K$2:$L$2001,2,FALSE),0)</f>
        <v>0</v>
      </c>
      <c r="O329">
        <f t="shared" si="23"/>
        <v>0</v>
      </c>
    </row>
    <row r="330" spans="1:15" ht="18">
      <c r="A330" t="str">
        <f t="shared" si="20"/>
        <v>4.1.6.01.0004</v>
      </c>
      <c r="B330" t="s">
        <v>1045</v>
      </c>
      <c r="C330">
        <v>41614</v>
      </c>
      <c r="D330" t="s">
        <v>1046</v>
      </c>
      <c r="E330" s="77">
        <v>0</v>
      </c>
      <c r="F330" s="77">
        <v>407326.36</v>
      </c>
      <c r="G330" s="77">
        <v>0</v>
      </c>
      <c r="H330" s="77">
        <v>407326.36</v>
      </c>
      <c r="I330" s="77">
        <v>407326.36</v>
      </c>
      <c r="J330" s="112">
        <f t="shared" si="21"/>
        <v>407.32635999999997</v>
      </c>
      <c r="K330" s="112">
        <f t="shared" si="22"/>
        <v>407</v>
      </c>
      <c r="L330" s="346">
        <f>IFERROR(VLOOKUP(C330,'[4]DE x PARA'!C325:K2324,7,FALSE),"SINTÉTICA")</f>
        <v>500004</v>
      </c>
      <c r="M330">
        <f>IFERROR(VLOOKUP(B330,'[4]DE x PARA'!B325:K2324,10,FALSE),"SINTÉTICA")</f>
        <v>600001</v>
      </c>
      <c r="N330">
        <f>IFERROR(VLOOKUP(M330,'[4]DE x PARA'!$K$2:$L$2001,2,FALSE),0)</f>
        <v>0</v>
      </c>
      <c r="O330">
        <f t="shared" si="23"/>
        <v>0</v>
      </c>
    </row>
    <row r="331" spans="1:15" ht="18">
      <c r="A331" t="str">
        <f t="shared" si="20"/>
        <v>4.1.6.01.0006</v>
      </c>
      <c r="B331" t="s">
        <v>1047</v>
      </c>
      <c r="C331">
        <v>41616</v>
      </c>
      <c r="D331" t="s">
        <v>1048</v>
      </c>
      <c r="E331" s="77">
        <v>0</v>
      </c>
      <c r="F331" s="77">
        <v>14517.5</v>
      </c>
      <c r="G331" s="77">
        <v>-2137.56</v>
      </c>
      <c r="H331" s="77">
        <v>12379.94</v>
      </c>
      <c r="I331" s="77">
        <v>12379.94</v>
      </c>
      <c r="J331" s="112">
        <f t="shared" si="21"/>
        <v>12.379940000000001</v>
      </c>
      <c r="K331" s="112">
        <f t="shared" si="22"/>
        <v>12</v>
      </c>
      <c r="L331" s="346">
        <f>IFERROR(VLOOKUP(C331,'[4]DE x PARA'!C326:K2325,7,FALSE),"SINTÉTICA")</f>
        <v>500004</v>
      </c>
      <c r="M331">
        <f>IFERROR(VLOOKUP(B331,'[4]DE x PARA'!B326:K2325,10,FALSE),"SINTÉTICA")</f>
        <v>600001</v>
      </c>
      <c r="N331">
        <f>IFERROR(VLOOKUP(M331,'[4]DE x PARA'!$K$2:$L$2001,2,FALSE),0)</f>
        <v>0</v>
      </c>
      <c r="O331">
        <f t="shared" si="23"/>
        <v>0</v>
      </c>
    </row>
    <row r="332" spans="1:15" ht="18">
      <c r="A332" t="str">
        <f t="shared" si="20"/>
        <v>4.1.6.01.0010</v>
      </c>
      <c r="B332" t="s">
        <v>1049</v>
      </c>
      <c r="C332">
        <v>416110</v>
      </c>
      <c r="D332" t="s">
        <v>1050</v>
      </c>
      <c r="E332" s="77">
        <v>0</v>
      </c>
      <c r="F332" s="77">
        <v>115.84</v>
      </c>
      <c r="G332" s="77">
        <v>0</v>
      </c>
      <c r="H332" s="77">
        <v>115.84</v>
      </c>
      <c r="I332" s="77">
        <v>115.84</v>
      </c>
      <c r="J332" s="112">
        <f t="shared" si="21"/>
        <v>0.11584</v>
      </c>
      <c r="K332" s="112">
        <f t="shared" si="22"/>
        <v>0</v>
      </c>
      <c r="L332" s="346">
        <f>IFERROR(VLOOKUP(C332,'[4]DE x PARA'!C327:K2326,7,FALSE),"SINTÉTICA")</f>
        <v>500004</v>
      </c>
      <c r="M332">
        <f>IFERROR(VLOOKUP(B332,'[4]DE x PARA'!B327:K2326,10,FALSE),"SINTÉTICA")</f>
        <v>600001</v>
      </c>
      <c r="N332">
        <f>IFERROR(VLOOKUP(M332,'[4]DE x PARA'!$K$2:$L$2001,2,FALSE),0)</f>
        <v>0</v>
      </c>
      <c r="O332">
        <f t="shared" si="23"/>
        <v>0</v>
      </c>
    </row>
    <row r="333" spans="1:15" ht="18">
      <c r="A333" t="str">
        <f t="shared" si="20"/>
        <v>4.1.6.01.0012</v>
      </c>
      <c r="B333" t="s">
        <v>1051</v>
      </c>
      <c r="C333">
        <v>416112</v>
      </c>
      <c r="D333" t="s">
        <v>1052</v>
      </c>
      <c r="E333" s="77">
        <v>0</v>
      </c>
      <c r="F333" s="77">
        <v>52426.96</v>
      </c>
      <c r="G333" s="77">
        <v>0</v>
      </c>
      <c r="H333" s="77">
        <v>52426.96</v>
      </c>
      <c r="I333" s="77">
        <v>52426.96</v>
      </c>
      <c r="J333" s="112">
        <f t="shared" si="21"/>
        <v>52.426960000000001</v>
      </c>
      <c r="K333" s="112">
        <f t="shared" si="22"/>
        <v>52</v>
      </c>
      <c r="L333" s="346">
        <f>IFERROR(VLOOKUP(C333,'[4]DE x PARA'!C328:K2327,7,FALSE),"SINTÉTICA")</f>
        <v>500017</v>
      </c>
      <c r="M333">
        <f>IFERROR(VLOOKUP(B333,'[4]DE x PARA'!B328:K2327,10,FALSE),"SINTÉTICA")</f>
        <v>600001</v>
      </c>
      <c r="N333">
        <f>IFERROR(VLOOKUP(M333,'[4]DE x PARA'!$K$2:$L$2001,2,FALSE),0)</f>
        <v>0</v>
      </c>
      <c r="O333">
        <f t="shared" si="23"/>
        <v>0</v>
      </c>
    </row>
    <row r="334" spans="1:15" ht="18">
      <c r="A334" t="str">
        <f t="shared" si="20"/>
        <v>4.1.6.01.0014</v>
      </c>
      <c r="B334" t="s">
        <v>1053</v>
      </c>
      <c r="C334">
        <v>416114</v>
      </c>
      <c r="D334" t="s">
        <v>1054</v>
      </c>
      <c r="E334" s="77">
        <v>0</v>
      </c>
      <c r="F334" s="77">
        <v>338128.8</v>
      </c>
      <c r="G334" s="77">
        <v>0</v>
      </c>
      <c r="H334" s="77">
        <v>338128.8</v>
      </c>
      <c r="I334" s="77">
        <v>338128.8</v>
      </c>
      <c r="J334" s="112">
        <f t="shared" si="21"/>
        <v>338.12880000000001</v>
      </c>
      <c r="K334" s="112">
        <f t="shared" si="22"/>
        <v>338</v>
      </c>
      <c r="L334" s="346">
        <f>IFERROR(VLOOKUP(C334,'[4]DE x PARA'!C329:K2328,7,FALSE),"SINTÉTICA")</f>
        <v>500004</v>
      </c>
      <c r="M334">
        <f>IFERROR(VLOOKUP(B334,'[4]DE x PARA'!B329:K2328,10,FALSE),"SINTÉTICA")</f>
        <v>600001</v>
      </c>
      <c r="N334">
        <f>IFERROR(VLOOKUP(M334,'[4]DE x PARA'!$K$2:$L$2001,2,FALSE),0)</f>
        <v>0</v>
      </c>
      <c r="O334">
        <f t="shared" si="23"/>
        <v>0</v>
      </c>
    </row>
    <row r="335" spans="1:15" ht="18">
      <c r="A335" t="str">
        <f t="shared" si="20"/>
        <v>4.1.6.01.0015</v>
      </c>
      <c r="B335" t="s">
        <v>1055</v>
      </c>
      <c r="C335">
        <v>416115</v>
      </c>
      <c r="D335" t="s">
        <v>1056</v>
      </c>
      <c r="E335" s="77">
        <v>0</v>
      </c>
      <c r="F335" s="77">
        <v>220630.34</v>
      </c>
      <c r="G335" s="77">
        <v>0</v>
      </c>
      <c r="H335" s="77">
        <v>220630.34</v>
      </c>
      <c r="I335" s="77">
        <v>220630.34</v>
      </c>
      <c r="J335" s="112">
        <f t="shared" si="21"/>
        <v>220.63033999999999</v>
      </c>
      <c r="K335" s="112">
        <f t="shared" si="22"/>
        <v>221</v>
      </c>
      <c r="L335" s="346">
        <f>IFERROR(VLOOKUP(C335,'[4]DE x PARA'!C330:K2329,7,FALSE),"SINTÉTICA")</f>
        <v>500004</v>
      </c>
      <c r="M335">
        <f>IFERROR(VLOOKUP(B335,'[4]DE x PARA'!B330:K2329,10,FALSE),"SINTÉTICA")</f>
        <v>600001</v>
      </c>
      <c r="N335">
        <f>IFERROR(VLOOKUP(M335,'[4]DE x PARA'!$K$2:$L$2001,2,FALSE),0)</f>
        <v>0</v>
      </c>
      <c r="O335">
        <f t="shared" si="23"/>
        <v>0</v>
      </c>
    </row>
    <row r="336" spans="1:15" ht="18">
      <c r="A336" t="str">
        <f t="shared" si="20"/>
        <v>4.1.6.01.0016</v>
      </c>
      <c r="B336" t="s">
        <v>1057</v>
      </c>
      <c r="C336">
        <v>416116</v>
      </c>
      <c r="D336" t="s">
        <v>1058</v>
      </c>
      <c r="E336" s="77">
        <v>0</v>
      </c>
      <c r="F336" s="77">
        <v>600498.63</v>
      </c>
      <c r="G336" s="77">
        <v>0</v>
      </c>
      <c r="H336" s="77">
        <v>600498.63</v>
      </c>
      <c r="I336" s="77">
        <v>600498.63</v>
      </c>
      <c r="J336" s="112">
        <f t="shared" si="21"/>
        <v>600.49863000000005</v>
      </c>
      <c r="K336" s="112">
        <f t="shared" si="22"/>
        <v>600</v>
      </c>
      <c r="L336" s="346">
        <f>IFERROR(VLOOKUP(C336,'[4]DE x PARA'!C331:K2330,7,FALSE),"SINTÉTICA")</f>
        <v>500004</v>
      </c>
      <c r="M336">
        <f>IFERROR(VLOOKUP(B336,'[4]DE x PARA'!B331:K2330,10,FALSE),"SINTÉTICA")</f>
        <v>600001</v>
      </c>
      <c r="N336">
        <f>IFERROR(VLOOKUP(M336,'[4]DE x PARA'!$K$2:$L$2001,2,FALSE),0)</f>
        <v>0</v>
      </c>
      <c r="O336">
        <f t="shared" si="23"/>
        <v>0</v>
      </c>
    </row>
    <row r="337" spans="1:15" ht="18">
      <c r="A337" t="str">
        <f t="shared" si="20"/>
        <v>4.1.6.02</v>
      </c>
      <c r="B337" t="s">
        <v>16</v>
      </c>
      <c r="C337">
        <v>4162</v>
      </c>
      <c r="D337" t="s">
        <v>1059</v>
      </c>
      <c r="E337" s="77">
        <v>0</v>
      </c>
      <c r="F337" s="77">
        <v>2727320.8</v>
      </c>
      <c r="G337" s="77">
        <v>-20500.61</v>
      </c>
      <c r="H337" s="77">
        <v>2706820.19</v>
      </c>
      <c r="I337" s="77">
        <v>2706820.19</v>
      </c>
      <c r="J337" s="112">
        <f t="shared" si="21"/>
        <v>2706.8201899999999</v>
      </c>
      <c r="K337" s="112">
        <f t="shared" si="22"/>
        <v>2707</v>
      </c>
      <c r="L337" s="346">
        <f>IFERROR(VLOOKUP(C337,'[4]DE x PARA'!C332:K2331,7,FALSE),"SINTÉTICA")</f>
        <v>0</v>
      </c>
      <c r="M337">
        <f>IFERROR(VLOOKUP(B337,'[4]DE x PARA'!B332:K2331,10,FALSE),"SINTÉTICA")</f>
        <v>0</v>
      </c>
      <c r="N337">
        <f>IFERROR(VLOOKUP(M337,'[4]DE x PARA'!$K$2:$L$2001,2,FALSE),0)</f>
        <v>0</v>
      </c>
      <c r="O337">
        <f t="shared" si="23"/>
        <v>0</v>
      </c>
    </row>
    <row r="338" spans="1:15" ht="18">
      <c r="A338" t="str">
        <f t="shared" si="20"/>
        <v>4.1.6.02.0001</v>
      </c>
      <c r="B338" t="s">
        <v>1060</v>
      </c>
      <c r="C338">
        <v>41621</v>
      </c>
      <c r="D338" t="s">
        <v>1061</v>
      </c>
      <c r="E338" s="77">
        <v>0</v>
      </c>
      <c r="F338" s="77">
        <v>397023.83</v>
      </c>
      <c r="G338" s="77">
        <v>0</v>
      </c>
      <c r="H338" s="77">
        <v>397023.83</v>
      </c>
      <c r="I338" s="77">
        <v>397023.83</v>
      </c>
      <c r="J338" s="112">
        <f t="shared" si="21"/>
        <v>397.02383000000003</v>
      </c>
      <c r="K338" s="112">
        <f t="shared" si="22"/>
        <v>397</v>
      </c>
      <c r="L338" s="346">
        <f>IFERROR(VLOOKUP(C338,'[4]DE x PARA'!C333:K2332,7,FALSE),"SINTÉTICA")</f>
        <v>500008</v>
      </c>
      <c r="M338">
        <f>IFERROR(VLOOKUP(B338,'[4]DE x PARA'!B333:K2332,10,FALSE),"SINTÉTICA")</f>
        <v>600001</v>
      </c>
      <c r="N338">
        <f>IFERROR(VLOOKUP(M338,'[4]DE x PARA'!$K$2:$L$2001,2,FALSE),0)</f>
        <v>0</v>
      </c>
      <c r="O338">
        <f t="shared" si="23"/>
        <v>0</v>
      </c>
    </row>
    <row r="339" spans="1:15" ht="18">
      <c r="A339" t="str">
        <f t="shared" si="20"/>
        <v>4.1.6.02.0002</v>
      </c>
      <c r="B339" t="s">
        <v>1062</v>
      </c>
      <c r="C339">
        <v>41622</v>
      </c>
      <c r="D339" t="s">
        <v>1063</v>
      </c>
      <c r="E339" s="77">
        <v>0</v>
      </c>
      <c r="F339" s="77">
        <v>15960.43</v>
      </c>
      <c r="G339" s="77">
        <v>-15960.43</v>
      </c>
      <c r="H339" s="77">
        <v>0</v>
      </c>
      <c r="I339" s="77">
        <v>0</v>
      </c>
      <c r="J339" s="112">
        <f t="shared" si="21"/>
        <v>0</v>
      </c>
      <c r="K339" s="112">
        <f t="shared" si="22"/>
        <v>0</v>
      </c>
      <c r="L339" s="346">
        <f>IFERROR(VLOOKUP(C339,'[4]DE x PARA'!C334:K2333,7,FALSE),"SINTÉTICA")</f>
        <v>500008</v>
      </c>
      <c r="M339">
        <f>IFERROR(VLOOKUP(B339,'[4]DE x PARA'!B334:K2333,10,FALSE),"SINTÉTICA")</f>
        <v>600001</v>
      </c>
      <c r="N339">
        <f>IFERROR(VLOOKUP(M339,'[4]DE x PARA'!$K$2:$L$2001,2,FALSE),0)</f>
        <v>0</v>
      </c>
      <c r="O339">
        <f t="shared" si="23"/>
        <v>0</v>
      </c>
    </row>
    <row r="340" spans="1:15" ht="18">
      <c r="A340" t="str">
        <f t="shared" si="20"/>
        <v>4.1.6.02.0004</v>
      </c>
      <c r="B340" t="s">
        <v>1064</v>
      </c>
      <c r="C340">
        <v>41624</v>
      </c>
      <c r="D340" t="s">
        <v>1065</v>
      </c>
      <c r="E340" s="77">
        <v>0</v>
      </c>
      <c r="F340" s="77">
        <v>632851.97</v>
      </c>
      <c r="G340" s="77">
        <v>0</v>
      </c>
      <c r="H340" s="77">
        <v>632851.97</v>
      </c>
      <c r="I340" s="77">
        <v>632851.97</v>
      </c>
      <c r="J340" s="112">
        <f t="shared" si="21"/>
        <v>632.85196999999994</v>
      </c>
      <c r="K340" s="112">
        <f t="shared" si="22"/>
        <v>633</v>
      </c>
      <c r="L340" s="346">
        <f>IFERROR(VLOOKUP(C340,'[4]DE x PARA'!C335:K2334,7,FALSE),"SINTÉTICA")</f>
        <v>500004</v>
      </c>
      <c r="M340">
        <f>IFERROR(VLOOKUP(B340,'[4]DE x PARA'!B335:K2334,10,FALSE),"SINTÉTICA")</f>
        <v>600001</v>
      </c>
      <c r="N340">
        <f>IFERROR(VLOOKUP(M340,'[4]DE x PARA'!$K$2:$L$2001,2,FALSE),0)</f>
        <v>0</v>
      </c>
      <c r="O340">
        <f t="shared" si="23"/>
        <v>0</v>
      </c>
    </row>
    <row r="341" spans="1:15" ht="18">
      <c r="A341" t="str">
        <f t="shared" si="20"/>
        <v>4.1.6.02.0006</v>
      </c>
      <c r="B341" t="s">
        <v>1066</v>
      </c>
      <c r="C341">
        <v>41626</v>
      </c>
      <c r="D341" t="s">
        <v>1067</v>
      </c>
      <c r="E341" s="77">
        <v>0</v>
      </c>
      <c r="F341" s="77">
        <v>187464.6</v>
      </c>
      <c r="G341" s="77">
        <v>-4540.18</v>
      </c>
      <c r="H341" s="77">
        <v>182924.42</v>
      </c>
      <c r="I341" s="77">
        <v>182924.42</v>
      </c>
      <c r="J341" s="112">
        <f t="shared" si="21"/>
        <v>182.92442000000003</v>
      </c>
      <c r="K341" s="112">
        <f t="shared" si="22"/>
        <v>183</v>
      </c>
      <c r="L341" s="346">
        <f>IFERROR(VLOOKUP(C341,'[4]DE x PARA'!C336:K2335,7,FALSE),"SINTÉTICA")</f>
        <v>500004</v>
      </c>
      <c r="M341">
        <f>IFERROR(VLOOKUP(B341,'[4]DE x PARA'!B336:K2335,10,FALSE),"SINTÉTICA")</f>
        <v>600001</v>
      </c>
      <c r="N341">
        <f>IFERROR(VLOOKUP(M341,'[4]DE x PARA'!$K$2:$L$2001,2,FALSE),0)</f>
        <v>0</v>
      </c>
      <c r="O341">
        <f t="shared" si="23"/>
        <v>0</v>
      </c>
    </row>
    <row r="342" spans="1:15" ht="18">
      <c r="A342" t="str">
        <f t="shared" si="20"/>
        <v>4.1.6.02.0007</v>
      </c>
      <c r="B342" t="s">
        <v>1068</v>
      </c>
      <c r="C342">
        <v>41627</v>
      </c>
      <c r="D342" t="s">
        <v>1069</v>
      </c>
      <c r="E342" s="77">
        <v>0</v>
      </c>
      <c r="F342" s="77">
        <v>1246869.3799999999</v>
      </c>
      <c r="G342" s="77">
        <v>0</v>
      </c>
      <c r="H342" s="77">
        <v>1246869.3799999999</v>
      </c>
      <c r="I342" s="77">
        <v>1246869.3799999999</v>
      </c>
      <c r="J342" s="112">
        <f t="shared" si="21"/>
        <v>1246.8693799999999</v>
      </c>
      <c r="K342" s="112">
        <f t="shared" si="22"/>
        <v>1247</v>
      </c>
      <c r="L342" s="346">
        <f>IFERROR(VLOOKUP(C342,'[4]DE x PARA'!C337:K2336,7,FALSE),"SINTÉTICA")</f>
        <v>500004</v>
      </c>
      <c r="M342">
        <f>IFERROR(VLOOKUP(B342,'[4]DE x PARA'!B337:K2336,10,FALSE),"SINTÉTICA")</f>
        <v>600001</v>
      </c>
      <c r="N342">
        <f>IFERROR(VLOOKUP(M342,'[4]DE x PARA'!$K$2:$L$2001,2,FALSE),0)</f>
        <v>0</v>
      </c>
      <c r="O342">
        <f t="shared" si="23"/>
        <v>0</v>
      </c>
    </row>
    <row r="343" spans="1:15" ht="18">
      <c r="A343" t="str">
        <f t="shared" si="20"/>
        <v>4.1.6.02.0010</v>
      </c>
      <c r="B343" t="s">
        <v>1070</v>
      </c>
      <c r="C343">
        <v>416210</v>
      </c>
      <c r="D343" t="s">
        <v>1071</v>
      </c>
      <c r="E343" s="77">
        <v>0</v>
      </c>
      <c r="F343" s="77">
        <v>247150.59</v>
      </c>
      <c r="G343" s="77">
        <v>0</v>
      </c>
      <c r="H343" s="77">
        <v>247150.59</v>
      </c>
      <c r="I343" s="77">
        <v>247150.59</v>
      </c>
      <c r="J343" s="112">
        <f t="shared" si="21"/>
        <v>247.15058999999999</v>
      </c>
      <c r="K343" s="112">
        <f t="shared" si="22"/>
        <v>247</v>
      </c>
      <c r="L343" s="346">
        <f>IFERROR(VLOOKUP(C343,'[4]DE x PARA'!C338:K2337,7,FALSE),"SINTÉTICA")</f>
        <v>500004</v>
      </c>
      <c r="M343">
        <f>IFERROR(VLOOKUP(B343,'[4]DE x PARA'!B338:K2337,10,FALSE),"SINTÉTICA")</f>
        <v>600001</v>
      </c>
      <c r="N343">
        <f>IFERROR(VLOOKUP(M343,'[4]DE x PARA'!$K$2:$L$2001,2,FALSE),0)</f>
        <v>0</v>
      </c>
      <c r="O343">
        <f t="shared" si="23"/>
        <v>0</v>
      </c>
    </row>
    <row r="344" spans="1:15" ht="18">
      <c r="A344" t="str">
        <f t="shared" si="20"/>
        <v>4.2</v>
      </c>
      <c r="B344" t="s">
        <v>1072</v>
      </c>
      <c r="C344">
        <v>42</v>
      </c>
      <c r="D344" t="s">
        <v>1073</v>
      </c>
      <c r="E344" s="77">
        <v>0</v>
      </c>
      <c r="F344" s="77">
        <v>30499191.140000001</v>
      </c>
      <c r="G344" s="77">
        <v>-1804749.57</v>
      </c>
      <c r="H344" s="77">
        <v>28694441.57</v>
      </c>
      <c r="I344" s="77">
        <v>28694441.57</v>
      </c>
      <c r="J344" s="112">
        <f t="shared" si="21"/>
        <v>28694.441569999999</v>
      </c>
      <c r="K344" s="112">
        <f t="shared" si="22"/>
        <v>28694</v>
      </c>
      <c r="L344" s="346">
        <f>IFERROR(VLOOKUP(C344,'[4]DE x PARA'!C339:K2338,7,FALSE),"SINTÉTICA")</f>
        <v>0</v>
      </c>
      <c r="M344">
        <f>IFERROR(VLOOKUP(B344,'[4]DE x PARA'!B339:K2338,10,FALSE),"SINTÉTICA")</f>
        <v>0</v>
      </c>
      <c r="N344">
        <f>IFERROR(VLOOKUP(M344,'[4]DE x PARA'!$K$2:$L$2001,2,FALSE),0)</f>
        <v>0</v>
      </c>
      <c r="O344">
        <f t="shared" si="23"/>
        <v>0</v>
      </c>
    </row>
    <row r="345" spans="1:15" ht="18">
      <c r="A345" t="str">
        <f t="shared" si="20"/>
        <v>4.2.1</v>
      </c>
      <c r="B345" t="s">
        <v>1074</v>
      </c>
      <c r="C345">
        <v>421</v>
      </c>
      <c r="D345" t="s">
        <v>1075</v>
      </c>
      <c r="E345" s="77">
        <v>0</v>
      </c>
      <c r="F345" s="77">
        <v>17336615.850000001</v>
      </c>
      <c r="G345" s="77">
        <v>-225990.28</v>
      </c>
      <c r="H345" s="77">
        <v>17110625.57</v>
      </c>
      <c r="I345" s="77">
        <v>17110625.57</v>
      </c>
      <c r="J345" s="112">
        <f t="shared" si="21"/>
        <v>17110.62557</v>
      </c>
      <c r="K345" s="112">
        <f t="shared" si="22"/>
        <v>17111</v>
      </c>
      <c r="L345" s="346">
        <f>IFERROR(VLOOKUP(C345,'[4]DE x PARA'!C340:K2339,7,FALSE),"SINTÉTICA")</f>
        <v>0</v>
      </c>
      <c r="M345">
        <f>IFERROR(VLOOKUP(B345,'[4]DE x PARA'!B340:K2339,10,FALSE),"SINTÉTICA")</f>
        <v>0</v>
      </c>
      <c r="N345">
        <f>IFERROR(VLOOKUP(M345,'[4]DE x PARA'!$K$2:$L$2001,2,FALSE),0)</f>
        <v>0</v>
      </c>
      <c r="O345">
        <f t="shared" si="23"/>
        <v>0</v>
      </c>
    </row>
    <row r="346" spans="1:15" ht="18">
      <c r="A346" t="str">
        <f t="shared" si="20"/>
        <v>4.2.1.01</v>
      </c>
      <c r="B346" t="s">
        <v>1076</v>
      </c>
      <c r="C346">
        <v>4211</v>
      </c>
      <c r="D346" t="s">
        <v>976</v>
      </c>
      <c r="E346" s="77">
        <v>0</v>
      </c>
      <c r="F346" s="77">
        <v>11981507.810000001</v>
      </c>
      <c r="G346" s="77">
        <v>-137098.99</v>
      </c>
      <c r="H346" s="77">
        <v>11844408.82</v>
      </c>
      <c r="I346" s="77">
        <v>11844408.82</v>
      </c>
      <c r="J346" s="112">
        <f t="shared" si="21"/>
        <v>11844.408820000001</v>
      </c>
      <c r="K346" s="112">
        <f t="shared" si="22"/>
        <v>11844</v>
      </c>
      <c r="L346" s="346">
        <f>IFERROR(VLOOKUP(C346,'[4]DE x PARA'!C341:K2340,7,FALSE),"SINTÉTICA")</f>
        <v>0</v>
      </c>
      <c r="M346">
        <f>IFERROR(VLOOKUP(B346,'[4]DE x PARA'!B341:K2340,10,FALSE),"SINTÉTICA")</f>
        <v>0</v>
      </c>
      <c r="N346">
        <f>IFERROR(VLOOKUP(M346,'[4]DE x PARA'!$K$2:$L$2001,2,FALSE),0)</f>
        <v>0</v>
      </c>
      <c r="O346">
        <f t="shared" si="23"/>
        <v>0</v>
      </c>
    </row>
    <row r="347" spans="1:15" ht="18">
      <c r="A347" t="str">
        <f t="shared" si="20"/>
        <v>4.2.1.01.0001</v>
      </c>
      <c r="B347" t="s">
        <v>1077</v>
      </c>
      <c r="C347">
        <v>42111</v>
      </c>
      <c r="D347" t="s">
        <v>978</v>
      </c>
      <c r="E347" s="77">
        <v>0</v>
      </c>
      <c r="F347" s="77">
        <v>9654456.2799999993</v>
      </c>
      <c r="G347" s="77">
        <v>-5962.18</v>
      </c>
      <c r="H347" s="77">
        <v>9648494.0999999996</v>
      </c>
      <c r="I347" s="77">
        <v>9648494.0999999996</v>
      </c>
      <c r="J347" s="112">
        <f t="shared" si="21"/>
        <v>9648.4940999999999</v>
      </c>
      <c r="K347" s="112">
        <f t="shared" si="22"/>
        <v>9648</v>
      </c>
      <c r="L347" s="346">
        <f>IFERROR(VLOOKUP(C347,'[4]DE x PARA'!C342:K2341,7,FALSE),"SINTÉTICA")</f>
        <v>500008</v>
      </c>
      <c r="M347">
        <f>IFERROR(VLOOKUP(B347,'[4]DE x PARA'!B342:K2341,10,FALSE),"SINTÉTICA")</f>
        <v>600001</v>
      </c>
      <c r="N347">
        <f>IFERROR(VLOOKUP(M347,'[4]DE x PARA'!$K$2:$L$2001,2,FALSE),0)</f>
        <v>0</v>
      </c>
      <c r="O347">
        <f t="shared" si="23"/>
        <v>0</v>
      </c>
    </row>
    <row r="348" spans="1:15" ht="18">
      <c r="A348" t="str">
        <f t="shared" si="20"/>
        <v>4.2.1.01.0007</v>
      </c>
      <c r="B348" t="s">
        <v>1078</v>
      </c>
      <c r="C348" s="580">
        <v>42117</v>
      </c>
      <c r="D348" t="s">
        <v>980</v>
      </c>
      <c r="E348" s="77">
        <v>0</v>
      </c>
      <c r="F348" s="77">
        <v>1252964.99</v>
      </c>
      <c r="G348" s="77">
        <v>-131136.81</v>
      </c>
      <c r="H348" s="77">
        <v>1121828.18</v>
      </c>
      <c r="I348" s="77">
        <v>1121828.18</v>
      </c>
      <c r="J348" s="112">
        <f t="shared" si="21"/>
        <v>1121.82818</v>
      </c>
      <c r="K348" s="112">
        <f t="shared" si="22"/>
        <v>1122</v>
      </c>
      <c r="L348" s="346">
        <f>IFERROR(VLOOKUP(C348,'[4]DE x PARA'!C343:K2342,7,FALSE),"SINTÉTICA")</f>
        <v>500008</v>
      </c>
      <c r="M348">
        <f>IFERROR(VLOOKUP(B348,'[4]DE x PARA'!B343:K2342,10,FALSE),"SINTÉTICA")</f>
        <v>600001</v>
      </c>
      <c r="N348">
        <f>IFERROR(VLOOKUP(M348,'[4]DE x PARA'!$K$2:$L$2001,2,FALSE),0)</f>
        <v>0</v>
      </c>
      <c r="O348">
        <f t="shared" si="23"/>
        <v>0</v>
      </c>
    </row>
    <row r="349" spans="1:15" ht="18">
      <c r="A349" t="str">
        <f t="shared" si="20"/>
        <v>4.2.1.01.0008</v>
      </c>
      <c r="B349" t="s">
        <v>1079</v>
      </c>
      <c r="C349">
        <v>42118</v>
      </c>
      <c r="D349" t="s">
        <v>982</v>
      </c>
      <c r="E349" s="77">
        <v>0</v>
      </c>
      <c r="F349" s="77">
        <v>120125.84</v>
      </c>
      <c r="G349" s="77">
        <v>0</v>
      </c>
      <c r="H349" s="77">
        <v>120125.84</v>
      </c>
      <c r="I349" s="77">
        <v>120125.84</v>
      </c>
      <c r="J349" s="112">
        <f t="shared" si="21"/>
        <v>120.12584</v>
      </c>
      <c r="K349" s="112">
        <f t="shared" si="22"/>
        <v>120</v>
      </c>
      <c r="L349" s="346">
        <f>IFERROR(VLOOKUP(C349,'[4]DE x PARA'!C344:K2343,7,FALSE),"SINTÉTICA")</f>
        <v>500008</v>
      </c>
      <c r="M349">
        <f>IFERROR(VLOOKUP(B349,'[4]DE x PARA'!B344:K2343,10,FALSE),"SINTÉTICA")</f>
        <v>600001</v>
      </c>
      <c r="N349">
        <f>IFERROR(VLOOKUP(M349,'[4]DE x PARA'!$K$2:$L$2001,2,FALSE),0)</f>
        <v>0</v>
      </c>
      <c r="O349">
        <f t="shared" si="23"/>
        <v>0</v>
      </c>
    </row>
    <row r="350" spans="1:15" ht="18">
      <c r="A350" t="str">
        <f t="shared" si="20"/>
        <v>4.2.1.01.0009</v>
      </c>
      <c r="B350" t="s">
        <v>1080</v>
      </c>
      <c r="C350">
        <v>42119</v>
      </c>
      <c r="D350" t="s">
        <v>1081</v>
      </c>
      <c r="E350" s="77">
        <v>0</v>
      </c>
      <c r="F350" s="77">
        <v>902971.38</v>
      </c>
      <c r="G350" s="77">
        <v>0</v>
      </c>
      <c r="H350" s="77">
        <v>902971.38</v>
      </c>
      <c r="I350" s="77">
        <v>902971.38</v>
      </c>
      <c r="J350" s="112">
        <f t="shared" si="21"/>
        <v>902.97137999999995</v>
      </c>
      <c r="K350" s="112">
        <f t="shared" si="22"/>
        <v>903</v>
      </c>
      <c r="L350" s="346">
        <f>IFERROR(VLOOKUP(C350,'[4]DE x PARA'!C345:K2344,7,FALSE),"SINTÉTICA")</f>
        <v>500008</v>
      </c>
      <c r="M350">
        <f>IFERROR(VLOOKUP(B350,'[4]DE x PARA'!B345:K2344,10,FALSE),"SINTÉTICA")</f>
        <v>600001</v>
      </c>
      <c r="N350">
        <f>IFERROR(VLOOKUP(M350,'[4]DE x PARA'!$K$2:$L$2001,2,FALSE),0)</f>
        <v>0</v>
      </c>
      <c r="O350">
        <f t="shared" si="23"/>
        <v>0</v>
      </c>
    </row>
    <row r="351" spans="1:15" ht="18">
      <c r="A351" t="str">
        <f t="shared" si="20"/>
        <v>4.2.1.01.0010</v>
      </c>
      <c r="B351" t="s">
        <v>1082</v>
      </c>
      <c r="C351">
        <v>421110</v>
      </c>
      <c r="D351" t="s">
        <v>986</v>
      </c>
      <c r="E351" s="77">
        <v>0</v>
      </c>
      <c r="F351" s="77">
        <v>43415.91</v>
      </c>
      <c r="G351" s="77">
        <v>0</v>
      </c>
      <c r="H351" s="77">
        <v>43415.91</v>
      </c>
      <c r="I351" s="77">
        <v>43415.91</v>
      </c>
      <c r="J351" s="112">
        <f t="shared" si="21"/>
        <v>43.415910000000004</v>
      </c>
      <c r="K351" s="112">
        <f t="shared" si="22"/>
        <v>43</v>
      </c>
      <c r="L351" s="346">
        <f>IFERROR(VLOOKUP(C351,'[4]DE x PARA'!C346:K2345,7,FALSE),"SINTÉTICA")</f>
        <v>500008</v>
      </c>
      <c r="M351">
        <f>IFERROR(VLOOKUP(B351,'[4]DE x PARA'!B346:K2345,10,FALSE),"SINTÉTICA")</f>
        <v>600001</v>
      </c>
      <c r="N351">
        <f>IFERROR(VLOOKUP(M351,'[4]DE x PARA'!$K$2:$L$2001,2,FALSE),0)</f>
        <v>0</v>
      </c>
      <c r="O351">
        <f t="shared" si="23"/>
        <v>0</v>
      </c>
    </row>
    <row r="352" spans="1:15" ht="18">
      <c r="A352" t="str">
        <f t="shared" si="20"/>
        <v>4.2.1.01.0012</v>
      </c>
      <c r="B352" t="s">
        <v>1083</v>
      </c>
      <c r="C352">
        <v>421112</v>
      </c>
      <c r="D352" t="s">
        <v>988</v>
      </c>
      <c r="E352" s="77">
        <v>0</v>
      </c>
      <c r="F352" s="77">
        <v>7573.41</v>
      </c>
      <c r="G352" s="77">
        <v>0</v>
      </c>
      <c r="H352" s="77">
        <v>7573.41</v>
      </c>
      <c r="I352" s="77">
        <v>7573.41</v>
      </c>
      <c r="J352" s="112">
        <f t="shared" si="21"/>
        <v>7.57341</v>
      </c>
      <c r="K352" s="112">
        <f t="shared" si="22"/>
        <v>8</v>
      </c>
      <c r="L352" s="346">
        <f>IFERROR(VLOOKUP(C352,'[4]DE x PARA'!C347:K2346,7,FALSE),"SINTÉTICA")</f>
        <v>500008</v>
      </c>
      <c r="M352">
        <f>IFERROR(VLOOKUP(B352,'[4]DE x PARA'!B347:K2346,10,FALSE),"SINTÉTICA")</f>
        <v>600001</v>
      </c>
      <c r="N352">
        <f>IFERROR(VLOOKUP(M352,'[4]DE x PARA'!$K$2:$L$2001,2,FALSE),0)</f>
        <v>0</v>
      </c>
      <c r="O352">
        <f t="shared" si="23"/>
        <v>0</v>
      </c>
    </row>
    <row r="353" spans="1:15" ht="18">
      <c r="A353" t="str">
        <f>B353</f>
        <v>4.2.1.02</v>
      </c>
      <c r="B353" t="s">
        <v>1084</v>
      </c>
      <c r="C353">
        <v>4212</v>
      </c>
      <c r="D353" t="s">
        <v>8</v>
      </c>
      <c r="E353" s="77">
        <v>0</v>
      </c>
      <c r="F353" s="77">
        <v>3517758.59</v>
      </c>
      <c r="G353" s="77">
        <v>-66937.740000000005</v>
      </c>
      <c r="H353" s="77">
        <v>3450820.85</v>
      </c>
      <c r="I353" s="77">
        <v>3450820.85</v>
      </c>
      <c r="J353" s="112">
        <f t="shared" si="21"/>
        <v>3450.8208500000001</v>
      </c>
      <c r="K353" s="112">
        <f t="shared" si="22"/>
        <v>3451</v>
      </c>
      <c r="L353" s="346">
        <f>IFERROR(VLOOKUP(C353,'[4]DE x PARA'!C348:K2347,7,FALSE),"SINTÉTICA")</f>
        <v>0</v>
      </c>
      <c r="M353">
        <f>IFERROR(VLOOKUP(B353,'[4]DE x PARA'!B348:K2347,10,FALSE),"SINTÉTICA")</f>
        <v>0</v>
      </c>
      <c r="N353">
        <f>IFERROR(VLOOKUP(M353,'[4]DE x PARA'!$K$2:$L$2001,2,FALSE),0)</f>
        <v>0</v>
      </c>
      <c r="O353">
        <f t="shared" si="23"/>
        <v>0</v>
      </c>
    </row>
    <row r="354" spans="1:15" ht="18">
      <c r="A354" t="str">
        <f t="shared" ref="A354:A417" si="24">B354</f>
        <v>4.2.1.02.0001</v>
      </c>
      <c r="B354" t="s">
        <v>1085</v>
      </c>
      <c r="C354">
        <v>42121</v>
      </c>
      <c r="D354" t="s">
        <v>874</v>
      </c>
      <c r="E354" s="77">
        <v>0</v>
      </c>
      <c r="F354" s="77">
        <v>2098630.23</v>
      </c>
      <c r="G354" s="77">
        <v>-1980.49</v>
      </c>
      <c r="H354" s="77">
        <v>2096649.74</v>
      </c>
      <c r="I354" s="77">
        <v>2096649.74</v>
      </c>
      <c r="J354" s="112">
        <f t="shared" si="21"/>
        <v>2096.6497399999998</v>
      </c>
      <c r="K354" s="112">
        <f t="shared" si="22"/>
        <v>2097</v>
      </c>
      <c r="L354" s="346">
        <f>IFERROR(VLOOKUP(C354,'[4]DE x PARA'!C349:K2348,7,FALSE),"SINTÉTICA")</f>
        <v>500012</v>
      </c>
      <c r="M354">
        <f>IFERROR(VLOOKUP(B354,'[4]DE x PARA'!B349:K2348,10,FALSE),"SINTÉTICA")</f>
        <v>600001</v>
      </c>
      <c r="N354">
        <f>IFERROR(VLOOKUP(M354,'[4]DE x PARA'!$K$2:$L$2001,2,FALSE),0)</f>
        <v>0</v>
      </c>
      <c r="O354">
        <f t="shared" si="23"/>
        <v>0</v>
      </c>
    </row>
    <row r="355" spans="1:15" ht="18">
      <c r="A355" t="str">
        <f t="shared" si="24"/>
        <v>4.2.1.02.0002</v>
      </c>
      <c r="B355" t="s">
        <v>1086</v>
      </c>
      <c r="C355">
        <v>42122</v>
      </c>
      <c r="D355" t="s">
        <v>198</v>
      </c>
      <c r="E355" s="77">
        <v>0</v>
      </c>
      <c r="F355" s="77">
        <v>798846.02</v>
      </c>
      <c r="G355" s="77">
        <v>0</v>
      </c>
      <c r="H355" s="77">
        <v>798846.02</v>
      </c>
      <c r="I355" s="77">
        <v>798846.02</v>
      </c>
      <c r="J355" s="112">
        <f t="shared" si="21"/>
        <v>798.84602000000007</v>
      </c>
      <c r="K355" s="112">
        <f t="shared" si="22"/>
        <v>799</v>
      </c>
      <c r="L355" s="346">
        <f>IFERROR(VLOOKUP(C355,'[4]DE x PARA'!C350:K2349,7,FALSE),"SINTÉTICA")</f>
        <v>500010</v>
      </c>
      <c r="M355">
        <f>IFERROR(VLOOKUP(B355,'[4]DE x PARA'!B350:K2349,10,FALSE),"SINTÉTICA")</f>
        <v>600001</v>
      </c>
      <c r="N355">
        <f>IFERROR(VLOOKUP(M355,'[4]DE x PARA'!$K$2:$L$2001,2,FALSE),0)</f>
        <v>0</v>
      </c>
      <c r="O355">
        <f t="shared" si="23"/>
        <v>0</v>
      </c>
    </row>
    <row r="356" spans="1:15" ht="18">
      <c r="A356" t="str">
        <f t="shared" si="24"/>
        <v>4.2.1.02.0004</v>
      </c>
      <c r="B356" t="s">
        <v>1087</v>
      </c>
      <c r="C356">
        <v>42124</v>
      </c>
      <c r="D356" t="s">
        <v>995</v>
      </c>
      <c r="E356" s="77">
        <v>0</v>
      </c>
      <c r="F356" s="77">
        <v>186004.02</v>
      </c>
      <c r="G356" s="77">
        <v>0</v>
      </c>
      <c r="H356" s="77">
        <v>186004.02</v>
      </c>
      <c r="I356" s="77">
        <v>186004.02</v>
      </c>
      <c r="J356" s="112">
        <f t="shared" si="21"/>
        <v>186.00402</v>
      </c>
      <c r="K356" s="112">
        <f t="shared" si="22"/>
        <v>186</v>
      </c>
      <c r="L356" s="346">
        <f>IFERROR(VLOOKUP(C356,'[4]DE x PARA'!C351:K2350,7,FALSE),"SINTÉTICA")</f>
        <v>500012</v>
      </c>
      <c r="M356">
        <f>IFERROR(VLOOKUP(B356,'[4]DE x PARA'!B351:K2350,10,FALSE),"SINTÉTICA")</f>
        <v>600001</v>
      </c>
      <c r="N356">
        <f>IFERROR(VLOOKUP(M356,'[4]DE x PARA'!$K$2:$L$2001,2,FALSE),0)</f>
        <v>0</v>
      </c>
      <c r="O356">
        <f t="shared" si="23"/>
        <v>0</v>
      </c>
    </row>
    <row r="357" spans="1:15" ht="18">
      <c r="A357" t="str">
        <f t="shared" si="24"/>
        <v>4.2.1.02.0005</v>
      </c>
      <c r="B357" t="s">
        <v>1088</v>
      </c>
      <c r="C357">
        <v>42125</v>
      </c>
      <c r="D357" t="s">
        <v>997</v>
      </c>
      <c r="E357" s="77">
        <v>0</v>
      </c>
      <c r="F357" s="77">
        <v>263165.89</v>
      </c>
      <c r="G357" s="77">
        <v>-46236.3</v>
      </c>
      <c r="H357" s="77">
        <v>216929.59</v>
      </c>
      <c r="I357" s="77">
        <v>216929.59</v>
      </c>
      <c r="J357" s="112">
        <f t="shared" si="21"/>
        <v>216.92958999999999</v>
      </c>
      <c r="K357" s="112">
        <f t="shared" si="22"/>
        <v>217</v>
      </c>
      <c r="L357" s="346">
        <f>IFERROR(VLOOKUP(C357,'[4]DE x PARA'!C352:K2351,7,FALSE),"SINTÉTICA")</f>
        <v>500012</v>
      </c>
      <c r="M357">
        <f>IFERROR(VLOOKUP(B357,'[4]DE x PARA'!B352:K2351,10,FALSE),"SINTÉTICA")</f>
        <v>600001</v>
      </c>
      <c r="N357">
        <f>IFERROR(VLOOKUP(M357,'[4]DE x PARA'!$K$2:$L$2001,2,FALSE),0)</f>
        <v>0</v>
      </c>
      <c r="O357">
        <f t="shared" si="23"/>
        <v>0</v>
      </c>
    </row>
    <row r="358" spans="1:15" ht="18">
      <c r="A358" t="str">
        <f t="shared" si="24"/>
        <v>4.2.1.02.0006</v>
      </c>
      <c r="B358" t="s">
        <v>1089</v>
      </c>
      <c r="C358">
        <v>42126</v>
      </c>
      <c r="D358" t="s">
        <v>999</v>
      </c>
      <c r="E358" s="77">
        <v>0</v>
      </c>
      <c r="F358" s="77">
        <v>100253.29</v>
      </c>
      <c r="G358" s="77">
        <v>-17613.93</v>
      </c>
      <c r="H358" s="77">
        <v>82639.360000000001</v>
      </c>
      <c r="I358" s="77">
        <v>82639.360000000001</v>
      </c>
      <c r="J358" s="112">
        <f t="shared" si="21"/>
        <v>82.639359999999996</v>
      </c>
      <c r="K358" s="112">
        <f t="shared" si="22"/>
        <v>83</v>
      </c>
      <c r="L358" s="346">
        <f>IFERROR(VLOOKUP(C358,'[4]DE x PARA'!C353:K2352,7,FALSE),"SINTÉTICA")</f>
        <v>500010</v>
      </c>
      <c r="M358">
        <f>IFERROR(VLOOKUP(B358,'[4]DE x PARA'!B353:K2352,10,FALSE),"SINTÉTICA")</f>
        <v>600001</v>
      </c>
      <c r="N358">
        <f>IFERROR(VLOOKUP(M358,'[4]DE x PARA'!$K$2:$L$2001,2,FALSE),0)</f>
        <v>0</v>
      </c>
      <c r="O358">
        <f t="shared" si="23"/>
        <v>0</v>
      </c>
    </row>
    <row r="359" spans="1:15" ht="18">
      <c r="A359" t="str">
        <f t="shared" si="24"/>
        <v>4.2.1.02.0007</v>
      </c>
      <c r="B359" t="s">
        <v>1090</v>
      </c>
      <c r="C359">
        <v>42127</v>
      </c>
      <c r="D359" t="s">
        <v>1001</v>
      </c>
      <c r="E359" s="77">
        <v>0</v>
      </c>
      <c r="F359" s="77">
        <v>70859.14</v>
      </c>
      <c r="G359" s="77">
        <v>-1107.02</v>
      </c>
      <c r="H359" s="77">
        <v>69752.12</v>
      </c>
      <c r="I359" s="77">
        <v>69752.12</v>
      </c>
      <c r="J359" s="112">
        <f t="shared" si="21"/>
        <v>69.752119999999991</v>
      </c>
      <c r="K359" s="112">
        <f t="shared" si="22"/>
        <v>70</v>
      </c>
      <c r="L359" s="346">
        <f>IFERROR(VLOOKUP(C359,'[4]DE x PARA'!C354:K2353,7,FALSE),"SINTÉTICA")</f>
        <v>500010</v>
      </c>
      <c r="M359">
        <f>IFERROR(VLOOKUP(B359,'[4]DE x PARA'!B354:K2353,10,FALSE),"SINTÉTICA")</f>
        <v>600001</v>
      </c>
      <c r="N359">
        <f>IFERROR(VLOOKUP(M359,'[4]DE x PARA'!$K$2:$L$2001,2,FALSE),0)</f>
        <v>0</v>
      </c>
      <c r="O359">
        <f t="shared" si="23"/>
        <v>0</v>
      </c>
    </row>
    <row r="360" spans="1:15" ht="18">
      <c r="A360" t="str">
        <f t="shared" si="24"/>
        <v>4.2.1.03</v>
      </c>
      <c r="B360" t="s">
        <v>1091</v>
      </c>
      <c r="C360">
        <v>4213</v>
      </c>
      <c r="D360" t="s">
        <v>9</v>
      </c>
      <c r="E360" s="77">
        <v>0</v>
      </c>
      <c r="F360" s="77">
        <v>1837349.45</v>
      </c>
      <c r="G360" s="77">
        <v>-21953.55</v>
      </c>
      <c r="H360" s="77">
        <v>1815395.9</v>
      </c>
      <c r="I360" s="77">
        <v>1815395.9</v>
      </c>
      <c r="J360" s="112">
        <f t="shared" si="21"/>
        <v>1815.3959</v>
      </c>
      <c r="K360" s="112">
        <f t="shared" si="22"/>
        <v>1815</v>
      </c>
      <c r="L360" s="346">
        <f>IFERROR(VLOOKUP(C360,'[4]DE x PARA'!C355:K2354,7,FALSE),"SINTÉTICA")</f>
        <v>0</v>
      </c>
      <c r="M360">
        <f>IFERROR(VLOOKUP(B360,'[4]DE x PARA'!B355:K2354,10,FALSE),"SINTÉTICA")</f>
        <v>0</v>
      </c>
      <c r="N360">
        <f>IFERROR(VLOOKUP(M360,'[4]DE x PARA'!$K$2:$L$2001,2,FALSE),0)</f>
        <v>0</v>
      </c>
      <c r="O360">
        <f t="shared" si="23"/>
        <v>0</v>
      </c>
    </row>
    <row r="361" spans="1:15" ht="18">
      <c r="A361" t="str">
        <f t="shared" si="24"/>
        <v>4.2.1.03.0001</v>
      </c>
      <c r="B361" t="s">
        <v>1092</v>
      </c>
      <c r="C361">
        <v>42131</v>
      </c>
      <c r="D361" t="s">
        <v>907</v>
      </c>
      <c r="E361" s="77">
        <v>0</v>
      </c>
      <c r="F361" s="77">
        <v>777449.99</v>
      </c>
      <c r="G361" s="77">
        <v>-267.77999999999997</v>
      </c>
      <c r="H361" s="77">
        <v>777182.21</v>
      </c>
      <c r="I361" s="77">
        <v>777182.21</v>
      </c>
      <c r="J361" s="112">
        <f t="shared" si="21"/>
        <v>777.18220999999994</v>
      </c>
      <c r="K361" s="112">
        <f t="shared" si="22"/>
        <v>777</v>
      </c>
      <c r="L361" s="346">
        <f>IFERROR(VLOOKUP(C361,'[4]DE x PARA'!C356:K2355,7,FALSE),"SINTÉTICA")</f>
        <v>500009</v>
      </c>
      <c r="M361">
        <f>IFERROR(VLOOKUP(B361,'[4]DE x PARA'!B356:K2355,10,FALSE),"SINTÉTICA")</f>
        <v>600001</v>
      </c>
      <c r="N361">
        <f>IFERROR(VLOOKUP(M361,'[4]DE x PARA'!$K$2:$L$2001,2,FALSE),0)</f>
        <v>0</v>
      </c>
      <c r="O361">
        <f t="shared" si="23"/>
        <v>0</v>
      </c>
    </row>
    <row r="362" spans="1:15" ht="18">
      <c r="A362" t="str">
        <f t="shared" si="24"/>
        <v>4.2.1.03.0002</v>
      </c>
      <c r="B362" t="s">
        <v>1093</v>
      </c>
      <c r="C362">
        <v>42132</v>
      </c>
      <c r="D362" t="s">
        <v>1005</v>
      </c>
      <c r="E362" s="77">
        <v>0</v>
      </c>
      <c r="F362" s="77">
        <v>495916.45</v>
      </c>
      <c r="G362" s="77">
        <v>-705.54</v>
      </c>
      <c r="H362" s="77">
        <v>495210.91</v>
      </c>
      <c r="I362" s="77">
        <v>495210.91</v>
      </c>
      <c r="J362" s="112">
        <f t="shared" si="21"/>
        <v>495.21090999999996</v>
      </c>
      <c r="K362" s="112">
        <f t="shared" si="22"/>
        <v>495</v>
      </c>
      <c r="L362" s="346">
        <f>IFERROR(VLOOKUP(C362,'[4]DE x PARA'!C357:K2356,7,FALSE),"SINTÉTICA")</f>
        <v>500009</v>
      </c>
      <c r="M362">
        <f>IFERROR(VLOOKUP(B362,'[4]DE x PARA'!B357:K2356,10,FALSE),"SINTÉTICA")</f>
        <v>600001</v>
      </c>
      <c r="N362">
        <f>IFERROR(VLOOKUP(M362,'[4]DE x PARA'!$K$2:$L$2001,2,FALSE),0)</f>
        <v>0</v>
      </c>
      <c r="O362">
        <f t="shared" si="23"/>
        <v>0</v>
      </c>
    </row>
    <row r="363" spans="1:15" ht="18">
      <c r="A363" t="str">
        <f t="shared" si="24"/>
        <v>4.2.1.03.0003</v>
      </c>
      <c r="B363" t="s">
        <v>1094</v>
      </c>
      <c r="C363">
        <v>42133</v>
      </c>
      <c r="D363" t="s">
        <v>1007</v>
      </c>
      <c r="E363" s="77">
        <v>0</v>
      </c>
      <c r="F363" s="77">
        <v>29863.55</v>
      </c>
      <c r="G363" s="77">
        <v>-18259.48</v>
      </c>
      <c r="H363" s="77">
        <v>11604.07</v>
      </c>
      <c r="I363" s="77">
        <v>11604.07</v>
      </c>
      <c r="J363" s="112">
        <f t="shared" si="21"/>
        <v>11.60407</v>
      </c>
      <c r="K363" s="112">
        <f t="shared" si="22"/>
        <v>12</v>
      </c>
      <c r="L363" s="346">
        <f>IFERROR(VLOOKUP(C363,'[4]DE x PARA'!C358:K2357,7,FALSE),"SINTÉTICA")</f>
        <v>500009</v>
      </c>
      <c r="M363">
        <f>IFERROR(VLOOKUP(B363,'[4]DE x PARA'!B358:K2357,10,FALSE),"SINTÉTICA")</f>
        <v>600001</v>
      </c>
      <c r="N363">
        <f>IFERROR(VLOOKUP(M363,'[4]DE x PARA'!$K$2:$L$2001,2,FALSE),0)</f>
        <v>0</v>
      </c>
      <c r="O363">
        <f t="shared" si="23"/>
        <v>0</v>
      </c>
    </row>
    <row r="364" spans="1:15" ht="18">
      <c r="A364" t="str">
        <f t="shared" si="24"/>
        <v>4.2.1.03.0004</v>
      </c>
      <c r="B364" t="s">
        <v>1095</v>
      </c>
      <c r="C364">
        <v>42134</v>
      </c>
      <c r="D364" t="s">
        <v>1096</v>
      </c>
      <c r="E364" s="77">
        <v>0</v>
      </c>
      <c r="F364" s="77">
        <v>31200</v>
      </c>
      <c r="G364" s="77">
        <v>0</v>
      </c>
      <c r="H364" s="77">
        <v>31200</v>
      </c>
      <c r="I364" s="77">
        <v>31200</v>
      </c>
      <c r="J364" s="112">
        <f t="shared" si="21"/>
        <v>31.2</v>
      </c>
      <c r="K364" s="112">
        <f t="shared" si="22"/>
        <v>31</v>
      </c>
      <c r="L364" s="346">
        <f>IFERROR(VLOOKUP(C364,'[4]DE x PARA'!C359:K2358,7,FALSE),"SINTÉTICA")</f>
        <v>500009</v>
      </c>
      <c r="M364">
        <f>IFERROR(VLOOKUP(B364,'[4]DE x PARA'!B359:K2358,10,FALSE),"SINTÉTICA")</f>
        <v>600001</v>
      </c>
      <c r="N364">
        <f>IFERROR(VLOOKUP(M364,'[4]DE x PARA'!$K$2:$L$2001,2,FALSE),0)</f>
        <v>0</v>
      </c>
      <c r="O364">
        <f t="shared" si="23"/>
        <v>0</v>
      </c>
    </row>
    <row r="365" spans="1:15" ht="18">
      <c r="A365" t="str">
        <f t="shared" si="24"/>
        <v>4.2.1.03.0005</v>
      </c>
      <c r="B365" t="s">
        <v>1097</v>
      </c>
      <c r="C365">
        <v>42135</v>
      </c>
      <c r="D365" t="s">
        <v>1009</v>
      </c>
      <c r="E365" s="77">
        <v>0</v>
      </c>
      <c r="F365" s="77">
        <v>104580.33</v>
      </c>
      <c r="G365" s="77">
        <v>0</v>
      </c>
      <c r="H365" s="77">
        <v>104580.33</v>
      </c>
      <c r="I365" s="77">
        <v>104580.33</v>
      </c>
      <c r="J365" s="112">
        <f t="shared" si="21"/>
        <v>104.58033</v>
      </c>
      <c r="K365" s="112">
        <f t="shared" si="22"/>
        <v>105</v>
      </c>
      <c r="L365" s="346">
        <f>IFERROR(VLOOKUP(C365,'[4]DE x PARA'!C360:K2359,7,FALSE),"SINTÉTICA")</f>
        <v>500009</v>
      </c>
      <c r="M365">
        <f>IFERROR(VLOOKUP(B365,'[4]DE x PARA'!B360:K2359,10,FALSE),"SINTÉTICA")</f>
        <v>600001</v>
      </c>
      <c r="N365">
        <f>IFERROR(VLOOKUP(M365,'[4]DE x PARA'!$K$2:$L$2001,2,FALSE),0)</f>
        <v>0</v>
      </c>
      <c r="O365">
        <f t="shared" si="23"/>
        <v>0</v>
      </c>
    </row>
    <row r="366" spans="1:15" ht="18">
      <c r="A366" t="str">
        <f t="shared" si="24"/>
        <v>4.2.1.03.0006</v>
      </c>
      <c r="B366" t="s">
        <v>1098</v>
      </c>
      <c r="C366">
        <v>42136</v>
      </c>
      <c r="D366" t="s">
        <v>1011</v>
      </c>
      <c r="E366" s="77">
        <v>0</v>
      </c>
      <c r="F366" s="77">
        <v>318415.03000000003</v>
      </c>
      <c r="G366" s="77">
        <v>-1317.75</v>
      </c>
      <c r="H366" s="77">
        <v>317097.28000000003</v>
      </c>
      <c r="I366" s="77">
        <v>317097.28000000003</v>
      </c>
      <c r="J366" s="112">
        <f t="shared" si="21"/>
        <v>317.09728000000001</v>
      </c>
      <c r="K366" s="112">
        <f t="shared" si="22"/>
        <v>317</v>
      </c>
      <c r="L366" s="346">
        <f>IFERROR(VLOOKUP(C366,'[4]DE x PARA'!C361:K2360,7,FALSE),"SINTÉTICA")</f>
        <v>500009</v>
      </c>
      <c r="M366">
        <f>IFERROR(VLOOKUP(B366,'[4]DE x PARA'!B361:K2360,10,FALSE),"SINTÉTICA")</f>
        <v>600001</v>
      </c>
      <c r="N366">
        <f>IFERROR(VLOOKUP(M366,'[4]DE x PARA'!$K$2:$L$2001,2,FALSE),0)</f>
        <v>0</v>
      </c>
      <c r="O366">
        <f t="shared" si="23"/>
        <v>0</v>
      </c>
    </row>
    <row r="367" spans="1:15" ht="18">
      <c r="A367" t="str">
        <f t="shared" si="24"/>
        <v>4.2.1.03.0010</v>
      </c>
      <c r="B367" t="s">
        <v>1099</v>
      </c>
      <c r="C367">
        <v>421310</v>
      </c>
      <c r="D367" t="s">
        <v>1013</v>
      </c>
      <c r="E367" s="77">
        <v>0</v>
      </c>
      <c r="F367" s="77">
        <v>6400</v>
      </c>
      <c r="G367" s="77">
        <v>-1403</v>
      </c>
      <c r="H367" s="77">
        <v>4997</v>
      </c>
      <c r="I367" s="77">
        <v>4997</v>
      </c>
      <c r="J367" s="112">
        <f t="shared" si="21"/>
        <v>4.9969999999999999</v>
      </c>
      <c r="K367" s="112">
        <f t="shared" si="22"/>
        <v>5</v>
      </c>
      <c r="L367" s="346">
        <f>IFERROR(VLOOKUP(C367,'[4]DE x PARA'!C362:K2361,7,FALSE),"SINTÉTICA")</f>
        <v>500009</v>
      </c>
      <c r="M367">
        <f>IFERROR(VLOOKUP(B367,'[4]DE x PARA'!B362:K2361,10,FALSE),"SINTÉTICA")</f>
        <v>600001</v>
      </c>
      <c r="N367">
        <f>IFERROR(VLOOKUP(M367,'[4]DE x PARA'!$K$2:$L$2001,2,FALSE),0)</f>
        <v>0</v>
      </c>
      <c r="O367">
        <f t="shared" si="23"/>
        <v>0</v>
      </c>
    </row>
    <row r="368" spans="1:15" ht="18">
      <c r="A368" t="str">
        <f t="shared" si="24"/>
        <v>4.2.1.03.0011</v>
      </c>
      <c r="B368" t="s">
        <v>1100</v>
      </c>
      <c r="C368">
        <v>421311</v>
      </c>
      <c r="D368" t="s">
        <v>1015</v>
      </c>
      <c r="E368" s="77">
        <v>0</v>
      </c>
      <c r="F368" s="77">
        <v>73524.100000000006</v>
      </c>
      <c r="G368" s="77">
        <v>0</v>
      </c>
      <c r="H368" s="77">
        <v>73524.100000000006</v>
      </c>
      <c r="I368" s="77">
        <v>73524.100000000006</v>
      </c>
      <c r="J368" s="112">
        <f t="shared" si="21"/>
        <v>73.524100000000004</v>
      </c>
      <c r="K368" s="112">
        <f t="shared" si="22"/>
        <v>74</v>
      </c>
      <c r="L368" s="346">
        <f>IFERROR(VLOOKUP(C368,'[4]DE x PARA'!C363:K2362,7,FALSE),"SINTÉTICA")</f>
        <v>500009</v>
      </c>
      <c r="M368">
        <f>IFERROR(VLOOKUP(B368,'[4]DE x PARA'!B363:K2362,10,FALSE),"SINTÉTICA")</f>
        <v>600001</v>
      </c>
      <c r="N368">
        <f>IFERROR(VLOOKUP(M368,'[4]DE x PARA'!$K$2:$L$2001,2,FALSE),0)</f>
        <v>0</v>
      </c>
      <c r="O368">
        <f t="shared" si="23"/>
        <v>0</v>
      </c>
    </row>
    <row r="369" spans="1:15" ht="18">
      <c r="A369" t="str">
        <f t="shared" si="24"/>
        <v>4.2.2</v>
      </c>
      <c r="B369" t="s">
        <v>22</v>
      </c>
      <c r="C369">
        <v>422</v>
      </c>
      <c r="D369" t="s">
        <v>1101</v>
      </c>
      <c r="E369" s="77">
        <v>0</v>
      </c>
      <c r="F369" s="77">
        <v>22366.97</v>
      </c>
      <c r="G369" s="77">
        <v>0</v>
      </c>
      <c r="H369" s="77">
        <v>22366.97</v>
      </c>
      <c r="I369" s="77">
        <v>22366.97</v>
      </c>
      <c r="J369" s="112">
        <f t="shared" si="21"/>
        <v>22.366970000000002</v>
      </c>
      <c r="K369" s="112">
        <f t="shared" si="22"/>
        <v>22</v>
      </c>
      <c r="L369" s="346">
        <f>IFERROR(VLOOKUP(C369,'[4]DE x PARA'!C364:K2363,7,FALSE),"SINTÉTICA")</f>
        <v>0</v>
      </c>
      <c r="M369">
        <f>IFERROR(VLOOKUP(B369,'[4]DE x PARA'!B364:K2363,10,FALSE),"SINTÉTICA")</f>
        <v>0</v>
      </c>
      <c r="N369">
        <f>IFERROR(VLOOKUP(M369,'[4]DE x PARA'!$K$2:$L$2001,2,FALSE),0)</f>
        <v>0</v>
      </c>
      <c r="O369">
        <f t="shared" si="23"/>
        <v>0</v>
      </c>
    </row>
    <row r="370" spans="1:15" ht="18">
      <c r="A370" t="str">
        <f t="shared" si="24"/>
        <v>4.2.2.01</v>
      </c>
      <c r="B370" t="s">
        <v>1102</v>
      </c>
      <c r="C370">
        <v>4221</v>
      </c>
      <c r="D370" t="s">
        <v>1103</v>
      </c>
      <c r="E370" s="77">
        <v>0</v>
      </c>
      <c r="F370" s="77">
        <v>22366.97</v>
      </c>
      <c r="G370" s="77">
        <v>0</v>
      </c>
      <c r="H370" s="77">
        <v>22366.97</v>
      </c>
      <c r="I370" s="77">
        <v>22366.97</v>
      </c>
      <c r="J370" s="112">
        <f t="shared" si="21"/>
        <v>22.366970000000002</v>
      </c>
      <c r="K370" s="112">
        <f t="shared" si="22"/>
        <v>22</v>
      </c>
      <c r="L370" s="346">
        <f>IFERROR(VLOOKUP(C370,'[4]DE x PARA'!C365:K2364,7,FALSE),"SINTÉTICA")</f>
        <v>0</v>
      </c>
      <c r="M370">
        <f>IFERROR(VLOOKUP(B370,'[4]DE x PARA'!B365:K2364,10,FALSE),"SINTÉTICA")</f>
        <v>0</v>
      </c>
      <c r="N370">
        <f>IFERROR(VLOOKUP(M370,'[4]DE x PARA'!$K$2:$L$2001,2,FALSE),0)</f>
        <v>0</v>
      </c>
      <c r="O370">
        <f t="shared" si="23"/>
        <v>0</v>
      </c>
    </row>
    <row r="371" spans="1:15" ht="18">
      <c r="A371" t="str">
        <f t="shared" si="24"/>
        <v>4.2.2.01.0001</v>
      </c>
      <c r="B371" t="s">
        <v>1104</v>
      </c>
      <c r="C371">
        <v>42211</v>
      </c>
      <c r="D371" t="s">
        <v>1105</v>
      </c>
      <c r="E371" s="77">
        <v>0</v>
      </c>
      <c r="F371" s="77">
        <v>22366.97</v>
      </c>
      <c r="G371" s="77">
        <v>0</v>
      </c>
      <c r="H371" s="77">
        <v>22366.97</v>
      </c>
      <c r="I371" s="77">
        <v>22366.97</v>
      </c>
      <c r="J371" s="112">
        <f t="shared" si="21"/>
        <v>22.366970000000002</v>
      </c>
      <c r="K371" s="112">
        <f t="shared" si="22"/>
        <v>22</v>
      </c>
      <c r="L371" s="346">
        <f>IFERROR(VLOOKUP(C371,'[4]DE x PARA'!C366:K2365,7,FALSE),"SINTÉTICA")</f>
        <v>500004</v>
      </c>
      <c r="M371">
        <f>IFERROR(VLOOKUP(B371,'[4]DE x PARA'!B366:K2365,10,FALSE),"SINTÉTICA")</f>
        <v>600001</v>
      </c>
      <c r="N371">
        <f>IFERROR(VLOOKUP(M371,'[4]DE x PARA'!$K$2:$L$2001,2,FALSE),0)</f>
        <v>0</v>
      </c>
      <c r="O371">
        <f t="shared" si="23"/>
        <v>0</v>
      </c>
    </row>
    <row r="372" spans="1:15" ht="18">
      <c r="A372" t="str">
        <f t="shared" si="24"/>
        <v>4.2.3</v>
      </c>
      <c r="B372" t="s">
        <v>1106</v>
      </c>
      <c r="C372">
        <v>423</v>
      </c>
      <c r="D372" t="s">
        <v>1107</v>
      </c>
      <c r="E372" s="77">
        <v>0</v>
      </c>
      <c r="F372" s="77">
        <v>3793228.72</v>
      </c>
      <c r="G372" s="77">
        <v>-89724.31</v>
      </c>
      <c r="H372" s="77">
        <v>3703504.41</v>
      </c>
      <c r="I372" s="77">
        <v>3703504.41</v>
      </c>
      <c r="J372" s="112">
        <f t="shared" si="21"/>
        <v>3703.50441</v>
      </c>
      <c r="K372" s="112">
        <f t="shared" si="22"/>
        <v>3704</v>
      </c>
      <c r="L372" s="346">
        <f>IFERROR(VLOOKUP(C372,'[4]DE x PARA'!C367:K2366,7,FALSE),"SINTÉTICA")</f>
        <v>0</v>
      </c>
      <c r="M372">
        <f>IFERROR(VLOOKUP(B372,'[4]DE x PARA'!B367:K2366,10,FALSE),"SINTÉTICA")</f>
        <v>0</v>
      </c>
      <c r="N372">
        <f>IFERROR(VLOOKUP(M372,'[4]DE x PARA'!$K$2:$L$2001,2,FALSE),0)</f>
        <v>0</v>
      </c>
      <c r="O372">
        <f t="shared" si="23"/>
        <v>0</v>
      </c>
    </row>
    <row r="373" spans="1:15" ht="18">
      <c r="A373" t="str">
        <f t="shared" si="24"/>
        <v>4.2.3.01</v>
      </c>
      <c r="B373" t="s">
        <v>23</v>
      </c>
      <c r="C373">
        <v>4231</v>
      </c>
      <c r="D373" t="s">
        <v>1107</v>
      </c>
      <c r="E373" s="77">
        <v>0</v>
      </c>
      <c r="F373" s="77">
        <v>3793228.72</v>
      </c>
      <c r="G373" s="77">
        <v>-89724.31</v>
      </c>
      <c r="H373" s="77">
        <v>3703504.41</v>
      </c>
      <c r="I373" s="77">
        <v>3703504.41</v>
      </c>
      <c r="J373" s="112">
        <f t="shared" si="21"/>
        <v>3703.50441</v>
      </c>
      <c r="K373" s="112">
        <f t="shared" si="22"/>
        <v>3704</v>
      </c>
      <c r="L373" s="346">
        <f>IFERROR(VLOOKUP(C373,'[4]DE x PARA'!C368:K2367,7,FALSE),"SINTÉTICA")</f>
        <v>0</v>
      </c>
      <c r="M373">
        <f>IFERROR(VLOOKUP(B373,'[4]DE x PARA'!B368:K2367,10,FALSE),"SINTÉTICA")</f>
        <v>0</v>
      </c>
      <c r="N373">
        <f>IFERROR(VLOOKUP(M373,'[4]DE x PARA'!$K$2:$L$2001,2,FALSE),0)</f>
        <v>0</v>
      </c>
      <c r="O373">
        <f t="shared" si="23"/>
        <v>0</v>
      </c>
    </row>
    <row r="374" spans="1:15" ht="18">
      <c r="A374" t="str">
        <f t="shared" si="24"/>
        <v>4.2.3.01.0001</v>
      </c>
      <c r="B374" t="s">
        <v>1108</v>
      </c>
      <c r="C374">
        <v>42311</v>
      </c>
      <c r="D374" t="s">
        <v>1023</v>
      </c>
      <c r="E374" s="77">
        <v>0</v>
      </c>
      <c r="F374" s="77">
        <v>279441.59999999998</v>
      </c>
      <c r="G374" s="77">
        <v>0</v>
      </c>
      <c r="H374" s="77">
        <v>279441.59999999998</v>
      </c>
      <c r="I374" s="77">
        <v>279441.59999999998</v>
      </c>
      <c r="J374" s="112">
        <f t="shared" si="21"/>
        <v>279.44159999999999</v>
      </c>
      <c r="K374" s="112">
        <f t="shared" si="22"/>
        <v>279</v>
      </c>
      <c r="L374" s="346">
        <f>IFERROR(VLOOKUP(C374,'[4]DE x PARA'!C369:K2368,7,FALSE),"SINTÉTICA")</f>
        <v>500004</v>
      </c>
      <c r="M374">
        <f>IFERROR(VLOOKUP(B374,'[4]DE x PARA'!B369:K2368,10,FALSE),"SINTÉTICA")</f>
        <v>600001</v>
      </c>
      <c r="N374">
        <f>IFERROR(VLOOKUP(M374,'[4]DE x PARA'!$K$2:$L$2001,2,FALSE),0)</f>
        <v>0</v>
      </c>
      <c r="O374">
        <f t="shared" si="23"/>
        <v>0</v>
      </c>
    </row>
    <row r="375" spans="1:15" ht="18">
      <c r="A375" t="str">
        <f t="shared" si="24"/>
        <v>4.2.3.01.0002</v>
      </c>
      <c r="B375" t="s">
        <v>1109</v>
      </c>
      <c r="C375">
        <v>42312</v>
      </c>
      <c r="D375" t="s">
        <v>1025</v>
      </c>
      <c r="E375" s="77">
        <v>0</v>
      </c>
      <c r="F375" s="77">
        <v>1104239.94</v>
      </c>
      <c r="G375" s="77">
        <v>-70361.899999999994</v>
      </c>
      <c r="H375" s="77">
        <v>1033878.04</v>
      </c>
      <c r="I375" s="77">
        <v>1033878.04</v>
      </c>
      <c r="J375" s="112">
        <f t="shared" si="21"/>
        <v>1033.8780400000001</v>
      </c>
      <c r="K375" s="112">
        <f t="shared" si="22"/>
        <v>1034</v>
      </c>
      <c r="L375" s="346">
        <f>IFERROR(VLOOKUP(C375,'[4]DE x PARA'!C370:K2369,7,FALSE),"SINTÉTICA")</f>
        <v>500004</v>
      </c>
      <c r="M375">
        <f>IFERROR(VLOOKUP(B375,'[4]DE x PARA'!B370:K2369,10,FALSE),"SINTÉTICA")</f>
        <v>600001</v>
      </c>
      <c r="N375">
        <f>IFERROR(VLOOKUP(M375,'[4]DE x PARA'!$K$2:$L$2001,2,FALSE),0)</f>
        <v>0</v>
      </c>
      <c r="O375">
        <f t="shared" si="23"/>
        <v>0</v>
      </c>
    </row>
    <row r="376" spans="1:15" ht="18">
      <c r="A376" t="str">
        <f t="shared" si="24"/>
        <v>4.2.3.01.0003</v>
      </c>
      <c r="B376" t="s">
        <v>1110</v>
      </c>
      <c r="C376">
        <v>42313</v>
      </c>
      <c r="D376" t="s">
        <v>1111</v>
      </c>
      <c r="E376" s="77">
        <v>0</v>
      </c>
      <c r="F376" s="77">
        <v>211800.98</v>
      </c>
      <c r="G376" s="77">
        <v>0</v>
      </c>
      <c r="H376" s="77">
        <v>211800.98</v>
      </c>
      <c r="I376" s="77">
        <v>211800.98</v>
      </c>
      <c r="J376" s="112">
        <f t="shared" si="21"/>
        <v>211.80098000000001</v>
      </c>
      <c r="K376" s="112">
        <f t="shared" si="22"/>
        <v>212</v>
      </c>
      <c r="L376" s="346">
        <f>IFERROR(VLOOKUP(C376,'[4]DE x PARA'!C371:K2370,7,FALSE),"SINTÉTICA")</f>
        <v>500008</v>
      </c>
      <c r="M376">
        <f>IFERROR(VLOOKUP(B376,'[4]DE x PARA'!B371:K2370,10,FALSE),"SINTÉTICA")</f>
        <v>600001</v>
      </c>
      <c r="N376">
        <f>IFERROR(VLOOKUP(M376,'[4]DE x PARA'!$K$2:$L$2001,2,FALSE),0)</f>
        <v>0</v>
      </c>
      <c r="O376">
        <f t="shared" si="23"/>
        <v>0</v>
      </c>
    </row>
    <row r="377" spans="1:15" ht="18">
      <c r="A377" t="str">
        <f t="shared" si="24"/>
        <v>4.2.3.01.0005</v>
      </c>
      <c r="B377" t="s">
        <v>1112</v>
      </c>
      <c r="C377">
        <v>42315</v>
      </c>
      <c r="D377" t="s">
        <v>1027</v>
      </c>
      <c r="E377" s="77">
        <v>0</v>
      </c>
      <c r="F377" s="77">
        <v>368881.12</v>
      </c>
      <c r="G377" s="77">
        <v>-2571.16</v>
      </c>
      <c r="H377" s="77">
        <v>366309.96</v>
      </c>
      <c r="I377" s="77">
        <v>366309.96</v>
      </c>
      <c r="J377" s="112">
        <f t="shared" si="21"/>
        <v>366.30996000000005</v>
      </c>
      <c r="K377" s="112">
        <f t="shared" si="22"/>
        <v>366</v>
      </c>
      <c r="L377" s="346">
        <f>IFERROR(VLOOKUP(C377,'[4]DE x PARA'!C372:K2371,7,FALSE),"SINTÉTICA")</f>
        <v>500004</v>
      </c>
      <c r="M377">
        <f>IFERROR(VLOOKUP(B377,'[4]DE x PARA'!B372:K2371,10,FALSE),"SINTÉTICA")</f>
        <v>600001</v>
      </c>
      <c r="N377">
        <f>IFERROR(VLOOKUP(M377,'[4]DE x PARA'!$K$2:$L$2001,2,FALSE),0)</f>
        <v>0</v>
      </c>
      <c r="O377">
        <f t="shared" si="23"/>
        <v>0</v>
      </c>
    </row>
    <row r="378" spans="1:15" ht="18">
      <c r="A378" t="str">
        <f t="shared" si="24"/>
        <v>4.2.3.01.0006</v>
      </c>
      <c r="B378" t="s">
        <v>1113</v>
      </c>
      <c r="C378">
        <v>42316</v>
      </c>
      <c r="D378" t="s">
        <v>1114</v>
      </c>
      <c r="E378" s="77">
        <v>0</v>
      </c>
      <c r="F378" s="77">
        <v>23556</v>
      </c>
      <c r="G378" s="77">
        <v>0</v>
      </c>
      <c r="H378" s="77">
        <v>23556</v>
      </c>
      <c r="I378" s="77">
        <v>23556</v>
      </c>
      <c r="J378" s="112">
        <f t="shared" si="21"/>
        <v>23.556000000000001</v>
      </c>
      <c r="K378" s="112">
        <f t="shared" si="22"/>
        <v>24</v>
      </c>
      <c r="L378" s="346">
        <f>IFERROR(VLOOKUP(C378,'[4]DE x PARA'!C373:K2372,7,FALSE),"SINTÉTICA")</f>
        <v>500004</v>
      </c>
      <c r="M378">
        <f>IFERROR(VLOOKUP(B378,'[4]DE x PARA'!B373:K2372,10,FALSE),"SINTÉTICA")</f>
        <v>600001</v>
      </c>
      <c r="N378">
        <f>IFERROR(VLOOKUP(M378,'[4]DE x PARA'!$K$2:$L$2001,2,FALSE),0)</f>
        <v>0</v>
      </c>
      <c r="O378">
        <f t="shared" si="23"/>
        <v>0</v>
      </c>
    </row>
    <row r="379" spans="1:15" ht="18">
      <c r="A379" t="str">
        <f t="shared" si="24"/>
        <v>4.2.3.01.0007</v>
      </c>
      <c r="B379" t="s">
        <v>1115</v>
      </c>
      <c r="C379">
        <v>42317</v>
      </c>
      <c r="D379" t="s">
        <v>1116</v>
      </c>
      <c r="E379" s="77">
        <v>0</v>
      </c>
      <c r="F379" s="77">
        <v>159119.1</v>
      </c>
      <c r="G379" s="77">
        <v>-14496</v>
      </c>
      <c r="H379" s="77">
        <v>144623.1</v>
      </c>
      <c r="I379" s="77">
        <v>144623.1</v>
      </c>
      <c r="J379" s="112">
        <f t="shared" si="21"/>
        <v>144.62309999999999</v>
      </c>
      <c r="K379" s="112">
        <f t="shared" si="22"/>
        <v>145</v>
      </c>
      <c r="L379" s="346">
        <f>IFERROR(VLOOKUP(C379,'[4]DE x PARA'!C374:K2373,7,FALSE),"SINTÉTICA")</f>
        <v>500004</v>
      </c>
      <c r="M379">
        <f>IFERROR(VLOOKUP(B379,'[4]DE x PARA'!B374:K2373,10,FALSE),"SINTÉTICA")</f>
        <v>600001</v>
      </c>
      <c r="N379">
        <f>IFERROR(VLOOKUP(M379,'[4]DE x PARA'!$K$2:$L$2001,2,FALSE),0)</f>
        <v>0</v>
      </c>
      <c r="O379">
        <f t="shared" si="23"/>
        <v>0</v>
      </c>
    </row>
    <row r="380" spans="1:15" ht="18">
      <c r="A380" t="str">
        <f t="shared" si="24"/>
        <v>4.2.3.01.0008</v>
      </c>
      <c r="B380" t="s">
        <v>1117</v>
      </c>
      <c r="C380">
        <v>42318</v>
      </c>
      <c r="D380" t="s">
        <v>1118</v>
      </c>
      <c r="E380" s="77">
        <v>0</v>
      </c>
      <c r="F380" s="77">
        <v>145430.28</v>
      </c>
      <c r="G380" s="77">
        <v>0</v>
      </c>
      <c r="H380" s="77">
        <v>145430.28</v>
      </c>
      <c r="I380" s="77">
        <v>145430.28</v>
      </c>
      <c r="J380" s="112">
        <f t="shared" si="21"/>
        <v>145.43028000000001</v>
      </c>
      <c r="K380" s="112">
        <f t="shared" si="22"/>
        <v>145</v>
      </c>
      <c r="L380" s="346">
        <f>IFERROR(VLOOKUP(C380,'[4]DE x PARA'!C375:K2374,7,FALSE),"SINTÉTICA")</f>
        <v>500004</v>
      </c>
      <c r="M380">
        <f>IFERROR(VLOOKUP(B380,'[4]DE x PARA'!B375:K2374,10,FALSE),"SINTÉTICA")</f>
        <v>600001</v>
      </c>
      <c r="N380">
        <f>IFERROR(VLOOKUP(M380,'[4]DE x PARA'!$K$2:$L$2001,2,FALSE),0)</f>
        <v>0</v>
      </c>
      <c r="O380">
        <f t="shared" si="23"/>
        <v>0</v>
      </c>
    </row>
    <row r="381" spans="1:15" ht="18">
      <c r="A381" t="str">
        <f t="shared" si="24"/>
        <v>4.2.3.01.0013</v>
      </c>
      <c r="B381" t="s">
        <v>1119</v>
      </c>
      <c r="C381">
        <v>423113</v>
      </c>
      <c r="D381" t="s">
        <v>1120</v>
      </c>
      <c r="E381" s="77">
        <v>0</v>
      </c>
      <c r="F381" s="77">
        <v>148220.35</v>
      </c>
      <c r="G381" s="77">
        <v>0</v>
      </c>
      <c r="H381" s="77">
        <v>148220.35</v>
      </c>
      <c r="I381" s="77">
        <v>148220.35</v>
      </c>
      <c r="J381" s="112">
        <f t="shared" si="21"/>
        <v>148.22035</v>
      </c>
      <c r="K381" s="112">
        <f t="shared" si="22"/>
        <v>148</v>
      </c>
      <c r="L381" s="346">
        <f>IFERROR(VLOOKUP(C381,'[4]DE x PARA'!C376:K2375,7,FALSE),"SINTÉTICA")</f>
        <v>500017</v>
      </c>
      <c r="M381">
        <f>IFERROR(VLOOKUP(B381,'[4]DE x PARA'!B376:K2375,10,FALSE),"SINTÉTICA")</f>
        <v>600001</v>
      </c>
      <c r="N381">
        <f>IFERROR(VLOOKUP(M381,'[4]DE x PARA'!$K$2:$L$2001,2,FALSE),0)</f>
        <v>0</v>
      </c>
      <c r="O381">
        <f t="shared" si="23"/>
        <v>0</v>
      </c>
    </row>
    <row r="382" spans="1:15" ht="18">
      <c r="A382" t="str">
        <f t="shared" si="24"/>
        <v>4.2.3.01.0014</v>
      </c>
      <c r="B382" t="s">
        <v>1121</v>
      </c>
      <c r="C382">
        <v>423114</v>
      </c>
      <c r="D382" t="s">
        <v>1122</v>
      </c>
      <c r="E382" s="77">
        <v>0</v>
      </c>
      <c r="F382" s="77">
        <v>1063908.4099999999</v>
      </c>
      <c r="G382" s="77">
        <v>-2295.25</v>
      </c>
      <c r="H382" s="77">
        <v>1061613.1599999999</v>
      </c>
      <c r="I382" s="77">
        <v>1061613.1599999999</v>
      </c>
      <c r="J382" s="112">
        <f t="shared" si="21"/>
        <v>1061.6131599999999</v>
      </c>
      <c r="K382" s="112">
        <f t="shared" si="22"/>
        <v>1062</v>
      </c>
      <c r="L382" s="346">
        <f>IFERROR(VLOOKUP(C382,'[4]DE x PARA'!C377:K2376,7,FALSE),"SINTÉTICA")</f>
        <v>500004</v>
      </c>
      <c r="M382">
        <f>IFERROR(VLOOKUP(B382,'[4]DE x PARA'!B377:K2376,10,FALSE),"SINTÉTICA")</f>
        <v>600001</v>
      </c>
      <c r="N382">
        <f>IFERROR(VLOOKUP(M382,'[4]DE x PARA'!$K$2:$L$2001,2,FALSE),0)</f>
        <v>0</v>
      </c>
      <c r="O382">
        <f t="shared" si="23"/>
        <v>0</v>
      </c>
    </row>
    <row r="383" spans="1:15" ht="18">
      <c r="A383" t="str">
        <f t="shared" si="24"/>
        <v>4.2.3.01.0015</v>
      </c>
      <c r="B383" t="s">
        <v>1123</v>
      </c>
      <c r="C383">
        <v>423115</v>
      </c>
      <c r="D383" t="s">
        <v>1124</v>
      </c>
      <c r="E383" s="77">
        <v>0</v>
      </c>
      <c r="F383" s="77">
        <v>33000</v>
      </c>
      <c r="G383" s="77">
        <v>0</v>
      </c>
      <c r="H383" s="77">
        <v>33000</v>
      </c>
      <c r="I383" s="77">
        <v>33000</v>
      </c>
      <c r="J383" s="112">
        <f t="shared" si="21"/>
        <v>33</v>
      </c>
      <c r="K383" s="112">
        <f t="shared" si="22"/>
        <v>33</v>
      </c>
      <c r="L383" s="346">
        <f>IFERROR(VLOOKUP(C383,'[4]DE x PARA'!C378:K2377,7,FALSE),"SINTÉTICA")</f>
        <v>500004</v>
      </c>
      <c r="M383">
        <f>IFERROR(VLOOKUP(B383,'[4]DE x PARA'!B378:K2377,10,FALSE),"SINTÉTICA")</f>
        <v>600001</v>
      </c>
      <c r="N383">
        <f>IFERROR(VLOOKUP(M383,'[4]DE x PARA'!$K$2:$L$2001,2,FALSE),0)</f>
        <v>0</v>
      </c>
      <c r="O383">
        <f t="shared" si="23"/>
        <v>0</v>
      </c>
    </row>
    <row r="384" spans="1:15" ht="18">
      <c r="A384" t="str">
        <f t="shared" si="24"/>
        <v>4.2.3.01.0017</v>
      </c>
      <c r="B384" t="s">
        <v>1125</v>
      </c>
      <c r="C384">
        <v>423117</v>
      </c>
      <c r="D384" t="s">
        <v>1126</v>
      </c>
      <c r="E384" s="77">
        <v>0</v>
      </c>
      <c r="F384" s="77">
        <v>227362.09</v>
      </c>
      <c r="G384" s="77">
        <v>0</v>
      </c>
      <c r="H384" s="77">
        <v>227362.09</v>
      </c>
      <c r="I384" s="77">
        <v>227362.09</v>
      </c>
      <c r="J384" s="112">
        <f t="shared" si="21"/>
        <v>227.36208999999999</v>
      </c>
      <c r="K384" s="112">
        <f t="shared" si="22"/>
        <v>227</v>
      </c>
      <c r="L384" s="346">
        <f>IFERROR(VLOOKUP(C384,'[4]DE x PARA'!C379:K2378,7,FALSE),"SINTÉTICA")</f>
        <v>500008</v>
      </c>
      <c r="M384">
        <f>IFERROR(VLOOKUP(B384,'[4]DE x PARA'!B379:K2378,10,FALSE),"SINTÉTICA")</f>
        <v>600001</v>
      </c>
      <c r="N384">
        <f>IFERROR(VLOOKUP(M384,'[4]DE x PARA'!$K$2:$L$2001,2,FALSE),0)</f>
        <v>0</v>
      </c>
      <c r="O384">
        <f t="shared" si="23"/>
        <v>0</v>
      </c>
    </row>
    <row r="385" spans="1:15" ht="18">
      <c r="A385" t="str">
        <f t="shared" si="24"/>
        <v>4.2.3.01.0019</v>
      </c>
      <c r="B385" t="s">
        <v>1127</v>
      </c>
      <c r="C385">
        <v>423119</v>
      </c>
      <c r="D385" t="s">
        <v>1128</v>
      </c>
      <c r="E385" s="77">
        <v>0</v>
      </c>
      <c r="F385" s="77">
        <v>28268.85</v>
      </c>
      <c r="G385" s="77">
        <v>0</v>
      </c>
      <c r="H385" s="77">
        <v>28268.85</v>
      </c>
      <c r="I385" s="77">
        <v>28268.85</v>
      </c>
      <c r="J385" s="112">
        <f t="shared" si="21"/>
        <v>28.268849999999997</v>
      </c>
      <c r="K385" s="112">
        <f t="shared" si="22"/>
        <v>28</v>
      </c>
      <c r="L385" s="346">
        <f>IFERROR(VLOOKUP(C385,'[4]DE x PARA'!C380:K2379,7,FALSE),"SINTÉTICA")</f>
        <v>500008</v>
      </c>
      <c r="M385">
        <f>IFERROR(VLOOKUP(B385,'[4]DE x PARA'!B380:K2379,10,FALSE),"SINTÉTICA")</f>
        <v>600001</v>
      </c>
      <c r="N385">
        <f>IFERROR(VLOOKUP(M385,'[4]DE x PARA'!$K$2:$L$2001,2,FALSE),0)</f>
        <v>0</v>
      </c>
      <c r="O385">
        <f t="shared" si="23"/>
        <v>0</v>
      </c>
    </row>
    <row r="386" spans="1:15" ht="18">
      <c r="A386" t="str">
        <f t="shared" si="24"/>
        <v>4.2.4</v>
      </c>
      <c r="B386" t="s">
        <v>24</v>
      </c>
      <c r="C386">
        <v>424</v>
      </c>
      <c r="D386" t="s">
        <v>1129</v>
      </c>
      <c r="E386" s="77">
        <v>0</v>
      </c>
      <c r="F386" s="77">
        <v>377209.08</v>
      </c>
      <c r="G386" s="77">
        <v>0</v>
      </c>
      <c r="H386" s="77">
        <v>377209.08</v>
      </c>
      <c r="I386" s="77">
        <v>377209.08</v>
      </c>
      <c r="J386" s="112">
        <f t="shared" si="21"/>
        <v>377.20908000000003</v>
      </c>
      <c r="K386" s="112">
        <f t="shared" si="22"/>
        <v>377</v>
      </c>
      <c r="L386" s="346">
        <f>IFERROR(VLOOKUP(C386,'[4]DE x PARA'!C381:K2380,7,FALSE),"SINTÉTICA")</f>
        <v>0</v>
      </c>
      <c r="M386">
        <f>IFERROR(VLOOKUP(B386,'[4]DE x PARA'!B381:K2380,10,FALSE),"SINTÉTICA")</f>
        <v>0</v>
      </c>
      <c r="N386">
        <f>IFERROR(VLOOKUP(M386,'[4]DE x PARA'!$K$2:$L$2001,2,FALSE),0)</f>
        <v>0</v>
      </c>
      <c r="O386">
        <f t="shared" si="23"/>
        <v>0</v>
      </c>
    </row>
    <row r="387" spans="1:15" ht="18">
      <c r="A387" t="str">
        <f t="shared" si="24"/>
        <v>4.2.4.01</v>
      </c>
      <c r="B387" t="s">
        <v>1130</v>
      </c>
      <c r="C387">
        <v>4241</v>
      </c>
      <c r="D387" t="s">
        <v>1131</v>
      </c>
      <c r="E387" s="77">
        <v>0</v>
      </c>
      <c r="F387" s="77">
        <v>377209.08</v>
      </c>
      <c r="G387" s="77">
        <v>0</v>
      </c>
      <c r="H387" s="77">
        <v>377209.08</v>
      </c>
      <c r="I387" s="77">
        <v>377209.08</v>
      </c>
      <c r="J387" s="112">
        <f t="shared" si="21"/>
        <v>377.20908000000003</v>
      </c>
      <c r="K387" s="112">
        <f t="shared" si="22"/>
        <v>377</v>
      </c>
      <c r="L387" s="346">
        <f>IFERROR(VLOOKUP(C387,'[4]DE x PARA'!C382:K2381,7,FALSE),"SINTÉTICA")</f>
        <v>0</v>
      </c>
      <c r="M387">
        <f>IFERROR(VLOOKUP(B387,'[4]DE x PARA'!B382:K2381,10,FALSE),"SINTÉTICA")</f>
        <v>0</v>
      </c>
      <c r="N387">
        <f>IFERROR(VLOOKUP(M387,'[4]DE x PARA'!$K$2:$L$2001,2,FALSE),0)</f>
        <v>0</v>
      </c>
      <c r="O387">
        <f t="shared" si="23"/>
        <v>0</v>
      </c>
    </row>
    <row r="388" spans="1:15" ht="18">
      <c r="A388" t="str">
        <f t="shared" si="24"/>
        <v>4.2.4.01.0002</v>
      </c>
      <c r="B388" t="s">
        <v>1132</v>
      </c>
      <c r="C388">
        <v>42412</v>
      </c>
      <c r="D388" t="s">
        <v>1037</v>
      </c>
      <c r="E388" s="77">
        <v>0</v>
      </c>
      <c r="F388" s="77">
        <v>87118.3</v>
      </c>
      <c r="G388" s="77">
        <v>0</v>
      </c>
      <c r="H388" s="77">
        <v>87118.3</v>
      </c>
      <c r="I388" s="77">
        <v>87118.3</v>
      </c>
      <c r="J388" s="112">
        <f t="shared" si="21"/>
        <v>87.118300000000005</v>
      </c>
      <c r="K388" s="112">
        <f t="shared" si="22"/>
        <v>87</v>
      </c>
      <c r="L388" s="346">
        <f>IFERROR(VLOOKUP(C388,'[4]DE x PARA'!C383:K2382,7,FALSE),"SINTÉTICA")</f>
        <v>500014</v>
      </c>
      <c r="M388">
        <f>IFERROR(VLOOKUP(B388,'[4]DE x PARA'!B383:K2382,10,FALSE),"SINTÉTICA")</f>
        <v>600001</v>
      </c>
      <c r="N388">
        <f>IFERROR(VLOOKUP(M388,'[4]DE x PARA'!$K$2:$L$2001,2,FALSE),0)</f>
        <v>0</v>
      </c>
      <c r="O388">
        <f t="shared" si="23"/>
        <v>0</v>
      </c>
    </row>
    <row r="389" spans="1:15" ht="18">
      <c r="A389" t="str">
        <f t="shared" si="24"/>
        <v>4.2.4.01.0005</v>
      </c>
      <c r="B389" t="s">
        <v>1133</v>
      </c>
      <c r="C389">
        <v>42415</v>
      </c>
      <c r="D389" t="s">
        <v>1134</v>
      </c>
      <c r="E389" s="77">
        <v>0</v>
      </c>
      <c r="F389" s="77">
        <v>49150.87</v>
      </c>
      <c r="G389" s="77">
        <v>0</v>
      </c>
      <c r="H389" s="77">
        <v>49150.87</v>
      </c>
      <c r="I389" s="77">
        <v>49150.87</v>
      </c>
      <c r="J389" s="112">
        <f t="shared" si="21"/>
        <v>49.150870000000005</v>
      </c>
      <c r="K389" s="112">
        <f t="shared" si="22"/>
        <v>49</v>
      </c>
      <c r="L389" s="346">
        <f>IFERROR(VLOOKUP(C389,'[4]DE x PARA'!C384:K2383,7,FALSE),"SINTÉTICA")</f>
        <v>500012</v>
      </c>
      <c r="M389">
        <f>IFERROR(VLOOKUP(B389,'[4]DE x PARA'!B384:K2383,10,FALSE),"SINTÉTICA")</f>
        <v>600001</v>
      </c>
      <c r="N389">
        <f>IFERROR(VLOOKUP(M389,'[4]DE x PARA'!$K$2:$L$2001,2,FALSE),0)</f>
        <v>0</v>
      </c>
      <c r="O389">
        <f t="shared" si="23"/>
        <v>0</v>
      </c>
    </row>
    <row r="390" spans="1:15" ht="18">
      <c r="A390" t="str">
        <f t="shared" si="24"/>
        <v>4.2.4.01.0006</v>
      </c>
      <c r="B390" t="s">
        <v>1135</v>
      </c>
      <c r="C390">
        <v>42416</v>
      </c>
      <c r="D390" t="s">
        <v>1136</v>
      </c>
      <c r="E390" s="77">
        <v>0</v>
      </c>
      <c r="F390" s="77">
        <v>230574.82</v>
      </c>
      <c r="G390" s="77">
        <v>0</v>
      </c>
      <c r="H390" s="77">
        <v>230574.82</v>
      </c>
      <c r="I390" s="77">
        <v>230574.82</v>
      </c>
      <c r="J390" s="112">
        <f t="shared" si="21"/>
        <v>230.57482000000002</v>
      </c>
      <c r="K390" s="112">
        <f t="shared" si="22"/>
        <v>231</v>
      </c>
      <c r="L390" s="346">
        <f>IFERROR(VLOOKUP(C390,'[4]DE x PARA'!C385:K2384,7,FALSE),"SINTÉTICA")</f>
        <v>500012</v>
      </c>
      <c r="M390">
        <f>IFERROR(VLOOKUP(B390,'[4]DE x PARA'!B385:K2384,10,FALSE),"SINTÉTICA")</f>
        <v>600001</v>
      </c>
      <c r="N390">
        <f>IFERROR(VLOOKUP(M390,'[4]DE x PARA'!$K$2:$L$2001,2,FALSE),0)</f>
        <v>0</v>
      </c>
      <c r="O390">
        <f t="shared" si="23"/>
        <v>0</v>
      </c>
    </row>
    <row r="391" spans="1:15" ht="18">
      <c r="A391" t="str">
        <f t="shared" si="24"/>
        <v>4.2.4.01.0012</v>
      </c>
      <c r="B391" t="s">
        <v>1137</v>
      </c>
      <c r="C391">
        <v>424112</v>
      </c>
      <c r="D391" t="s">
        <v>1039</v>
      </c>
      <c r="E391" s="77">
        <v>0</v>
      </c>
      <c r="F391" s="77">
        <v>10365.09</v>
      </c>
      <c r="G391" s="77">
        <v>0</v>
      </c>
      <c r="H391" s="77">
        <v>10365.09</v>
      </c>
      <c r="I391" s="77">
        <v>10365.09</v>
      </c>
      <c r="J391" s="112">
        <f t="shared" si="21"/>
        <v>10.36509</v>
      </c>
      <c r="K391" s="112">
        <f t="shared" si="22"/>
        <v>10</v>
      </c>
      <c r="L391" s="346">
        <f>IFERROR(VLOOKUP(C391,'[4]DE x PARA'!C386:K2385,7,FALSE),"SINTÉTICA")</f>
        <v>500013</v>
      </c>
      <c r="M391">
        <f>IFERROR(VLOOKUP(B391,'[4]DE x PARA'!B386:K2385,10,FALSE),"SINTÉTICA")</f>
        <v>600001</v>
      </c>
      <c r="N391">
        <f>IFERROR(VLOOKUP(M391,'[4]DE x PARA'!$K$2:$L$2001,2,FALSE),0)</f>
        <v>0</v>
      </c>
      <c r="O391">
        <f t="shared" si="23"/>
        <v>0</v>
      </c>
    </row>
    <row r="392" spans="1:15" ht="18">
      <c r="A392" t="str">
        <f t="shared" si="24"/>
        <v>4.2.5</v>
      </c>
      <c r="B392" t="s">
        <v>1138</v>
      </c>
      <c r="C392">
        <v>425</v>
      </c>
      <c r="D392" t="s">
        <v>1139</v>
      </c>
      <c r="E392" s="77">
        <v>0</v>
      </c>
      <c r="F392" s="77">
        <v>1460158.11</v>
      </c>
      <c r="G392" s="77">
        <v>-818286.5</v>
      </c>
      <c r="H392" s="77">
        <v>641871.61</v>
      </c>
      <c r="I392" s="77">
        <v>641871.61</v>
      </c>
      <c r="J392" s="112">
        <f t="shared" ref="J392:J424" si="25">I392/1000</f>
        <v>641.87161000000003</v>
      </c>
      <c r="K392" s="112">
        <f t="shared" ref="K392:K424" si="26">ROUND(J392,0)</f>
        <v>642</v>
      </c>
      <c r="L392" s="346">
        <f>IFERROR(VLOOKUP(C392,'[4]DE x PARA'!C387:K2386,7,FALSE),"SINTÉTICA")</f>
        <v>0</v>
      </c>
      <c r="M392">
        <f>IFERROR(VLOOKUP(B392,'[4]DE x PARA'!B387:K2386,10,FALSE),"SINTÉTICA")</f>
        <v>0</v>
      </c>
      <c r="N392">
        <f>IFERROR(VLOOKUP(M392,'[4]DE x PARA'!$K$2:$L$2001,2,FALSE),0)</f>
        <v>0</v>
      </c>
      <c r="O392">
        <f t="shared" ref="O392:O400" si="27">+H392*N392</f>
        <v>0</v>
      </c>
    </row>
    <row r="393" spans="1:15" ht="18">
      <c r="A393" t="str">
        <f t="shared" si="24"/>
        <v>4.2.5.01</v>
      </c>
      <c r="B393" t="s">
        <v>1140</v>
      </c>
      <c r="C393">
        <v>4251</v>
      </c>
      <c r="D393" t="s">
        <v>1141</v>
      </c>
      <c r="E393" s="77">
        <v>0</v>
      </c>
      <c r="F393" s="77">
        <v>1029016.86</v>
      </c>
      <c r="G393" s="77">
        <v>-615232.9</v>
      </c>
      <c r="H393" s="77">
        <v>413783.96</v>
      </c>
      <c r="I393" s="77">
        <v>413783.96</v>
      </c>
      <c r="J393" s="112">
        <f t="shared" si="25"/>
        <v>413.78396000000004</v>
      </c>
      <c r="K393" s="112">
        <f t="shared" si="26"/>
        <v>414</v>
      </c>
      <c r="L393" s="346">
        <f>IFERROR(VLOOKUP(C393,'[4]DE x PARA'!C388:K2387,7,FALSE),"SINTÉTICA")</f>
        <v>0</v>
      </c>
      <c r="M393">
        <f>IFERROR(VLOOKUP(B393,'[4]DE x PARA'!B388:K2387,10,FALSE),"SINTÉTICA")</f>
        <v>0</v>
      </c>
      <c r="N393">
        <f>IFERROR(VLOOKUP(M393,'[4]DE x PARA'!$K$2:$L$2001,2,FALSE),0)</f>
        <v>0</v>
      </c>
      <c r="O393">
        <f t="shared" si="27"/>
        <v>0</v>
      </c>
    </row>
    <row r="394" spans="1:15" ht="18">
      <c r="A394" t="str">
        <f t="shared" si="24"/>
        <v>4.2.5.01.0001</v>
      </c>
      <c r="B394" t="s">
        <v>1142</v>
      </c>
      <c r="C394">
        <v>42511</v>
      </c>
      <c r="D394" t="s">
        <v>1143</v>
      </c>
      <c r="E394" s="77">
        <v>0</v>
      </c>
      <c r="F394" s="77">
        <v>1029016.86</v>
      </c>
      <c r="G394" s="77">
        <v>-615232.9</v>
      </c>
      <c r="H394" s="77">
        <v>413783.96</v>
      </c>
      <c r="I394" s="77">
        <v>413783.96</v>
      </c>
      <c r="J394" s="112">
        <f t="shared" si="25"/>
        <v>413.78396000000004</v>
      </c>
      <c r="K394" s="112">
        <f t="shared" si="26"/>
        <v>414</v>
      </c>
      <c r="L394" s="346">
        <f>IFERROR(VLOOKUP(C394,'[4]DE x PARA'!C389:K2388,7,FALSE),"SINTÉTICA")</f>
        <v>500012</v>
      </c>
      <c r="M394">
        <f>IFERROR(VLOOKUP(B394,'[4]DE x PARA'!B389:K2388,10,FALSE),"SINTÉTICA")</f>
        <v>600001</v>
      </c>
      <c r="N394">
        <f>IFERROR(VLOOKUP(M394,'[4]DE x PARA'!$K$2:$L$2001,2,FALSE),0)</f>
        <v>0</v>
      </c>
      <c r="O394">
        <f t="shared" si="27"/>
        <v>0</v>
      </c>
    </row>
    <row r="395" spans="1:15" ht="18">
      <c r="A395" t="str">
        <f t="shared" si="24"/>
        <v>4.2.5.02</v>
      </c>
      <c r="B395" t="s">
        <v>1144</v>
      </c>
      <c r="C395">
        <v>4252</v>
      </c>
      <c r="D395" t="s">
        <v>1145</v>
      </c>
      <c r="E395" s="77">
        <v>0</v>
      </c>
      <c r="F395" s="77">
        <v>414790.36</v>
      </c>
      <c r="G395" s="77">
        <v>-203053.6</v>
      </c>
      <c r="H395" s="77">
        <v>211736.76</v>
      </c>
      <c r="I395" s="77">
        <v>211736.76</v>
      </c>
      <c r="J395" s="112">
        <f t="shared" si="25"/>
        <v>211.73676</v>
      </c>
      <c r="K395" s="112">
        <f t="shared" si="26"/>
        <v>212</v>
      </c>
      <c r="L395" s="346">
        <f>IFERROR(VLOOKUP(C395,'[4]DE x PARA'!C390:K2389,7,FALSE),"SINTÉTICA")</f>
        <v>0</v>
      </c>
      <c r="M395">
        <f>IFERROR(VLOOKUP(B395,'[4]DE x PARA'!B390:K2389,10,FALSE),"SINTÉTICA")</f>
        <v>0</v>
      </c>
      <c r="N395">
        <f>IFERROR(VLOOKUP(M395,'[4]DE x PARA'!$K$2:$L$2001,2,FALSE),0)</f>
        <v>0</v>
      </c>
      <c r="O395">
        <f t="shared" si="27"/>
        <v>0</v>
      </c>
    </row>
    <row r="396" spans="1:15" ht="18">
      <c r="A396" t="str">
        <f t="shared" si="24"/>
        <v>4.2.5.02.0001</v>
      </c>
      <c r="B396" t="s">
        <v>1146</v>
      </c>
      <c r="C396">
        <v>42521</v>
      </c>
      <c r="D396" t="s">
        <v>1147</v>
      </c>
      <c r="E396" s="77">
        <v>0</v>
      </c>
      <c r="F396" s="77">
        <v>414790.36</v>
      </c>
      <c r="G396" s="77">
        <v>-203053.6</v>
      </c>
      <c r="H396" s="77">
        <v>211736.76</v>
      </c>
      <c r="I396" s="77">
        <v>211736.76</v>
      </c>
      <c r="J396" s="112">
        <f t="shared" si="25"/>
        <v>211.73676</v>
      </c>
      <c r="K396" s="112">
        <f t="shared" si="26"/>
        <v>212</v>
      </c>
      <c r="L396" s="346">
        <f>IFERROR(VLOOKUP(C396,'[4]DE x PARA'!C391:K2390,7,FALSE),"SINTÉTICA")</f>
        <v>500012</v>
      </c>
      <c r="M396">
        <f>IFERROR(VLOOKUP(B396,'[4]DE x PARA'!B391:K2390,10,FALSE),"SINTÉTICA")</f>
        <v>600001</v>
      </c>
      <c r="N396">
        <f>IFERROR(VLOOKUP(M396,'[4]DE x PARA'!$K$2:$L$2001,2,FALSE),0)</f>
        <v>0</v>
      </c>
      <c r="O396">
        <f t="shared" si="27"/>
        <v>0</v>
      </c>
    </row>
    <row r="397" spans="1:15" ht="18">
      <c r="A397" t="str">
        <f t="shared" si="24"/>
        <v>4.2.5.04</v>
      </c>
      <c r="B397" t="s">
        <v>1148</v>
      </c>
      <c r="C397">
        <v>4254</v>
      </c>
      <c r="D397" t="s">
        <v>1149</v>
      </c>
      <c r="E397" s="77">
        <v>0</v>
      </c>
      <c r="F397" s="77">
        <v>16350.89</v>
      </c>
      <c r="G397" s="77">
        <v>0</v>
      </c>
      <c r="H397" s="77">
        <v>16350.89</v>
      </c>
      <c r="I397" s="77">
        <v>16350.89</v>
      </c>
      <c r="J397" s="112">
        <f t="shared" si="25"/>
        <v>16.35089</v>
      </c>
      <c r="K397" s="112">
        <f t="shared" si="26"/>
        <v>16</v>
      </c>
      <c r="L397" s="346">
        <f>IFERROR(VLOOKUP(C397,'[4]DE x PARA'!C392:K2391,7,FALSE),"SINTÉTICA")</f>
        <v>0</v>
      </c>
      <c r="M397">
        <f>IFERROR(VLOOKUP(B397,'[4]DE x PARA'!B392:K2391,10,FALSE),"SINTÉTICA")</f>
        <v>0</v>
      </c>
      <c r="N397">
        <f>IFERROR(VLOOKUP(M397,'[4]DE x PARA'!$K$2:$L$2001,2,FALSE),0)</f>
        <v>0</v>
      </c>
      <c r="O397">
        <f t="shared" si="27"/>
        <v>0</v>
      </c>
    </row>
    <row r="398" spans="1:15" ht="18">
      <c r="A398" t="str">
        <f t="shared" si="24"/>
        <v>4.2.5.04.0001</v>
      </c>
      <c r="B398" t="s">
        <v>1150</v>
      </c>
      <c r="C398">
        <v>42541</v>
      </c>
      <c r="D398" t="s">
        <v>1151</v>
      </c>
      <c r="E398" s="77">
        <v>0</v>
      </c>
      <c r="F398" s="77">
        <v>16350.89</v>
      </c>
      <c r="G398" s="77">
        <v>0</v>
      </c>
      <c r="H398" s="77">
        <v>16350.89</v>
      </c>
      <c r="I398" s="77">
        <v>16350.89</v>
      </c>
      <c r="J398" s="112">
        <f t="shared" si="25"/>
        <v>16.35089</v>
      </c>
      <c r="K398" s="112">
        <f t="shared" si="26"/>
        <v>16</v>
      </c>
      <c r="L398" s="346">
        <f>IFERROR(VLOOKUP(C398,'[4]DE x PARA'!C393:K2392,7,FALSE),"SINTÉTICA")</f>
        <v>500011</v>
      </c>
      <c r="M398">
        <f>IFERROR(VLOOKUP(B398,'[4]DE x PARA'!B393:K2392,10,FALSE),"SINTÉTICA")</f>
        <v>600001</v>
      </c>
      <c r="N398">
        <f>IFERROR(VLOOKUP(M398,'[4]DE x PARA'!$K$2:$L$2001,2,FALSE),0)</f>
        <v>0</v>
      </c>
      <c r="O398">
        <f t="shared" si="27"/>
        <v>0</v>
      </c>
    </row>
    <row r="399" spans="1:15" ht="18">
      <c r="A399" t="str">
        <f t="shared" si="24"/>
        <v>4.2.6</v>
      </c>
      <c r="B399" t="s">
        <v>1152</v>
      </c>
      <c r="C399">
        <v>426</v>
      </c>
      <c r="D399" t="s">
        <v>1153</v>
      </c>
      <c r="E399" s="77">
        <v>0</v>
      </c>
      <c r="F399" s="77">
        <v>5689562.1100000003</v>
      </c>
      <c r="G399" s="77">
        <v>-30437.63</v>
      </c>
      <c r="H399" s="77">
        <v>5659124.4800000004</v>
      </c>
      <c r="I399" s="77">
        <v>5659124.4800000004</v>
      </c>
      <c r="J399" s="112">
        <f t="shared" si="25"/>
        <v>5659.1244800000004</v>
      </c>
      <c r="K399" s="112">
        <f t="shared" si="26"/>
        <v>5659</v>
      </c>
      <c r="L399" s="346">
        <f>IFERROR(VLOOKUP(C399,'[4]DE x PARA'!C394:K2393,7,FALSE),"SINTÉTICA")</f>
        <v>0</v>
      </c>
      <c r="M399">
        <f>IFERROR(VLOOKUP(B399,'[4]DE x PARA'!B394:K2393,10,FALSE),"SINTÉTICA")</f>
        <v>0</v>
      </c>
      <c r="N399">
        <f>IFERROR(VLOOKUP(M399,'[4]DE x PARA'!$K$2:$L$2001,2,FALSE),0)</f>
        <v>0</v>
      </c>
      <c r="O399">
        <f t="shared" si="27"/>
        <v>0</v>
      </c>
    </row>
    <row r="400" spans="1:15" ht="18">
      <c r="A400" t="str">
        <f t="shared" si="24"/>
        <v>4.2.6.01</v>
      </c>
      <c r="B400" t="s">
        <v>25</v>
      </c>
      <c r="C400">
        <v>4261</v>
      </c>
      <c r="D400" t="s">
        <v>1154</v>
      </c>
      <c r="E400" s="77">
        <v>0</v>
      </c>
      <c r="F400" s="77">
        <v>3525377.5</v>
      </c>
      <c r="G400" s="77">
        <v>-884.58</v>
      </c>
      <c r="H400" s="77">
        <v>3524492.92</v>
      </c>
      <c r="I400" s="77">
        <v>3524492.92</v>
      </c>
      <c r="J400" s="112">
        <f t="shared" si="25"/>
        <v>3524.4929200000001</v>
      </c>
      <c r="K400" s="112">
        <f t="shared" si="26"/>
        <v>3524</v>
      </c>
      <c r="L400" s="346">
        <f>IFERROR(VLOOKUP(C400,'[4]DE x PARA'!C395:K2394,7,FALSE),"SINTÉTICA")</f>
        <v>0</v>
      </c>
      <c r="M400">
        <f>IFERROR(VLOOKUP(B400,'[4]DE x PARA'!B395:K2394,10,FALSE),"SINTÉTICA")</f>
        <v>0</v>
      </c>
      <c r="N400">
        <f>IFERROR(VLOOKUP(M400,'[4]DE x PARA'!$K$2:$L$2001,2,FALSE),0)</f>
        <v>0</v>
      </c>
      <c r="O400">
        <f t="shared" si="27"/>
        <v>0</v>
      </c>
    </row>
    <row r="401" spans="1:15" ht="18">
      <c r="A401" t="str">
        <f t="shared" si="24"/>
        <v>4.2.6.01.0001</v>
      </c>
      <c r="B401" t="s">
        <v>1155</v>
      </c>
      <c r="C401">
        <v>42611</v>
      </c>
      <c r="D401" t="s">
        <v>1044</v>
      </c>
      <c r="E401" s="77">
        <v>0</v>
      </c>
      <c r="F401" s="77">
        <v>659914.96</v>
      </c>
      <c r="G401" s="77">
        <v>0</v>
      </c>
      <c r="H401" s="77">
        <v>659914.96</v>
      </c>
      <c r="I401" s="77">
        <v>659914.96</v>
      </c>
      <c r="J401" s="112">
        <f t="shared" si="25"/>
        <v>659.91495999999995</v>
      </c>
      <c r="K401" s="112">
        <f t="shared" si="26"/>
        <v>660</v>
      </c>
      <c r="L401" s="346">
        <f>IFERROR(VLOOKUP(C401,'[4]DE x PARA'!C396:K2395,7,FALSE),"SINTÉTICA")</f>
        <v>500017</v>
      </c>
      <c r="M401">
        <f>IFERROR(VLOOKUP(B401,'[4]DE x PARA'!B396:K2395,10,FALSE),"SINTÉTICA")</f>
        <v>600001</v>
      </c>
      <c r="N401">
        <f>IFERROR(VLOOKUP(M401,'[4]DE x PARA'!$K$2:$L$2001,2,FALSE),0)</f>
        <v>0</v>
      </c>
      <c r="O401">
        <f t="shared" ref="O401:O424" si="28">+H401*N401</f>
        <v>0</v>
      </c>
    </row>
    <row r="402" spans="1:15" ht="18">
      <c r="A402" t="str">
        <f t="shared" si="24"/>
        <v>4.2.6.01.0003</v>
      </c>
      <c r="B402" t="s">
        <v>1156</v>
      </c>
      <c r="C402">
        <v>42613</v>
      </c>
      <c r="D402" t="s">
        <v>1157</v>
      </c>
      <c r="E402" s="77">
        <v>0</v>
      </c>
      <c r="F402" s="77">
        <v>21201.49</v>
      </c>
      <c r="G402" s="77">
        <v>0</v>
      </c>
      <c r="H402" s="77">
        <v>21201.49</v>
      </c>
      <c r="I402" s="77">
        <v>21201.49</v>
      </c>
      <c r="J402" s="112">
        <f t="shared" si="25"/>
        <v>21.201490000000003</v>
      </c>
      <c r="K402" s="112">
        <f t="shared" si="26"/>
        <v>21</v>
      </c>
      <c r="L402" s="346">
        <f>IFERROR(VLOOKUP(C402,'[4]DE x PARA'!C397:K2396,7,FALSE),"SINTÉTICA")</f>
        <v>500004</v>
      </c>
      <c r="M402">
        <f>IFERROR(VLOOKUP(B402,'[4]DE x PARA'!B397:K2396,10,FALSE),"SINTÉTICA")</f>
        <v>600001</v>
      </c>
      <c r="N402">
        <f>IFERROR(VLOOKUP(M402,'[4]DE x PARA'!$K$2:$L$2001,2,FALSE),0)</f>
        <v>0</v>
      </c>
      <c r="O402">
        <f t="shared" si="28"/>
        <v>0</v>
      </c>
    </row>
    <row r="403" spans="1:15" ht="18">
      <c r="A403" t="str">
        <f t="shared" si="24"/>
        <v>4.2.6.01.0004</v>
      </c>
      <c r="B403" t="s">
        <v>1158</v>
      </c>
      <c r="C403">
        <v>42614</v>
      </c>
      <c r="D403" t="s">
        <v>1046</v>
      </c>
      <c r="E403" s="77">
        <v>0</v>
      </c>
      <c r="F403" s="77">
        <v>168562.75</v>
      </c>
      <c r="G403" s="77">
        <v>0</v>
      </c>
      <c r="H403" s="77">
        <v>168562.75</v>
      </c>
      <c r="I403" s="77">
        <v>168562.75</v>
      </c>
      <c r="J403" s="112">
        <f t="shared" si="25"/>
        <v>168.56274999999999</v>
      </c>
      <c r="K403" s="112">
        <f t="shared" si="26"/>
        <v>169</v>
      </c>
      <c r="L403" s="346">
        <f>IFERROR(VLOOKUP(C403,'[4]DE x PARA'!C398:K2397,7,FALSE),"SINTÉTICA")</f>
        <v>500004</v>
      </c>
      <c r="M403">
        <f>IFERROR(VLOOKUP(B403,'[4]DE x PARA'!B398:K2397,10,FALSE),"SINTÉTICA")</f>
        <v>600001</v>
      </c>
      <c r="N403">
        <f>IFERROR(VLOOKUP(M403,'[4]DE x PARA'!$K$2:$L$2001,2,FALSE),0)</f>
        <v>0</v>
      </c>
      <c r="O403">
        <f t="shared" si="28"/>
        <v>0</v>
      </c>
    </row>
    <row r="404" spans="1:15" ht="18">
      <c r="A404" t="str">
        <f t="shared" si="24"/>
        <v>4.2.6.01.0006</v>
      </c>
      <c r="B404" t="s">
        <v>1159</v>
      </c>
      <c r="C404">
        <v>42616</v>
      </c>
      <c r="D404" t="s">
        <v>1048</v>
      </c>
      <c r="E404" s="77">
        <v>0</v>
      </c>
      <c r="F404" s="77">
        <v>6005.82</v>
      </c>
      <c r="G404" s="77">
        <v>-884.58</v>
      </c>
      <c r="H404" s="77">
        <v>5121.24</v>
      </c>
      <c r="I404" s="77">
        <v>5121.24</v>
      </c>
      <c r="J404" s="112">
        <f t="shared" si="25"/>
        <v>5.1212399999999993</v>
      </c>
      <c r="K404" s="112">
        <f t="shared" si="26"/>
        <v>5</v>
      </c>
      <c r="L404" s="346">
        <f>IFERROR(VLOOKUP(C404,'[4]DE x PARA'!C399:K2398,7,FALSE),"SINTÉTICA")</f>
        <v>500004</v>
      </c>
      <c r="M404">
        <f>IFERROR(VLOOKUP(B404,'[4]DE x PARA'!B399:K2398,10,FALSE),"SINTÉTICA")</f>
        <v>600001</v>
      </c>
      <c r="N404">
        <f>IFERROR(VLOOKUP(M404,'[4]DE x PARA'!$K$2:$L$2001,2,FALSE),0)</f>
        <v>0</v>
      </c>
      <c r="O404">
        <f t="shared" si="28"/>
        <v>0</v>
      </c>
    </row>
    <row r="405" spans="1:15" ht="18">
      <c r="A405" t="str">
        <f t="shared" si="24"/>
        <v>4.2.6.01.0007</v>
      </c>
      <c r="B405" t="s">
        <v>1160</v>
      </c>
      <c r="C405">
        <v>42617</v>
      </c>
      <c r="D405" t="s">
        <v>1161</v>
      </c>
      <c r="E405" s="77">
        <v>0</v>
      </c>
      <c r="F405" s="77">
        <v>1582.23</v>
      </c>
      <c r="G405" s="77">
        <v>0</v>
      </c>
      <c r="H405" s="77">
        <v>1582.23</v>
      </c>
      <c r="I405" s="77">
        <v>1582.23</v>
      </c>
      <c r="J405" s="112">
        <f t="shared" si="25"/>
        <v>1.58223</v>
      </c>
      <c r="K405" s="112">
        <f t="shared" si="26"/>
        <v>2</v>
      </c>
      <c r="L405" s="346">
        <f>IFERROR(VLOOKUP(C405,'[4]DE x PARA'!C400:K2399,7,FALSE),"SINTÉTICA")</f>
        <v>500004</v>
      </c>
      <c r="M405">
        <f>IFERROR(VLOOKUP(B405,'[4]DE x PARA'!B400:K2399,10,FALSE),"SINTÉTICA")</f>
        <v>600001</v>
      </c>
      <c r="N405">
        <f>IFERROR(VLOOKUP(M405,'[4]DE x PARA'!$K$2:$L$2001,2,FALSE),0)</f>
        <v>0</v>
      </c>
      <c r="O405">
        <f t="shared" si="28"/>
        <v>0</v>
      </c>
    </row>
    <row r="406" spans="1:15" ht="18">
      <c r="A406" t="str">
        <f t="shared" si="24"/>
        <v>4.2.6.01.0010</v>
      </c>
      <c r="B406" t="s">
        <v>1162</v>
      </c>
      <c r="C406">
        <v>426110</v>
      </c>
      <c r="D406" t="s">
        <v>1050</v>
      </c>
      <c r="E406" s="77">
        <v>0</v>
      </c>
      <c r="F406" s="77">
        <v>273.52999999999997</v>
      </c>
      <c r="G406" s="77">
        <v>0</v>
      </c>
      <c r="H406" s="77">
        <v>273.52999999999997</v>
      </c>
      <c r="I406" s="77">
        <v>273.52999999999997</v>
      </c>
      <c r="J406" s="112">
        <f t="shared" si="25"/>
        <v>0.27353</v>
      </c>
      <c r="K406" s="112">
        <f t="shared" si="26"/>
        <v>0</v>
      </c>
      <c r="L406" s="346">
        <f>IFERROR(VLOOKUP(C406,'[4]DE x PARA'!C401:K2400,7,FALSE),"SINTÉTICA")</f>
        <v>500004</v>
      </c>
      <c r="M406">
        <f>IFERROR(VLOOKUP(B406,'[4]DE x PARA'!B401:K2400,10,FALSE),"SINTÉTICA")</f>
        <v>600001</v>
      </c>
      <c r="N406">
        <f>IFERROR(VLOOKUP(M406,'[4]DE x PARA'!$K$2:$L$2001,2,FALSE),0)</f>
        <v>0</v>
      </c>
      <c r="O406">
        <f t="shared" si="28"/>
        <v>0</v>
      </c>
    </row>
    <row r="407" spans="1:15" ht="18">
      <c r="A407" t="str">
        <f t="shared" si="24"/>
        <v>4.2.6.01.0011</v>
      </c>
      <c r="B407" t="s">
        <v>1163</v>
      </c>
      <c r="C407">
        <v>426111</v>
      </c>
      <c r="D407" t="s">
        <v>190</v>
      </c>
      <c r="E407" s="77">
        <v>0</v>
      </c>
      <c r="F407" s="77">
        <v>2149771.77</v>
      </c>
      <c r="G407" s="77">
        <v>0</v>
      </c>
      <c r="H407" s="77">
        <v>2149771.77</v>
      </c>
      <c r="I407" s="77">
        <v>2149771.77</v>
      </c>
      <c r="J407" s="112">
        <f t="shared" si="25"/>
        <v>2149.7717699999998</v>
      </c>
      <c r="K407" s="112">
        <f t="shared" si="26"/>
        <v>2150</v>
      </c>
      <c r="L407" s="346">
        <f>IFERROR(VLOOKUP(C407,'[4]DE x PARA'!C402:K2401,7,FALSE),"SINTÉTICA")</f>
        <v>500005</v>
      </c>
      <c r="M407">
        <f>IFERROR(VLOOKUP(B407,'[4]DE x PARA'!B402:K2401,10,FALSE),"SINTÉTICA")</f>
        <v>600001</v>
      </c>
      <c r="N407">
        <f>IFERROR(VLOOKUP(M407,'[4]DE x PARA'!$K$2:$L$2001,2,FALSE),0)</f>
        <v>0</v>
      </c>
      <c r="O407">
        <f t="shared" si="28"/>
        <v>0</v>
      </c>
    </row>
    <row r="408" spans="1:15" ht="18">
      <c r="A408" t="str">
        <f t="shared" si="24"/>
        <v>4.2.6.01.0012</v>
      </c>
      <c r="B408" t="s">
        <v>1164</v>
      </c>
      <c r="C408">
        <v>426112</v>
      </c>
      <c r="D408" t="s">
        <v>1052</v>
      </c>
      <c r="E408" s="77">
        <v>0</v>
      </c>
      <c r="F408" s="77">
        <v>28112.68</v>
      </c>
      <c r="G408" s="77">
        <v>0</v>
      </c>
      <c r="H408" s="77">
        <v>28112.68</v>
      </c>
      <c r="I408" s="77">
        <v>28112.68</v>
      </c>
      <c r="J408" s="112">
        <f t="shared" si="25"/>
        <v>28.112680000000001</v>
      </c>
      <c r="K408" s="112">
        <f t="shared" si="26"/>
        <v>28</v>
      </c>
      <c r="L408" s="346">
        <f>IFERROR(VLOOKUP(C408,'[4]DE x PARA'!C403:K2402,7,FALSE),"SINTÉTICA")</f>
        <v>500017</v>
      </c>
      <c r="M408">
        <f>IFERROR(VLOOKUP(B408,'[4]DE x PARA'!B403:K2402,10,FALSE),"SINTÉTICA")</f>
        <v>600001</v>
      </c>
      <c r="N408">
        <f>IFERROR(VLOOKUP(M408,'[4]DE x PARA'!$K$2:$L$2001,2,FALSE),0)</f>
        <v>0</v>
      </c>
      <c r="O408">
        <f t="shared" si="28"/>
        <v>0</v>
      </c>
    </row>
    <row r="409" spans="1:15" ht="18">
      <c r="A409" t="str">
        <f t="shared" si="24"/>
        <v>4.2.6.01.0014</v>
      </c>
      <c r="B409" t="s">
        <v>1165</v>
      </c>
      <c r="C409">
        <v>426114</v>
      </c>
      <c r="D409" t="s">
        <v>1054</v>
      </c>
      <c r="E409" s="77">
        <v>0</v>
      </c>
      <c r="F409" s="77">
        <v>150147.44</v>
      </c>
      <c r="G409" s="77">
        <v>0</v>
      </c>
      <c r="H409" s="77">
        <v>150147.44</v>
      </c>
      <c r="I409" s="77">
        <v>150147.44</v>
      </c>
      <c r="J409" s="112">
        <f t="shared" si="25"/>
        <v>150.14743999999999</v>
      </c>
      <c r="K409" s="112">
        <f t="shared" si="26"/>
        <v>150</v>
      </c>
      <c r="L409" s="346">
        <f>IFERROR(VLOOKUP(C409,'[4]DE x PARA'!C404:K2403,7,FALSE),"SINTÉTICA")</f>
        <v>500004</v>
      </c>
      <c r="M409">
        <f>IFERROR(VLOOKUP(B409,'[4]DE x PARA'!B404:K2403,10,FALSE),"SINTÉTICA")</f>
        <v>600001</v>
      </c>
      <c r="N409">
        <f>IFERROR(VLOOKUP(M409,'[4]DE x PARA'!$K$2:$L$2001,2,FALSE),0)</f>
        <v>0</v>
      </c>
      <c r="O409">
        <f t="shared" si="28"/>
        <v>0</v>
      </c>
    </row>
    <row r="410" spans="1:15" ht="18">
      <c r="A410" t="str">
        <f t="shared" si="24"/>
        <v>4.2.6.01.0016</v>
      </c>
      <c r="B410" t="s">
        <v>1166</v>
      </c>
      <c r="C410">
        <v>426116</v>
      </c>
      <c r="D410" t="s">
        <v>1058</v>
      </c>
      <c r="E410" s="77">
        <v>0</v>
      </c>
      <c r="F410" s="77">
        <v>248502.69</v>
      </c>
      <c r="G410" s="77">
        <v>0</v>
      </c>
      <c r="H410" s="77">
        <v>248502.69</v>
      </c>
      <c r="I410" s="77">
        <v>248502.69</v>
      </c>
      <c r="J410" s="112">
        <f t="shared" si="25"/>
        <v>248.50269</v>
      </c>
      <c r="K410" s="112">
        <f t="shared" si="26"/>
        <v>249</v>
      </c>
      <c r="L410" s="346">
        <f>IFERROR(VLOOKUP(C410,'[4]DE x PARA'!C405:K2404,7,FALSE),"SINTÉTICA")</f>
        <v>500004</v>
      </c>
      <c r="M410">
        <f>IFERROR(VLOOKUP(B410,'[4]DE x PARA'!B405:K2404,10,FALSE),"SINTÉTICA")</f>
        <v>600001</v>
      </c>
      <c r="N410">
        <f>IFERROR(VLOOKUP(M410,'[4]DE x PARA'!$K$2:$L$2001,2,FALSE),0)</f>
        <v>0</v>
      </c>
      <c r="O410">
        <f t="shared" si="28"/>
        <v>0</v>
      </c>
    </row>
    <row r="411" spans="1:15" ht="18">
      <c r="A411" t="str">
        <f t="shared" si="24"/>
        <v>4.2.6.01.0017</v>
      </c>
      <c r="B411" t="s">
        <v>1167</v>
      </c>
      <c r="C411">
        <v>426117</v>
      </c>
      <c r="D411" t="s">
        <v>1056</v>
      </c>
      <c r="E411" s="77">
        <v>0</v>
      </c>
      <c r="F411" s="77">
        <v>91302.14</v>
      </c>
      <c r="G411" s="77">
        <v>0</v>
      </c>
      <c r="H411" s="77">
        <v>91302.14</v>
      </c>
      <c r="I411" s="77">
        <v>91302.14</v>
      </c>
      <c r="J411" s="112">
        <f t="shared" si="25"/>
        <v>91.302139999999994</v>
      </c>
      <c r="K411" s="112">
        <f t="shared" si="26"/>
        <v>91</v>
      </c>
      <c r="L411" s="346">
        <f>IFERROR(VLOOKUP(C411,'[4]DE x PARA'!C406:K2405,7,FALSE),"SINTÉTICA")</f>
        <v>500004</v>
      </c>
      <c r="M411">
        <f>IFERROR(VLOOKUP(B411,'[4]DE x PARA'!B406:K2405,10,FALSE),"SINTÉTICA")</f>
        <v>600001</v>
      </c>
      <c r="N411">
        <f>IFERROR(VLOOKUP(M411,'[4]DE x PARA'!$K$2:$L$2001,2,FALSE),0)</f>
        <v>0</v>
      </c>
      <c r="O411">
        <f t="shared" si="28"/>
        <v>0</v>
      </c>
    </row>
    <row r="412" spans="1:15" ht="18">
      <c r="A412" t="str">
        <f t="shared" si="24"/>
        <v>4.2.6.02</v>
      </c>
      <c r="B412" t="s">
        <v>26</v>
      </c>
      <c r="C412">
        <v>4262</v>
      </c>
      <c r="D412" t="s">
        <v>1168</v>
      </c>
      <c r="E412" s="77">
        <v>0</v>
      </c>
      <c r="F412" s="77">
        <v>2164184.61</v>
      </c>
      <c r="G412" s="77">
        <v>-29553.05</v>
      </c>
      <c r="H412" s="77">
        <v>2134631.56</v>
      </c>
      <c r="I412" s="77">
        <v>2134631.56</v>
      </c>
      <c r="J412" s="112">
        <f t="shared" si="25"/>
        <v>2134.6315600000003</v>
      </c>
      <c r="K412" s="112">
        <f t="shared" si="26"/>
        <v>2135</v>
      </c>
      <c r="L412" s="346">
        <f>IFERROR(VLOOKUP(C412,'[4]DE x PARA'!C407:K2406,7,FALSE),"SINTÉTICA")</f>
        <v>0</v>
      </c>
      <c r="M412">
        <f>IFERROR(VLOOKUP(B412,'[4]DE x PARA'!B407:K2406,10,FALSE),"SINTÉTICA")</f>
        <v>0</v>
      </c>
      <c r="N412">
        <f>IFERROR(VLOOKUP(M412,'[4]DE x PARA'!$K$2:$L$2001,2,FALSE),0)</f>
        <v>0</v>
      </c>
      <c r="O412">
        <f t="shared" si="28"/>
        <v>0</v>
      </c>
    </row>
    <row r="413" spans="1:15" ht="18">
      <c r="A413" t="str">
        <f t="shared" si="24"/>
        <v>4.2.6.02.0001</v>
      </c>
      <c r="B413" t="s">
        <v>1169</v>
      </c>
      <c r="C413">
        <v>42621</v>
      </c>
      <c r="D413" t="s">
        <v>1061</v>
      </c>
      <c r="E413" s="77">
        <v>0</v>
      </c>
      <c r="F413" s="77">
        <v>340358.57</v>
      </c>
      <c r="G413" s="77">
        <v>0</v>
      </c>
      <c r="H413" s="77">
        <v>340358.57</v>
      </c>
      <c r="I413" s="77">
        <v>340358.57</v>
      </c>
      <c r="J413" s="112">
        <f t="shared" si="25"/>
        <v>340.35856999999999</v>
      </c>
      <c r="K413" s="112">
        <f t="shared" si="26"/>
        <v>340</v>
      </c>
      <c r="L413" s="346">
        <f>IFERROR(VLOOKUP(C413,'[4]DE x PARA'!C408:K2407,7,FALSE),"SINTÉTICA")</f>
        <v>500008</v>
      </c>
      <c r="M413">
        <f>IFERROR(VLOOKUP(B413,'[4]DE x PARA'!B408:K2407,10,FALSE),"SINTÉTICA")</f>
        <v>600001</v>
      </c>
      <c r="N413">
        <f>IFERROR(VLOOKUP(M413,'[4]DE x PARA'!$K$2:$L$2001,2,FALSE),0)</f>
        <v>0</v>
      </c>
      <c r="O413">
        <f t="shared" si="28"/>
        <v>0</v>
      </c>
    </row>
    <row r="414" spans="1:15" ht="18">
      <c r="A414" t="str">
        <f t="shared" si="24"/>
        <v>4.2.6.02.0002</v>
      </c>
      <c r="B414" t="s">
        <v>1170</v>
      </c>
      <c r="C414">
        <v>42622</v>
      </c>
      <c r="D414" t="s">
        <v>1063</v>
      </c>
      <c r="E414" s="77">
        <v>0</v>
      </c>
      <c r="F414" s="77">
        <v>254578.84</v>
      </c>
      <c r="G414" s="77">
        <v>0</v>
      </c>
      <c r="H414" s="77">
        <v>254578.84</v>
      </c>
      <c r="I414" s="77">
        <v>254578.84</v>
      </c>
      <c r="J414" s="112">
        <f t="shared" si="25"/>
        <v>254.57883999999999</v>
      </c>
      <c r="K414" s="112">
        <f t="shared" si="26"/>
        <v>255</v>
      </c>
      <c r="L414" s="346">
        <f>IFERROR(VLOOKUP(C414,'[4]DE x PARA'!C409:K2408,7,FALSE),"SINTÉTICA")</f>
        <v>500008</v>
      </c>
      <c r="M414">
        <f>IFERROR(VLOOKUP(B414,'[4]DE x PARA'!B409:K2408,10,FALSE),"SINTÉTICA")</f>
        <v>600001</v>
      </c>
      <c r="N414">
        <f>IFERROR(VLOOKUP(M414,'[4]DE x PARA'!$K$2:$L$2001,2,FALSE),0)</f>
        <v>0</v>
      </c>
      <c r="O414">
        <f t="shared" si="28"/>
        <v>0</v>
      </c>
    </row>
    <row r="415" spans="1:15" ht="18">
      <c r="A415" t="str">
        <f t="shared" si="24"/>
        <v>4.2.6.02.0004</v>
      </c>
      <c r="B415" t="s">
        <v>1171</v>
      </c>
      <c r="C415">
        <v>42624</v>
      </c>
      <c r="D415" t="s">
        <v>1172</v>
      </c>
      <c r="E415" s="77">
        <v>0</v>
      </c>
      <c r="F415" s="77">
        <v>224137.21</v>
      </c>
      <c r="G415" s="77">
        <v>0</v>
      </c>
      <c r="H415" s="77">
        <v>224137.21</v>
      </c>
      <c r="I415" s="77">
        <v>224137.21</v>
      </c>
      <c r="J415" s="112">
        <f t="shared" si="25"/>
        <v>224.13720999999998</v>
      </c>
      <c r="K415" s="112">
        <f t="shared" si="26"/>
        <v>224</v>
      </c>
      <c r="L415" s="346">
        <f>IFERROR(VLOOKUP(C415,'[4]DE x PARA'!C410:K2409,7,FALSE),"SINTÉTICA")</f>
        <v>500004</v>
      </c>
      <c r="M415">
        <f>IFERROR(VLOOKUP(B415,'[4]DE x PARA'!B410:K2409,10,FALSE),"SINTÉTICA")</f>
        <v>600001</v>
      </c>
      <c r="N415">
        <f>IFERROR(VLOOKUP(M415,'[4]DE x PARA'!$K$2:$L$2001,2,FALSE),0)</f>
        <v>0</v>
      </c>
      <c r="O415">
        <f t="shared" si="28"/>
        <v>0</v>
      </c>
    </row>
    <row r="416" spans="1:15" ht="18">
      <c r="A416" t="str">
        <f t="shared" si="24"/>
        <v>4.2.6.02.0006</v>
      </c>
      <c r="B416" t="s">
        <v>1173</v>
      </c>
      <c r="C416">
        <v>42626</v>
      </c>
      <c r="D416" t="s">
        <v>1174</v>
      </c>
      <c r="E416" s="77">
        <v>0</v>
      </c>
      <c r="F416" s="77">
        <v>94763.03</v>
      </c>
      <c r="G416" s="77">
        <v>-18885.89</v>
      </c>
      <c r="H416" s="77">
        <v>75877.14</v>
      </c>
      <c r="I416" s="77">
        <v>75877.14</v>
      </c>
      <c r="J416" s="112">
        <f t="shared" si="25"/>
        <v>75.877139999999997</v>
      </c>
      <c r="K416" s="112">
        <f t="shared" si="26"/>
        <v>76</v>
      </c>
      <c r="L416" s="346">
        <f>IFERROR(VLOOKUP(C416,'[4]DE x PARA'!C411:K2410,7,FALSE),"SINTÉTICA")</f>
        <v>500004</v>
      </c>
      <c r="M416">
        <f>IFERROR(VLOOKUP(B416,'[4]DE x PARA'!B411:K2410,10,FALSE),"SINTÉTICA")</f>
        <v>600001</v>
      </c>
      <c r="N416">
        <f>IFERROR(VLOOKUP(M416,'[4]DE x PARA'!$K$2:$L$2001,2,FALSE),0)</f>
        <v>0</v>
      </c>
      <c r="O416">
        <f t="shared" si="28"/>
        <v>0</v>
      </c>
    </row>
    <row r="417" spans="1:15" ht="18">
      <c r="A417" t="str">
        <f t="shared" si="24"/>
        <v>4.2.6.02.0007</v>
      </c>
      <c r="B417" t="s">
        <v>1175</v>
      </c>
      <c r="C417">
        <v>42627</v>
      </c>
      <c r="D417" t="s">
        <v>1176</v>
      </c>
      <c r="E417" s="77">
        <v>0</v>
      </c>
      <c r="F417" s="77">
        <v>982451.38</v>
      </c>
      <c r="G417" s="77">
        <v>0</v>
      </c>
      <c r="H417" s="77">
        <v>982451.38</v>
      </c>
      <c r="I417" s="77">
        <v>982451.38</v>
      </c>
      <c r="J417" s="112">
        <f t="shared" si="25"/>
        <v>982.45137999999997</v>
      </c>
      <c r="K417" s="112">
        <f t="shared" si="26"/>
        <v>982</v>
      </c>
      <c r="L417" s="346">
        <f>IFERROR(VLOOKUP(C417,'[4]DE x PARA'!C412:K2411,7,FALSE),"SINTÉTICA")</f>
        <v>500004</v>
      </c>
      <c r="M417">
        <f>IFERROR(VLOOKUP(B417,'[4]DE x PARA'!B412:K2411,10,FALSE),"SINTÉTICA")</f>
        <v>600001</v>
      </c>
      <c r="N417">
        <f>IFERROR(VLOOKUP(M417,'[4]DE x PARA'!$K$2:$L$2001,2,FALSE),0)</f>
        <v>0</v>
      </c>
      <c r="O417">
        <f t="shared" si="28"/>
        <v>0</v>
      </c>
    </row>
    <row r="418" spans="1:15" ht="18">
      <c r="A418" t="str">
        <f t="shared" ref="A418:A438" si="29">B418</f>
        <v>4.2.6.02.0009</v>
      </c>
      <c r="B418" t="s">
        <v>1177</v>
      </c>
      <c r="C418">
        <v>42629</v>
      </c>
      <c r="D418" t="s">
        <v>1178</v>
      </c>
      <c r="E418" s="77">
        <v>0</v>
      </c>
      <c r="F418" s="77">
        <v>9340.24</v>
      </c>
      <c r="G418" s="77">
        <v>0</v>
      </c>
      <c r="H418" s="77">
        <v>9340.24</v>
      </c>
      <c r="I418" s="77">
        <v>9340.24</v>
      </c>
      <c r="J418" s="112">
        <f t="shared" si="25"/>
        <v>9.3402399999999997</v>
      </c>
      <c r="K418" s="112">
        <f t="shared" si="26"/>
        <v>9</v>
      </c>
      <c r="L418" s="346">
        <f>IFERROR(VLOOKUP(C418,'[4]DE x PARA'!C413:K2412,7,FALSE),"SINTÉTICA")</f>
        <v>500004</v>
      </c>
      <c r="M418">
        <f>IFERROR(VLOOKUP(B418,'[4]DE x PARA'!B413:K2412,10,FALSE),"SINTÉTICA")</f>
        <v>600001</v>
      </c>
      <c r="N418">
        <f>IFERROR(VLOOKUP(M418,'[4]DE x PARA'!$K$2:$L$2001,2,FALSE),0)</f>
        <v>0</v>
      </c>
      <c r="O418">
        <f t="shared" si="28"/>
        <v>0</v>
      </c>
    </row>
    <row r="419" spans="1:15" ht="18">
      <c r="A419" t="str">
        <f t="shared" si="29"/>
        <v>4.2.6.02.0010</v>
      </c>
      <c r="B419" t="s">
        <v>1179</v>
      </c>
      <c r="C419">
        <v>426210</v>
      </c>
      <c r="D419" t="s">
        <v>1180</v>
      </c>
      <c r="E419" s="77">
        <v>0</v>
      </c>
      <c r="F419" s="77">
        <v>34780.519999999997</v>
      </c>
      <c r="G419" s="77">
        <v>-5686.66</v>
      </c>
      <c r="H419" s="77">
        <v>29093.86</v>
      </c>
      <c r="I419" s="77">
        <v>29093.86</v>
      </c>
      <c r="J419" s="112">
        <f t="shared" si="25"/>
        <v>29.093859999999999</v>
      </c>
      <c r="K419" s="112">
        <f t="shared" si="26"/>
        <v>29</v>
      </c>
      <c r="L419" s="346">
        <f>IFERROR(VLOOKUP(C419,'[4]DE x PARA'!C414:K2413,7,FALSE),"SINTÉTICA")</f>
        <v>500004</v>
      </c>
      <c r="M419">
        <f>IFERROR(VLOOKUP(B419,'[4]DE x PARA'!B414:K2413,10,FALSE),"SINTÉTICA")</f>
        <v>600001</v>
      </c>
      <c r="N419">
        <f>IFERROR(VLOOKUP(M419,'[4]DE x PARA'!$K$2:$L$2001,2,FALSE),0)</f>
        <v>0</v>
      </c>
      <c r="O419">
        <f t="shared" si="28"/>
        <v>0</v>
      </c>
    </row>
    <row r="420" spans="1:15" ht="18">
      <c r="A420" t="str">
        <f t="shared" si="29"/>
        <v>4.2.6.02.0013</v>
      </c>
      <c r="B420" t="s">
        <v>5301</v>
      </c>
      <c r="C420">
        <v>426213</v>
      </c>
      <c r="D420" t="s">
        <v>5185</v>
      </c>
      <c r="E420" s="77">
        <v>0</v>
      </c>
      <c r="F420" s="77">
        <v>4980.5</v>
      </c>
      <c r="G420" s="77">
        <v>-4980.5</v>
      </c>
      <c r="H420" s="77">
        <v>0</v>
      </c>
      <c r="I420" s="77">
        <v>0</v>
      </c>
      <c r="J420" s="112">
        <f t="shared" si="25"/>
        <v>0</v>
      </c>
      <c r="K420" s="112">
        <f t="shared" si="26"/>
        <v>0</v>
      </c>
      <c r="L420" s="346">
        <f>IFERROR(VLOOKUP(C420,'[4]DE x PARA'!C415:K2414,7,FALSE),"SINTÉTICA")</f>
        <v>500018</v>
      </c>
      <c r="M420">
        <f>IFERROR(VLOOKUP(B420,'[4]DE x PARA'!B415:K2414,10,FALSE),"SINTÉTICA")</f>
        <v>600001</v>
      </c>
      <c r="N420">
        <f>IFERROR(VLOOKUP(M420,'[4]DE x PARA'!$K$2:$L$2001,2,FALSE),0)</f>
        <v>0</v>
      </c>
      <c r="O420">
        <f t="shared" si="28"/>
        <v>0</v>
      </c>
    </row>
    <row r="421" spans="1:15" ht="18">
      <c r="A421" t="str">
        <f t="shared" si="29"/>
        <v>4.2.6.02.0014</v>
      </c>
      <c r="B421" t="s">
        <v>1181</v>
      </c>
      <c r="C421">
        <v>426214</v>
      </c>
      <c r="D421" t="s">
        <v>1182</v>
      </c>
      <c r="E421" s="77">
        <v>0</v>
      </c>
      <c r="F421" s="77">
        <v>89204.1</v>
      </c>
      <c r="G421" s="77">
        <v>0</v>
      </c>
      <c r="H421" s="77">
        <v>89204.1</v>
      </c>
      <c r="I421" s="77">
        <v>89204.1</v>
      </c>
      <c r="J421" s="112">
        <f t="shared" si="25"/>
        <v>89.204100000000011</v>
      </c>
      <c r="K421" s="112">
        <f t="shared" si="26"/>
        <v>89</v>
      </c>
      <c r="L421" s="346">
        <f>IFERROR(VLOOKUP(C421,'[4]DE x PARA'!C416:K2415,7,FALSE),"SINTÉTICA")</f>
        <v>500008</v>
      </c>
      <c r="M421">
        <f>IFERROR(VLOOKUP(B421,'[4]DE x PARA'!B416:K2415,10,FALSE),"SINTÉTICA")</f>
        <v>600001</v>
      </c>
      <c r="N421">
        <f>IFERROR(VLOOKUP(M421,'[4]DE x PARA'!$K$2:$L$2001,2,FALSE),0)</f>
        <v>0</v>
      </c>
      <c r="O421">
        <f t="shared" si="28"/>
        <v>0</v>
      </c>
    </row>
    <row r="422" spans="1:15" ht="18">
      <c r="A422" t="str">
        <f t="shared" si="29"/>
        <v>4.2.6.02.0015</v>
      </c>
      <c r="B422" t="s">
        <v>1183</v>
      </c>
      <c r="C422">
        <v>426215</v>
      </c>
      <c r="D422" t="s">
        <v>1184</v>
      </c>
      <c r="E422" s="77">
        <v>0</v>
      </c>
      <c r="F422" s="77">
        <v>129590.22</v>
      </c>
      <c r="G422" s="77">
        <v>0</v>
      </c>
      <c r="H422" s="77">
        <v>129590.22</v>
      </c>
      <c r="I422" s="77">
        <v>129590.22</v>
      </c>
      <c r="J422" s="112">
        <f t="shared" si="25"/>
        <v>129.59021999999999</v>
      </c>
      <c r="K422" s="112">
        <f t="shared" si="26"/>
        <v>130</v>
      </c>
      <c r="L422" s="346">
        <f>IFERROR(VLOOKUP(C422,'[4]DE x PARA'!C417:K2416,7,FALSE),"SINTÉTICA")</f>
        <v>500004</v>
      </c>
      <c r="M422">
        <f>IFERROR(VLOOKUP(B422,'[4]DE x PARA'!B417:K2416,10,FALSE),"SINTÉTICA")</f>
        <v>600001</v>
      </c>
      <c r="N422">
        <f>IFERROR(VLOOKUP(M422,'[4]DE x PARA'!$K$2:$L$2001,2,FALSE),0)</f>
        <v>0</v>
      </c>
      <c r="O422">
        <f t="shared" si="28"/>
        <v>0</v>
      </c>
    </row>
    <row r="423" spans="1:15" ht="18">
      <c r="A423" t="str">
        <f t="shared" si="29"/>
        <v>4.2.7</v>
      </c>
      <c r="B423" t="s">
        <v>39</v>
      </c>
      <c r="C423">
        <v>427</v>
      </c>
      <c r="D423" t="s">
        <v>38</v>
      </c>
      <c r="E423" s="77">
        <v>0</v>
      </c>
      <c r="F423" s="77">
        <v>1820050.3</v>
      </c>
      <c r="G423" s="77">
        <v>-640310.85</v>
      </c>
      <c r="H423" s="77">
        <v>1179739.45</v>
      </c>
      <c r="I423" s="77">
        <v>1179739.45</v>
      </c>
      <c r="J423" s="112">
        <f t="shared" si="25"/>
        <v>1179.73945</v>
      </c>
      <c r="K423" s="112">
        <f t="shared" si="26"/>
        <v>1180</v>
      </c>
      <c r="L423" s="346">
        <f>IFERROR(VLOOKUP(C423,'[4]DE x PARA'!C418:K2417,7,FALSE),"SINTÉTICA")</f>
        <v>0</v>
      </c>
      <c r="M423">
        <f>IFERROR(VLOOKUP(B423,'[4]DE x PARA'!B418:K2417,10,FALSE),"SINTÉTICA")</f>
        <v>0</v>
      </c>
      <c r="N423">
        <f>IFERROR(VLOOKUP(M423,'[4]DE x PARA'!$K$2:$L$2001,2,FALSE),0)</f>
        <v>0</v>
      </c>
      <c r="O423">
        <f t="shared" si="28"/>
        <v>0</v>
      </c>
    </row>
    <row r="424" spans="1:15" ht="18">
      <c r="A424" t="str">
        <f t="shared" si="29"/>
        <v>4.2.7.01</v>
      </c>
      <c r="B424" t="s">
        <v>1185</v>
      </c>
      <c r="C424">
        <v>42701</v>
      </c>
      <c r="D424" t="s">
        <v>38</v>
      </c>
      <c r="E424" s="77">
        <v>0</v>
      </c>
      <c r="F424" s="77">
        <v>1820050.3</v>
      </c>
      <c r="G424" s="77">
        <v>-640310.85</v>
      </c>
      <c r="H424" s="77">
        <v>1179739.45</v>
      </c>
      <c r="I424" s="77">
        <v>1179739.45</v>
      </c>
      <c r="J424" s="112">
        <f t="shared" si="25"/>
        <v>1179.73945</v>
      </c>
      <c r="K424" s="112">
        <f t="shared" si="26"/>
        <v>1180</v>
      </c>
      <c r="L424" s="346">
        <f>IFERROR(VLOOKUP(C424,'[4]DE x PARA'!C419:K2418,7,FALSE),"SINTÉTICA")</f>
        <v>0</v>
      </c>
      <c r="M424">
        <f>IFERROR(VLOOKUP(B424,'[4]DE x PARA'!B419:K2418,10,FALSE),"SINTÉTICA")</f>
        <v>0</v>
      </c>
      <c r="N424">
        <f>IFERROR(VLOOKUP(M424,'[4]DE x PARA'!$K$2:$L$2001,2,FALSE),0)</f>
        <v>0</v>
      </c>
      <c r="O424">
        <f t="shared" si="28"/>
        <v>0</v>
      </c>
    </row>
    <row r="425" spans="1:15" s="378" customFormat="1" ht="18">
      <c r="A425" s="378" t="str">
        <f t="shared" si="29"/>
        <v>4.2.7.01.0001</v>
      </c>
      <c r="B425" s="378" t="s">
        <v>1186</v>
      </c>
      <c r="C425" s="378">
        <v>42711</v>
      </c>
      <c r="D425" s="378" t="s">
        <v>1187</v>
      </c>
      <c r="E425" s="379">
        <v>0</v>
      </c>
      <c r="F425" s="379">
        <v>501</v>
      </c>
      <c r="G425" s="379">
        <v>0</v>
      </c>
      <c r="H425" s="379">
        <v>501</v>
      </c>
      <c r="I425" s="379">
        <v>501</v>
      </c>
      <c r="J425" s="887">
        <f t="shared" ref="J425:J438" si="30">I425/1000</f>
        <v>0.501</v>
      </c>
      <c r="K425" s="887">
        <f t="shared" ref="K425:K438" si="31">ROUND(J425,0)</f>
        <v>1</v>
      </c>
      <c r="L425" s="886">
        <f>IFERROR(VLOOKUP(C425,'[4]DE x PARA'!C420:K2419,7,FALSE),"SINTÉTICA")</f>
        <v>500016</v>
      </c>
      <c r="M425" s="378">
        <f>IFERROR(VLOOKUP(B425,'[4]DE x PARA'!B420:K2419,10,FALSE),"SINTÉTICA")</f>
        <v>600001</v>
      </c>
      <c r="N425" s="378">
        <f>IFERROR(VLOOKUP(M425,'[4]DE x PARA'!$K$2:$L$2001,2,FALSE),0)</f>
        <v>0</v>
      </c>
      <c r="O425" s="378">
        <f t="shared" ref="O425:O438" si="32">+H425*N425</f>
        <v>0</v>
      </c>
    </row>
    <row r="426" spans="1:15" s="378" customFormat="1" ht="18">
      <c r="A426" s="378" t="str">
        <f t="shared" si="29"/>
        <v>4.2.7.01.0020</v>
      </c>
      <c r="B426" s="378" t="s">
        <v>1188</v>
      </c>
      <c r="C426" s="378">
        <v>42720</v>
      </c>
      <c r="D426" s="378" t="s">
        <v>1189</v>
      </c>
      <c r="E426" s="379">
        <v>0</v>
      </c>
      <c r="F426" s="379">
        <v>1819549.3</v>
      </c>
      <c r="G426" s="379">
        <v>-640310.85</v>
      </c>
      <c r="H426" s="379">
        <v>1179238.45</v>
      </c>
      <c r="I426" s="379">
        <v>1179238.45</v>
      </c>
      <c r="J426" s="887">
        <f t="shared" si="30"/>
        <v>1179.2384500000001</v>
      </c>
      <c r="K426" s="887">
        <f t="shared" si="31"/>
        <v>1179</v>
      </c>
      <c r="L426" s="886">
        <f>IFERROR(VLOOKUP(C426,'[4]DE x PARA'!C421:K2420,7,FALSE),"SINTÉTICA")</f>
        <v>500016</v>
      </c>
      <c r="M426" s="378">
        <f>IFERROR(VLOOKUP(B426,'[4]DE x PARA'!B421:K2420,10,FALSE),"SINTÉTICA")</f>
        <v>600001</v>
      </c>
      <c r="N426" s="378">
        <f>IFERROR(VLOOKUP(M426,'[4]DE x PARA'!$K$2:$L$2001,2,FALSE),0)</f>
        <v>0</v>
      </c>
      <c r="O426" s="378">
        <f t="shared" si="32"/>
        <v>0</v>
      </c>
    </row>
    <row r="427" spans="1:15" ht="18">
      <c r="A427">
        <f t="shared" si="29"/>
        <v>5</v>
      </c>
      <c r="B427">
        <v>5</v>
      </c>
      <c r="C427">
        <v>5</v>
      </c>
      <c r="D427" t="s">
        <v>1190</v>
      </c>
      <c r="E427" s="77">
        <v>0</v>
      </c>
      <c r="F427" s="77">
        <v>4914444.7699999996</v>
      </c>
      <c r="G427" s="77">
        <v>-3526598.82</v>
      </c>
      <c r="H427" s="77">
        <v>1387845.95</v>
      </c>
      <c r="I427" s="77">
        <v>1387845.95</v>
      </c>
      <c r="J427" s="112">
        <f t="shared" si="30"/>
        <v>1387.8459499999999</v>
      </c>
      <c r="K427" s="112">
        <f t="shared" si="31"/>
        <v>1388</v>
      </c>
      <c r="L427" s="346">
        <f>IFERROR(VLOOKUP(C427,'[4]DE x PARA'!C422:K2421,7,FALSE),"SINTÉTICA")</f>
        <v>0</v>
      </c>
      <c r="M427">
        <f>IFERROR(VLOOKUP(B427,'[4]DE x PARA'!B422:K2421,10,FALSE),"SINTÉTICA")</f>
        <v>0</v>
      </c>
      <c r="N427">
        <f>IFERROR(VLOOKUP(M427,'[4]DE x PARA'!$K$2:$L$2001,2,FALSE),0)</f>
        <v>0</v>
      </c>
      <c r="O427">
        <f t="shared" si="32"/>
        <v>0</v>
      </c>
    </row>
    <row r="428" spans="1:15" ht="18">
      <c r="A428" t="str">
        <f t="shared" si="29"/>
        <v>5.1</v>
      </c>
      <c r="B428" t="s">
        <v>1191</v>
      </c>
      <c r="C428">
        <v>51</v>
      </c>
      <c r="D428" t="s">
        <v>1190</v>
      </c>
      <c r="E428" s="77">
        <v>0</v>
      </c>
      <c r="F428" s="77">
        <v>4914444.7699999996</v>
      </c>
      <c r="G428" s="77">
        <v>-3526598.82</v>
      </c>
      <c r="H428" s="77">
        <v>1387845.95</v>
      </c>
      <c r="I428" s="77">
        <v>1387845.95</v>
      </c>
      <c r="J428" s="112">
        <f t="shared" si="30"/>
        <v>1387.8459499999999</v>
      </c>
      <c r="K428" s="112">
        <f t="shared" si="31"/>
        <v>1388</v>
      </c>
      <c r="L428" s="346">
        <f>IFERROR(VLOOKUP(C428,'[4]DE x PARA'!C423:K2422,7,FALSE),"SINTÉTICA")</f>
        <v>0</v>
      </c>
      <c r="M428">
        <f>IFERROR(VLOOKUP(B428,'[4]DE x PARA'!B423:K2422,10,FALSE),"SINTÉTICA")</f>
        <v>0</v>
      </c>
      <c r="N428">
        <f>IFERROR(VLOOKUP(M428,'[4]DE x PARA'!$K$2:$L$2001,2,FALSE),0)</f>
        <v>0</v>
      </c>
      <c r="O428">
        <f t="shared" si="32"/>
        <v>0</v>
      </c>
    </row>
    <row r="429" spans="1:15" ht="18">
      <c r="A429" t="str">
        <f t="shared" si="29"/>
        <v>5.1.1</v>
      </c>
      <c r="B429" t="s">
        <v>1192</v>
      </c>
      <c r="C429">
        <v>511</v>
      </c>
      <c r="D429" t="s">
        <v>1193</v>
      </c>
      <c r="E429" s="77">
        <v>0</v>
      </c>
      <c r="F429" s="77">
        <v>4914444.7699999996</v>
      </c>
      <c r="G429" s="77">
        <v>0</v>
      </c>
      <c r="H429" s="77">
        <v>4914444.7699999996</v>
      </c>
      <c r="I429" s="77">
        <v>4914444.7699999996</v>
      </c>
      <c r="J429" s="112">
        <f t="shared" si="30"/>
        <v>4914.4447699999992</v>
      </c>
      <c r="K429" s="112">
        <f t="shared" si="31"/>
        <v>4914</v>
      </c>
      <c r="L429" s="346">
        <f>IFERROR(VLOOKUP(C429,'[4]DE x PARA'!C424:K2423,7,FALSE),"SINTÉTICA")</f>
        <v>0</v>
      </c>
      <c r="M429">
        <f>IFERROR(VLOOKUP(B429,'[4]DE x PARA'!B424:K2423,10,FALSE),"SINTÉTICA")</f>
        <v>0</v>
      </c>
      <c r="N429">
        <f>IFERROR(VLOOKUP(M429,'[4]DE x PARA'!$K$2:$L$2001,2,FALSE),0)</f>
        <v>0</v>
      </c>
      <c r="O429">
        <f t="shared" si="32"/>
        <v>0</v>
      </c>
    </row>
    <row r="430" spans="1:15" ht="18">
      <c r="A430" t="str">
        <f t="shared" si="29"/>
        <v>5.1.1.01</v>
      </c>
      <c r="B430" t="s">
        <v>1194</v>
      </c>
      <c r="C430">
        <v>5111</v>
      </c>
      <c r="D430" t="s">
        <v>1195</v>
      </c>
      <c r="E430" s="77">
        <v>0</v>
      </c>
      <c r="F430" s="77">
        <v>1198297.77</v>
      </c>
      <c r="G430" s="77">
        <v>0</v>
      </c>
      <c r="H430" s="77">
        <v>1198297.77</v>
      </c>
      <c r="I430" s="77">
        <v>1198297.77</v>
      </c>
      <c r="J430" s="112">
        <f t="shared" si="30"/>
        <v>1198.2977700000001</v>
      </c>
      <c r="K430" s="112">
        <f t="shared" si="31"/>
        <v>1198</v>
      </c>
      <c r="L430" s="346">
        <f>IFERROR(VLOOKUP(C430,'[4]DE x PARA'!C425:K2424,7,FALSE),"SINTÉTICA")</f>
        <v>500019</v>
      </c>
      <c r="M430">
        <f>IFERROR(VLOOKUP(B430,'[4]DE x PARA'!B425:K2424,10,FALSE),"SINTÉTICA")</f>
        <v>600001</v>
      </c>
      <c r="N430">
        <f>IFERROR(VLOOKUP(M430,'[4]DE x PARA'!$K$2:$L$2001,2,FALSE),0)</f>
        <v>0</v>
      </c>
      <c r="O430">
        <f t="shared" si="32"/>
        <v>0</v>
      </c>
    </row>
    <row r="431" spans="1:15" ht="18">
      <c r="A431" t="str">
        <f t="shared" si="29"/>
        <v>5.1.1.02</v>
      </c>
      <c r="B431" t="s">
        <v>1196</v>
      </c>
      <c r="C431">
        <v>5112</v>
      </c>
      <c r="D431" t="s">
        <v>1197</v>
      </c>
      <c r="E431" s="77">
        <v>0</v>
      </c>
      <c r="F431" s="77">
        <v>1804659.7</v>
      </c>
      <c r="G431" s="77">
        <v>0</v>
      </c>
      <c r="H431" s="77">
        <v>1804659.7</v>
      </c>
      <c r="I431" s="77">
        <v>1804659.7</v>
      </c>
      <c r="J431" s="112">
        <f t="shared" si="30"/>
        <v>1804.6596999999999</v>
      </c>
      <c r="K431" s="112">
        <f t="shared" si="31"/>
        <v>1805</v>
      </c>
      <c r="L431" s="346">
        <f>IFERROR(VLOOKUP(C431,'[4]DE x PARA'!C426:K2425,7,FALSE),"SINTÉTICA")</f>
        <v>500019</v>
      </c>
      <c r="M431">
        <f>IFERROR(VLOOKUP(B431,'[4]DE x PARA'!B426:K2425,10,FALSE),"SINTÉTICA")</f>
        <v>600001</v>
      </c>
      <c r="N431">
        <f>IFERROR(VLOOKUP(M431,'[4]DE x PARA'!$K$2:$L$2001,2,FALSE),0)</f>
        <v>0</v>
      </c>
      <c r="O431">
        <f t="shared" si="32"/>
        <v>0</v>
      </c>
    </row>
    <row r="432" spans="1:15" ht="18">
      <c r="A432" t="str">
        <f t="shared" si="29"/>
        <v>5.1.1.04</v>
      </c>
      <c r="B432" t="s">
        <v>1198</v>
      </c>
      <c r="C432">
        <v>5114</v>
      </c>
      <c r="D432" t="s">
        <v>1199</v>
      </c>
      <c r="E432" s="77">
        <v>0</v>
      </c>
      <c r="F432" s="77">
        <v>430516.94</v>
      </c>
      <c r="G432" s="77">
        <v>0</v>
      </c>
      <c r="H432" s="77">
        <v>430516.94</v>
      </c>
      <c r="I432" s="77">
        <v>430516.94</v>
      </c>
      <c r="J432" s="112">
        <f t="shared" si="30"/>
        <v>430.51693999999998</v>
      </c>
      <c r="K432" s="112">
        <f t="shared" si="31"/>
        <v>431</v>
      </c>
      <c r="L432" s="346">
        <f>IFERROR(VLOOKUP(C432,'[4]DE x PARA'!C427:K2426,7,FALSE),"SINTÉTICA")</f>
        <v>500019</v>
      </c>
      <c r="M432">
        <f>IFERROR(VLOOKUP(B432,'[4]DE x PARA'!B427:K2426,10,FALSE),"SINTÉTICA")</f>
        <v>600001</v>
      </c>
      <c r="N432">
        <f>IFERROR(VLOOKUP(M432,'[4]DE x PARA'!$K$2:$L$2001,2,FALSE),0)</f>
        <v>0</v>
      </c>
      <c r="O432">
        <f t="shared" si="32"/>
        <v>0</v>
      </c>
    </row>
    <row r="433" spans="1:15" ht="18">
      <c r="A433" t="str">
        <f t="shared" si="29"/>
        <v>5.1.1.06</v>
      </c>
      <c r="B433" t="s">
        <v>1200</v>
      </c>
      <c r="C433">
        <v>5116</v>
      </c>
      <c r="D433" t="s">
        <v>1201</v>
      </c>
      <c r="E433" s="77">
        <v>0</v>
      </c>
      <c r="F433" s="77">
        <v>1480970.36</v>
      </c>
      <c r="G433" s="77">
        <v>0</v>
      </c>
      <c r="H433" s="77">
        <v>1480970.36</v>
      </c>
      <c r="I433" s="77">
        <v>1480970.36</v>
      </c>
      <c r="J433" s="112">
        <f t="shared" si="30"/>
        <v>1480.97036</v>
      </c>
      <c r="K433" s="112">
        <f t="shared" si="31"/>
        <v>1481</v>
      </c>
      <c r="L433" s="346">
        <f>IFERROR(VLOOKUP(C433,'[4]DE x PARA'!C428:K2427,7,FALSE),"SINTÉTICA")</f>
        <v>500019</v>
      </c>
      <c r="M433">
        <f>IFERROR(VLOOKUP(B433,'[4]DE x PARA'!B428:K2427,10,FALSE),"SINTÉTICA")</f>
        <v>600001</v>
      </c>
      <c r="N433">
        <f>IFERROR(VLOOKUP(M433,'[4]DE x PARA'!$K$2:$L$2001,2,FALSE),0)</f>
        <v>0</v>
      </c>
      <c r="O433">
        <f t="shared" si="32"/>
        <v>0</v>
      </c>
    </row>
    <row r="434" spans="1:15" ht="18">
      <c r="A434" t="str">
        <f t="shared" si="29"/>
        <v>5.1.2</v>
      </c>
      <c r="B434" t="s">
        <v>1202</v>
      </c>
      <c r="C434">
        <v>512</v>
      </c>
      <c r="D434" t="s">
        <v>1203</v>
      </c>
      <c r="E434" s="77">
        <v>0</v>
      </c>
      <c r="F434" s="77">
        <v>0</v>
      </c>
      <c r="G434" s="77">
        <v>-3526598.82</v>
      </c>
      <c r="H434" s="77">
        <v>-3526598.82</v>
      </c>
      <c r="I434" s="77">
        <v>-3526598.82</v>
      </c>
      <c r="J434" s="112">
        <f t="shared" si="30"/>
        <v>-3526.5988199999997</v>
      </c>
      <c r="K434" s="112">
        <f t="shared" si="31"/>
        <v>-3527</v>
      </c>
      <c r="L434" s="346">
        <f>IFERROR(VLOOKUP(C434,'[4]DE x PARA'!C429:K2428,7,FALSE),"SINTÉTICA")</f>
        <v>0</v>
      </c>
      <c r="M434">
        <f>IFERROR(VLOOKUP(B434,'[4]DE x PARA'!B429:K2428,10,FALSE),"SINTÉTICA")</f>
        <v>0</v>
      </c>
      <c r="N434">
        <f>IFERROR(VLOOKUP(M434,'[4]DE x PARA'!$K$2:$L$2001,2,FALSE),0)</f>
        <v>0</v>
      </c>
      <c r="O434">
        <f t="shared" si="32"/>
        <v>0</v>
      </c>
    </row>
    <row r="435" spans="1:15" ht="18">
      <c r="A435" t="str">
        <f t="shared" si="29"/>
        <v>5.1.2.03</v>
      </c>
      <c r="B435" t="s">
        <v>1204</v>
      </c>
      <c r="C435">
        <v>5123</v>
      </c>
      <c r="D435" t="s">
        <v>1205</v>
      </c>
      <c r="E435" s="77">
        <v>0</v>
      </c>
      <c r="F435" s="77">
        <v>0</v>
      </c>
      <c r="G435" s="77">
        <v>-903438.85</v>
      </c>
      <c r="H435" s="77">
        <v>-903438.85</v>
      </c>
      <c r="I435" s="77">
        <v>-903438.85</v>
      </c>
      <c r="J435" s="112">
        <f t="shared" si="30"/>
        <v>-903.43885</v>
      </c>
      <c r="K435" s="112">
        <f t="shared" si="31"/>
        <v>-903</v>
      </c>
      <c r="L435" s="346">
        <f>IFERROR(VLOOKUP(C435,'[4]DE x PARA'!C430:K2429,7,FALSE),"SINTÉTICA")</f>
        <v>500019</v>
      </c>
      <c r="M435">
        <f>IFERROR(VLOOKUP(B435,'[4]DE x PARA'!B430:K2429,10,FALSE),"SINTÉTICA")</f>
        <v>600001</v>
      </c>
      <c r="N435">
        <f>IFERROR(VLOOKUP(M435,'[4]DE x PARA'!$K$2:$L$2001,2,FALSE),0)</f>
        <v>0</v>
      </c>
      <c r="O435">
        <f t="shared" si="32"/>
        <v>0</v>
      </c>
    </row>
    <row r="436" spans="1:15" ht="18">
      <c r="A436" t="str">
        <f t="shared" si="29"/>
        <v>5.1.2.05</v>
      </c>
      <c r="B436" t="s">
        <v>1206</v>
      </c>
      <c r="C436">
        <v>5125</v>
      </c>
      <c r="D436" t="s">
        <v>1207</v>
      </c>
      <c r="E436" s="77">
        <v>0</v>
      </c>
      <c r="F436" s="77">
        <v>0</v>
      </c>
      <c r="G436" s="77">
        <v>-1810413.32</v>
      </c>
      <c r="H436" s="77">
        <v>-1810413.32</v>
      </c>
      <c r="I436" s="77">
        <v>-1810413.32</v>
      </c>
      <c r="J436" s="112">
        <f t="shared" si="30"/>
        <v>-1810.4133200000001</v>
      </c>
      <c r="K436" s="112">
        <f t="shared" si="31"/>
        <v>-1810</v>
      </c>
      <c r="L436" s="346">
        <f>IFERROR(VLOOKUP(C436,'[4]DE x PARA'!C431:K2430,7,FALSE),"SINTÉTICA")</f>
        <v>500019</v>
      </c>
      <c r="M436">
        <f>IFERROR(VLOOKUP(B436,'[4]DE x PARA'!B431:K2430,10,FALSE),"SINTÉTICA")</f>
        <v>600001</v>
      </c>
      <c r="N436">
        <f>IFERROR(VLOOKUP(M436,'[4]DE x PARA'!$K$2:$L$2001,2,FALSE),0)</f>
        <v>0</v>
      </c>
      <c r="O436">
        <f t="shared" si="32"/>
        <v>0</v>
      </c>
    </row>
    <row r="437" spans="1:15" ht="18">
      <c r="A437" t="str">
        <f t="shared" si="29"/>
        <v>5.1.2.07</v>
      </c>
      <c r="B437" t="s">
        <v>1208</v>
      </c>
      <c r="C437">
        <v>5127</v>
      </c>
      <c r="D437" t="s">
        <v>1209</v>
      </c>
      <c r="E437" s="77">
        <v>0</v>
      </c>
      <c r="F437" s="77">
        <v>0</v>
      </c>
      <c r="G437" s="77">
        <v>-795077.21</v>
      </c>
      <c r="H437" s="77">
        <v>-795077.21</v>
      </c>
      <c r="I437" s="77">
        <v>-795077.21</v>
      </c>
      <c r="J437" s="112">
        <f t="shared" si="30"/>
        <v>-795.07720999999992</v>
      </c>
      <c r="K437" s="112">
        <f t="shared" si="31"/>
        <v>-795</v>
      </c>
      <c r="L437" s="346">
        <f>IFERROR(VLOOKUP(C437,'[4]DE x PARA'!C432:K2431,7,FALSE),"SINTÉTICA")</f>
        <v>500019</v>
      </c>
      <c r="M437">
        <f>IFERROR(VLOOKUP(B437,'[4]DE x PARA'!B432:K2431,10,FALSE),"SINTÉTICA")</f>
        <v>600001</v>
      </c>
      <c r="N437">
        <f>IFERROR(VLOOKUP(M437,'[4]DE x PARA'!$K$2:$L$2001,2,FALSE),0)</f>
        <v>0</v>
      </c>
      <c r="O437">
        <f t="shared" si="32"/>
        <v>0</v>
      </c>
    </row>
    <row r="438" spans="1:15" ht="18">
      <c r="A438" t="str">
        <f t="shared" si="29"/>
        <v>5.1.2.08</v>
      </c>
      <c r="B438" t="s">
        <v>1210</v>
      </c>
      <c r="C438">
        <v>5128</v>
      </c>
      <c r="D438" t="s">
        <v>1211</v>
      </c>
      <c r="E438" s="77">
        <v>0</v>
      </c>
      <c r="F438" s="77">
        <v>0</v>
      </c>
      <c r="G438" s="77">
        <v>-17669.439999999999</v>
      </c>
      <c r="H438" s="77">
        <v>-17669.439999999999</v>
      </c>
      <c r="I438" s="77">
        <v>-17669.439999999999</v>
      </c>
      <c r="J438" s="112">
        <f t="shared" si="30"/>
        <v>-17.669439999999998</v>
      </c>
      <c r="K438" s="112">
        <f t="shared" si="31"/>
        <v>-18</v>
      </c>
      <c r="L438" s="346">
        <f>IFERROR(VLOOKUP(C438,'[4]DE x PARA'!C433:K2432,7,FALSE),"SINTÉTICA")</f>
        <v>500019</v>
      </c>
      <c r="M438">
        <f>IFERROR(VLOOKUP(B438,'[4]DE x PARA'!B433:K2432,10,FALSE),"SINTÉTICA")</f>
        <v>600001</v>
      </c>
      <c r="N438">
        <f>IFERROR(VLOOKUP(M438,'[4]DE x PARA'!$K$2:$L$2001,2,FALSE),0)</f>
        <v>0</v>
      </c>
      <c r="O438">
        <f t="shared" si="32"/>
        <v>0</v>
      </c>
    </row>
  </sheetData>
  <autoFilter ref="A6:O381" xr:uid="{00000000-0009-0000-0000-00000E000000}"/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C104"/>
  <sheetViews>
    <sheetView workbookViewId="0">
      <selection activeCell="B19" sqref="B19"/>
    </sheetView>
  </sheetViews>
  <sheetFormatPr defaultRowHeight="14.45"/>
  <cols>
    <col min="2" max="2" width="59.140625" customWidth="1"/>
  </cols>
  <sheetData>
    <row r="2" spans="1:3">
      <c r="A2" t="s">
        <v>1250</v>
      </c>
      <c r="B2" t="s">
        <v>361</v>
      </c>
      <c r="C2">
        <v>500001</v>
      </c>
    </row>
    <row r="3" spans="1:3">
      <c r="A3" t="s">
        <v>1250</v>
      </c>
      <c r="B3" t="s">
        <v>185</v>
      </c>
      <c r="C3">
        <v>500002</v>
      </c>
    </row>
    <row r="4" spans="1:3">
      <c r="A4" t="s">
        <v>1250</v>
      </c>
      <c r="B4" t="s">
        <v>186</v>
      </c>
      <c r="C4">
        <v>500003</v>
      </c>
    </row>
    <row r="5" spans="1:3">
      <c r="A5" t="s">
        <v>1250</v>
      </c>
      <c r="B5" t="s">
        <v>188</v>
      </c>
      <c r="C5">
        <v>500004</v>
      </c>
    </row>
    <row r="6" spans="1:3">
      <c r="A6" t="s">
        <v>1250</v>
      </c>
      <c r="B6" t="s">
        <v>190</v>
      </c>
      <c r="C6">
        <v>500005</v>
      </c>
    </row>
    <row r="7" spans="1:3">
      <c r="A7" t="s">
        <v>1250</v>
      </c>
      <c r="B7" t="s">
        <v>36</v>
      </c>
      <c r="C7">
        <v>500006</v>
      </c>
    </row>
    <row r="8" spans="1:3">
      <c r="A8" t="s">
        <v>1250</v>
      </c>
      <c r="B8" t="s">
        <v>193</v>
      </c>
      <c r="C8">
        <v>500007</v>
      </c>
    </row>
    <row r="9" spans="1:3">
      <c r="A9" t="s">
        <v>1250</v>
      </c>
      <c r="B9" t="s">
        <v>197</v>
      </c>
      <c r="C9">
        <v>500008</v>
      </c>
    </row>
    <row r="10" spans="1:3">
      <c r="A10" t="s">
        <v>1250</v>
      </c>
      <c r="B10" t="s">
        <v>9</v>
      </c>
      <c r="C10">
        <v>500009</v>
      </c>
    </row>
    <row r="11" spans="1:3">
      <c r="A11" t="s">
        <v>1250</v>
      </c>
      <c r="B11" t="s">
        <v>198</v>
      </c>
      <c r="C11">
        <v>500010</v>
      </c>
    </row>
    <row r="12" spans="1:3">
      <c r="A12" t="s">
        <v>1250</v>
      </c>
      <c r="B12" t="s">
        <v>199</v>
      </c>
      <c r="C12">
        <v>500011</v>
      </c>
    </row>
    <row r="13" spans="1:3">
      <c r="A13" t="s">
        <v>1250</v>
      </c>
      <c r="B13" t="s">
        <v>202</v>
      </c>
      <c r="C13">
        <v>500012</v>
      </c>
    </row>
    <row r="14" spans="1:3">
      <c r="A14" t="s">
        <v>1250</v>
      </c>
      <c r="B14" t="s">
        <v>203</v>
      </c>
      <c r="C14">
        <v>500013</v>
      </c>
    </row>
    <row r="15" spans="1:3">
      <c r="A15" t="s">
        <v>1250</v>
      </c>
      <c r="B15" t="s">
        <v>204</v>
      </c>
      <c r="C15">
        <v>500014</v>
      </c>
    </row>
    <row r="16" spans="1:3">
      <c r="A16" t="s">
        <v>1250</v>
      </c>
      <c r="B16" t="s">
        <v>5154</v>
      </c>
      <c r="C16">
        <v>500015</v>
      </c>
    </row>
    <row r="17" spans="1:3">
      <c r="A17" t="s">
        <v>1250</v>
      </c>
      <c r="B17" t="s">
        <v>207</v>
      </c>
      <c r="C17">
        <v>500016</v>
      </c>
    </row>
    <row r="18" spans="1:3">
      <c r="A18" t="s">
        <v>1250</v>
      </c>
      <c r="B18" t="s">
        <v>208</v>
      </c>
      <c r="C18">
        <v>500017</v>
      </c>
    </row>
    <row r="19" spans="1:3">
      <c r="A19" t="s">
        <v>1250</v>
      </c>
      <c r="B19" t="s">
        <v>5159</v>
      </c>
      <c r="C19">
        <v>500018</v>
      </c>
    </row>
    <row r="20" spans="1:3">
      <c r="A20" t="s">
        <v>1250</v>
      </c>
      <c r="B20" t="s">
        <v>5393</v>
      </c>
      <c r="C20">
        <v>500019</v>
      </c>
    </row>
    <row r="21" spans="1:3">
      <c r="A21" t="s">
        <v>47</v>
      </c>
      <c r="B21" t="s">
        <v>361</v>
      </c>
      <c r="C21">
        <v>600001</v>
      </c>
    </row>
    <row r="22" spans="1:3">
      <c r="A22" t="s">
        <v>47</v>
      </c>
      <c r="B22" t="s">
        <v>121</v>
      </c>
      <c r="C22">
        <v>600002</v>
      </c>
    </row>
    <row r="23" spans="1:3">
      <c r="A23" t="s">
        <v>47</v>
      </c>
      <c r="B23" t="s">
        <v>134</v>
      </c>
      <c r="C23">
        <v>600003</v>
      </c>
    </row>
    <row r="24" spans="1:3">
      <c r="A24" t="s">
        <v>47</v>
      </c>
      <c r="B24" t="s">
        <v>120</v>
      </c>
      <c r="C24">
        <v>600004</v>
      </c>
    </row>
    <row r="25" spans="1:3">
      <c r="A25" t="s">
        <v>47</v>
      </c>
      <c r="B25" t="s">
        <v>135</v>
      </c>
      <c r="C25">
        <v>600005</v>
      </c>
    </row>
    <row r="26" spans="1:3">
      <c r="A26" t="s">
        <v>47</v>
      </c>
      <c r="B26" t="s">
        <v>136</v>
      </c>
      <c r="C26">
        <v>600006</v>
      </c>
    </row>
    <row r="27" spans="1:3">
      <c r="A27" t="s">
        <v>47</v>
      </c>
      <c r="B27" t="s">
        <v>137</v>
      </c>
      <c r="C27">
        <v>600007</v>
      </c>
    </row>
    <row r="28" spans="1:3">
      <c r="A28" t="s">
        <v>47</v>
      </c>
      <c r="B28" t="s">
        <v>139</v>
      </c>
      <c r="C28">
        <v>600008</v>
      </c>
    </row>
    <row r="29" spans="1:3">
      <c r="A29" t="s">
        <v>47</v>
      </c>
      <c r="B29" t="s">
        <v>140</v>
      </c>
      <c r="C29">
        <v>600009</v>
      </c>
    </row>
    <row r="30" spans="1:3">
      <c r="A30" t="s">
        <v>47</v>
      </c>
      <c r="B30" t="s">
        <v>144</v>
      </c>
      <c r="C30">
        <v>600010</v>
      </c>
    </row>
    <row r="31" spans="1:3">
      <c r="A31" t="s">
        <v>47</v>
      </c>
      <c r="B31" t="s">
        <v>145</v>
      </c>
      <c r="C31">
        <v>600011</v>
      </c>
    </row>
    <row r="32" spans="1:3">
      <c r="A32" t="s">
        <v>47</v>
      </c>
      <c r="B32" t="s">
        <v>57</v>
      </c>
      <c r="C32">
        <v>600012</v>
      </c>
    </row>
    <row r="33" spans="1:3">
      <c r="A33" t="s">
        <v>47</v>
      </c>
      <c r="B33" t="s">
        <v>146</v>
      </c>
      <c r="C33">
        <v>600013</v>
      </c>
    </row>
    <row r="34" spans="1:3">
      <c r="A34" t="s">
        <v>47</v>
      </c>
      <c r="B34" t="s">
        <v>147</v>
      </c>
      <c r="C34">
        <v>600014</v>
      </c>
    </row>
    <row r="35" spans="1:3">
      <c r="A35" t="s">
        <v>47</v>
      </c>
      <c r="B35" t="s">
        <v>148</v>
      </c>
      <c r="C35">
        <v>600015</v>
      </c>
    </row>
    <row r="36" spans="1:3">
      <c r="A36" t="s">
        <v>47</v>
      </c>
      <c r="B36" t="s">
        <v>59</v>
      </c>
      <c r="C36">
        <v>600016</v>
      </c>
    </row>
    <row r="37" spans="1:3">
      <c r="A37" t="s">
        <v>47</v>
      </c>
      <c r="B37" t="s">
        <v>73</v>
      </c>
      <c r="C37">
        <v>600017</v>
      </c>
    </row>
    <row r="38" spans="1:3">
      <c r="A38" t="s">
        <v>47</v>
      </c>
      <c r="B38" t="s">
        <v>149</v>
      </c>
      <c r="C38">
        <v>600018</v>
      </c>
    </row>
    <row r="39" spans="1:3">
      <c r="A39" t="s">
        <v>47</v>
      </c>
      <c r="B39" t="s">
        <v>150</v>
      </c>
      <c r="C39">
        <v>600019</v>
      </c>
    </row>
    <row r="40" spans="1:3">
      <c r="A40" t="s">
        <v>47</v>
      </c>
      <c r="B40" t="s">
        <v>152</v>
      </c>
      <c r="C40">
        <v>600020</v>
      </c>
    </row>
    <row r="41" spans="1:3">
      <c r="A41" t="s">
        <v>47</v>
      </c>
      <c r="B41" t="s">
        <v>1688</v>
      </c>
      <c r="C41">
        <v>600021</v>
      </c>
    </row>
    <row r="42" spans="1:3">
      <c r="A42" t="s">
        <v>47</v>
      </c>
      <c r="B42" t="s">
        <v>1678</v>
      </c>
      <c r="C42">
        <v>600022</v>
      </c>
    </row>
    <row r="43" spans="1:3">
      <c r="A43" t="s">
        <v>47</v>
      </c>
      <c r="B43" t="s">
        <v>160</v>
      </c>
      <c r="C43">
        <v>600023</v>
      </c>
    </row>
    <row r="44" spans="1:3">
      <c r="A44" t="s">
        <v>47</v>
      </c>
      <c r="B44" t="s">
        <v>161</v>
      </c>
      <c r="C44">
        <v>600024</v>
      </c>
    </row>
    <row r="45" spans="1:3">
      <c r="A45" t="s">
        <v>47</v>
      </c>
      <c r="B45" t="s">
        <v>5420</v>
      </c>
      <c r="C45">
        <v>600025</v>
      </c>
    </row>
    <row r="46" spans="1:3">
      <c r="A46" t="s">
        <v>47</v>
      </c>
      <c r="B46" t="s">
        <v>164</v>
      </c>
      <c r="C46">
        <v>600026</v>
      </c>
    </row>
    <row r="47" spans="1:3">
      <c r="A47" t="s">
        <v>47</v>
      </c>
      <c r="B47" t="s">
        <v>165</v>
      </c>
      <c r="C47">
        <v>600027</v>
      </c>
    </row>
    <row r="48" spans="1:3">
      <c r="A48" t="s">
        <v>47</v>
      </c>
      <c r="B48" t="s">
        <v>166</v>
      </c>
      <c r="C48">
        <v>600028</v>
      </c>
    </row>
    <row r="49" spans="1:3">
      <c r="A49" t="s">
        <v>47</v>
      </c>
      <c r="B49" t="s">
        <v>169</v>
      </c>
      <c r="C49">
        <v>600029</v>
      </c>
    </row>
    <row r="50" spans="1:3">
      <c r="A50" t="s">
        <v>47</v>
      </c>
      <c r="B50" t="s">
        <v>170</v>
      </c>
      <c r="C50">
        <v>600030</v>
      </c>
    </row>
    <row r="51" spans="1:3">
      <c r="A51" t="s">
        <v>47</v>
      </c>
      <c r="B51" t="s">
        <v>4576</v>
      </c>
      <c r="C51">
        <v>600031</v>
      </c>
    </row>
    <row r="52" spans="1:3">
      <c r="A52" t="s">
        <v>47</v>
      </c>
      <c r="B52" t="s">
        <v>4585</v>
      </c>
      <c r="C52">
        <v>600031</v>
      </c>
    </row>
    <row r="53" spans="1:3">
      <c r="A53" t="s">
        <v>47</v>
      </c>
      <c r="B53" t="s">
        <v>81</v>
      </c>
      <c r="C53">
        <v>600032</v>
      </c>
    </row>
    <row r="54" spans="1:3">
      <c r="A54" t="s">
        <v>47</v>
      </c>
      <c r="B54" t="s">
        <v>138</v>
      </c>
      <c r="C54">
        <v>600033</v>
      </c>
    </row>
    <row r="55" spans="1:3">
      <c r="A55" t="s">
        <v>1215</v>
      </c>
      <c r="B55" t="s">
        <v>5421</v>
      </c>
      <c r="C55">
        <v>400001</v>
      </c>
    </row>
    <row r="56" spans="1:3">
      <c r="A56" t="s">
        <v>1215</v>
      </c>
      <c r="B56" t="s">
        <v>5422</v>
      </c>
      <c r="C56">
        <v>400002</v>
      </c>
    </row>
    <row r="57" spans="1:3">
      <c r="A57" t="s">
        <v>1215</v>
      </c>
      <c r="B57" t="s">
        <v>5423</v>
      </c>
      <c r="C57">
        <v>400003</v>
      </c>
    </row>
    <row r="58" spans="1:3">
      <c r="A58" t="s">
        <v>1215</v>
      </c>
      <c r="B58" t="s">
        <v>5424</v>
      </c>
      <c r="C58">
        <v>400004</v>
      </c>
    </row>
    <row r="59" spans="1:3">
      <c r="A59" t="s">
        <v>1215</v>
      </c>
      <c r="B59" t="s">
        <v>5425</v>
      </c>
      <c r="C59">
        <v>400005</v>
      </c>
    </row>
    <row r="60" spans="1:3">
      <c r="A60" t="s">
        <v>1215</v>
      </c>
      <c r="B60" t="s">
        <v>5426</v>
      </c>
      <c r="C60">
        <v>400006</v>
      </c>
    </row>
    <row r="61" spans="1:3">
      <c r="A61" t="s">
        <v>1215</v>
      </c>
      <c r="B61" t="s">
        <v>5427</v>
      </c>
      <c r="C61">
        <v>400007</v>
      </c>
    </row>
    <row r="62" spans="1:3">
      <c r="A62" t="s">
        <v>1215</v>
      </c>
      <c r="B62" t="s">
        <v>5428</v>
      </c>
      <c r="C62">
        <v>400008</v>
      </c>
    </row>
    <row r="63" spans="1:3">
      <c r="A63" t="s">
        <v>1215</v>
      </c>
      <c r="B63" t="s">
        <v>976</v>
      </c>
      <c r="C63">
        <v>400009</v>
      </c>
    </row>
    <row r="64" spans="1:3">
      <c r="A64" t="s">
        <v>1215</v>
      </c>
      <c r="B64" t="s">
        <v>8</v>
      </c>
      <c r="C64">
        <v>400010</v>
      </c>
    </row>
    <row r="65" spans="1:3">
      <c r="A65" t="s">
        <v>1215</v>
      </c>
      <c r="B65" t="s">
        <v>9</v>
      </c>
      <c r="C65">
        <v>400011</v>
      </c>
    </row>
    <row r="66" spans="1:3">
      <c r="A66" t="s">
        <v>1215</v>
      </c>
      <c r="B66" t="s">
        <v>10</v>
      </c>
      <c r="C66">
        <v>400012</v>
      </c>
    </row>
    <row r="67" spans="1:3">
      <c r="A67" t="s">
        <v>1215</v>
      </c>
      <c r="B67" t="s">
        <v>11</v>
      </c>
      <c r="C67">
        <v>400013</v>
      </c>
    </row>
    <row r="68" spans="1:3">
      <c r="A68" t="s">
        <v>1215</v>
      </c>
      <c r="B68" t="s">
        <v>17</v>
      </c>
      <c r="C68">
        <v>400014</v>
      </c>
    </row>
    <row r="69" spans="1:3">
      <c r="A69" t="s">
        <v>1215</v>
      </c>
      <c r="B69" t="s">
        <v>13</v>
      </c>
      <c r="C69">
        <v>400015</v>
      </c>
    </row>
    <row r="70" spans="1:3">
      <c r="A70" t="s">
        <v>1215</v>
      </c>
      <c r="B70" t="s">
        <v>15</v>
      </c>
      <c r="C70">
        <v>400016</v>
      </c>
    </row>
    <row r="71" spans="1:3">
      <c r="A71" t="s">
        <v>1215</v>
      </c>
      <c r="B71" t="s">
        <v>5429</v>
      </c>
      <c r="C71">
        <v>400017</v>
      </c>
    </row>
    <row r="72" spans="1:3">
      <c r="A72" t="s">
        <v>1215</v>
      </c>
      <c r="B72" t="s">
        <v>29</v>
      </c>
      <c r="C72">
        <v>400018</v>
      </c>
    </row>
    <row r="73" spans="1:3">
      <c r="A73" t="s">
        <v>1215</v>
      </c>
      <c r="B73" t="s">
        <v>31</v>
      </c>
      <c r="C73">
        <v>400019</v>
      </c>
    </row>
    <row r="74" spans="1:3">
      <c r="A74" t="s">
        <v>1215</v>
      </c>
      <c r="B74" t="s">
        <v>32</v>
      </c>
      <c r="C74">
        <v>400020</v>
      </c>
    </row>
    <row r="75" spans="1:3">
      <c r="A75" t="s">
        <v>1215</v>
      </c>
      <c r="B75" t="s">
        <v>5430</v>
      </c>
      <c r="C75">
        <v>400021</v>
      </c>
    </row>
    <row r="76" spans="1:3">
      <c r="A76" t="s">
        <v>1215</v>
      </c>
      <c r="B76" t="s">
        <v>34</v>
      </c>
      <c r="C76">
        <v>400022</v>
      </c>
    </row>
    <row r="77" spans="1:3">
      <c r="A77" t="s">
        <v>1215</v>
      </c>
      <c r="B77" t="s">
        <v>36</v>
      </c>
      <c r="C77">
        <v>400023</v>
      </c>
    </row>
    <row r="78" spans="1:3">
      <c r="A78" t="s">
        <v>1215</v>
      </c>
      <c r="B78" t="s">
        <v>38</v>
      </c>
      <c r="C78">
        <v>400024</v>
      </c>
    </row>
    <row r="79" spans="1:3">
      <c r="A79" t="s">
        <v>1215</v>
      </c>
      <c r="B79" t="s">
        <v>41</v>
      </c>
      <c r="C79">
        <v>400025</v>
      </c>
    </row>
    <row r="80" spans="1:3">
      <c r="A80" t="s">
        <v>1215</v>
      </c>
      <c r="B80" t="s">
        <v>361</v>
      </c>
      <c r="C80">
        <v>400026</v>
      </c>
    </row>
    <row r="81" spans="1:3">
      <c r="A81" t="s">
        <v>1212</v>
      </c>
      <c r="B81" t="s">
        <v>174</v>
      </c>
      <c r="C81">
        <v>300001</v>
      </c>
    </row>
    <row r="82" spans="1:3">
      <c r="A82" t="s">
        <v>1212</v>
      </c>
      <c r="B82" t="s">
        <v>175</v>
      </c>
      <c r="C82">
        <v>300002</v>
      </c>
    </row>
    <row r="83" spans="1:3">
      <c r="A83" t="s">
        <v>1212</v>
      </c>
      <c r="B83" t="s">
        <v>55</v>
      </c>
      <c r="C83">
        <v>300003</v>
      </c>
    </row>
    <row r="84" spans="1:3">
      <c r="A84" t="s">
        <v>1212</v>
      </c>
      <c r="B84" t="s">
        <v>176</v>
      </c>
      <c r="C84">
        <v>300004</v>
      </c>
    </row>
    <row r="85" spans="1:3">
      <c r="A85" t="s">
        <v>1212</v>
      </c>
      <c r="B85" t="s">
        <v>5431</v>
      </c>
      <c r="C85">
        <v>300005</v>
      </c>
    </row>
    <row r="86" spans="1:3">
      <c r="A86" t="s">
        <v>1212</v>
      </c>
      <c r="B86" t="s">
        <v>175</v>
      </c>
      <c r="C86">
        <v>300006</v>
      </c>
    </row>
    <row r="87" spans="1:3">
      <c r="A87" t="s">
        <v>1212</v>
      </c>
      <c r="B87" t="s">
        <v>62</v>
      </c>
      <c r="C87">
        <v>300007</v>
      </c>
    </row>
    <row r="88" spans="1:3">
      <c r="A88" t="s">
        <v>1212</v>
      </c>
      <c r="B88" t="s">
        <v>64</v>
      </c>
      <c r="C88">
        <v>300008</v>
      </c>
    </row>
    <row r="89" spans="1:3">
      <c r="A89" t="s">
        <v>1212</v>
      </c>
      <c r="B89" t="s">
        <v>65</v>
      </c>
      <c r="C89">
        <v>300009</v>
      </c>
    </row>
    <row r="90" spans="1:3">
      <c r="A90" t="s">
        <v>1212</v>
      </c>
      <c r="B90" t="s">
        <v>178</v>
      </c>
      <c r="C90">
        <v>300010</v>
      </c>
    </row>
    <row r="91" spans="1:3">
      <c r="A91" t="s">
        <v>1212</v>
      </c>
      <c r="B91" t="s">
        <v>69</v>
      </c>
      <c r="C91">
        <v>300011</v>
      </c>
    </row>
    <row r="92" spans="1:3">
      <c r="A92" t="s">
        <v>1212</v>
      </c>
      <c r="B92" t="s">
        <v>73</v>
      </c>
      <c r="C92">
        <v>300012</v>
      </c>
    </row>
    <row r="93" spans="1:3">
      <c r="A93" t="s">
        <v>1212</v>
      </c>
      <c r="B93" t="s">
        <v>180</v>
      </c>
      <c r="C93">
        <v>300013</v>
      </c>
    </row>
    <row r="94" spans="1:3">
      <c r="A94" t="s">
        <v>1212</v>
      </c>
      <c r="B94" t="s">
        <v>76</v>
      </c>
      <c r="C94">
        <v>300014</v>
      </c>
    </row>
    <row r="95" spans="1:3">
      <c r="A95" t="s">
        <v>1212</v>
      </c>
      <c r="B95" t="s">
        <v>78</v>
      </c>
      <c r="C95">
        <v>300015</v>
      </c>
    </row>
    <row r="96" spans="1:3">
      <c r="A96" t="s">
        <v>1212</v>
      </c>
      <c r="B96" t="s">
        <v>79</v>
      </c>
      <c r="C96">
        <v>300016</v>
      </c>
    </row>
    <row r="97" spans="1:3">
      <c r="A97" t="s">
        <v>1212</v>
      </c>
      <c r="B97" t="s">
        <v>81</v>
      </c>
      <c r="C97">
        <v>300017</v>
      </c>
    </row>
    <row r="98" spans="1:3">
      <c r="A98" t="s">
        <v>1212</v>
      </c>
      <c r="B98" t="s">
        <v>181</v>
      </c>
      <c r="C98">
        <v>300018</v>
      </c>
    </row>
    <row r="99" spans="1:3">
      <c r="A99" t="s">
        <v>1212</v>
      </c>
      <c r="B99" t="s">
        <v>78</v>
      </c>
      <c r="C99">
        <v>300019</v>
      </c>
    </row>
    <row r="100" spans="1:3">
      <c r="A100" t="s">
        <v>1212</v>
      </c>
      <c r="B100" t="s">
        <v>181</v>
      </c>
      <c r="C100">
        <v>300020</v>
      </c>
    </row>
    <row r="101" spans="1:3">
      <c r="A101" t="s">
        <v>1212</v>
      </c>
      <c r="B101" t="s">
        <v>88</v>
      </c>
      <c r="C101">
        <v>300021</v>
      </c>
    </row>
    <row r="102" spans="1:3">
      <c r="A102" t="s">
        <v>1212</v>
      </c>
      <c r="B102" t="s">
        <v>90</v>
      </c>
      <c r="C102">
        <v>300022</v>
      </c>
    </row>
    <row r="103" spans="1:3">
      <c r="A103" t="s">
        <v>1212</v>
      </c>
      <c r="B103" t="s">
        <v>91</v>
      </c>
      <c r="C103">
        <v>300023</v>
      </c>
    </row>
    <row r="104" spans="1:3">
      <c r="A104" t="s">
        <v>1212</v>
      </c>
      <c r="B104" t="s">
        <v>93</v>
      </c>
      <c r="C104">
        <v>300024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7"/>
  <sheetViews>
    <sheetView topLeftCell="A7" workbookViewId="0">
      <selection activeCell="G25" activeCellId="1" sqref="G21 G25"/>
    </sheetView>
  </sheetViews>
  <sheetFormatPr defaultRowHeight="14.45"/>
  <cols>
    <col min="1" max="1" width="38.140625" bestFit="1" customWidth="1"/>
    <col min="2" max="2" width="41.7109375" customWidth="1"/>
    <col min="3" max="3" width="8" customWidth="1"/>
    <col min="5" max="5" width="14" bestFit="1" customWidth="1"/>
    <col min="7" max="7" width="10.5703125" bestFit="1" customWidth="1"/>
    <col min="8" max="8" width="11" bestFit="1" customWidth="1"/>
  </cols>
  <sheetData>
    <row r="1" spans="1:8">
      <c r="A1" t="s">
        <v>541</v>
      </c>
      <c r="B1" t="s">
        <v>1372</v>
      </c>
      <c r="C1" t="s">
        <v>543</v>
      </c>
      <c r="D1" t="s">
        <v>544</v>
      </c>
      <c r="E1" t="s">
        <v>545</v>
      </c>
      <c r="F1" t="s">
        <v>546</v>
      </c>
      <c r="G1" t="s">
        <v>547</v>
      </c>
      <c r="H1" t="s">
        <v>548</v>
      </c>
    </row>
    <row r="2" spans="1:8">
      <c r="A2" t="s">
        <v>549</v>
      </c>
    </row>
    <row r="4" spans="1:8">
      <c r="A4" t="s">
        <v>5432</v>
      </c>
    </row>
    <row r="5" spans="1:8">
      <c r="A5" t="s">
        <v>5433</v>
      </c>
    </row>
    <row r="7" spans="1:8">
      <c r="A7" t="s">
        <v>1375</v>
      </c>
      <c r="B7" t="s">
        <v>968</v>
      </c>
      <c r="C7">
        <v>33213</v>
      </c>
      <c r="D7" t="s">
        <v>969</v>
      </c>
      <c r="E7" t="s">
        <v>1376</v>
      </c>
      <c r="F7">
        <v>0</v>
      </c>
    </row>
    <row r="9" spans="1:8">
      <c r="A9" t="s">
        <v>473</v>
      </c>
      <c r="B9" t="s">
        <v>1377</v>
      </c>
      <c r="C9" t="s">
        <v>1378</v>
      </c>
      <c r="D9" t="s">
        <v>1379</v>
      </c>
      <c r="E9" t="s">
        <v>5434</v>
      </c>
      <c r="F9" t="s">
        <v>555</v>
      </c>
      <c r="G9" t="s">
        <v>556</v>
      </c>
      <c r="H9" t="s">
        <v>558</v>
      </c>
    </row>
    <row r="10" spans="1:8">
      <c r="A10" s="97">
        <v>45292</v>
      </c>
      <c r="B10" t="s">
        <v>5435</v>
      </c>
      <c r="C10">
        <v>132965</v>
      </c>
      <c r="E10" s="580">
        <v>267631000000</v>
      </c>
      <c r="G10" s="94">
        <v>-10715.17</v>
      </c>
      <c r="H10" s="94">
        <v>-10715.17</v>
      </c>
    </row>
    <row r="11" spans="1:8">
      <c r="A11" s="97">
        <v>45292</v>
      </c>
      <c r="B11" t="s">
        <v>5436</v>
      </c>
      <c r="C11" t="s">
        <v>5437</v>
      </c>
      <c r="E11" s="580">
        <v>191477000000</v>
      </c>
      <c r="G11" s="94">
        <v>-2712</v>
      </c>
      <c r="H11" s="94">
        <v>-13427.17</v>
      </c>
    </row>
    <row r="12" spans="1:8">
      <c r="A12" s="97">
        <v>45322</v>
      </c>
      <c r="B12" t="s">
        <v>5438</v>
      </c>
      <c r="C12">
        <v>441891301</v>
      </c>
      <c r="E12" t="s">
        <v>5439</v>
      </c>
      <c r="G12" s="94">
        <v>-695.7</v>
      </c>
      <c r="H12" s="94">
        <v>-14122.87</v>
      </c>
    </row>
    <row r="13" spans="1:8">
      <c r="A13" s="97">
        <v>45323</v>
      </c>
      <c r="B13" t="s">
        <v>5440</v>
      </c>
      <c r="C13">
        <v>445066501</v>
      </c>
      <c r="E13" t="s">
        <v>5439</v>
      </c>
      <c r="G13" s="94">
        <v>-595.41999999999996</v>
      </c>
      <c r="H13" s="94">
        <v>-14718.29</v>
      </c>
    </row>
    <row r="14" spans="1:8">
      <c r="A14" s="97">
        <v>45379</v>
      </c>
      <c r="B14" t="s">
        <v>5441</v>
      </c>
      <c r="C14" t="s">
        <v>5442</v>
      </c>
      <c r="E14" t="s">
        <v>571</v>
      </c>
      <c r="G14" s="94">
        <v>-8949.48</v>
      </c>
      <c r="H14" s="94">
        <v>-23667.77</v>
      </c>
    </row>
    <row r="15" spans="1:8">
      <c r="A15" s="97">
        <v>45436</v>
      </c>
      <c r="B15" t="s">
        <v>5443</v>
      </c>
      <c r="C15" t="s">
        <v>5444</v>
      </c>
      <c r="G15" s="94">
        <v>-1315.06</v>
      </c>
      <c r="H15" s="94">
        <f>G15+H14</f>
        <v>-24982.83</v>
      </c>
    </row>
    <row r="16" spans="1:8">
      <c r="A16" s="97">
        <v>45436</v>
      </c>
      <c r="B16" t="s">
        <v>5445</v>
      </c>
      <c r="C16" t="s">
        <v>5446</v>
      </c>
      <c r="G16" s="94">
        <v>-1400</v>
      </c>
      <c r="H16" s="94">
        <f>G16+H15</f>
        <v>-26382.83</v>
      </c>
    </row>
    <row r="17" spans="1:8">
      <c r="A17" s="97">
        <v>45473</v>
      </c>
      <c r="B17" t="s">
        <v>5445</v>
      </c>
      <c r="C17" t="s">
        <v>5446</v>
      </c>
      <c r="G17" s="94">
        <v>-11862.91</v>
      </c>
      <c r="H17" s="94">
        <f>G17+H16</f>
        <v>-38245.740000000005</v>
      </c>
    </row>
    <row r="18" spans="1:8">
      <c r="A18" s="97"/>
      <c r="G18" s="94"/>
      <c r="H18" s="94"/>
    </row>
    <row r="19" spans="1:8">
      <c r="A19" s="97"/>
      <c r="G19" s="94"/>
      <c r="H19" s="94"/>
    </row>
    <row r="20" spans="1:8">
      <c r="A20" s="97"/>
      <c r="G20" s="94"/>
    </row>
    <row r="21" spans="1:8">
      <c r="A21" s="97"/>
      <c r="G21" s="94">
        <f>SUM(G10:G14)</f>
        <v>-23667.77</v>
      </c>
    </row>
    <row r="22" spans="1:8">
      <c r="G22">
        <f>G21/1000</f>
        <v>-23.667770000000001</v>
      </c>
    </row>
    <row r="23" spans="1:8">
      <c r="G23" s="70">
        <f>ROUND(G22,0)</f>
        <v>-24</v>
      </c>
    </row>
    <row r="25" spans="1:8">
      <c r="G25" s="94">
        <f>SUM(G15:G17)</f>
        <v>-14577.97</v>
      </c>
    </row>
    <row r="26" spans="1:8">
      <c r="G26">
        <f>G25/1000</f>
        <v>-14.577969999999999</v>
      </c>
    </row>
    <row r="27" spans="1:8">
      <c r="G27" s="70">
        <f>ROUND(G26,0)+1</f>
        <v>-14</v>
      </c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430"/>
  <sheetViews>
    <sheetView topLeftCell="C331" workbookViewId="0">
      <selection activeCell="G339" sqref="G339"/>
    </sheetView>
  </sheetViews>
  <sheetFormatPr defaultColWidth="20" defaultRowHeight="14.45"/>
  <cols>
    <col min="1" max="1" width="38.28515625" bestFit="1" customWidth="1"/>
    <col min="2" max="2" width="26.28515625" bestFit="1" customWidth="1"/>
    <col min="3" max="3" width="74.5703125" bestFit="1" customWidth="1"/>
    <col min="4" max="4" width="14.28515625" style="77" bestFit="1" customWidth="1"/>
    <col min="5" max="8" width="15" style="77" bestFit="1" customWidth="1"/>
    <col min="10" max="10" width="20" style="77"/>
  </cols>
  <sheetData>
    <row r="1" spans="1:10">
      <c r="A1" t="s">
        <v>541</v>
      </c>
      <c r="B1" t="s">
        <v>542</v>
      </c>
      <c r="C1" t="s">
        <v>543</v>
      </c>
      <c r="D1" s="77" t="s">
        <v>544</v>
      </c>
      <c r="E1" s="77" t="s">
        <v>545</v>
      </c>
      <c r="F1" s="77" t="s">
        <v>546</v>
      </c>
      <c r="G1" s="77" t="s">
        <v>547</v>
      </c>
      <c r="H1" s="77" t="s">
        <v>548</v>
      </c>
    </row>
    <row r="2" spans="1:10">
      <c r="A2" t="s">
        <v>549</v>
      </c>
    </row>
    <row r="6" spans="1:10">
      <c r="A6" t="s">
        <v>552</v>
      </c>
      <c r="B6" t="s">
        <v>553</v>
      </c>
      <c r="C6" t="s">
        <v>213</v>
      </c>
      <c r="D6" s="77" t="s">
        <v>554</v>
      </c>
      <c r="E6" s="77" t="s">
        <v>555</v>
      </c>
      <c r="F6" s="77" t="s">
        <v>556</v>
      </c>
      <c r="G6" s="77" t="s">
        <v>557</v>
      </c>
      <c r="H6" s="77" t="s">
        <v>558</v>
      </c>
    </row>
    <row r="7" spans="1:10">
      <c r="A7">
        <v>1</v>
      </c>
      <c r="B7">
        <v>1</v>
      </c>
      <c r="C7" t="s">
        <v>559</v>
      </c>
      <c r="D7" s="77">
        <v>81927493.969999999</v>
      </c>
      <c r="E7" s="77">
        <v>48537199.229999997</v>
      </c>
      <c r="F7" s="77">
        <v>-58159198.640000001</v>
      </c>
      <c r="G7" s="77">
        <v>-9621999.4100000001</v>
      </c>
      <c r="H7" s="77">
        <v>72305494.560000002</v>
      </c>
      <c r="I7" s="112">
        <f>G7/1000</f>
        <v>-9621.9994100000004</v>
      </c>
      <c r="J7" s="77">
        <f>ROUND(I7,0)</f>
        <v>-9622</v>
      </c>
    </row>
    <row r="8" spans="1:10">
      <c r="A8" t="s">
        <v>560</v>
      </c>
      <c r="B8">
        <v>11</v>
      </c>
      <c r="C8" t="s">
        <v>50</v>
      </c>
      <c r="D8" s="77">
        <v>52387816.030000001</v>
      </c>
      <c r="E8" s="77">
        <v>47069636.68</v>
      </c>
      <c r="F8" s="77">
        <v>-56705459.090000004</v>
      </c>
      <c r="G8" s="77">
        <v>-9635822.4100000001</v>
      </c>
      <c r="H8" s="77">
        <v>42751993.619999997</v>
      </c>
      <c r="I8" s="112">
        <f t="shared" ref="I8:I71" si="0">G8/1000</f>
        <v>-9635.8224100000007</v>
      </c>
      <c r="J8" s="77">
        <f t="shared" ref="J8:J71" si="1">ROUND(I8,0)</f>
        <v>-9636</v>
      </c>
    </row>
    <row r="9" spans="1:10">
      <c r="A9" t="s">
        <v>561</v>
      </c>
      <c r="B9">
        <v>111</v>
      </c>
      <c r="C9" t="s">
        <v>562</v>
      </c>
      <c r="D9" s="77">
        <v>43174011.950000003</v>
      </c>
      <c r="E9" s="77">
        <v>39984661.219999999</v>
      </c>
      <c r="F9" s="77">
        <v>-49739795.859999999</v>
      </c>
      <c r="G9" s="77">
        <v>-9755134.6400000006</v>
      </c>
      <c r="H9" s="77">
        <v>33418877.309999999</v>
      </c>
      <c r="I9" s="112">
        <f t="shared" si="0"/>
        <v>-9755.1346400000002</v>
      </c>
      <c r="J9" s="77">
        <f t="shared" si="1"/>
        <v>-9755</v>
      </c>
    </row>
    <row r="10" spans="1:10">
      <c r="A10" t="s">
        <v>52</v>
      </c>
      <c r="B10">
        <v>1112</v>
      </c>
      <c r="C10" t="s">
        <v>563</v>
      </c>
      <c r="D10" s="77">
        <v>43174011.950000003</v>
      </c>
      <c r="E10" s="77">
        <v>39984661.219999999</v>
      </c>
      <c r="F10" s="77">
        <v>-49739795.859999999</v>
      </c>
      <c r="G10" s="77">
        <v>-9755134.6400000006</v>
      </c>
      <c r="H10" s="77">
        <v>33418877.309999999</v>
      </c>
      <c r="I10" s="112">
        <f t="shared" si="0"/>
        <v>-9755.1346400000002</v>
      </c>
      <c r="J10" s="77">
        <f t="shared" si="1"/>
        <v>-9755</v>
      </c>
    </row>
    <row r="11" spans="1:10">
      <c r="A11" t="s">
        <v>564</v>
      </c>
      <c r="B11" t="s">
        <v>565</v>
      </c>
      <c r="C11" t="s">
        <v>566</v>
      </c>
      <c r="D11" s="77">
        <v>0</v>
      </c>
      <c r="E11" s="77">
        <v>11146278.08</v>
      </c>
      <c r="F11" s="77">
        <v>-11146278.08</v>
      </c>
      <c r="G11" s="77">
        <v>0</v>
      </c>
      <c r="H11" s="77">
        <v>0</v>
      </c>
      <c r="I11" s="112">
        <f t="shared" si="0"/>
        <v>0</v>
      </c>
      <c r="J11" s="77">
        <f t="shared" si="1"/>
        <v>0</v>
      </c>
    </row>
    <row r="12" spans="1:10">
      <c r="A12" t="s">
        <v>567</v>
      </c>
      <c r="B12" t="s">
        <v>568</v>
      </c>
      <c r="C12" t="s">
        <v>569</v>
      </c>
      <c r="D12" s="77">
        <v>5768555.2400000002</v>
      </c>
      <c r="E12" s="77">
        <v>28100408.989999998</v>
      </c>
      <c r="F12" s="77">
        <v>-20222674.57</v>
      </c>
      <c r="G12" s="77">
        <v>7877734.4199999999</v>
      </c>
      <c r="H12" s="77">
        <v>13646289.66</v>
      </c>
      <c r="I12" s="112">
        <f t="shared" si="0"/>
        <v>7877.7344199999998</v>
      </c>
      <c r="J12" s="77">
        <f t="shared" si="1"/>
        <v>7878</v>
      </c>
    </row>
    <row r="13" spans="1:10">
      <c r="A13" t="s">
        <v>570</v>
      </c>
      <c r="B13" t="s">
        <v>571</v>
      </c>
      <c r="C13" t="s">
        <v>572</v>
      </c>
      <c r="D13" s="77">
        <v>37405456.710000001</v>
      </c>
      <c r="E13" s="77">
        <v>737974.15</v>
      </c>
      <c r="F13" s="77">
        <v>-18370843.210000001</v>
      </c>
      <c r="G13" s="77">
        <v>-17632869.059999999</v>
      </c>
      <c r="H13" s="77">
        <v>19772587.649999999</v>
      </c>
      <c r="I13" s="112">
        <f t="shared" si="0"/>
        <v>-17632.869059999997</v>
      </c>
      <c r="J13" s="77">
        <f t="shared" si="1"/>
        <v>-17633</v>
      </c>
    </row>
    <row r="14" spans="1:10">
      <c r="A14" t="s">
        <v>573</v>
      </c>
      <c r="B14">
        <v>112</v>
      </c>
      <c r="C14" t="s">
        <v>574</v>
      </c>
      <c r="D14" s="77">
        <v>2438056.71</v>
      </c>
      <c r="E14" s="77">
        <v>6221456.0999999996</v>
      </c>
      <c r="F14" s="77">
        <v>-3977959.44</v>
      </c>
      <c r="G14" s="77">
        <v>2243496.66</v>
      </c>
      <c r="H14" s="77">
        <v>4681553.37</v>
      </c>
      <c r="I14" s="112">
        <f t="shared" si="0"/>
        <v>2243.4966600000002</v>
      </c>
      <c r="J14" s="77">
        <f t="shared" si="1"/>
        <v>2243</v>
      </c>
    </row>
    <row r="15" spans="1:10">
      <c r="A15" t="s">
        <v>54</v>
      </c>
      <c r="B15">
        <v>1123</v>
      </c>
      <c r="C15" t="s">
        <v>575</v>
      </c>
      <c r="D15" s="77">
        <v>355695.01</v>
      </c>
      <c r="E15" s="77">
        <v>8061.16</v>
      </c>
      <c r="F15" s="77">
        <v>-101559.08</v>
      </c>
      <c r="G15" s="77">
        <v>-93497.919999999998</v>
      </c>
      <c r="H15" s="77">
        <v>262197.09000000003</v>
      </c>
      <c r="I15" s="112">
        <f t="shared" si="0"/>
        <v>-93.497919999999993</v>
      </c>
      <c r="J15" s="77">
        <f t="shared" si="1"/>
        <v>-93</v>
      </c>
    </row>
    <row r="16" spans="1:10">
      <c r="A16" t="s">
        <v>576</v>
      </c>
      <c r="B16">
        <v>11239</v>
      </c>
      <c r="C16" t="s">
        <v>217</v>
      </c>
      <c r="D16" s="77">
        <v>83443.14</v>
      </c>
      <c r="E16" s="77">
        <v>0</v>
      </c>
      <c r="F16" s="77">
        <v>-83443.14</v>
      </c>
      <c r="G16" s="77">
        <v>-83443.14</v>
      </c>
      <c r="H16" s="77">
        <v>0</v>
      </c>
      <c r="I16" s="112">
        <f t="shared" si="0"/>
        <v>-83.44314</v>
      </c>
      <c r="J16" s="77">
        <f t="shared" si="1"/>
        <v>-83</v>
      </c>
    </row>
    <row r="17" spans="1:10">
      <c r="A17" t="s">
        <v>1411</v>
      </c>
      <c r="B17">
        <v>112310</v>
      </c>
      <c r="C17" t="s">
        <v>1412</v>
      </c>
      <c r="D17" s="77">
        <v>615.38</v>
      </c>
      <c r="E17" s="77">
        <v>16.78</v>
      </c>
      <c r="F17" s="77">
        <v>0</v>
      </c>
      <c r="G17" s="77">
        <v>16.78</v>
      </c>
      <c r="H17" s="77">
        <v>632.16</v>
      </c>
      <c r="I17" s="112">
        <f t="shared" si="0"/>
        <v>1.678E-2</v>
      </c>
      <c r="J17" s="77">
        <f t="shared" si="1"/>
        <v>0</v>
      </c>
    </row>
    <row r="18" spans="1:10">
      <c r="A18" t="s">
        <v>581</v>
      </c>
      <c r="B18">
        <v>112327</v>
      </c>
      <c r="C18" t="s">
        <v>582</v>
      </c>
      <c r="D18" s="77">
        <v>18115.939999999999</v>
      </c>
      <c r="E18" s="77">
        <v>0</v>
      </c>
      <c r="F18" s="77">
        <v>-18115.939999999999</v>
      </c>
      <c r="G18" s="77">
        <v>-18115.939999999999</v>
      </c>
      <c r="H18" s="77">
        <v>0</v>
      </c>
      <c r="I18" s="112">
        <f t="shared" si="0"/>
        <v>-18.115939999999998</v>
      </c>
      <c r="J18" s="77">
        <f t="shared" si="1"/>
        <v>-18</v>
      </c>
    </row>
    <row r="19" spans="1:10">
      <c r="A19" t="s">
        <v>1419</v>
      </c>
      <c r="B19">
        <v>112342</v>
      </c>
      <c r="C19" t="s">
        <v>1420</v>
      </c>
      <c r="D19" s="77">
        <v>184649.54</v>
      </c>
      <c r="E19" s="77">
        <v>5859.06</v>
      </c>
      <c r="F19" s="77">
        <v>0</v>
      </c>
      <c r="G19" s="77">
        <v>5859.06</v>
      </c>
      <c r="H19" s="77">
        <v>190508.6</v>
      </c>
      <c r="I19" s="112">
        <f t="shared" si="0"/>
        <v>5.8590600000000004</v>
      </c>
      <c r="J19" s="77">
        <f t="shared" si="1"/>
        <v>6</v>
      </c>
    </row>
    <row r="20" spans="1:10">
      <c r="A20" t="s">
        <v>1422</v>
      </c>
      <c r="B20">
        <v>112343</v>
      </c>
      <c r="C20" t="s">
        <v>1423</v>
      </c>
      <c r="D20" s="77">
        <v>68871.009999999995</v>
      </c>
      <c r="E20" s="77">
        <v>2185.3200000000002</v>
      </c>
      <c r="F20" s="77">
        <v>0</v>
      </c>
      <c r="G20" s="77">
        <v>2185.3200000000002</v>
      </c>
      <c r="H20" s="77">
        <v>71056.33</v>
      </c>
      <c r="I20" s="112">
        <f t="shared" si="0"/>
        <v>2.1853200000000004</v>
      </c>
      <c r="J20" s="77">
        <f t="shared" si="1"/>
        <v>2</v>
      </c>
    </row>
    <row r="21" spans="1:10">
      <c r="A21" t="s">
        <v>56</v>
      </c>
      <c r="B21">
        <v>1124</v>
      </c>
      <c r="C21" t="s">
        <v>592</v>
      </c>
      <c r="D21" s="77">
        <v>1970376.71</v>
      </c>
      <c r="E21" s="77">
        <v>5208021.17</v>
      </c>
      <c r="F21" s="77">
        <v>-2866110.27</v>
      </c>
      <c r="G21" s="77">
        <v>2341910.9</v>
      </c>
      <c r="H21" s="77">
        <v>4312287.6100000003</v>
      </c>
      <c r="I21" s="112">
        <f t="shared" si="0"/>
        <v>2341.9108999999999</v>
      </c>
      <c r="J21" s="77">
        <f t="shared" si="1"/>
        <v>2342</v>
      </c>
    </row>
    <row r="22" spans="1:10">
      <c r="A22" t="s">
        <v>593</v>
      </c>
      <c r="B22">
        <v>11241</v>
      </c>
      <c r="C22" t="s">
        <v>594</v>
      </c>
      <c r="D22" s="77">
        <v>733613.79</v>
      </c>
      <c r="E22" s="77">
        <v>2095985.3</v>
      </c>
      <c r="F22" s="77">
        <v>-2381790.2599999998</v>
      </c>
      <c r="G22" s="77">
        <v>-285804.96000000002</v>
      </c>
      <c r="H22" s="77">
        <v>447808.83</v>
      </c>
      <c r="I22" s="112">
        <f t="shared" si="0"/>
        <v>-285.80495999999999</v>
      </c>
      <c r="J22" s="77">
        <f t="shared" si="1"/>
        <v>-286</v>
      </c>
    </row>
    <row r="23" spans="1:10">
      <c r="A23" t="s">
        <v>595</v>
      </c>
      <c r="B23">
        <v>11242</v>
      </c>
      <c r="C23" t="s">
        <v>596</v>
      </c>
      <c r="D23" s="77">
        <v>1236762.92</v>
      </c>
      <c r="E23" s="77">
        <v>2634917.1800000002</v>
      </c>
      <c r="F23" s="77">
        <v>-7201.32</v>
      </c>
      <c r="G23" s="77">
        <v>2627715.86</v>
      </c>
      <c r="H23" s="77">
        <v>3864478.78</v>
      </c>
      <c r="I23" s="112">
        <f t="shared" si="0"/>
        <v>2627.7158599999998</v>
      </c>
      <c r="J23" s="77">
        <f t="shared" si="1"/>
        <v>2628</v>
      </c>
    </row>
    <row r="24" spans="1:10">
      <c r="A24" t="s">
        <v>597</v>
      </c>
      <c r="B24">
        <v>112424</v>
      </c>
      <c r="C24" t="s">
        <v>598</v>
      </c>
      <c r="D24" s="77">
        <v>0</v>
      </c>
      <c r="E24" s="77">
        <v>313546.99</v>
      </c>
      <c r="F24" s="77">
        <v>-313546.99</v>
      </c>
      <c r="G24" s="77">
        <v>0</v>
      </c>
      <c r="H24" s="77">
        <v>0</v>
      </c>
      <c r="I24" s="112">
        <f t="shared" si="0"/>
        <v>0</v>
      </c>
      <c r="J24" s="77">
        <f t="shared" si="1"/>
        <v>0</v>
      </c>
    </row>
    <row r="25" spans="1:10">
      <c r="A25" t="s">
        <v>599</v>
      </c>
      <c r="B25">
        <v>112425</v>
      </c>
      <c r="C25" t="s">
        <v>458</v>
      </c>
      <c r="D25" s="77">
        <v>0</v>
      </c>
      <c r="E25" s="77">
        <v>52069.31</v>
      </c>
      <c r="F25" s="77">
        <v>-52069.31</v>
      </c>
      <c r="G25" s="77">
        <v>0</v>
      </c>
      <c r="H25" s="77">
        <v>0</v>
      </c>
      <c r="I25" s="112">
        <f t="shared" si="0"/>
        <v>0</v>
      </c>
      <c r="J25" s="77">
        <f t="shared" si="1"/>
        <v>0</v>
      </c>
    </row>
    <row r="26" spans="1:10">
      <c r="A26" t="s">
        <v>1549</v>
      </c>
      <c r="B26">
        <v>1124999</v>
      </c>
      <c r="C26" t="s">
        <v>1550</v>
      </c>
      <c r="D26" s="77">
        <v>0</v>
      </c>
      <c r="E26" s="77">
        <v>111502.39</v>
      </c>
      <c r="F26" s="77">
        <v>-111502.39</v>
      </c>
      <c r="G26" s="77">
        <v>0</v>
      </c>
      <c r="H26" s="77">
        <v>0</v>
      </c>
      <c r="I26" s="112">
        <f t="shared" si="0"/>
        <v>0</v>
      </c>
      <c r="J26" s="77">
        <f t="shared" si="1"/>
        <v>0</v>
      </c>
    </row>
    <row r="27" spans="1:10">
      <c r="A27" t="s">
        <v>604</v>
      </c>
      <c r="B27">
        <v>1129</v>
      </c>
      <c r="C27" t="s">
        <v>144</v>
      </c>
      <c r="D27" s="77">
        <v>0</v>
      </c>
      <c r="E27" s="77">
        <v>695621.18</v>
      </c>
      <c r="F27" s="77">
        <v>-695621.18</v>
      </c>
      <c r="G27" s="77">
        <v>0</v>
      </c>
      <c r="H27" s="77">
        <v>0</v>
      </c>
      <c r="I27" s="112">
        <f t="shared" si="0"/>
        <v>0</v>
      </c>
      <c r="J27" s="77">
        <f t="shared" si="1"/>
        <v>0</v>
      </c>
    </row>
    <row r="28" spans="1:10">
      <c r="A28" t="s">
        <v>605</v>
      </c>
      <c r="B28">
        <v>11291</v>
      </c>
      <c r="C28" t="s">
        <v>606</v>
      </c>
      <c r="D28" s="77">
        <v>0</v>
      </c>
      <c r="E28" s="77">
        <v>695621.18</v>
      </c>
      <c r="F28" s="77">
        <v>-695621.18</v>
      </c>
      <c r="G28" s="77">
        <v>0</v>
      </c>
      <c r="H28" s="77">
        <v>0</v>
      </c>
      <c r="I28" s="112">
        <f t="shared" si="0"/>
        <v>0</v>
      </c>
      <c r="J28" s="77">
        <f t="shared" si="1"/>
        <v>0</v>
      </c>
    </row>
    <row r="29" spans="1:10">
      <c r="A29" t="s">
        <v>607</v>
      </c>
      <c r="B29">
        <v>11299</v>
      </c>
      <c r="C29" t="s">
        <v>608</v>
      </c>
      <c r="D29" s="77">
        <v>111984.99</v>
      </c>
      <c r="E29" s="77">
        <v>309752.59000000003</v>
      </c>
      <c r="F29" s="77">
        <v>-314668.90999999997</v>
      </c>
      <c r="G29" s="77">
        <v>-4916.32</v>
      </c>
      <c r="H29" s="77">
        <v>107068.67</v>
      </c>
      <c r="I29" s="112">
        <f t="shared" si="0"/>
        <v>-4.9163199999999998</v>
      </c>
      <c r="J29" s="77">
        <f t="shared" si="1"/>
        <v>-5</v>
      </c>
    </row>
    <row r="30" spans="1:10">
      <c r="A30" t="s">
        <v>609</v>
      </c>
      <c r="B30">
        <v>112995</v>
      </c>
      <c r="C30" t="s">
        <v>610</v>
      </c>
      <c r="D30" s="77">
        <v>111853.01</v>
      </c>
      <c r="E30" s="77">
        <v>309752.59000000003</v>
      </c>
      <c r="F30" s="77">
        <v>-314668.90999999997</v>
      </c>
      <c r="G30" s="77">
        <v>-4916.32</v>
      </c>
      <c r="H30" s="77">
        <v>106936.69</v>
      </c>
      <c r="I30" s="112">
        <f t="shared" si="0"/>
        <v>-4.9163199999999998</v>
      </c>
      <c r="J30" s="77">
        <f t="shared" si="1"/>
        <v>-5</v>
      </c>
    </row>
    <row r="31" spans="1:10">
      <c r="A31" t="s">
        <v>611</v>
      </c>
      <c r="B31">
        <v>11299999</v>
      </c>
      <c r="C31" t="s">
        <v>612</v>
      </c>
      <c r="D31" s="77">
        <v>131.97999999999999</v>
      </c>
      <c r="E31" s="77">
        <v>0</v>
      </c>
      <c r="F31" s="77">
        <v>0</v>
      </c>
      <c r="G31" s="77">
        <v>0</v>
      </c>
      <c r="H31" s="77">
        <v>131.97999999999999</v>
      </c>
      <c r="I31" s="112">
        <f t="shared" si="0"/>
        <v>0</v>
      </c>
      <c r="J31" s="77">
        <f t="shared" si="1"/>
        <v>0</v>
      </c>
    </row>
    <row r="32" spans="1:10">
      <c r="A32" t="s">
        <v>58</v>
      </c>
      <c r="B32">
        <v>113</v>
      </c>
      <c r="C32" t="s">
        <v>176</v>
      </c>
      <c r="D32" s="77">
        <v>6775747.3700000001</v>
      </c>
      <c r="E32" s="77">
        <v>863519.36</v>
      </c>
      <c r="F32" s="77">
        <v>-2987703.79</v>
      </c>
      <c r="G32" s="77">
        <v>-2124184.4300000002</v>
      </c>
      <c r="H32" s="77">
        <v>4651562.9400000004</v>
      </c>
      <c r="I32" s="112">
        <f t="shared" si="0"/>
        <v>-2124.1844300000002</v>
      </c>
      <c r="J32" s="77">
        <f t="shared" si="1"/>
        <v>-2124</v>
      </c>
    </row>
    <row r="33" spans="1:10">
      <c r="A33" t="s">
        <v>613</v>
      </c>
      <c r="B33">
        <v>1131</v>
      </c>
      <c r="C33" t="s">
        <v>176</v>
      </c>
      <c r="D33" s="77">
        <v>6775747.3700000001</v>
      </c>
      <c r="E33" s="77">
        <v>863519.36</v>
      </c>
      <c r="F33" s="77">
        <v>-2987703.79</v>
      </c>
      <c r="G33" s="77">
        <v>-2124184.4300000002</v>
      </c>
      <c r="H33" s="77">
        <v>4651562.9400000004</v>
      </c>
      <c r="I33" s="112">
        <f t="shared" si="0"/>
        <v>-2124.1844300000002</v>
      </c>
      <c r="J33" s="77">
        <f t="shared" si="1"/>
        <v>-2124</v>
      </c>
    </row>
    <row r="34" spans="1:10">
      <c r="A34" t="s">
        <v>614</v>
      </c>
      <c r="B34">
        <v>11311</v>
      </c>
      <c r="C34" t="s">
        <v>615</v>
      </c>
      <c r="D34" s="77">
        <v>38273.980000000003</v>
      </c>
      <c r="E34" s="77">
        <v>0</v>
      </c>
      <c r="F34" s="77">
        <v>-13712.34</v>
      </c>
      <c r="G34" s="77">
        <v>-13712.34</v>
      </c>
      <c r="H34" s="77">
        <v>24561.64</v>
      </c>
      <c r="I34" s="112">
        <f t="shared" si="0"/>
        <v>-13.712339999999999</v>
      </c>
      <c r="J34" s="77">
        <f t="shared" si="1"/>
        <v>-14</v>
      </c>
    </row>
    <row r="35" spans="1:10">
      <c r="A35" t="s">
        <v>616</v>
      </c>
      <c r="B35">
        <v>11312</v>
      </c>
      <c r="C35" t="s">
        <v>617</v>
      </c>
      <c r="D35" s="77">
        <v>2202955.4900000002</v>
      </c>
      <c r="E35" s="77">
        <v>337760.51</v>
      </c>
      <c r="F35" s="77">
        <v>-1014640.13</v>
      </c>
      <c r="G35" s="77">
        <v>-676879.62</v>
      </c>
      <c r="H35" s="77">
        <v>1526075.87</v>
      </c>
      <c r="I35" s="112">
        <f t="shared" si="0"/>
        <v>-676.87962000000005</v>
      </c>
      <c r="J35" s="77">
        <f t="shared" si="1"/>
        <v>-677</v>
      </c>
    </row>
    <row r="36" spans="1:10">
      <c r="A36" t="s">
        <v>618</v>
      </c>
      <c r="B36">
        <v>11313</v>
      </c>
      <c r="C36" t="s">
        <v>619</v>
      </c>
      <c r="D36" s="77">
        <v>97602.46</v>
      </c>
      <c r="E36" s="77">
        <v>0</v>
      </c>
      <c r="F36" s="77">
        <v>-38817.78</v>
      </c>
      <c r="G36" s="77">
        <v>-38817.78</v>
      </c>
      <c r="H36" s="77">
        <v>58784.68</v>
      </c>
      <c r="I36" s="112">
        <f t="shared" si="0"/>
        <v>-38.817779999999999</v>
      </c>
      <c r="J36" s="77">
        <f t="shared" si="1"/>
        <v>-39</v>
      </c>
    </row>
    <row r="37" spans="1:10">
      <c r="A37" t="s">
        <v>620</v>
      </c>
      <c r="B37">
        <v>11315</v>
      </c>
      <c r="C37" t="s">
        <v>621</v>
      </c>
      <c r="D37" s="77">
        <v>366902.45</v>
      </c>
      <c r="E37" s="77">
        <v>0</v>
      </c>
      <c r="F37" s="77">
        <v>-121411.36</v>
      </c>
      <c r="G37" s="77">
        <v>-121411.36</v>
      </c>
      <c r="H37" s="77">
        <v>245491.09</v>
      </c>
      <c r="I37" s="112">
        <f t="shared" si="0"/>
        <v>-121.41136</v>
      </c>
      <c r="J37" s="77">
        <f t="shared" si="1"/>
        <v>-121</v>
      </c>
    </row>
    <row r="38" spans="1:10">
      <c r="A38" t="s">
        <v>622</v>
      </c>
      <c r="B38">
        <v>11316</v>
      </c>
      <c r="C38" t="s">
        <v>406</v>
      </c>
      <c r="D38" s="77">
        <v>4070012.99</v>
      </c>
      <c r="E38" s="77">
        <v>525758.85</v>
      </c>
      <c r="F38" s="77">
        <v>-1799122.18</v>
      </c>
      <c r="G38" s="77">
        <v>-1273363.33</v>
      </c>
      <c r="H38" s="77">
        <v>2796649.66</v>
      </c>
      <c r="I38" s="112">
        <f t="shared" si="0"/>
        <v>-1273.3633300000001</v>
      </c>
      <c r="J38" s="77">
        <f t="shared" si="1"/>
        <v>-1273</v>
      </c>
    </row>
    <row r="39" spans="1:10">
      <c r="A39" t="s">
        <v>623</v>
      </c>
      <c r="B39">
        <v>12</v>
      </c>
      <c r="C39" t="s">
        <v>366</v>
      </c>
      <c r="D39" s="77">
        <v>29539677.940000001</v>
      </c>
      <c r="E39" s="77">
        <v>1467562.55</v>
      </c>
      <c r="F39" s="77">
        <v>-1453739.55</v>
      </c>
      <c r="G39" s="77">
        <v>13823</v>
      </c>
      <c r="H39" s="77">
        <v>29553500.940000001</v>
      </c>
      <c r="I39" s="112">
        <f t="shared" si="0"/>
        <v>13.823</v>
      </c>
      <c r="J39" s="77">
        <f t="shared" si="1"/>
        <v>14</v>
      </c>
    </row>
    <row r="40" spans="1:10">
      <c r="A40" t="s">
        <v>624</v>
      </c>
      <c r="B40">
        <v>121</v>
      </c>
      <c r="C40" t="s">
        <v>625</v>
      </c>
      <c r="D40" s="77">
        <v>10258559.119999999</v>
      </c>
      <c r="E40" s="77">
        <v>345307.78</v>
      </c>
      <c r="F40" s="77">
        <v>-103006.22</v>
      </c>
      <c r="G40" s="77">
        <v>242301.56</v>
      </c>
      <c r="H40" s="77">
        <v>10500860.68</v>
      </c>
      <c r="I40" s="112">
        <f t="shared" si="0"/>
        <v>242.30155999999999</v>
      </c>
      <c r="J40" s="77">
        <f t="shared" si="1"/>
        <v>242</v>
      </c>
    </row>
    <row r="41" spans="1:10">
      <c r="A41" t="s">
        <v>61</v>
      </c>
      <c r="B41">
        <v>1213</v>
      </c>
      <c r="C41" t="s">
        <v>575</v>
      </c>
      <c r="D41" s="77">
        <v>3572352.94</v>
      </c>
      <c r="E41" s="77">
        <v>191977.25</v>
      </c>
      <c r="F41" s="77">
        <v>-80232.06</v>
      </c>
      <c r="G41" s="77">
        <v>111745.19</v>
      </c>
      <c r="H41" s="77">
        <v>3684098.13</v>
      </c>
      <c r="I41" s="112">
        <f t="shared" si="0"/>
        <v>111.74519000000001</v>
      </c>
      <c r="J41" s="77">
        <f t="shared" si="1"/>
        <v>112</v>
      </c>
    </row>
    <row r="42" spans="1:10">
      <c r="A42" t="s">
        <v>626</v>
      </c>
      <c r="B42">
        <v>12131</v>
      </c>
      <c r="C42" t="s">
        <v>627</v>
      </c>
      <c r="D42" s="77">
        <v>28161.040000000001</v>
      </c>
      <c r="E42" s="77">
        <v>567.62</v>
      </c>
      <c r="F42" s="77">
        <v>0</v>
      </c>
      <c r="G42" s="77">
        <v>567.62</v>
      </c>
      <c r="H42" s="77">
        <v>28728.66</v>
      </c>
      <c r="I42" s="112">
        <f t="shared" si="0"/>
        <v>0.56762000000000001</v>
      </c>
      <c r="J42" s="77">
        <f t="shared" si="1"/>
        <v>1</v>
      </c>
    </row>
    <row r="43" spans="1:10">
      <c r="A43" t="s">
        <v>628</v>
      </c>
      <c r="B43">
        <v>12134</v>
      </c>
      <c r="C43" t="s">
        <v>231</v>
      </c>
      <c r="D43" s="77">
        <v>4640.58</v>
      </c>
      <c r="E43" s="77">
        <v>0</v>
      </c>
      <c r="F43" s="77">
        <v>0</v>
      </c>
      <c r="G43" s="77">
        <v>0</v>
      </c>
      <c r="H43" s="77">
        <v>4640.58</v>
      </c>
      <c r="I43" s="112">
        <f t="shared" si="0"/>
        <v>0</v>
      </c>
      <c r="J43" s="77">
        <f t="shared" si="1"/>
        <v>0</v>
      </c>
    </row>
    <row r="44" spans="1:10">
      <c r="A44" t="s">
        <v>629</v>
      </c>
      <c r="B44">
        <v>12135</v>
      </c>
      <c r="C44" t="s">
        <v>630</v>
      </c>
      <c r="D44" s="77">
        <v>184342.55</v>
      </c>
      <c r="E44" s="77">
        <v>3863.9</v>
      </c>
      <c r="F44" s="77">
        <v>0</v>
      </c>
      <c r="G44" s="77">
        <v>3863.9</v>
      </c>
      <c r="H44" s="77">
        <v>188206.45</v>
      </c>
      <c r="I44" s="112">
        <f t="shared" si="0"/>
        <v>3.8639000000000001</v>
      </c>
      <c r="J44" s="77">
        <f t="shared" si="1"/>
        <v>4</v>
      </c>
    </row>
    <row r="45" spans="1:10">
      <c r="A45" t="s">
        <v>1426</v>
      </c>
      <c r="B45">
        <v>12139</v>
      </c>
      <c r="C45" t="s">
        <v>217</v>
      </c>
      <c r="D45" s="77">
        <v>1971.6</v>
      </c>
      <c r="E45" s="77">
        <v>41.5</v>
      </c>
      <c r="F45" s="77">
        <v>0</v>
      </c>
      <c r="G45" s="77">
        <v>41.5</v>
      </c>
      <c r="H45" s="77">
        <v>2013.1</v>
      </c>
      <c r="I45" s="112">
        <f t="shared" si="0"/>
        <v>4.1500000000000002E-2</v>
      </c>
      <c r="J45" s="77">
        <f t="shared" si="1"/>
        <v>0</v>
      </c>
    </row>
    <row r="46" spans="1:10">
      <c r="A46" t="s">
        <v>1427</v>
      </c>
      <c r="B46">
        <v>121311</v>
      </c>
      <c r="C46" t="s">
        <v>229</v>
      </c>
      <c r="D46" s="77">
        <v>4698.66</v>
      </c>
      <c r="E46" s="77">
        <v>111.57</v>
      </c>
      <c r="F46" s="77">
        <v>0</v>
      </c>
      <c r="G46" s="77">
        <v>111.57</v>
      </c>
      <c r="H46" s="77">
        <v>4810.2299999999996</v>
      </c>
      <c r="I46" s="112">
        <f t="shared" si="0"/>
        <v>0.11156999999999999</v>
      </c>
      <c r="J46" s="77">
        <f t="shared" si="1"/>
        <v>0</v>
      </c>
    </row>
    <row r="47" spans="1:10">
      <c r="A47" t="s">
        <v>1428</v>
      </c>
      <c r="B47">
        <v>121312</v>
      </c>
      <c r="C47" t="s">
        <v>582</v>
      </c>
      <c r="D47" s="77">
        <v>320.38</v>
      </c>
      <c r="E47" s="77">
        <v>6.75</v>
      </c>
      <c r="F47" s="77">
        <v>0</v>
      </c>
      <c r="G47" s="77">
        <v>6.75</v>
      </c>
      <c r="H47" s="77">
        <v>327.13</v>
      </c>
      <c r="I47" s="112">
        <f t="shared" si="0"/>
        <v>6.7499999999999999E-3</v>
      </c>
      <c r="J47" s="77">
        <f t="shared" si="1"/>
        <v>0</v>
      </c>
    </row>
    <row r="48" spans="1:10">
      <c r="A48" t="s">
        <v>1429</v>
      </c>
      <c r="B48">
        <v>121313</v>
      </c>
      <c r="C48" t="s">
        <v>584</v>
      </c>
      <c r="D48" s="77">
        <v>236369.93</v>
      </c>
      <c r="E48" s="77">
        <v>5125.58</v>
      </c>
      <c r="F48" s="77">
        <v>0</v>
      </c>
      <c r="G48" s="77">
        <v>5125.58</v>
      </c>
      <c r="H48" s="77">
        <v>241495.51</v>
      </c>
      <c r="I48" s="112">
        <f t="shared" si="0"/>
        <v>5.1255800000000002</v>
      </c>
      <c r="J48" s="77">
        <f t="shared" si="1"/>
        <v>5</v>
      </c>
    </row>
    <row r="49" spans="1:10">
      <c r="A49" t="s">
        <v>1434</v>
      </c>
      <c r="B49">
        <v>121316</v>
      </c>
      <c r="C49" t="s">
        <v>239</v>
      </c>
      <c r="D49" s="77">
        <v>1139093.24</v>
      </c>
      <c r="E49" s="77">
        <v>27548.1</v>
      </c>
      <c r="F49" s="77">
        <v>0</v>
      </c>
      <c r="G49" s="77">
        <v>27548.1</v>
      </c>
      <c r="H49" s="77">
        <v>1166641.3400000001</v>
      </c>
      <c r="I49" s="112">
        <f t="shared" si="0"/>
        <v>27.548099999999998</v>
      </c>
      <c r="J49" s="77">
        <f t="shared" si="1"/>
        <v>28</v>
      </c>
    </row>
    <row r="50" spans="1:10">
      <c r="A50" t="s">
        <v>1435</v>
      </c>
      <c r="B50">
        <v>121317</v>
      </c>
      <c r="C50" t="s">
        <v>392</v>
      </c>
      <c r="D50" s="77">
        <v>2356.86</v>
      </c>
      <c r="E50" s="77">
        <v>54.57</v>
      </c>
      <c r="F50" s="77">
        <v>0</v>
      </c>
      <c r="G50" s="77">
        <v>54.57</v>
      </c>
      <c r="H50" s="77">
        <v>2411.4299999999998</v>
      </c>
      <c r="I50" s="112">
        <f t="shared" si="0"/>
        <v>5.457E-2</v>
      </c>
      <c r="J50" s="77">
        <f t="shared" si="1"/>
        <v>0</v>
      </c>
    </row>
    <row r="51" spans="1:10">
      <c r="A51" t="s">
        <v>1436</v>
      </c>
      <c r="B51">
        <v>121318</v>
      </c>
      <c r="C51" t="s">
        <v>1437</v>
      </c>
      <c r="D51" s="77">
        <v>654085.64</v>
      </c>
      <c r="E51" s="77">
        <v>118682.35</v>
      </c>
      <c r="F51" s="77">
        <v>-80232.06</v>
      </c>
      <c r="G51" s="77">
        <v>38450.29</v>
      </c>
      <c r="H51" s="77">
        <v>692535.93</v>
      </c>
      <c r="I51" s="112">
        <f t="shared" si="0"/>
        <v>38.450290000000003</v>
      </c>
      <c r="J51" s="77">
        <f t="shared" si="1"/>
        <v>38</v>
      </c>
    </row>
    <row r="52" spans="1:10">
      <c r="A52" t="s">
        <v>1446</v>
      </c>
      <c r="B52">
        <v>121319</v>
      </c>
      <c r="C52" t="s">
        <v>1447</v>
      </c>
      <c r="D52" s="77">
        <v>426536.15</v>
      </c>
      <c r="E52" s="77">
        <v>10997.02</v>
      </c>
      <c r="F52" s="77">
        <v>0</v>
      </c>
      <c r="G52" s="77">
        <v>10997.02</v>
      </c>
      <c r="H52" s="77">
        <v>437533.17</v>
      </c>
      <c r="I52" s="112">
        <f t="shared" si="0"/>
        <v>10.997020000000001</v>
      </c>
      <c r="J52" s="77">
        <f t="shared" si="1"/>
        <v>11</v>
      </c>
    </row>
    <row r="53" spans="1:10">
      <c r="A53" t="s">
        <v>1448</v>
      </c>
      <c r="B53">
        <v>121320</v>
      </c>
      <c r="C53" t="s">
        <v>1449</v>
      </c>
      <c r="D53" s="77">
        <v>664626.69999999995</v>
      </c>
      <c r="E53" s="77">
        <v>18657.77</v>
      </c>
      <c r="F53" s="77">
        <v>0</v>
      </c>
      <c r="G53" s="77">
        <v>18657.77</v>
      </c>
      <c r="H53" s="77">
        <v>683284.47</v>
      </c>
      <c r="I53" s="112">
        <f t="shared" si="0"/>
        <v>18.657769999999999</v>
      </c>
      <c r="J53" s="77">
        <f t="shared" si="1"/>
        <v>19</v>
      </c>
    </row>
    <row r="54" spans="1:10">
      <c r="A54" t="s">
        <v>1451</v>
      </c>
      <c r="B54">
        <v>121321</v>
      </c>
      <c r="C54" t="s">
        <v>1452</v>
      </c>
      <c r="D54" s="77">
        <v>225149.61</v>
      </c>
      <c r="E54" s="77">
        <v>6320.52</v>
      </c>
      <c r="F54" s="77">
        <v>0</v>
      </c>
      <c r="G54" s="77">
        <v>6320.52</v>
      </c>
      <c r="H54" s="77">
        <v>231470.13</v>
      </c>
      <c r="I54" s="112">
        <f t="shared" si="0"/>
        <v>6.3205200000000001</v>
      </c>
      <c r="J54" s="77">
        <f t="shared" si="1"/>
        <v>6</v>
      </c>
    </row>
    <row r="55" spans="1:10">
      <c r="A55" t="s">
        <v>631</v>
      </c>
      <c r="B55">
        <v>1217</v>
      </c>
      <c r="C55" t="s">
        <v>632</v>
      </c>
      <c r="D55" s="77">
        <v>164.92</v>
      </c>
      <c r="E55" s="77">
        <v>0</v>
      </c>
      <c r="F55" s="77">
        <v>-25.92</v>
      </c>
      <c r="G55" s="77">
        <v>-25.92</v>
      </c>
      <c r="H55" s="77">
        <v>139</v>
      </c>
      <c r="I55" s="112">
        <f t="shared" si="0"/>
        <v>-2.5920000000000002E-2</v>
      </c>
      <c r="J55" s="77">
        <f t="shared" si="1"/>
        <v>0</v>
      </c>
    </row>
    <row r="56" spans="1:10">
      <c r="A56" t="s">
        <v>633</v>
      </c>
      <c r="B56">
        <v>12171</v>
      </c>
      <c r="C56" t="s">
        <v>634</v>
      </c>
      <c r="D56" s="77">
        <v>164.92</v>
      </c>
      <c r="E56" s="77">
        <v>0</v>
      </c>
      <c r="F56" s="77">
        <v>-25.92</v>
      </c>
      <c r="G56" s="77">
        <v>-25.92</v>
      </c>
      <c r="H56" s="77">
        <v>139</v>
      </c>
      <c r="I56" s="112">
        <f t="shared" si="0"/>
        <v>-2.5920000000000002E-2</v>
      </c>
      <c r="J56" s="77">
        <f t="shared" si="1"/>
        <v>0</v>
      </c>
    </row>
    <row r="57" spans="1:10">
      <c r="A57" t="s">
        <v>63</v>
      </c>
      <c r="B57">
        <v>1218</v>
      </c>
      <c r="C57" t="s">
        <v>635</v>
      </c>
      <c r="D57" s="77">
        <v>6686041.2599999998</v>
      </c>
      <c r="E57" s="77">
        <v>153330.53</v>
      </c>
      <c r="F57" s="77">
        <v>-22748.240000000002</v>
      </c>
      <c r="G57" s="77">
        <v>130582.29</v>
      </c>
      <c r="H57" s="77">
        <v>6816623.5499999998</v>
      </c>
      <c r="I57" s="112">
        <f t="shared" si="0"/>
        <v>130.58229</v>
      </c>
      <c r="J57" s="77">
        <f t="shared" si="1"/>
        <v>131</v>
      </c>
    </row>
    <row r="58" spans="1:10">
      <c r="A58" t="s">
        <v>636</v>
      </c>
      <c r="B58">
        <v>12181</v>
      </c>
      <c r="C58" t="s">
        <v>637</v>
      </c>
      <c r="D58" s="77">
        <v>4564025.32</v>
      </c>
      <c r="E58" s="77">
        <v>88164.69</v>
      </c>
      <c r="F58" s="77">
        <v>0</v>
      </c>
      <c r="G58" s="77">
        <v>88164.69</v>
      </c>
      <c r="H58" s="77">
        <v>4652190.01</v>
      </c>
      <c r="I58" s="112">
        <f t="shared" si="0"/>
        <v>88.164690000000007</v>
      </c>
      <c r="J58" s="77">
        <f t="shared" si="1"/>
        <v>88</v>
      </c>
    </row>
    <row r="59" spans="1:10">
      <c r="A59" t="s">
        <v>638</v>
      </c>
      <c r="B59">
        <v>12182</v>
      </c>
      <c r="C59" t="s">
        <v>639</v>
      </c>
      <c r="D59" s="77">
        <v>1934503.74</v>
      </c>
      <c r="E59" s="77">
        <v>60827.360000000001</v>
      </c>
      <c r="F59" s="77">
        <v>-22206.39</v>
      </c>
      <c r="G59" s="77">
        <v>38620.97</v>
      </c>
      <c r="H59" s="77">
        <v>1973124.71</v>
      </c>
      <c r="I59" s="112">
        <f t="shared" si="0"/>
        <v>38.62097</v>
      </c>
      <c r="J59" s="77">
        <f t="shared" si="1"/>
        <v>39</v>
      </c>
    </row>
    <row r="60" spans="1:10">
      <c r="A60" t="s">
        <v>640</v>
      </c>
      <c r="B60">
        <v>12183</v>
      </c>
      <c r="C60" t="s">
        <v>641</v>
      </c>
      <c r="D60" s="77">
        <v>187512.2</v>
      </c>
      <c r="E60" s="77">
        <v>4338.4799999999996</v>
      </c>
      <c r="F60" s="77">
        <v>-541.85</v>
      </c>
      <c r="G60" s="77">
        <v>3796.63</v>
      </c>
      <c r="H60" s="77">
        <v>191308.83</v>
      </c>
      <c r="I60" s="112">
        <f t="shared" si="0"/>
        <v>3.7966299999999999</v>
      </c>
      <c r="J60" s="77">
        <f t="shared" si="1"/>
        <v>4</v>
      </c>
    </row>
    <row r="61" spans="1:10">
      <c r="A61" t="s">
        <v>66</v>
      </c>
      <c r="B61">
        <v>123</v>
      </c>
      <c r="C61" t="s">
        <v>534</v>
      </c>
      <c r="D61" s="77">
        <v>5668333.2300000004</v>
      </c>
      <c r="E61" s="77">
        <v>322525</v>
      </c>
      <c r="F61" s="77">
        <v>-463960.17</v>
      </c>
      <c r="G61" s="77">
        <v>-141435.17000000001</v>
      </c>
      <c r="H61" s="77">
        <v>5526898.0599999996</v>
      </c>
      <c r="I61" s="112">
        <f t="shared" si="0"/>
        <v>-141.43517</v>
      </c>
      <c r="J61" s="77">
        <f t="shared" si="1"/>
        <v>-141</v>
      </c>
    </row>
    <row r="62" spans="1:10">
      <c r="A62" t="s">
        <v>642</v>
      </c>
      <c r="B62">
        <v>1231</v>
      </c>
      <c r="C62" t="s">
        <v>643</v>
      </c>
      <c r="D62" s="77">
        <v>21216996.280000001</v>
      </c>
      <c r="E62" s="77">
        <v>322525</v>
      </c>
      <c r="F62" s="77">
        <v>0</v>
      </c>
      <c r="G62" s="77">
        <v>322525</v>
      </c>
      <c r="H62" s="77">
        <v>21539521.280000001</v>
      </c>
      <c r="I62" s="112">
        <f t="shared" si="0"/>
        <v>322.52499999999998</v>
      </c>
      <c r="J62" s="77">
        <f t="shared" si="1"/>
        <v>323</v>
      </c>
    </row>
    <row r="63" spans="1:10">
      <c r="A63" t="s">
        <v>644</v>
      </c>
      <c r="B63">
        <v>12313</v>
      </c>
      <c r="C63" t="s">
        <v>260</v>
      </c>
      <c r="D63" s="77">
        <v>2714019.02</v>
      </c>
      <c r="E63" s="77">
        <v>0</v>
      </c>
      <c r="F63" s="77">
        <v>0</v>
      </c>
      <c r="G63" s="77">
        <v>0</v>
      </c>
      <c r="H63" s="77">
        <v>2714019.02</v>
      </c>
      <c r="I63" s="112">
        <f t="shared" si="0"/>
        <v>0</v>
      </c>
      <c r="J63" s="77">
        <f t="shared" si="1"/>
        <v>0</v>
      </c>
    </row>
    <row r="64" spans="1:10">
      <c r="A64" t="s">
        <v>645</v>
      </c>
      <c r="B64">
        <v>12314</v>
      </c>
      <c r="C64" t="s">
        <v>414</v>
      </c>
      <c r="D64" s="77">
        <v>858582.21</v>
      </c>
      <c r="E64" s="77">
        <v>0</v>
      </c>
      <c r="F64" s="77">
        <v>0</v>
      </c>
      <c r="G64" s="77">
        <v>0</v>
      </c>
      <c r="H64" s="77">
        <v>858582.21</v>
      </c>
      <c r="I64" s="112">
        <f t="shared" si="0"/>
        <v>0</v>
      </c>
      <c r="J64" s="77">
        <f t="shared" si="1"/>
        <v>0</v>
      </c>
    </row>
    <row r="65" spans="1:10">
      <c r="A65" t="s">
        <v>646</v>
      </c>
      <c r="B65">
        <v>12315</v>
      </c>
      <c r="C65" t="s">
        <v>415</v>
      </c>
      <c r="D65" s="77">
        <v>14880913.67</v>
      </c>
      <c r="E65" s="77">
        <v>314000</v>
      </c>
      <c r="F65" s="77">
        <v>0</v>
      </c>
      <c r="G65" s="77">
        <v>314000</v>
      </c>
      <c r="H65" s="77">
        <v>15194913.67</v>
      </c>
      <c r="I65" s="112">
        <f t="shared" si="0"/>
        <v>314</v>
      </c>
      <c r="J65" s="77">
        <f t="shared" si="1"/>
        <v>314</v>
      </c>
    </row>
    <row r="66" spans="1:10">
      <c r="A66" t="s">
        <v>647</v>
      </c>
      <c r="B66">
        <v>12317</v>
      </c>
      <c r="C66" t="s">
        <v>416</v>
      </c>
      <c r="D66" s="77">
        <v>2763481.38</v>
      </c>
      <c r="E66" s="77">
        <v>8525</v>
      </c>
      <c r="F66" s="77">
        <v>0</v>
      </c>
      <c r="G66" s="77">
        <v>8525</v>
      </c>
      <c r="H66" s="77">
        <v>2772006.38</v>
      </c>
      <c r="I66" s="112">
        <f t="shared" si="0"/>
        <v>8.5250000000000004</v>
      </c>
      <c r="J66" s="77">
        <f t="shared" si="1"/>
        <v>9</v>
      </c>
    </row>
    <row r="67" spans="1:10">
      <c r="A67" t="s">
        <v>648</v>
      </c>
      <c r="B67">
        <v>12398</v>
      </c>
      <c r="C67" t="s">
        <v>649</v>
      </c>
      <c r="D67" s="77">
        <v>-15548663.050000001</v>
      </c>
      <c r="E67" s="77">
        <v>0</v>
      </c>
      <c r="F67" s="77">
        <v>-463960.17</v>
      </c>
      <c r="G67" s="77">
        <v>-463960.17</v>
      </c>
      <c r="H67" s="77">
        <v>-16012623.220000001</v>
      </c>
      <c r="I67" s="112">
        <f t="shared" si="0"/>
        <v>-463.96017000000001</v>
      </c>
      <c r="J67" s="77">
        <f t="shared" si="1"/>
        <v>-464</v>
      </c>
    </row>
    <row r="68" spans="1:10">
      <c r="A68" t="s">
        <v>650</v>
      </c>
      <c r="B68">
        <v>123982</v>
      </c>
      <c r="C68" t="s">
        <v>651</v>
      </c>
      <c r="D68" s="77">
        <v>-1286141.1599999999</v>
      </c>
      <c r="E68" s="77">
        <v>0</v>
      </c>
      <c r="F68" s="77">
        <v>-67850.460000000006</v>
      </c>
      <c r="G68" s="77">
        <v>-67850.460000000006</v>
      </c>
      <c r="H68" s="77">
        <v>-1353991.62</v>
      </c>
      <c r="I68" s="112">
        <f t="shared" si="0"/>
        <v>-67.850460000000012</v>
      </c>
      <c r="J68" s="77">
        <f t="shared" si="1"/>
        <v>-68</v>
      </c>
    </row>
    <row r="69" spans="1:10">
      <c r="A69" t="s">
        <v>652</v>
      </c>
      <c r="B69">
        <v>123983</v>
      </c>
      <c r="C69" t="s">
        <v>653</v>
      </c>
      <c r="D69" s="77">
        <v>-777052.06</v>
      </c>
      <c r="E69" s="77">
        <v>0</v>
      </c>
      <c r="F69" s="77">
        <v>-4040.28</v>
      </c>
      <c r="G69" s="77">
        <v>-4040.28</v>
      </c>
      <c r="H69" s="77">
        <v>-781092.34</v>
      </c>
      <c r="I69" s="112">
        <f t="shared" si="0"/>
        <v>-4.0402800000000001</v>
      </c>
      <c r="J69" s="77">
        <f t="shared" si="1"/>
        <v>-4</v>
      </c>
    </row>
    <row r="70" spans="1:10">
      <c r="A70" t="s">
        <v>654</v>
      </c>
      <c r="B70">
        <v>123984</v>
      </c>
      <c r="C70" t="s">
        <v>655</v>
      </c>
      <c r="D70" s="77">
        <v>-11356215.26</v>
      </c>
      <c r="E70" s="77">
        <v>0</v>
      </c>
      <c r="F70" s="77">
        <v>-367039.68</v>
      </c>
      <c r="G70" s="77">
        <v>-367039.68</v>
      </c>
      <c r="H70" s="77">
        <v>-11723254.939999999</v>
      </c>
      <c r="I70" s="112">
        <f t="shared" si="0"/>
        <v>-367.03967999999998</v>
      </c>
      <c r="J70" s="77">
        <f t="shared" si="1"/>
        <v>-367</v>
      </c>
    </row>
    <row r="71" spans="1:10">
      <c r="A71" t="s">
        <v>656</v>
      </c>
      <c r="B71">
        <v>123986</v>
      </c>
      <c r="C71" t="s">
        <v>657</v>
      </c>
      <c r="D71" s="77">
        <v>-2129254.5699999998</v>
      </c>
      <c r="E71" s="77">
        <v>0</v>
      </c>
      <c r="F71" s="77">
        <v>-25029.75</v>
      </c>
      <c r="G71" s="77">
        <v>-25029.75</v>
      </c>
      <c r="H71" s="77">
        <v>-2154284.3199999998</v>
      </c>
      <c r="I71" s="112">
        <f t="shared" si="0"/>
        <v>-25.02975</v>
      </c>
      <c r="J71" s="77">
        <f t="shared" si="1"/>
        <v>-25</v>
      </c>
    </row>
    <row r="72" spans="1:10">
      <c r="A72" t="s">
        <v>70</v>
      </c>
      <c r="B72">
        <v>124</v>
      </c>
      <c r="C72" t="s">
        <v>658</v>
      </c>
      <c r="D72" s="77">
        <v>1052809.05</v>
      </c>
      <c r="E72" s="77">
        <v>799729.77</v>
      </c>
      <c r="F72" s="77">
        <v>-147951.01</v>
      </c>
      <c r="G72" s="77">
        <v>651778.76</v>
      </c>
      <c r="H72" s="77">
        <v>1704587.81</v>
      </c>
      <c r="I72" s="112">
        <f t="shared" ref="I72:I135" si="2">G72/1000</f>
        <v>651.77876000000003</v>
      </c>
      <c r="J72" s="77">
        <f t="shared" ref="J72:J135" si="3">ROUND(I72,0)</f>
        <v>652</v>
      </c>
    </row>
    <row r="73" spans="1:10">
      <c r="A73" t="s">
        <v>659</v>
      </c>
      <c r="B73">
        <v>1241</v>
      </c>
      <c r="C73" t="s">
        <v>434</v>
      </c>
      <c r="D73" s="77">
        <v>13586005.869999999</v>
      </c>
      <c r="E73" s="77">
        <v>799729.77</v>
      </c>
      <c r="F73" s="77">
        <v>0</v>
      </c>
      <c r="G73" s="77">
        <v>799729.77</v>
      </c>
      <c r="H73" s="77">
        <v>14385735.640000001</v>
      </c>
      <c r="I73" s="112">
        <f t="shared" si="2"/>
        <v>799.72977000000003</v>
      </c>
      <c r="J73" s="77">
        <f t="shared" si="3"/>
        <v>800</v>
      </c>
    </row>
    <row r="74" spans="1:10">
      <c r="A74" t="s">
        <v>660</v>
      </c>
      <c r="B74">
        <v>124101</v>
      </c>
      <c r="C74" t="s">
        <v>434</v>
      </c>
      <c r="D74" s="77">
        <v>13586005.869999999</v>
      </c>
      <c r="E74" s="77">
        <v>799729.77</v>
      </c>
      <c r="F74" s="77">
        <v>0</v>
      </c>
      <c r="G74" s="77">
        <v>799729.77</v>
      </c>
      <c r="H74" s="77">
        <v>14385735.640000001</v>
      </c>
      <c r="I74" s="112">
        <f t="shared" si="2"/>
        <v>799.72977000000003</v>
      </c>
      <c r="J74" s="77">
        <f t="shared" si="3"/>
        <v>800</v>
      </c>
    </row>
    <row r="75" spans="1:10">
      <c r="A75" t="s">
        <v>661</v>
      </c>
      <c r="B75">
        <v>12498</v>
      </c>
      <c r="C75" t="s">
        <v>662</v>
      </c>
      <c r="D75" s="77">
        <v>-12533196.82</v>
      </c>
      <c r="E75" s="77">
        <v>0</v>
      </c>
      <c r="F75" s="77">
        <v>-147951.01</v>
      </c>
      <c r="G75" s="77">
        <v>-147951.01</v>
      </c>
      <c r="H75" s="77">
        <v>-12681147.83</v>
      </c>
      <c r="I75" s="112">
        <f t="shared" si="2"/>
        <v>-147.95101</v>
      </c>
      <c r="J75" s="77">
        <f t="shared" si="3"/>
        <v>-148</v>
      </c>
    </row>
    <row r="76" spans="1:10">
      <c r="A76" t="s">
        <v>663</v>
      </c>
      <c r="B76">
        <v>1242</v>
      </c>
      <c r="C76" t="s">
        <v>664</v>
      </c>
      <c r="D76" s="77">
        <v>-12533196.82</v>
      </c>
      <c r="E76" s="77">
        <v>0</v>
      </c>
      <c r="F76" s="77">
        <v>-147951.01</v>
      </c>
      <c r="G76" s="77">
        <v>-147951.01</v>
      </c>
      <c r="H76" s="77">
        <v>-12681147.83</v>
      </c>
      <c r="I76" s="112">
        <f t="shared" si="2"/>
        <v>-147.95101</v>
      </c>
      <c r="J76" s="77">
        <f t="shared" si="3"/>
        <v>-148</v>
      </c>
    </row>
    <row r="77" spans="1:10">
      <c r="A77" t="s">
        <v>68</v>
      </c>
      <c r="B77" s="580">
        <v>125</v>
      </c>
      <c r="C77" t="s">
        <v>181</v>
      </c>
      <c r="D77" s="77">
        <v>12559976.539999999</v>
      </c>
      <c r="E77" s="77">
        <v>0</v>
      </c>
      <c r="F77" s="77">
        <v>-738822.15</v>
      </c>
      <c r="G77" s="77">
        <v>-738822.15</v>
      </c>
      <c r="H77" s="77">
        <v>11821154.390000001</v>
      </c>
      <c r="I77" s="112">
        <f t="shared" si="2"/>
        <v>-738.82215000000008</v>
      </c>
      <c r="J77" s="77">
        <f t="shared" si="3"/>
        <v>-739</v>
      </c>
    </row>
    <row r="78" spans="1:10">
      <c r="A78" t="s">
        <v>1681</v>
      </c>
      <c r="B78" s="580">
        <v>1251</v>
      </c>
      <c r="C78" t="s">
        <v>181</v>
      </c>
      <c r="D78" s="77">
        <v>12559976.539999999</v>
      </c>
      <c r="E78" s="77">
        <v>0</v>
      </c>
      <c r="F78" s="77">
        <v>-738822.15</v>
      </c>
      <c r="G78" s="77">
        <v>-738822.15</v>
      </c>
      <c r="H78" s="77">
        <v>11821154.390000001</v>
      </c>
      <c r="I78" s="112">
        <f t="shared" si="2"/>
        <v>-738.82215000000008</v>
      </c>
      <c r="J78" s="77">
        <f t="shared" si="3"/>
        <v>-739</v>
      </c>
    </row>
    <row r="79" spans="1:10">
      <c r="A79" t="s">
        <v>1682</v>
      </c>
      <c r="B79" s="580">
        <v>12511</v>
      </c>
      <c r="C79" t="s">
        <v>1677</v>
      </c>
      <c r="D79" s="77">
        <v>24551214.710000001</v>
      </c>
      <c r="E79" s="77">
        <v>0</v>
      </c>
      <c r="F79" s="77">
        <v>0</v>
      </c>
      <c r="G79" s="77">
        <v>0</v>
      </c>
      <c r="H79" s="77">
        <v>24551214.710000001</v>
      </c>
      <c r="I79" s="112">
        <f t="shared" si="2"/>
        <v>0</v>
      </c>
      <c r="J79" s="77">
        <f t="shared" si="3"/>
        <v>0</v>
      </c>
    </row>
    <row r="80" spans="1:10">
      <c r="A80" t="s">
        <v>1683</v>
      </c>
      <c r="B80" s="580">
        <v>12512</v>
      </c>
      <c r="C80" t="s">
        <v>1680</v>
      </c>
      <c r="D80" s="77">
        <v>-11991238.17</v>
      </c>
      <c r="E80" s="77">
        <v>0</v>
      </c>
      <c r="F80" s="77">
        <v>-738822.15</v>
      </c>
      <c r="G80" s="77">
        <v>-738822.15</v>
      </c>
      <c r="H80" s="77">
        <v>-12730060.32</v>
      </c>
      <c r="I80" s="112">
        <f t="shared" si="2"/>
        <v>-738.82215000000008</v>
      </c>
      <c r="J80" s="77">
        <f t="shared" si="3"/>
        <v>-739</v>
      </c>
    </row>
    <row r="81" spans="1:10">
      <c r="A81">
        <v>2</v>
      </c>
      <c r="B81">
        <v>2</v>
      </c>
      <c r="C81" t="s">
        <v>665</v>
      </c>
      <c r="D81" s="77">
        <v>-81927493.969999999</v>
      </c>
      <c r="E81" s="77">
        <v>81969104.269999996</v>
      </c>
      <c r="F81" s="77">
        <v>-72347104.859999999</v>
      </c>
      <c r="G81" s="77">
        <v>9621999.4100000001</v>
      </c>
      <c r="H81" s="77">
        <v>-72305494.560000002</v>
      </c>
      <c r="I81" s="112">
        <f t="shared" si="2"/>
        <v>9621.9994100000004</v>
      </c>
      <c r="J81" s="77">
        <f t="shared" si="3"/>
        <v>9622</v>
      </c>
    </row>
    <row r="82" spans="1:10">
      <c r="A82" t="s">
        <v>666</v>
      </c>
      <c r="B82" s="580">
        <v>21</v>
      </c>
      <c r="C82" t="s">
        <v>50</v>
      </c>
      <c r="D82" s="77">
        <v>-33268603.149999999</v>
      </c>
      <c r="E82" s="77">
        <v>58926189.479999997</v>
      </c>
      <c r="F82" s="77">
        <v>-66162500.609999999</v>
      </c>
      <c r="G82" s="77">
        <v>-7236311.1299999999</v>
      </c>
      <c r="H82" s="77">
        <v>-40504914.280000001</v>
      </c>
      <c r="I82" s="112">
        <f t="shared" si="2"/>
        <v>-7236.31113</v>
      </c>
      <c r="J82" s="77">
        <f t="shared" si="3"/>
        <v>-7236</v>
      </c>
    </row>
    <row r="83" spans="1:10">
      <c r="A83" t="s">
        <v>667</v>
      </c>
      <c r="B83" s="580">
        <v>211</v>
      </c>
      <c r="C83" t="s">
        <v>668</v>
      </c>
      <c r="D83" s="77">
        <v>-33268603.149999999</v>
      </c>
      <c r="E83" s="77">
        <v>58926189.479999997</v>
      </c>
      <c r="F83" s="77">
        <v>-66162500.609999999</v>
      </c>
      <c r="G83" s="77">
        <v>-7236311.1299999999</v>
      </c>
      <c r="H83" s="77">
        <v>-40504914.280000001</v>
      </c>
      <c r="I83" s="112">
        <f t="shared" si="2"/>
        <v>-7236.31113</v>
      </c>
      <c r="J83" s="77">
        <f t="shared" si="3"/>
        <v>-7236</v>
      </c>
    </row>
    <row r="84" spans="1:10">
      <c r="A84" t="s">
        <v>669</v>
      </c>
      <c r="B84" s="580">
        <v>2114</v>
      </c>
      <c r="C84" t="s">
        <v>670</v>
      </c>
      <c r="D84" s="77">
        <v>-858337.84</v>
      </c>
      <c r="E84" s="77">
        <v>10053923.289999999</v>
      </c>
      <c r="F84" s="77">
        <v>-10360418.68</v>
      </c>
      <c r="G84" s="77">
        <v>-306495.39</v>
      </c>
      <c r="H84" s="77">
        <v>-1164833.23</v>
      </c>
      <c r="I84" s="112">
        <f t="shared" si="2"/>
        <v>-306.49538999999999</v>
      </c>
      <c r="J84" s="77">
        <f t="shared" si="3"/>
        <v>-306</v>
      </c>
    </row>
    <row r="85" spans="1:10">
      <c r="A85" t="s">
        <v>671</v>
      </c>
      <c r="B85" s="580">
        <v>60444400000000</v>
      </c>
      <c r="C85" t="s">
        <v>672</v>
      </c>
      <c r="D85" s="77">
        <v>-30000</v>
      </c>
      <c r="E85" s="77">
        <v>131404.82999999999</v>
      </c>
      <c r="F85" s="77">
        <v>-101404.83</v>
      </c>
      <c r="G85" s="77">
        <v>30000</v>
      </c>
      <c r="H85" s="77">
        <v>0</v>
      </c>
      <c r="I85" s="112">
        <f t="shared" si="2"/>
        <v>30</v>
      </c>
      <c r="J85" s="77">
        <f t="shared" si="3"/>
        <v>30</v>
      </c>
    </row>
    <row r="86" spans="1:10">
      <c r="A86" t="s">
        <v>1698</v>
      </c>
      <c r="B86" s="580">
        <v>57143000000000</v>
      </c>
      <c r="C86" t="s">
        <v>1699</v>
      </c>
      <c r="D86" s="77">
        <v>0</v>
      </c>
      <c r="E86" s="77">
        <v>101144.54</v>
      </c>
      <c r="F86" s="77">
        <v>-101144.54</v>
      </c>
      <c r="G86" s="77">
        <v>0</v>
      </c>
      <c r="H86" s="77">
        <v>0</v>
      </c>
      <c r="I86" s="112">
        <f t="shared" si="2"/>
        <v>0</v>
      </c>
      <c r="J86" s="77">
        <f t="shared" si="3"/>
        <v>0</v>
      </c>
    </row>
    <row r="87" spans="1:10">
      <c r="A87" t="s">
        <v>673</v>
      </c>
      <c r="B87" s="580">
        <v>34028300000000</v>
      </c>
      <c r="C87" t="s">
        <v>674</v>
      </c>
      <c r="D87" s="77">
        <v>0</v>
      </c>
      <c r="E87" s="77">
        <v>241.32</v>
      </c>
      <c r="F87" s="77">
        <v>-241.32</v>
      </c>
      <c r="G87" s="77">
        <v>0</v>
      </c>
      <c r="H87" s="77">
        <v>0</v>
      </c>
      <c r="I87" s="112">
        <f t="shared" si="2"/>
        <v>0</v>
      </c>
      <c r="J87" s="77">
        <f t="shared" si="3"/>
        <v>0</v>
      </c>
    </row>
    <row r="88" spans="1:10">
      <c r="A88" t="s">
        <v>675</v>
      </c>
      <c r="B88" s="580" t="s">
        <v>676</v>
      </c>
      <c r="C88" t="s">
        <v>677</v>
      </c>
      <c r="D88" s="77">
        <v>-987.62</v>
      </c>
      <c r="E88" s="77">
        <v>147438.46</v>
      </c>
      <c r="F88" s="77">
        <v>-146450.84</v>
      </c>
      <c r="G88" s="77">
        <v>987.62</v>
      </c>
      <c r="H88" s="77">
        <v>0</v>
      </c>
      <c r="I88" s="112">
        <f t="shared" si="2"/>
        <v>0.98762000000000005</v>
      </c>
      <c r="J88" s="77">
        <f t="shared" si="3"/>
        <v>1</v>
      </c>
    </row>
    <row r="89" spans="1:10">
      <c r="A89" t="s">
        <v>681</v>
      </c>
      <c r="B89" t="s">
        <v>682</v>
      </c>
      <c r="C89" t="s">
        <v>683</v>
      </c>
      <c r="D89" s="77">
        <v>-443200.96</v>
      </c>
      <c r="E89" s="77">
        <v>1536303.66</v>
      </c>
      <c r="F89" s="77">
        <v>-1557921.98</v>
      </c>
      <c r="G89" s="77">
        <v>-21618.32</v>
      </c>
      <c r="H89" s="77">
        <v>-464819.28</v>
      </c>
      <c r="I89" s="112">
        <f t="shared" si="2"/>
        <v>-21.618320000000001</v>
      </c>
      <c r="J89" s="77">
        <f t="shared" si="3"/>
        <v>-22</v>
      </c>
    </row>
    <row r="90" spans="1:10">
      <c r="A90" t="s">
        <v>1964</v>
      </c>
      <c r="B90" s="580" t="s">
        <v>1965</v>
      </c>
      <c r="C90" t="s">
        <v>1966</v>
      </c>
      <c r="D90" s="77">
        <v>0</v>
      </c>
      <c r="E90" s="77">
        <v>7580</v>
      </c>
      <c r="F90" s="77">
        <v>-7580</v>
      </c>
      <c r="G90" s="77">
        <v>0</v>
      </c>
      <c r="H90" s="77">
        <v>0</v>
      </c>
      <c r="I90" s="112">
        <f t="shared" si="2"/>
        <v>0</v>
      </c>
      <c r="J90" s="77">
        <f t="shared" si="3"/>
        <v>0</v>
      </c>
    </row>
    <row r="91" spans="1:10">
      <c r="A91" t="s">
        <v>690</v>
      </c>
      <c r="B91" s="580" t="s">
        <v>691</v>
      </c>
      <c r="C91" t="s">
        <v>692</v>
      </c>
      <c r="D91" s="77">
        <v>0</v>
      </c>
      <c r="E91" s="77">
        <v>2668.54</v>
      </c>
      <c r="F91" s="77">
        <v>-3893.29</v>
      </c>
      <c r="G91" s="77">
        <v>-1224.75</v>
      </c>
      <c r="H91" s="77">
        <v>-1224.75</v>
      </c>
      <c r="I91" s="112">
        <f t="shared" si="2"/>
        <v>-1.22475</v>
      </c>
      <c r="J91" s="77">
        <f t="shared" si="3"/>
        <v>-1</v>
      </c>
    </row>
    <row r="92" spans="1:10">
      <c r="A92" t="s">
        <v>2134</v>
      </c>
      <c r="B92" s="580">
        <v>30033800000000</v>
      </c>
      <c r="C92" t="s">
        <v>2135</v>
      </c>
      <c r="D92" s="77">
        <v>-6630</v>
      </c>
      <c r="E92" s="77">
        <v>18950.72</v>
      </c>
      <c r="F92" s="77">
        <v>-12320.72</v>
      </c>
      <c r="G92" s="77">
        <v>6630</v>
      </c>
      <c r="H92" s="77">
        <v>0</v>
      </c>
      <c r="I92" s="112">
        <f t="shared" si="2"/>
        <v>6.63</v>
      </c>
      <c r="J92" s="77">
        <f t="shared" si="3"/>
        <v>7</v>
      </c>
    </row>
    <row r="93" spans="1:10">
      <c r="A93" t="s">
        <v>2160</v>
      </c>
      <c r="B93" s="580" t="s">
        <v>2161</v>
      </c>
      <c r="C93" t="s">
        <v>2162</v>
      </c>
      <c r="D93" s="77">
        <v>0</v>
      </c>
      <c r="E93" s="77">
        <v>13136</v>
      </c>
      <c r="F93" s="77">
        <v>-13136</v>
      </c>
      <c r="G93" s="77">
        <v>0</v>
      </c>
      <c r="H93" s="77">
        <v>0</v>
      </c>
      <c r="I93" s="112">
        <f t="shared" si="2"/>
        <v>0</v>
      </c>
      <c r="J93" s="77">
        <f t="shared" si="3"/>
        <v>0</v>
      </c>
    </row>
    <row r="94" spans="1:10">
      <c r="A94" t="s">
        <v>2190</v>
      </c>
      <c r="B94" s="580" t="s">
        <v>2191</v>
      </c>
      <c r="C94" t="s">
        <v>2192</v>
      </c>
      <c r="D94" s="77">
        <v>0</v>
      </c>
      <c r="E94" s="77">
        <v>0</v>
      </c>
      <c r="F94" s="77">
        <v>-15646.5</v>
      </c>
      <c r="G94" s="77">
        <v>-15646.5</v>
      </c>
      <c r="H94" s="77">
        <v>-15646.5</v>
      </c>
      <c r="I94" s="112">
        <f t="shared" si="2"/>
        <v>-15.6465</v>
      </c>
      <c r="J94" s="77">
        <f t="shared" si="3"/>
        <v>-16</v>
      </c>
    </row>
    <row r="95" spans="1:10">
      <c r="A95" t="s">
        <v>2374</v>
      </c>
      <c r="B95" s="580" t="s">
        <v>2375</v>
      </c>
      <c r="C95" t="s">
        <v>2376</v>
      </c>
      <c r="D95" s="77">
        <v>0</v>
      </c>
      <c r="E95" s="77">
        <v>3060</v>
      </c>
      <c r="F95" s="77">
        <v>-3060</v>
      </c>
      <c r="G95" s="77">
        <v>0</v>
      </c>
      <c r="H95" s="77">
        <v>0</v>
      </c>
      <c r="I95" s="112">
        <f t="shared" si="2"/>
        <v>0</v>
      </c>
      <c r="J95" s="77">
        <f t="shared" si="3"/>
        <v>0</v>
      </c>
    </row>
    <row r="96" spans="1:10">
      <c r="A96" t="s">
        <v>704</v>
      </c>
      <c r="B96" s="580" t="s">
        <v>705</v>
      </c>
      <c r="C96" t="s">
        <v>706</v>
      </c>
      <c r="D96" s="77">
        <v>0</v>
      </c>
      <c r="E96" s="77">
        <v>25657.66</v>
      </c>
      <c r="F96" s="77">
        <v>-25657.66</v>
      </c>
      <c r="G96" s="77">
        <v>0</v>
      </c>
      <c r="H96" s="77">
        <v>0</v>
      </c>
      <c r="I96" s="112">
        <f t="shared" si="2"/>
        <v>0</v>
      </c>
      <c r="J96" s="77">
        <f t="shared" si="3"/>
        <v>0</v>
      </c>
    </row>
    <row r="97" spans="1:10">
      <c r="A97" t="s">
        <v>707</v>
      </c>
      <c r="B97" s="580" t="s">
        <v>708</v>
      </c>
      <c r="C97" t="s">
        <v>709</v>
      </c>
      <c r="D97" s="77">
        <v>0</v>
      </c>
      <c r="E97" s="77">
        <v>799729.77</v>
      </c>
      <c r="F97" s="77">
        <v>-799729.77</v>
      </c>
      <c r="G97" s="77">
        <v>0</v>
      </c>
      <c r="H97" s="77">
        <v>0</v>
      </c>
      <c r="I97" s="112">
        <f t="shared" si="2"/>
        <v>0</v>
      </c>
      <c r="J97" s="77">
        <f t="shared" si="3"/>
        <v>0</v>
      </c>
    </row>
    <row r="98" spans="1:10">
      <c r="A98" t="s">
        <v>2730</v>
      </c>
      <c r="B98" s="580">
        <v>32578400000000</v>
      </c>
      <c r="C98" t="s">
        <v>5447</v>
      </c>
      <c r="D98" s="77">
        <v>0</v>
      </c>
      <c r="E98" s="77">
        <v>5967.81</v>
      </c>
      <c r="F98" s="77">
        <v>-5967.81</v>
      </c>
      <c r="G98" s="77">
        <v>0</v>
      </c>
      <c r="H98" s="77">
        <v>0</v>
      </c>
      <c r="I98" s="112">
        <f t="shared" si="2"/>
        <v>0</v>
      </c>
      <c r="J98" s="77">
        <f t="shared" si="3"/>
        <v>0</v>
      </c>
    </row>
    <row r="99" spans="1:10">
      <c r="A99" t="s">
        <v>710</v>
      </c>
      <c r="B99" s="580" t="s">
        <v>711</v>
      </c>
      <c r="C99" t="s">
        <v>712</v>
      </c>
      <c r="D99" s="77">
        <v>0</v>
      </c>
      <c r="E99" s="77">
        <v>1448.4</v>
      </c>
      <c r="F99" s="77">
        <v>-1448.4</v>
      </c>
      <c r="G99" s="77">
        <v>0</v>
      </c>
      <c r="H99" s="77">
        <v>0</v>
      </c>
      <c r="I99" s="112">
        <f t="shared" si="2"/>
        <v>0</v>
      </c>
      <c r="J99" s="77">
        <f t="shared" si="3"/>
        <v>0</v>
      </c>
    </row>
    <row r="100" spans="1:10">
      <c r="A100" t="s">
        <v>713</v>
      </c>
      <c r="B100" s="580" t="s">
        <v>714</v>
      </c>
      <c r="C100" t="s">
        <v>715</v>
      </c>
      <c r="D100" s="77">
        <v>0</v>
      </c>
      <c r="E100" s="77">
        <v>179.9</v>
      </c>
      <c r="F100" s="77">
        <v>-179.9</v>
      </c>
      <c r="G100" s="77">
        <v>0</v>
      </c>
      <c r="H100" s="77">
        <v>0</v>
      </c>
      <c r="I100" s="112">
        <f t="shared" si="2"/>
        <v>0</v>
      </c>
      <c r="J100" s="77">
        <f t="shared" si="3"/>
        <v>0</v>
      </c>
    </row>
    <row r="101" spans="1:10">
      <c r="A101" t="s">
        <v>3129</v>
      </c>
      <c r="B101" s="580" t="s">
        <v>3130</v>
      </c>
      <c r="C101" t="s">
        <v>3131</v>
      </c>
      <c r="D101" s="77">
        <v>0</v>
      </c>
      <c r="E101" s="77">
        <v>2910</v>
      </c>
      <c r="F101" s="77">
        <v>-2910</v>
      </c>
      <c r="G101" s="77">
        <v>0</v>
      </c>
      <c r="H101" s="77">
        <v>0</v>
      </c>
      <c r="I101" s="112">
        <f t="shared" si="2"/>
        <v>0</v>
      </c>
      <c r="J101" s="77">
        <f t="shared" si="3"/>
        <v>0</v>
      </c>
    </row>
    <row r="102" spans="1:10">
      <c r="A102" t="s">
        <v>3135</v>
      </c>
      <c r="B102" s="580" t="s">
        <v>3136</v>
      </c>
      <c r="C102" t="s">
        <v>3137</v>
      </c>
      <c r="D102" s="77">
        <v>0</v>
      </c>
      <c r="E102" s="77">
        <v>0</v>
      </c>
      <c r="F102" s="77">
        <v>-188.34</v>
      </c>
      <c r="G102" s="77">
        <v>-188.34</v>
      </c>
      <c r="H102" s="77">
        <v>-188.34</v>
      </c>
      <c r="I102" s="112">
        <f t="shared" si="2"/>
        <v>-0.18834000000000001</v>
      </c>
      <c r="J102" s="77">
        <f t="shared" si="3"/>
        <v>0</v>
      </c>
    </row>
    <row r="103" spans="1:10">
      <c r="A103" t="s">
        <v>725</v>
      </c>
      <c r="B103" s="580" t="s">
        <v>726</v>
      </c>
      <c r="C103" t="s">
        <v>727</v>
      </c>
      <c r="D103" s="77">
        <v>0</v>
      </c>
      <c r="E103" s="77">
        <v>59315.26</v>
      </c>
      <c r="F103" s="77">
        <v>-59315.26</v>
      </c>
      <c r="G103" s="77">
        <v>0</v>
      </c>
      <c r="H103" s="77">
        <v>0</v>
      </c>
      <c r="I103" s="112">
        <f t="shared" si="2"/>
        <v>0</v>
      </c>
      <c r="J103" s="77">
        <f t="shared" si="3"/>
        <v>0</v>
      </c>
    </row>
    <row r="104" spans="1:10">
      <c r="A104" t="s">
        <v>733</v>
      </c>
      <c r="B104" s="580">
        <v>3017430000000</v>
      </c>
      <c r="C104" t="s">
        <v>734</v>
      </c>
      <c r="D104" s="77">
        <v>0</v>
      </c>
      <c r="E104" s="77">
        <v>81148</v>
      </c>
      <c r="F104" s="77">
        <v>-81148</v>
      </c>
      <c r="G104" s="77">
        <v>0</v>
      </c>
      <c r="H104" s="77">
        <v>0</v>
      </c>
      <c r="I104" s="112">
        <f t="shared" si="2"/>
        <v>0</v>
      </c>
      <c r="J104" s="77">
        <f t="shared" si="3"/>
        <v>0</v>
      </c>
    </row>
    <row r="105" spans="1:10">
      <c r="A105" t="s">
        <v>3417</v>
      </c>
      <c r="B105" s="580">
        <v>10499000000000</v>
      </c>
      <c r="C105" t="s">
        <v>3418</v>
      </c>
      <c r="D105" s="77">
        <v>0</v>
      </c>
      <c r="E105" s="77">
        <v>19791</v>
      </c>
      <c r="F105" s="77">
        <v>-19791</v>
      </c>
      <c r="G105" s="77">
        <v>0</v>
      </c>
      <c r="H105" s="77">
        <v>0</v>
      </c>
      <c r="I105" s="112">
        <f t="shared" si="2"/>
        <v>0</v>
      </c>
      <c r="J105" s="77">
        <f t="shared" si="3"/>
        <v>0</v>
      </c>
    </row>
    <row r="106" spans="1:10">
      <c r="A106" t="s">
        <v>3450</v>
      </c>
      <c r="B106" s="580">
        <v>28019200000000</v>
      </c>
      <c r="C106" t="s">
        <v>3451</v>
      </c>
      <c r="D106" s="77">
        <v>0</v>
      </c>
      <c r="E106" s="77">
        <v>44820</v>
      </c>
      <c r="F106" s="77">
        <v>-44820</v>
      </c>
      <c r="G106" s="77">
        <v>0</v>
      </c>
      <c r="H106" s="77">
        <v>0</v>
      </c>
      <c r="I106" s="112">
        <f t="shared" si="2"/>
        <v>0</v>
      </c>
      <c r="J106" s="77">
        <f t="shared" si="3"/>
        <v>0</v>
      </c>
    </row>
    <row r="107" spans="1:10">
      <c r="A107" t="s">
        <v>3474</v>
      </c>
      <c r="B107" s="580">
        <v>8071770000000</v>
      </c>
      <c r="C107" t="s">
        <v>3475</v>
      </c>
      <c r="D107" s="77">
        <v>0</v>
      </c>
      <c r="E107" s="77">
        <v>5580</v>
      </c>
      <c r="F107" s="77">
        <v>-5580</v>
      </c>
      <c r="G107" s="77">
        <v>0</v>
      </c>
      <c r="H107" s="77">
        <v>0</v>
      </c>
      <c r="I107" s="112">
        <f t="shared" si="2"/>
        <v>0</v>
      </c>
      <c r="J107" s="77">
        <f t="shared" si="3"/>
        <v>0</v>
      </c>
    </row>
    <row r="108" spans="1:10">
      <c r="A108" t="s">
        <v>741</v>
      </c>
      <c r="B108" s="580">
        <v>3535900000000</v>
      </c>
      <c r="C108" t="s">
        <v>742</v>
      </c>
      <c r="D108" s="77">
        <v>0</v>
      </c>
      <c r="E108" s="77">
        <v>8525</v>
      </c>
      <c r="F108" s="77">
        <v>-8525</v>
      </c>
      <c r="G108" s="77">
        <v>0</v>
      </c>
      <c r="H108" s="77">
        <v>0</v>
      </c>
      <c r="I108" s="112">
        <f t="shared" si="2"/>
        <v>0</v>
      </c>
      <c r="J108" s="77">
        <f t="shared" si="3"/>
        <v>0</v>
      </c>
    </row>
    <row r="109" spans="1:10">
      <c r="A109" t="s">
        <v>3532</v>
      </c>
      <c r="B109" s="580">
        <v>26464900000000</v>
      </c>
      <c r="C109" t="s">
        <v>3533</v>
      </c>
      <c r="D109" s="77">
        <v>0</v>
      </c>
      <c r="E109" s="77">
        <v>617</v>
      </c>
      <c r="F109" s="77">
        <v>-617</v>
      </c>
      <c r="G109" s="77">
        <v>0</v>
      </c>
      <c r="H109" s="77">
        <v>0</v>
      </c>
      <c r="I109" s="112">
        <f t="shared" si="2"/>
        <v>0</v>
      </c>
      <c r="J109" s="77">
        <f t="shared" si="3"/>
        <v>0</v>
      </c>
    </row>
    <row r="110" spans="1:10">
      <c r="A110" t="s">
        <v>753</v>
      </c>
      <c r="B110" s="580">
        <v>23458500000000</v>
      </c>
      <c r="C110" t="s">
        <v>754</v>
      </c>
      <c r="D110" s="77">
        <v>0</v>
      </c>
      <c r="E110" s="77">
        <v>40231.660000000003</v>
      </c>
      <c r="F110" s="77">
        <v>-40231.660000000003</v>
      </c>
      <c r="G110" s="77">
        <v>0</v>
      </c>
      <c r="H110" s="77">
        <v>0</v>
      </c>
      <c r="I110" s="112">
        <f t="shared" si="2"/>
        <v>0</v>
      </c>
      <c r="J110" s="77">
        <f t="shared" si="3"/>
        <v>0</v>
      </c>
    </row>
    <row r="111" spans="1:10">
      <c r="A111" t="s">
        <v>3697</v>
      </c>
      <c r="B111" s="580">
        <v>89237900000000</v>
      </c>
      <c r="C111" t="s">
        <v>3698</v>
      </c>
      <c r="D111" s="77">
        <v>0</v>
      </c>
      <c r="E111" s="77">
        <v>314000</v>
      </c>
      <c r="F111" s="77">
        <v>-314000</v>
      </c>
      <c r="G111" s="77">
        <v>0</v>
      </c>
      <c r="H111" s="77">
        <v>0</v>
      </c>
      <c r="I111" s="112">
        <f t="shared" si="2"/>
        <v>0</v>
      </c>
      <c r="J111" s="77">
        <f t="shared" si="3"/>
        <v>0</v>
      </c>
    </row>
    <row r="112" spans="1:10">
      <c r="A112" t="s">
        <v>757</v>
      </c>
      <c r="B112" s="580">
        <v>2593170000000</v>
      </c>
      <c r="C112" t="s">
        <v>758</v>
      </c>
      <c r="D112" s="77">
        <v>0</v>
      </c>
      <c r="E112" s="77">
        <v>47900</v>
      </c>
      <c r="F112" s="77">
        <v>-47900</v>
      </c>
      <c r="G112" s="77">
        <v>0</v>
      </c>
      <c r="H112" s="77">
        <v>0</v>
      </c>
      <c r="I112" s="112">
        <f t="shared" si="2"/>
        <v>0</v>
      </c>
      <c r="J112" s="77">
        <f t="shared" si="3"/>
        <v>0</v>
      </c>
    </row>
    <row r="113" spans="1:10">
      <c r="A113" t="s">
        <v>761</v>
      </c>
      <c r="B113" s="580">
        <v>14031100000000</v>
      </c>
      <c r="C113" t="s">
        <v>762</v>
      </c>
      <c r="D113" s="77">
        <v>0</v>
      </c>
      <c r="E113" s="77">
        <v>462828.15</v>
      </c>
      <c r="F113" s="77">
        <v>-462828.15</v>
      </c>
      <c r="G113" s="77">
        <v>0</v>
      </c>
      <c r="H113" s="77">
        <v>0</v>
      </c>
      <c r="I113" s="112">
        <f t="shared" si="2"/>
        <v>0</v>
      </c>
      <c r="J113" s="77">
        <f t="shared" si="3"/>
        <v>0</v>
      </c>
    </row>
    <row r="114" spans="1:10">
      <c r="A114" t="s">
        <v>3835</v>
      </c>
      <c r="B114" s="580">
        <v>62070100000000</v>
      </c>
      <c r="C114" t="s">
        <v>3836</v>
      </c>
      <c r="D114" s="77">
        <v>0</v>
      </c>
      <c r="E114" s="77">
        <v>7890</v>
      </c>
      <c r="F114" s="77">
        <v>-7890</v>
      </c>
      <c r="G114" s="77">
        <v>0</v>
      </c>
      <c r="H114" s="77">
        <v>0</v>
      </c>
      <c r="I114" s="112">
        <f t="shared" si="2"/>
        <v>0</v>
      </c>
      <c r="J114" s="77">
        <f t="shared" si="3"/>
        <v>0</v>
      </c>
    </row>
    <row r="115" spans="1:10">
      <c r="A115" t="s">
        <v>763</v>
      </c>
      <c r="B115" s="580">
        <v>1082330000000</v>
      </c>
      <c r="C115" t="s">
        <v>764</v>
      </c>
      <c r="D115" s="77">
        <v>0</v>
      </c>
      <c r="E115" s="77">
        <v>14225</v>
      </c>
      <c r="F115" s="77">
        <v>-14225</v>
      </c>
      <c r="G115" s="77">
        <v>0</v>
      </c>
      <c r="H115" s="77">
        <v>0</v>
      </c>
      <c r="I115" s="112">
        <f t="shared" si="2"/>
        <v>0</v>
      </c>
      <c r="J115" s="77">
        <f t="shared" si="3"/>
        <v>0</v>
      </c>
    </row>
    <row r="116" spans="1:10">
      <c r="A116" t="s">
        <v>3889</v>
      </c>
      <c r="B116" s="580">
        <v>64909700000000</v>
      </c>
      <c r="C116" t="s">
        <v>3890</v>
      </c>
      <c r="D116" s="77">
        <v>0</v>
      </c>
      <c r="E116" s="77">
        <v>0</v>
      </c>
      <c r="F116" s="77">
        <v>-245952</v>
      </c>
      <c r="G116" s="77">
        <v>-245952</v>
      </c>
      <c r="H116" s="77">
        <v>-245952</v>
      </c>
      <c r="I116" s="112">
        <f t="shared" si="2"/>
        <v>-245.952</v>
      </c>
      <c r="J116" s="77">
        <f t="shared" si="3"/>
        <v>-246</v>
      </c>
    </row>
    <row r="117" spans="1:10">
      <c r="A117" t="s">
        <v>773</v>
      </c>
      <c r="B117" s="580">
        <v>15610500000000</v>
      </c>
      <c r="C117" t="s">
        <v>774</v>
      </c>
      <c r="D117" s="77">
        <v>0</v>
      </c>
      <c r="E117" s="77">
        <v>360</v>
      </c>
      <c r="F117" s="77">
        <v>-420</v>
      </c>
      <c r="G117" s="77">
        <v>-60</v>
      </c>
      <c r="H117" s="77">
        <v>-60</v>
      </c>
      <c r="I117" s="112">
        <f t="shared" si="2"/>
        <v>-0.06</v>
      </c>
      <c r="J117" s="77">
        <f t="shared" si="3"/>
        <v>0</v>
      </c>
    </row>
    <row r="118" spans="1:10">
      <c r="A118" t="s">
        <v>3901</v>
      </c>
      <c r="B118" s="580">
        <v>2081860000000</v>
      </c>
      <c r="C118" t="s">
        <v>3902</v>
      </c>
      <c r="D118" s="77">
        <v>0</v>
      </c>
      <c r="E118" s="77">
        <v>6336.54</v>
      </c>
      <c r="F118" s="77">
        <v>-6336.54</v>
      </c>
      <c r="G118" s="77">
        <v>0</v>
      </c>
      <c r="H118" s="77">
        <v>0</v>
      </c>
      <c r="I118" s="112">
        <f t="shared" si="2"/>
        <v>0</v>
      </c>
      <c r="J118" s="77">
        <f t="shared" si="3"/>
        <v>0</v>
      </c>
    </row>
    <row r="119" spans="1:10">
      <c r="A119" t="s">
        <v>775</v>
      </c>
      <c r="B119" s="580">
        <v>3364280000000</v>
      </c>
      <c r="C119" t="s">
        <v>776</v>
      </c>
      <c r="D119" s="77">
        <v>0</v>
      </c>
      <c r="E119" s="77">
        <v>4600</v>
      </c>
      <c r="F119" s="77">
        <v>-4600</v>
      </c>
      <c r="G119" s="77">
        <v>0</v>
      </c>
      <c r="H119" s="77">
        <v>0</v>
      </c>
      <c r="I119" s="112">
        <f t="shared" si="2"/>
        <v>0</v>
      </c>
      <c r="J119" s="77">
        <f t="shared" si="3"/>
        <v>0</v>
      </c>
    </row>
    <row r="120" spans="1:10">
      <c r="A120" t="s">
        <v>3911</v>
      </c>
      <c r="B120" s="580">
        <v>82429600000000</v>
      </c>
      <c r="C120" t="s">
        <v>3912</v>
      </c>
      <c r="D120" s="77">
        <v>0</v>
      </c>
      <c r="E120" s="77">
        <v>5079.08</v>
      </c>
      <c r="F120" s="77">
        <v>-5079.08</v>
      </c>
      <c r="G120" s="77">
        <v>0</v>
      </c>
      <c r="H120" s="77">
        <v>0</v>
      </c>
      <c r="I120" s="112">
        <f t="shared" si="2"/>
        <v>0</v>
      </c>
      <c r="J120" s="77">
        <f t="shared" si="3"/>
        <v>0</v>
      </c>
    </row>
    <row r="121" spans="1:10">
      <c r="A121" t="s">
        <v>777</v>
      </c>
      <c r="B121" s="580">
        <v>7718940000000</v>
      </c>
      <c r="C121" t="s">
        <v>778</v>
      </c>
      <c r="D121" s="77">
        <v>-140</v>
      </c>
      <c r="E121" s="77">
        <v>700</v>
      </c>
      <c r="F121" s="77">
        <v>-560</v>
      </c>
      <c r="G121" s="77">
        <v>140</v>
      </c>
      <c r="H121" s="77">
        <v>0</v>
      </c>
      <c r="I121" s="112">
        <f t="shared" si="2"/>
        <v>0.14000000000000001</v>
      </c>
      <c r="J121" s="77">
        <f t="shared" si="3"/>
        <v>0</v>
      </c>
    </row>
    <row r="122" spans="1:10">
      <c r="A122" t="s">
        <v>779</v>
      </c>
      <c r="B122" s="580">
        <v>9079570000000</v>
      </c>
      <c r="C122" t="s">
        <v>780</v>
      </c>
      <c r="D122" s="77">
        <v>-3625.21</v>
      </c>
      <c r="E122" s="77">
        <v>3625.21</v>
      </c>
      <c r="F122" s="77">
        <v>0</v>
      </c>
      <c r="G122" s="77">
        <v>3625.21</v>
      </c>
      <c r="H122" s="77">
        <v>0</v>
      </c>
      <c r="I122" s="112">
        <f t="shared" si="2"/>
        <v>3.62521</v>
      </c>
      <c r="J122" s="77">
        <f t="shared" si="3"/>
        <v>4</v>
      </c>
    </row>
    <row r="123" spans="1:10">
      <c r="A123" t="s">
        <v>783</v>
      </c>
      <c r="B123" s="580">
        <v>19088600000000</v>
      </c>
      <c r="C123" t="s">
        <v>784</v>
      </c>
      <c r="D123" s="77">
        <v>-90000</v>
      </c>
      <c r="E123" s="77">
        <v>634360.97</v>
      </c>
      <c r="F123" s="77">
        <v>-634360.97</v>
      </c>
      <c r="G123" s="77">
        <v>0</v>
      </c>
      <c r="H123" s="77">
        <v>-90000</v>
      </c>
      <c r="I123" s="112">
        <f t="shared" si="2"/>
        <v>0</v>
      </c>
      <c r="J123" s="77">
        <f t="shared" si="3"/>
        <v>0</v>
      </c>
    </row>
    <row r="124" spans="1:10">
      <c r="A124" t="s">
        <v>3943</v>
      </c>
      <c r="B124" s="580">
        <v>398099000000</v>
      </c>
      <c r="C124" t="s">
        <v>3944</v>
      </c>
      <c r="D124" s="77">
        <v>0</v>
      </c>
      <c r="E124" s="77">
        <v>2500</v>
      </c>
      <c r="F124" s="77">
        <v>-2500</v>
      </c>
      <c r="G124" s="77">
        <v>0</v>
      </c>
      <c r="H124" s="77">
        <v>0</v>
      </c>
      <c r="I124" s="112">
        <f t="shared" si="2"/>
        <v>0</v>
      </c>
      <c r="J124" s="77">
        <f t="shared" si="3"/>
        <v>0</v>
      </c>
    </row>
    <row r="125" spans="1:10">
      <c r="A125" t="s">
        <v>785</v>
      </c>
      <c r="B125" s="580">
        <v>34036200000000</v>
      </c>
      <c r="C125" t="s">
        <v>786</v>
      </c>
      <c r="D125" s="77">
        <v>-120000</v>
      </c>
      <c r="E125" s="77">
        <v>973282.91</v>
      </c>
      <c r="F125" s="77">
        <v>-973282.91</v>
      </c>
      <c r="G125" s="77">
        <v>0</v>
      </c>
      <c r="H125" s="77">
        <v>-120000</v>
      </c>
      <c r="I125" s="112">
        <f t="shared" si="2"/>
        <v>0</v>
      </c>
      <c r="J125" s="77">
        <f t="shared" si="3"/>
        <v>0</v>
      </c>
    </row>
    <row r="126" spans="1:10">
      <c r="A126" t="s">
        <v>787</v>
      </c>
      <c r="B126" s="580">
        <v>36813600000000</v>
      </c>
      <c r="C126" t="s">
        <v>5448</v>
      </c>
      <c r="D126" s="77">
        <v>-20333.8</v>
      </c>
      <c r="E126" s="77">
        <v>101669</v>
      </c>
      <c r="F126" s="77">
        <v>-81335.199999999997</v>
      </c>
      <c r="G126" s="77">
        <v>20333.8</v>
      </c>
      <c r="H126" s="77">
        <v>0</v>
      </c>
      <c r="I126" s="112">
        <f t="shared" si="2"/>
        <v>20.3338</v>
      </c>
      <c r="J126" s="77">
        <f t="shared" si="3"/>
        <v>20</v>
      </c>
    </row>
    <row r="127" spans="1:10">
      <c r="A127" t="s">
        <v>3951</v>
      </c>
      <c r="B127" s="580">
        <v>34746200000000</v>
      </c>
      <c r="C127" t="s">
        <v>3952</v>
      </c>
      <c r="D127" s="77">
        <v>0</v>
      </c>
      <c r="E127" s="77">
        <v>23714.6</v>
      </c>
      <c r="F127" s="77">
        <v>-23714.6</v>
      </c>
      <c r="G127" s="77">
        <v>0</v>
      </c>
      <c r="H127" s="77">
        <v>0</v>
      </c>
      <c r="I127" s="112">
        <f t="shared" si="2"/>
        <v>0</v>
      </c>
      <c r="J127" s="77">
        <f t="shared" si="3"/>
        <v>0</v>
      </c>
    </row>
    <row r="128" spans="1:10">
      <c r="A128" t="s">
        <v>791</v>
      </c>
      <c r="B128" s="580">
        <v>34977900000000</v>
      </c>
      <c r="C128" t="s">
        <v>792</v>
      </c>
      <c r="D128" s="77">
        <v>0</v>
      </c>
      <c r="E128" s="77">
        <v>4979.43</v>
      </c>
      <c r="F128" s="77">
        <v>-4979.43</v>
      </c>
      <c r="G128" s="77">
        <v>0</v>
      </c>
      <c r="H128" s="77">
        <v>0</v>
      </c>
      <c r="I128" s="112">
        <f t="shared" si="2"/>
        <v>0</v>
      </c>
      <c r="J128" s="77">
        <f t="shared" si="3"/>
        <v>0</v>
      </c>
    </row>
    <row r="129" spans="1:10">
      <c r="A129" t="s">
        <v>3980</v>
      </c>
      <c r="B129" s="580">
        <v>40949200000000</v>
      </c>
      <c r="C129" t="s">
        <v>3981</v>
      </c>
      <c r="D129" s="77">
        <v>0</v>
      </c>
      <c r="E129" s="77">
        <v>24000</v>
      </c>
      <c r="F129" s="77">
        <v>-24000</v>
      </c>
      <c r="G129" s="77">
        <v>0</v>
      </c>
      <c r="H129" s="77">
        <v>0</v>
      </c>
      <c r="I129" s="112">
        <f t="shared" si="2"/>
        <v>0</v>
      </c>
      <c r="J129" s="77">
        <f t="shared" si="3"/>
        <v>0</v>
      </c>
    </row>
    <row r="130" spans="1:10">
      <c r="A130" t="s">
        <v>795</v>
      </c>
      <c r="B130" s="580">
        <v>33198300000000</v>
      </c>
      <c r="C130" t="s">
        <v>796</v>
      </c>
      <c r="D130" s="77">
        <v>-499.6</v>
      </c>
      <c r="E130" s="77">
        <v>1998.4</v>
      </c>
      <c r="F130" s="77">
        <v>-1998.4</v>
      </c>
      <c r="G130" s="77">
        <v>0</v>
      </c>
      <c r="H130" s="77">
        <v>-499.6</v>
      </c>
      <c r="I130" s="112">
        <f t="shared" si="2"/>
        <v>0</v>
      </c>
      <c r="J130" s="77">
        <f t="shared" si="3"/>
        <v>0</v>
      </c>
    </row>
    <row r="131" spans="1:10">
      <c r="A131" t="s">
        <v>797</v>
      </c>
      <c r="B131" s="580">
        <v>28712100000000</v>
      </c>
      <c r="C131" t="s">
        <v>798</v>
      </c>
      <c r="D131" s="77">
        <v>0</v>
      </c>
      <c r="E131" s="77">
        <v>13500</v>
      </c>
      <c r="F131" s="77">
        <v>-13500</v>
      </c>
      <c r="G131" s="77">
        <v>0</v>
      </c>
      <c r="H131" s="77">
        <v>0</v>
      </c>
      <c r="I131" s="112">
        <f t="shared" si="2"/>
        <v>0</v>
      </c>
      <c r="J131" s="77">
        <f t="shared" si="3"/>
        <v>0</v>
      </c>
    </row>
    <row r="132" spans="1:10">
      <c r="A132" t="s">
        <v>801</v>
      </c>
      <c r="B132" s="580">
        <v>12499500000000</v>
      </c>
      <c r="C132" t="s">
        <v>802</v>
      </c>
      <c r="D132" s="77">
        <v>0</v>
      </c>
      <c r="E132" s="77">
        <v>1029.1199999999999</v>
      </c>
      <c r="F132" s="77">
        <v>-1029.1199999999999</v>
      </c>
      <c r="G132" s="77">
        <v>0</v>
      </c>
      <c r="H132" s="77">
        <v>0</v>
      </c>
      <c r="I132" s="112">
        <f t="shared" si="2"/>
        <v>0</v>
      </c>
      <c r="J132" s="77">
        <f t="shared" si="3"/>
        <v>0</v>
      </c>
    </row>
    <row r="133" spans="1:10">
      <c r="A133" t="s">
        <v>803</v>
      </c>
      <c r="B133" s="580">
        <v>7843950000000</v>
      </c>
      <c r="C133" t="s">
        <v>804</v>
      </c>
      <c r="D133" s="77">
        <v>0</v>
      </c>
      <c r="E133" s="77">
        <v>15367.26</v>
      </c>
      <c r="F133" s="77">
        <v>-15367.26</v>
      </c>
      <c r="G133" s="77">
        <v>0</v>
      </c>
      <c r="H133" s="77">
        <v>0</v>
      </c>
      <c r="I133" s="112">
        <f t="shared" si="2"/>
        <v>0</v>
      </c>
      <c r="J133" s="77">
        <f t="shared" si="3"/>
        <v>0</v>
      </c>
    </row>
    <row r="134" spans="1:10">
      <c r="A134" t="s">
        <v>4014</v>
      </c>
      <c r="B134" s="580">
        <v>72061000000000</v>
      </c>
      <c r="C134" t="s">
        <v>4015</v>
      </c>
      <c r="D134" s="77">
        <v>0</v>
      </c>
      <c r="E134" s="77">
        <v>287903.7</v>
      </c>
      <c r="F134" s="77">
        <v>-287903.7</v>
      </c>
      <c r="G134" s="77">
        <v>0</v>
      </c>
      <c r="H134" s="77">
        <v>0</v>
      </c>
      <c r="I134" s="112">
        <f t="shared" si="2"/>
        <v>0</v>
      </c>
      <c r="J134" s="77">
        <f t="shared" si="3"/>
        <v>0</v>
      </c>
    </row>
    <row r="135" spans="1:10">
      <c r="A135" t="s">
        <v>4016</v>
      </c>
      <c r="B135" s="580">
        <v>24091600000000</v>
      </c>
      <c r="C135" t="s">
        <v>4017</v>
      </c>
      <c r="D135" s="77">
        <v>0</v>
      </c>
      <c r="E135" s="77">
        <v>9980</v>
      </c>
      <c r="F135" s="77">
        <v>-9980</v>
      </c>
      <c r="G135" s="77">
        <v>0</v>
      </c>
      <c r="H135" s="77">
        <v>0</v>
      </c>
      <c r="I135" s="112">
        <f t="shared" si="2"/>
        <v>0</v>
      </c>
      <c r="J135" s="77">
        <f t="shared" si="3"/>
        <v>0</v>
      </c>
    </row>
    <row r="136" spans="1:10">
      <c r="A136" t="s">
        <v>807</v>
      </c>
      <c r="B136" s="580">
        <v>38056400000000</v>
      </c>
      <c r="C136" t="s">
        <v>808</v>
      </c>
      <c r="D136" s="77">
        <v>0</v>
      </c>
      <c r="E136" s="77">
        <v>116513.92</v>
      </c>
      <c r="F136" s="77">
        <v>-116513.92</v>
      </c>
      <c r="G136" s="77">
        <v>0</v>
      </c>
      <c r="H136" s="77">
        <v>0</v>
      </c>
      <c r="I136" s="112">
        <f t="shared" ref="I136:I199" si="4">G136/1000</f>
        <v>0</v>
      </c>
      <c r="J136" s="77">
        <f t="shared" ref="J136:J199" si="5">ROUND(I136,0)</f>
        <v>0</v>
      </c>
    </row>
    <row r="137" spans="1:10">
      <c r="A137" t="s">
        <v>809</v>
      </c>
      <c r="B137" s="580" t="s">
        <v>810</v>
      </c>
      <c r="C137" t="s">
        <v>811</v>
      </c>
      <c r="D137" s="77">
        <v>0</v>
      </c>
      <c r="E137" s="77">
        <v>184947.09</v>
      </c>
      <c r="F137" s="77">
        <v>-184947.09</v>
      </c>
      <c r="G137" s="77">
        <v>0</v>
      </c>
      <c r="H137" s="77">
        <v>0</v>
      </c>
      <c r="I137" s="112">
        <f t="shared" si="4"/>
        <v>0</v>
      </c>
      <c r="J137" s="77">
        <f t="shared" si="5"/>
        <v>0</v>
      </c>
    </row>
    <row r="138" spans="1:10">
      <c r="A138" t="s">
        <v>816</v>
      </c>
      <c r="B138" s="580">
        <v>32681700000000</v>
      </c>
      <c r="C138" t="s">
        <v>817</v>
      </c>
      <c r="D138" s="77">
        <v>0</v>
      </c>
      <c r="E138" s="77">
        <v>611.01</v>
      </c>
      <c r="F138" s="77">
        <v>-611.01</v>
      </c>
      <c r="G138" s="77">
        <v>0</v>
      </c>
      <c r="H138" s="77">
        <v>0</v>
      </c>
      <c r="I138" s="112">
        <f t="shared" si="4"/>
        <v>0</v>
      </c>
      <c r="J138" s="77">
        <f t="shared" si="5"/>
        <v>0</v>
      </c>
    </row>
    <row r="139" spans="1:10">
      <c r="A139" t="s">
        <v>818</v>
      </c>
      <c r="B139" s="580">
        <v>27553300000000</v>
      </c>
      <c r="C139" t="s">
        <v>819</v>
      </c>
      <c r="D139" s="77">
        <v>0</v>
      </c>
      <c r="E139" s="77">
        <v>4800</v>
      </c>
      <c r="F139" s="77">
        <v>-6400</v>
      </c>
      <c r="G139" s="77">
        <v>-1600</v>
      </c>
      <c r="H139" s="77">
        <v>-1600</v>
      </c>
      <c r="I139" s="112">
        <f t="shared" si="4"/>
        <v>-1.6</v>
      </c>
      <c r="J139" s="77">
        <f t="shared" si="5"/>
        <v>-2</v>
      </c>
    </row>
    <row r="140" spans="1:10">
      <c r="A140" t="s">
        <v>4080</v>
      </c>
      <c r="B140" s="580">
        <v>16724700000000</v>
      </c>
      <c r="C140" t="s">
        <v>4081</v>
      </c>
      <c r="D140" s="77">
        <v>0</v>
      </c>
      <c r="E140" s="77">
        <v>872</v>
      </c>
      <c r="F140" s="77">
        <v>-872</v>
      </c>
      <c r="G140" s="77">
        <v>0</v>
      </c>
      <c r="H140" s="77">
        <v>0</v>
      </c>
      <c r="I140" s="112">
        <f t="shared" si="4"/>
        <v>0</v>
      </c>
      <c r="J140" s="77">
        <f t="shared" si="5"/>
        <v>0</v>
      </c>
    </row>
    <row r="141" spans="1:10">
      <c r="A141" t="s">
        <v>820</v>
      </c>
      <c r="B141" s="580">
        <v>5630090000000</v>
      </c>
      <c r="C141" t="s">
        <v>821</v>
      </c>
      <c r="D141" s="77">
        <v>0</v>
      </c>
      <c r="E141" s="77">
        <v>5434.65</v>
      </c>
      <c r="F141" s="77">
        <v>-9210.2999999999993</v>
      </c>
      <c r="G141" s="77">
        <v>-3775.65</v>
      </c>
      <c r="H141" s="77">
        <v>-3775.65</v>
      </c>
      <c r="I141" s="112">
        <f t="shared" si="4"/>
        <v>-3.7756500000000002</v>
      </c>
      <c r="J141" s="77">
        <f t="shared" si="5"/>
        <v>-4</v>
      </c>
    </row>
    <row r="142" spans="1:10">
      <c r="A142" t="s">
        <v>822</v>
      </c>
      <c r="B142" s="580">
        <v>2114998</v>
      </c>
      <c r="C142" t="s">
        <v>823</v>
      </c>
      <c r="D142" s="77">
        <v>0</v>
      </c>
      <c r="E142" s="77">
        <v>1122254.77</v>
      </c>
      <c r="F142" s="77">
        <v>-1122254.77</v>
      </c>
      <c r="G142" s="77">
        <v>0</v>
      </c>
      <c r="H142" s="77">
        <v>0</v>
      </c>
      <c r="I142" s="112">
        <f t="shared" si="4"/>
        <v>0</v>
      </c>
      <c r="J142" s="77">
        <f t="shared" si="5"/>
        <v>0</v>
      </c>
    </row>
    <row r="143" spans="1:10">
      <c r="A143" t="s">
        <v>4096</v>
      </c>
      <c r="B143" s="580">
        <v>38458400000000</v>
      </c>
      <c r="C143" t="s">
        <v>4097</v>
      </c>
      <c r="D143" s="77">
        <v>0</v>
      </c>
      <c r="E143" s="77">
        <v>0</v>
      </c>
      <c r="F143" s="77">
        <v>-2261.8200000000002</v>
      </c>
      <c r="G143" s="77">
        <v>-2261.8200000000002</v>
      </c>
      <c r="H143" s="77">
        <v>-2261.8200000000002</v>
      </c>
      <c r="I143" s="112">
        <f t="shared" si="4"/>
        <v>-2.2618200000000002</v>
      </c>
      <c r="J143" s="77">
        <f t="shared" si="5"/>
        <v>-2</v>
      </c>
    </row>
    <row r="144" spans="1:10">
      <c r="A144" t="s">
        <v>824</v>
      </c>
      <c r="B144" s="580">
        <v>8210270000000</v>
      </c>
      <c r="C144" t="s">
        <v>825</v>
      </c>
      <c r="D144" s="77">
        <v>0</v>
      </c>
      <c r="E144" s="77">
        <v>5707.5</v>
      </c>
      <c r="F144" s="77">
        <v>-5707.5</v>
      </c>
      <c r="G144" s="77">
        <v>0</v>
      </c>
      <c r="H144" s="77">
        <v>0</v>
      </c>
      <c r="I144" s="112">
        <f t="shared" si="4"/>
        <v>0</v>
      </c>
      <c r="J144" s="77">
        <f t="shared" si="5"/>
        <v>0</v>
      </c>
    </row>
    <row r="145" spans="1:10">
      <c r="A145" t="s">
        <v>4100</v>
      </c>
      <c r="B145" s="580">
        <v>2445480000000</v>
      </c>
      <c r="C145" t="s">
        <v>4101</v>
      </c>
      <c r="D145" s="77">
        <v>0</v>
      </c>
      <c r="E145" s="77">
        <v>269500</v>
      </c>
      <c r="F145" s="77">
        <v>-269500</v>
      </c>
      <c r="G145" s="77">
        <v>0</v>
      </c>
      <c r="H145" s="77">
        <v>0</v>
      </c>
      <c r="I145" s="112">
        <f t="shared" si="4"/>
        <v>0</v>
      </c>
      <c r="J145" s="77">
        <f t="shared" si="5"/>
        <v>0</v>
      </c>
    </row>
    <row r="146" spans="1:10">
      <c r="A146" t="s">
        <v>830</v>
      </c>
      <c r="B146" s="580">
        <v>37381900000000</v>
      </c>
      <c r="C146" t="s">
        <v>831</v>
      </c>
      <c r="D146" s="77">
        <v>-4070.62</v>
      </c>
      <c r="E146" s="77">
        <v>4092.44</v>
      </c>
      <c r="F146" s="77">
        <v>-12299.14</v>
      </c>
      <c r="G146" s="77">
        <v>-8206.7000000000007</v>
      </c>
      <c r="H146" s="77">
        <v>-12277.32</v>
      </c>
      <c r="I146" s="112">
        <f t="shared" si="4"/>
        <v>-8.2067000000000014</v>
      </c>
      <c r="J146" s="77">
        <f t="shared" si="5"/>
        <v>-8</v>
      </c>
    </row>
    <row r="147" spans="1:10">
      <c r="A147" t="s">
        <v>832</v>
      </c>
      <c r="B147" s="580">
        <v>12782100000000</v>
      </c>
      <c r="C147" t="s">
        <v>833</v>
      </c>
      <c r="D147" s="77">
        <v>0</v>
      </c>
      <c r="E147" s="77">
        <v>10378.39</v>
      </c>
      <c r="F147" s="77">
        <v>-10378.39</v>
      </c>
      <c r="G147" s="77">
        <v>0</v>
      </c>
      <c r="H147" s="77">
        <v>0</v>
      </c>
      <c r="I147" s="112">
        <f t="shared" si="4"/>
        <v>0</v>
      </c>
      <c r="J147" s="77">
        <f t="shared" si="5"/>
        <v>0</v>
      </c>
    </row>
    <row r="148" spans="1:10">
      <c r="A148" t="s">
        <v>836</v>
      </c>
      <c r="B148" s="580">
        <v>24185200000000</v>
      </c>
      <c r="C148" t="s">
        <v>837</v>
      </c>
      <c r="D148" s="77">
        <v>0</v>
      </c>
      <c r="E148" s="77">
        <v>7225</v>
      </c>
      <c r="F148" s="77">
        <v>-7225</v>
      </c>
      <c r="G148" s="77">
        <v>0</v>
      </c>
      <c r="H148" s="77">
        <v>0</v>
      </c>
      <c r="I148" s="112">
        <f t="shared" si="4"/>
        <v>0</v>
      </c>
      <c r="J148" s="77">
        <f t="shared" si="5"/>
        <v>0</v>
      </c>
    </row>
    <row r="149" spans="1:10">
      <c r="A149" t="s">
        <v>858</v>
      </c>
      <c r="B149" s="580">
        <v>69112500000000</v>
      </c>
      <c r="C149" t="s">
        <v>859</v>
      </c>
      <c r="D149" s="77">
        <v>-93.39</v>
      </c>
      <c r="E149" s="77">
        <v>2263.65</v>
      </c>
      <c r="F149" s="77">
        <v>-2170.2600000000002</v>
      </c>
      <c r="G149" s="77">
        <v>93.39</v>
      </c>
      <c r="H149" s="77">
        <v>0</v>
      </c>
      <c r="I149" s="112">
        <f t="shared" si="4"/>
        <v>9.3390000000000001E-2</v>
      </c>
      <c r="J149" s="77">
        <f t="shared" si="5"/>
        <v>0</v>
      </c>
    </row>
    <row r="150" spans="1:10">
      <c r="A150" t="s">
        <v>4169</v>
      </c>
      <c r="B150" s="580">
        <v>43456400000000</v>
      </c>
      <c r="C150" t="s">
        <v>4170</v>
      </c>
      <c r="D150" s="77">
        <v>0</v>
      </c>
      <c r="E150" s="77">
        <v>7980</v>
      </c>
      <c r="F150" s="77">
        <v>-7980</v>
      </c>
      <c r="G150" s="77">
        <v>0</v>
      </c>
      <c r="H150" s="77">
        <v>0</v>
      </c>
      <c r="I150" s="112">
        <f t="shared" si="4"/>
        <v>0</v>
      </c>
      <c r="J150" s="77">
        <f t="shared" si="5"/>
        <v>0</v>
      </c>
    </row>
    <row r="151" spans="1:10">
      <c r="A151" t="s">
        <v>4179</v>
      </c>
      <c r="B151" s="580">
        <v>16647700000000</v>
      </c>
      <c r="C151" t="s">
        <v>4180</v>
      </c>
      <c r="D151" s="77">
        <v>0</v>
      </c>
      <c r="E151" s="77">
        <v>2246.83</v>
      </c>
      <c r="F151" s="77">
        <v>-2246.83</v>
      </c>
      <c r="G151" s="77">
        <v>0</v>
      </c>
      <c r="H151" s="77">
        <v>0</v>
      </c>
      <c r="I151" s="112">
        <f t="shared" si="4"/>
        <v>0</v>
      </c>
      <c r="J151" s="77">
        <f t="shared" si="5"/>
        <v>0</v>
      </c>
    </row>
    <row r="152" spans="1:10">
      <c r="A152" t="s">
        <v>4203</v>
      </c>
      <c r="B152" s="580">
        <v>4842770000000</v>
      </c>
      <c r="C152" t="s">
        <v>4204</v>
      </c>
      <c r="D152" s="77">
        <v>0</v>
      </c>
      <c r="E152" s="77">
        <v>5235.66</v>
      </c>
      <c r="F152" s="77">
        <v>-5235.66</v>
      </c>
      <c r="G152" s="77">
        <v>0</v>
      </c>
      <c r="H152" s="77">
        <v>0</v>
      </c>
      <c r="I152" s="112">
        <f t="shared" si="4"/>
        <v>0</v>
      </c>
      <c r="J152" s="77">
        <f t="shared" si="5"/>
        <v>0</v>
      </c>
    </row>
    <row r="153" spans="1:10">
      <c r="A153" t="s">
        <v>4219</v>
      </c>
      <c r="B153" s="580">
        <v>32493600000000</v>
      </c>
      <c r="C153" t="s">
        <v>4220</v>
      </c>
      <c r="D153" s="77">
        <v>0</v>
      </c>
      <c r="E153" s="77">
        <v>0</v>
      </c>
      <c r="F153" s="77">
        <v>-51450</v>
      </c>
      <c r="G153" s="77">
        <v>-51450</v>
      </c>
      <c r="H153" s="77">
        <v>-51450</v>
      </c>
      <c r="I153" s="112">
        <f t="shared" si="4"/>
        <v>-51.45</v>
      </c>
      <c r="J153" s="77">
        <f t="shared" si="5"/>
        <v>-51</v>
      </c>
    </row>
    <row r="154" spans="1:10">
      <c r="A154" t="s">
        <v>4229</v>
      </c>
      <c r="B154" s="580">
        <v>26391300000000</v>
      </c>
      <c r="C154" t="s">
        <v>4230</v>
      </c>
      <c r="D154" s="77">
        <v>0</v>
      </c>
      <c r="E154" s="77">
        <v>5425.26</v>
      </c>
      <c r="F154" s="77">
        <v>-5425.26</v>
      </c>
      <c r="G154" s="77">
        <v>0</v>
      </c>
      <c r="H154" s="77">
        <v>0</v>
      </c>
      <c r="I154" s="112">
        <f t="shared" si="4"/>
        <v>0</v>
      </c>
      <c r="J154" s="77">
        <f t="shared" si="5"/>
        <v>0</v>
      </c>
    </row>
    <row r="155" spans="1:10">
      <c r="A155" t="s">
        <v>4237</v>
      </c>
      <c r="B155" s="580">
        <v>38042300000000</v>
      </c>
      <c r="C155" t="s">
        <v>4238</v>
      </c>
      <c r="D155" s="77">
        <v>0</v>
      </c>
      <c r="E155" s="77">
        <v>15537.88</v>
      </c>
      <c r="F155" s="77">
        <v>-15537.88</v>
      </c>
      <c r="G155" s="77">
        <v>0</v>
      </c>
      <c r="H155" s="77">
        <v>0</v>
      </c>
      <c r="I155" s="112">
        <f t="shared" si="4"/>
        <v>0</v>
      </c>
      <c r="J155" s="77">
        <f t="shared" si="5"/>
        <v>0</v>
      </c>
    </row>
    <row r="156" spans="1:10">
      <c r="A156" t="s">
        <v>4243</v>
      </c>
      <c r="B156" s="580">
        <v>28000129</v>
      </c>
      <c r="C156" t="s">
        <v>4244</v>
      </c>
      <c r="D156" s="77">
        <v>-1333.12</v>
      </c>
      <c r="E156" s="77">
        <v>3999.36</v>
      </c>
      <c r="F156" s="77">
        <v>-3999.36</v>
      </c>
      <c r="G156" s="77">
        <v>0</v>
      </c>
      <c r="H156" s="77">
        <v>-1333.12</v>
      </c>
      <c r="I156" s="112">
        <f t="shared" si="4"/>
        <v>0</v>
      </c>
      <c r="J156" s="77">
        <f t="shared" si="5"/>
        <v>0</v>
      </c>
    </row>
    <row r="157" spans="1:10">
      <c r="A157" t="s">
        <v>4261</v>
      </c>
      <c r="B157" s="580">
        <v>73227500000000</v>
      </c>
      <c r="C157" t="s">
        <v>4262</v>
      </c>
      <c r="D157" s="77">
        <v>0</v>
      </c>
      <c r="E157" s="77">
        <v>14527</v>
      </c>
      <c r="F157" s="77">
        <v>-14527</v>
      </c>
      <c r="G157" s="77">
        <v>0</v>
      </c>
      <c r="H157" s="77">
        <v>0</v>
      </c>
      <c r="I157" s="112">
        <f t="shared" si="4"/>
        <v>0</v>
      </c>
      <c r="J157" s="77">
        <f t="shared" si="5"/>
        <v>0</v>
      </c>
    </row>
    <row r="158" spans="1:10">
      <c r="A158" t="s">
        <v>4295</v>
      </c>
      <c r="B158" s="580">
        <v>61825700000000</v>
      </c>
      <c r="C158" t="s">
        <v>4296</v>
      </c>
      <c r="D158" s="77">
        <v>0</v>
      </c>
      <c r="E158" s="77">
        <v>1234.0999999999999</v>
      </c>
      <c r="F158" s="77">
        <v>-1234.0999999999999</v>
      </c>
      <c r="G158" s="77">
        <v>0</v>
      </c>
      <c r="H158" s="77">
        <v>0</v>
      </c>
      <c r="I158" s="112">
        <f t="shared" si="4"/>
        <v>0</v>
      </c>
      <c r="J158" s="77">
        <f t="shared" si="5"/>
        <v>0</v>
      </c>
    </row>
    <row r="159" spans="1:10">
      <c r="A159" t="s">
        <v>4339</v>
      </c>
      <c r="B159" s="580">
        <v>17178200000000</v>
      </c>
      <c r="C159" t="s">
        <v>4340</v>
      </c>
      <c r="D159" s="77">
        <v>0</v>
      </c>
      <c r="E159" s="77">
        <v>870</v>
      </c>
      <c r="F159" s="77">
        <v>-870</v>
      </c>
      <c r="G159" s="77">
        <v>0</v>
      </c>
      <c r="H159" s="77">
        <v>0</v>
      </c>
      <c r="I159" s="112">
        <f t="shared" si="4"/>
        <v>0</v>
      </c>
      <c r="J159" s="77">
        <f t="shared" si="5"/>
        <v>0</v>
      </c>
    </row>
    <row r="160" spans="1:10">
      <c r="A160" t="s">
        <v>4357</v>
      </c>
      <c r="B160" s="580">
        <v>49422000000000</v>
      </c>
      <c r="C160" t="s">
        <v>4358</v>
      </c>
      <c r="D160" s="77">
        <v>0</v>
      </c>
      <c r="E160" s="77">
        <v>136000</v>
      </c>
      <c r="F160" s="77">
        <v>-136000</v>
      </c>
      <c r="G160" s="77">
        <v>0</v>
      </c>
      <c r="H160" s="77">
        <v>0</v>
      </c>
      <c r="I160" s="112">
        <f t="shared" si="4"/>
        <v>0</v>
      </c>
      <c r="J160" s="77">
        <f t="shared" si="5"/>
        <v>0</v>
      </c>
    </row>
    <row r="161" spans="1:10">
      <c r="A161" t="s">
        <v>4359</v>
      </c>
      <c r="B161" s="580">
        <v>42422300000000</v>
      </c>
      <c r="C161" t="s">
        <v>4360</v>
      </c>
      <c r="D161" s="77">
        <v>-38469.870000000003</v>
      </c>
      <c r="E161" s="77">
        <v>192349.35</v>
      </c>
      <c r="F161" s="77">
        <v>-192349.35</v>
      </c>
      <c r="G161" s="77">
        <v>0</v>
      </c>
      <c r="H161" s="77">
        <v>-38469.870000000003</v>
      </c>
      <c r="I161" s="112">
        <f t="shared" si="4"/>
        <v>0</v>
      </c>
      <c r="J161" s="77">
        <f t="shared" si="5"/>
        <v>0</v>
      </c>
    </row>
    <row r="162" spans="1:10">
      <c r="A162" t="s">
        <v>4361</v>
      </c>
      <c r="B162" s="580">
        <v>5965850000000</v>
      </c>
      <c r="C162" t="s">
        <v>4362</v>
      </c>
      <c r="D162" s="77">
        <v>0</v>
      </c>
      <c r="E162" s="77">
        <v>12000</v>
      </c>
      <c r="F162" s="77">
        <v>-12000</v>
      </c>
      <c r="G162" s="77">
        <v>0</v>
      </c>
      <c r="H162" s="77">
        <v>0</v>
      </c>
      <c r="I162" s="112">
        <f t="shared" si="4"/>
        <v>0</v>
      </c>
      <c r="J162" s="77">
        <f t="shared" si="5"/>
        <v>0</v>
      </c>
    </row>
    <row r="163" spans="1:10">
      <c r="A163" t="s">
        <v>4370</v>
      </c>
      <c r="B163" s="580">
        <v>8914170000000</v>
      </c>
      <c r="C163" t="s">
        <v>4371</v>
      </c>
      <c r="D163" s="77">
        <v>0</v>
      </c>
      <c r="E163" s="77">
        <v>811.85</v>
      </c>
      <c r="F163" s="77">
        <v>-811.85</v>
      </c>
      <c r="G163" s="77">
        <v>0</v>
      </c>
      <c r="H163" s="77">
        <v>0</v>
      </c>
      <c r="I163" s="112">
        <f t="shared" si="4"/>
        <v>0</v>
      </c>
      <c r="J163" s="77">
        <f t="shared" si="5"/>
        <v>0</v>
      </c>
    </row>
    <row r="164" spans="1:10">
      <c r="A164" t="s">
        <v>4372</v>
      </c>
      <c r="B164" s="580">
        <v>48707800000000</v>
      </c>
      <c r="C164" t="s">
        <v>4374</v>
      </c>
      <c r="D164" s="77">
        <v>0</v>
      </c>
      <c r="E164" s="77">
        <v>180</v>
      </c>
      <c r="F164" s="77">
        <v>-180</v>
      </c>
      <c r="G164" s="77">
        <v>0</v>
      </c>
      <c r="H164" s="77">
        <v>0</v>
      </c>
      <c r="I164" s="112">
        <f t="shared" si="4"/>
        <v>0</v>
      </c>
      <c r="J164" s="77">
        <f t="shared" si="5"/>
        <v>0</v>
      </c>
    </row>
    <row r="165" spans="1:10">
      <c r="A165" t="s">
        <v>4387</v>
      </c>
      <c r="B165" s="580">
        <v>7708130000000</v>
      </c>
      <c r="C165" t="s">
        <v>5449</v>
      </c>
      <c r="D165" s="77">
        <v>-9600</v>
      </c>
      <c r="E165" s="77">
        <v>29652</v>
      </c>
      <c r="F165" s="77">
        <v>-20052</v>
      </c>
      <c r="G165" s="77">
        <v>9600</v>
      </c>
      <c r="H165" s="77">
        <v>0</v>
      </c>
      <c r="I165" s="112">
        <f t="shared" si="4"/>
        <v>9.6</v>
      </c>
      <c r="J165" s="77">
        <f t="shared" si="5"/>
        <v>10</v>
      </c>
    </row>
    <row r="166" spans="1:10">
      <c r="A166" t="s">
        <v>4391</v>
      </c>
      <c r="B166" s="580">
        <v>47766700000000</v>
      </c>
      <c r="C166" t="s">
        <v>4392</v>
      </c>
      <c r="D166" s="77">
        <v>0</v>
      </c>
      <c r="E166" s="77">
        <v>5228.3</v>
      </c>
      <c r="F166" s="77">
        <v>-5228.3</v>
      </c>
      <c r="G166" s="77">
        <v>0</v>
      </c>
      <c r="H166" s="77">
        <v>0</v>
      </c>
      <c r="I166" s="112">
        <f t="shared" si="4"/>
        <v>0</v>
      </c>
      <c r="J166" s="77">
        <f t="shared" si="5"/>
        <v>0</v>
      </c>
    </row>
    <row r="167" spans="1:10">
      <c r="A167" t="s">
        <v>4393</v>
      </c>
      <c r="B167" s="580">
        <v>5681340000000</v>
      </c>
      <c r="C167" t="s">
        <v>5450</v>
      </c>
      <c r="D167" s="77">
        <v>-7250</v>
      </c>
      <c r="E167" s="77">
        <v>7250</v>
      </c>
      <c r="F167" s="77">
        <v>0</v>
      </c>
      <c r="G167" s="77">
        <v>7250</v>
      </c>
      <c r="H167" s="77">
        <v>0</v>
      </c>
      <c r="I167" s="112">
        <f t="shared" si="4"/>
        <v>7.25</v>
      </c>
      <c r="J167" s="77">
        <f t="shared" si="5"/>
        <v>7</v>
      </c>
    </row>
    <row r="168" spans="1:10">
      <c r="A168" t="s">
        <v>4395</v>
      </c>
      <c r="B168" s="580" t="s">
        <v>4396</v>
      </c>
      <c r="C168" t="s">
        <v>4397</v>
      </c>
      <c r="D168" s="77">
        <v>-3593.55</v>
      </c>
      <c r="E168" s="77">
        <v>76983.33</v>
      </c>
      <c r="F168" s="77">
        <v>-73389.78</v>
      </c>
      <c r="G168" s="77">
        <v>3593.55</v>
      </c>
      <c r="H168" s="77">
        <v>0</v>
      </c>
      <c r="I168" s="112">
        <f t="shared" si="4"/>
        <v>3.59355</v>
      </c>
      <c r="J168" s="77">
        <f t="shared" si="5"/>
        <v>4</v>
      </c>
    </row>
    <row r="169" spans="1:10">
      <c r="A169" t="s">
        <v>4403</v>
      </c>
      <c r="B169" s="580">
        <v>57929000000000</v>
      </c>
      <c r="C169" t="s">
        <v>4404</v>
      </c>
      <c r="D169" s="77">
        <v>0</v>
      </c>
      <c r="E169" s="77">
        <v>11428.18</v>
      </c>
      <c r="F169" s="77">
        <v>-11428.18</v>
      </c>
      <c r="G169" s="77">
        <v>0</v>
      </c>
      <c r="H169" s="77">
        <v>0</v>
      </c>
      <c r="I169" s="112">
        <f t="shared" si="4"/>
        <v>0</v>
      </c>
      <c r="J169" s="77">
        <f t="shared" si="5"/>
        <v>0</v>
      </c>
    </row>
    <row r="170" spans="1:10">
      <c r="A170" t="s">
        <v>4433</v>
      </c>
      <c r="B170" s="580">
        <v>9305980000000</v>
      </c>
      <c r="C170" t="s">
        <v>5451</v>
      </c>
      <c r="D170" s="77">
        <v>0</v>
      </c>
      <c r="E170" s="77">
        <v>179000</v>
      </c>
      <c r="F170" s="77">
        <v>-179000</v>
      </c>
      <c r="G170" s="77">
        <v>0</v>
      </c>
      <c r="H170" s="77">
        <v>0</v>
      </c>
      <c r="I170" s="112">
        <f t="shared" si="4"/>
        <v>0</v>
      </c>
      <c r="J170" s="77">
        <f t="shared" si="5"/>
        <v>0</v>
      </c>
    </row>
    <row r="171" spans="1:10">
      <c r="A171" t="s">
        <v>4437</v>
      </c>
      <c r="B171" s="580">
        <v>7112530000000</v>
      </c>
      <c r="C171" t="s">
        <v>5452</v>
      </c>
      <c r="D171" s="77">
        <v>-1500.1</v>
      </c>
      <c r="E171" s="77">
        <v>1500.1</v>
      </c>
      <c r="F171" s="77">
        <v>0</v>
      </c>
      <c r="G171" s="77">
        <v>1500.1</v>
      </c>
      <c r="H171" s="77">
        <v>0</v>
      </c>
      <c r="I171" s="112">
        <f t="shared" si="4"/>
        <v>1.5001</v>
      </c>
      <c r="J171" s="77">
        <f t="shared" si="5"/>
        <v>2</v>
      </c>
    </row>
    <row r="172" spans="1:10">
      <c r="A172" t="s">
        <v>4439</v>
      </c>
      <c r="B172" s="580">
        <v>33372300000000</v>
      </c>
      <c r="C172" t="s">
        <v>5453</v>
      </c>
      <c r="D172" s="77">
        <v>0</v>
      </c>
      <c r="E172" s="77">
        <v>7464.98</v>
      </c>
      <c r="F172" s="77">
        <v>-7464.98</v>
      </c>
      <c r="G172" s="77">
        <v>0</v>
      </c>
      <c r="H172" s="77">
        <v>0</v>
      </c>
      <c r="I172" s="112">
        <f t="shared" si="4"/>
        <v>0</v>
      </c>
      <c r="J172" s="77">
        <f t="shared" si="5"/>
        <v>0</v>
      </c>
    </row>
    <row r="173" spans="1:10">
      <c r="A173" t="s">
        <v>4451</v>
      </c>
      <c r="B173" s="580">
        <v>33372300000000</v>
      </c>
      <c r="C173" t="s">
        <v>5454</v>
      </c>
      <c r="D173" s="77">
        <v>0</v>
      </c>
      <c r="E173" s="77">
        <v>3732.49</v>
      </c>
      <c r="F173" s="77">
        <v>-3732.49</v>
      </c>
      <c r="G173" s="77">
        <v>0</v>
      </c>
      <c r="H173" s="77">
        <v>0</v>
      </c>
      <c r="I173" s="112">
        <f t="shared" si="4"/>
        <v>0</v>
      </c>
      <c r="J173" s="77">
        <f t="shared" si="5"/>
        <v>0</v>
      </c>
    </row>
    <row r="174" spans="1:10">
      <c r="A174" t="s">
        <v>4465</v>
      </c>
      <c r="B174" s="580">
        <v>2298310000000</v>
      </c>
      <c r="C174" t="s">
        <v>4466</v>
      </c>
      <c r="D174" s="77">
        <v>-1320</v>
      </c>
      <c r="E174" s="77">
        <v>3960</v>
      </c>
      <c r="F174" s="77">
        <v>-3960</v>
      </c>
      <c r="G174" s="77">
        <v>0</v>
      </c>
      <c r="H174" s="77">
        <v>-1320</v>
      </c>
      <c r="I174" s="112">
        <f t="shared" si="4"/>
        <v>0</v>
      </c>
      <c r="J174" s="77">
        <f t="shared" si="5"/>
        <v>0</v>
      </c>
    </row>
    <row r="175" spans="1:10">
      <c r="A175" t="s">
        <v>4479</v>
      </c>
      <c r="B175" s="580">
        <v>53813100000000</v>
      </c>
      <c r="C175" t="s">
        <v>5455</v>
      </c>
      <c r="D175" s="77">
        <v>0</v>
      </c>
      <c r="E175" s="77">
        <v>12400</v>
      </c>
      <c r="F175" s="77">
        <v>-12400</v>
      </c>
      <c r="G175" s="77">
        <v>0</v>
      </c>
      <c r="H175" s="77">
        <v>0</v>
      </c>
      <c r="I175" s="112">
        <f t="shared" si="4"/>
        <v>0</v>
      </c>
      <c r="J175" s="77">
        <f t="shared" si="5"/>
        <v>0</v>
      </c>
    </row>
    <row r="176" spans="1:10">
      <c r="A176" t="s">
        <v>4481</v>
      </c>
      <c r="B176" s="580">
        <v>26722200000000</v>
      </c>
      <c r="C176" t="s">
        <v>5456</v>
      </c>
      <c r="D176" s="77">
        <v>0</v>
      </c>
      <c r="E176" s="77">
        <v>503188.38</v>
      </c>
      <c r="F176" s="77">
        <v>-503188.38</v>
      </c>
      <c r="G176" s="77">
        <v>0</v>
      </c>
      <c r="H176" s="77">
        <v>0</v>
      </c>
      <c r="I176" s="112">
        <f t="shared" si="4"/>
        <v>0</v>
      </c>
      <c r="J176" s="77">
        <f t="shared" si="5"/>
        <v>0</v>
      </c>
    </row>
    <row r="177" spans="1:10">
      <c r="A177" t="s">
        <v>4483</v>
      </c>
      <c r="B177" s="580">
        <v>42270100000000</v>
      </c>
      <c r="C177" t="s">
        <v>5457</v>
      </c>
      <c r="D177" s="77">
        <v>0</v>
      </c>
      <c r="E177" s="77">
        <v>1455</v>
      </c>
      <c r="F177" s="77">
        <v>-1455</v>
      </c>
      <c r="G177" s="77">
        <v>0</v>
      </c>
      <c r="H177" s="77">
        <v>0</v>
      </c>
      <c r="I177" s="112">
        <f t="shared" si="4"/>
        <v>0</v>
      </c>
      <c r="J177" s="77">
        <f t="shared" si="5"/>
        <v>0</v>
      </c>
    </row>
    <row r="178" spans="1:10">
      <c r="A178" t="s">
        <v>4485</v>
      </c>
      <c r="B178" s="580">
        <v>15664800000000</v>
      </c>
      <c r="C178" t="s">
        <v>5458</v>
      </c>
      <c r="D178" s="77">
        <v>-3200</v>
      </c>
      <c r="E178" s="77">
        <v>9600</v>
      </c>
      <c r="F178" s="77">
        <v>-6400</v>
      </c>
      <c r="G178" s="77">
        <v>3200</v>
      </c>
      <c r="H178" s="77">
        <v>0</v>
      </c>
      <c r="I178" s="112">
        <f t="shared" si="4"/>
        <v>3.2</v>
      </c>
      <c r="J178" s="77">
        <f t="shared" si="5"/>
        <v>3</v>
      </c>
    </row>
    <row r="179" spans="1:10">
      <c r="A179" t="s">
        <v>4489</v>
      </c>
      <c r="B179" s="580">
        <v>67393200000000</v>
      </c>
      <c r="C179" t="s">
        <v>5459</v>
      </c>
      <c r="D179" s="77">
        <v>0</v>
      </c>
      <c r="E179" s="77">
        <v>525758.85</v>
      </c>
      <c r="F179" s="77">
        <v>-525758.85</v>
      </c>
      <c r="G179" s="77">
        <v>0</v>
      </c>
      <c r="H179" s="77">
        <v>0</v>
      </c>
      <c r="I179" s="112">
        <f t="shared" si="4"/>
        <v>0</v>
      </c>
      <c r="J179" s="77">
        <f t="shared" si="5"/>
        <v>0</v>
      </c>
    </row>
    <row r="180" spans="1:10">
      <c r="A180" t="s">
        <v>4497</v>
      </c>
      <c r="B180" s="580">
        <v>2092330000000</v>
      </c>
      <c r="C180" t="s">
        <v>5460</v>
      </c>
      <c r="D180" s="77">
        <v>0</v>
      </c>
      <c r="E180" s="77">
        <v>105134</v>
      </c>
      <c r="F180" s="77">
        <v>-105134</v>
      </c>
      <c r="G180" s="77">
        <v>0</v>
      </c>
      <c r="H180" s="77">
        <v>0</v>
      </c>
      <c r="I180" s="112">
        <f t="shared" si="4"/>
        <v>0</v>
      </c>
      <c r="J180" s="77">
        <f t="shared" si="5"/>
        <v>0</v>
      </c>
    </row>
    <row r="181" spans="1:10">
      <c r="A181" t="s">
        <v>4521</v>
      </c>
      <c r="B181" s="580">
        <v>1183610000000</v>
      </c>
      <c r="C181" t="s">
        <v>5461</v>
      </c>
      <c r="D181" s="77">
        <v>-56490</v>
      </c>
      <c r="E181" s="77">
        <v>56490</v>
      </c>
      <c r="F181" s="77">
        <v>0</v>
      </c>
      <c r="G181" s="77">
        <v>56490</v>
      </c>
      <c r="H181" s="77">
        <v>0</v>
      </c>
      <c r="I181" s="112">
        <f t="shared" si="4"/>
        <v>56.49</v>
      </c>
      <c r="J181" s="77">
        <f t="shared" si="5"/>
        <v>56</v>
      </c>
    </row>
    <row r="182" spans="1:10">
      <c r="A182" t="s">
        <v>4523</v>
      </c>
      <c r="B182" s="580">
        <v>60011700000000</v>
      </c>
      <c r="C182" t="s">
        <v>5462</v>
      </c>
      <c r="D182" s="77">
        <v>-14000</v>
      </c>
      <c r="E182" s="77">
        <v>14000</v>
      </c>
      <c r="F182" s="77">
        <v>0</v>
      </c>
      <c r="G182" s="77">
        <v>14000</v>
      </c>
      <c r="H182" s="77">
        <v>0</v>
      </c>
      <c r="I182" s="112">
        <f t="shared" si="4"/>
        <v>14</v>
      </c>
      <c r="J182" s="77">
        <f t="shared" si="5"/>
        <v>14</v>
      </c>
    </row>
    <row r="183" spans="1:10">
      <c r="A183" t="s">
        <v>4525</v>
      </c>
      <c r="B183" s="580">
        <v>50237400000000</v>
      </c>
      <c r="C183" t="s">
        <v>5463</v>
      </c>
      <c r="D183" s="77">
        <v>0</v>
      </c>
      <c r="E183" s="77">
        <v>161488.65</v>
      </c>
      <c r="F183" s="77">
        <v>-249235.67</v>
      </c>
      <c r="G183" s="77">
        <v>-87747.02</v>
      </c>
      <c r="H183" s="77">
        <v>-87747.02</v>
      </c>
      <c r="I183" s="112">
        <f t="shared" si="4"/>
        <v>-87.747020000000006</v>
      </c>
      <c r="J183" s="77">
        <f t="shared" si="5"/>
        <v>-88</v>
      </c>
    </row>
    <row r="184" spans="1:10">
      <c r="A184" t="s">
        <v>4527</v>
      </c>
      <c r="B184" s="580">
        <v>57558200000000</v>
      </c>
      <c r="C184" t="s">
        <v>5464</v>
      </c>
      <c r="D184" s="77">
        <v>-2000</v>
      </c>
      <c r="E184" s="77">
        <v>4100</v>
      </c>
      <c r="F184" s="77">
        <v>-2100</v>
      </c>
      <c r="G184" s="77">
        <v>2000</v>
      </c>
      <c r="H184" s="77">
        <v>0</v>
      </c>
      <c r="I184" s="112">
        <f t="shared" si="4"/>
        <v>2</v>
      </c>
      <c r="J184" s="77">
        <f t="shared" si="5"/>
        <v>2</v>
      </c>
    </row>
    <row r="185" spans="1:10">
      <c r="A185" t="s">
        <v>4529</v>
      </c>
      <c r="B185" s="580">
        <v>5773230000000</v>
      </c>
      <c r="C185" t="s">
        <v>5465</v>
      </c>
      <c r="D185" s="77">
        <v>0</v>
      </c>
      <c r="E185" s="77">
        <v>640.63</v>
      </c>
      <c r="F185" s="77">
        <v>-640.63</v>
      </c>
      <c r="G185" s="77">
        <v>0</v>
      </c>
      <c r="H185" s="77">
        <v>0</v>
      </c>
      <c r="I185" s="112">
        <f t="shared" si="4"/>
        <v>0</v>
      </c>
      <c r="J185" s="77">
        <f t="shared" si="5"/>
        <v>0</v>
      </c>
    </row>
    <row r="186" spans="1:10">
      <c r="A186" t="s">
        <v>4531</v>
      </c>
      <c r="B186" s="580">
        <v>26699800000000</v>
      </c>
      <c r="C186" t="s">
        <v>4532</v>
      </c>
      <c r="D186" s="77">
        <v>0</v>
      </c>
      <c r="E186" s="77">
        <v>14504.35</v>
      </c>
      <c r="F186" s="77">
        <v>-14504.35</v>
      </c>
      <c r="G186" s="77">
        <v>0</v>
      </c>
      <c r="H186" s="77">
        <v>0</v>
      </c>
      <c r="I186" s="112">
        <f t="shared" si="4"/>
        <v>0</v>
      </c>
      <c r="J186" s="77">
        <f t="shared" si="5"/>
        <v>0</v>
      </c>
    </row>
    <row r="187" spans="1:10">
      <c r="A187" t="s">
        <v>4533</v>
      </c>
      <c r="B187" s="580">
        <v>14945600000000</v>
      </c>
      <c r="C187" t="s">
        <v>4534</v>
      </c>
      <c r="D187" s="77">
        <v>0</v>
      </c>
      <c r="E187" s="77">
        <v>6989.55</v>
      </c>
      <c r="F187" s="77">
        <v>-6989.55</v>
      </c>
      <c r="G187" s="77">
        <v>0</v>
      </c>
      <c r="H187" s="77">
        <v>0</v>
      </c>
      <c r="I187" s="112">
        <f t="shared" si="4"/>
        <v>0</v>
      </c>
      <c r="J187" s="77">
        <f t="shared" si="5"/>
        <v>0</v>
      </c>
    </row>
    <row r="188" spans="1:10">
      <c r="A188" t="s">
        <v>4535</v>
      </c>
      <c r="B188" s="580">
        <v>7774090000000</v>
      </c>
      <c r="C188" t="s">
        <v>5466</v>
      </c>
      <c r="D188" s="77">
        <v>0</v>
      </c>
      <c r="E188" s="77">
        <v>3380</v>
      </c>
      <c r="F188" s="77">
        <v>-3380</v>
      </c>
      <c r="G188" s="77">
        <v>0</v>
      </c>
      <c r="H188" s="77">
        <v>0</v>
      </c>
      <c r="I188" s="112">
        <f t="shared" si="4"/>
        <v>0</v>
      </c>
      <c r="J188" s="77">
        <f t="shared" si="5"/>
        <v>0</v>
      </c>
    </row>
    <row r="189" spans="1:10">
      <c r="A189" t="s">
        <v>4537</v>
      </c>
      <c r="B189" s="580">
        <v>23108200000000</v>
      </c>
      <c r="C189" t="s">
        <v>5467</v>
      </c>
      <c r="D189" s="77">
        <v>0</v>
      </c>
      <c r="E189" s="77">
        <v>3255</v>
      </c>
      <c r="F189" s="77">
        <v>-3255</v>
      </c>
      <c r="G189" s="77">
        <v>0</v>
      </c>
      <c r="H189" s="77">
        <v>0</v>
      </c>
      <c r="I189" s="112">
        <f t="shared" si="4"/>
        <v>0</v>
      </c>
      <c r="J189" s="77">
        <f t="shared" si="5"/>
        <v>0</v>
      </c>
    </row>
    <row r="190" spans="1:10">
      <c r="A190" t="s">
        <v>4543</v>
      </c>
      <c r="B190" s="580">
        <v>29959000000000</v>
      </c>
      <c r="C190" t="s">
        <v>4544</v>
      </c>
      <c r="D190" s="77">
        <v>0</v>
      </c>
      <c r="E190" s="77">
        <v>2000</v>
      </c>
      <c r="F190" s="77">
        <v>-2000</v>
      </c>
      <c r="G190" s="77">
        <v>0</v>
      </c>
      <c r="H190" s="77">
        <v>0</v>
      </c>
      <c r="I190" s="112">
        <f t="shared" si="4"/>
        <v>0</v>
      </c>
      <c r="J190" s="77">
        <f t="shared" si="5"/>
        <v>0</v>
      </c>
    </row>
    <row r="191" spans="1:10">
      <c r="A191" t="s">
        <v>4545</v>
      </c>
      <c r="B191" s="580">
        <v>6926220000000</v>
      </c>
      <c r="C191" t="s">
        <v>5468</v>
      </c>
      <c r="D191" s="77">
        <v>0</v>
      </c>
      <c r="E191" s="77">
        <v>9722.24</v>
      </c>
      <c r="F191" s="77">
        <v>-11027.8</v>
      </c>
      <c r="G191" s="77">
        <v>-1305.56</v>
      </c>
      <c r="H191" s="77">
        <v>-1305.56</v>
      </c>
      <c r="I191" s="112">
        <f t="shared" si="4"/>
        <v>-1.3055600000000001</v>
      </c>
      <c r="J191" s="77">
        <f t="shared" si="5"/>
        <v>-1</v>
      </c>
    </row>
    <row r="192" spans="1:10">
      <c r="A192" t="s">
        <v>4549</v>
      </c>
      <c r="B192" s="580">
        <v>3033820000000</v>
      </c>
      <c r="C192" t="s">
        <v>5469</v>
      </c>
      <c r="D192" s="77">
        <v>0</v>
      </c>
      <c r="E192" s="77">
        <v>42630</v>
      </c>
      <c r="F192" s="77">
        <v>-61090</v>
      </c>
      <c r="G192" s="77">
        <v>-18460</v>
      </c>
      <c r="H192" s="77">
        <v>-18460</v>
      </c>
      <c r="I192" s="112">
        <f t="shared" si="4"/>
        <v>-18.46</v>
      </c>
      <c r="J192" s="77">
        <f t="shared" si="5"/>
        <v>-18</v>
      </c>
    </row>
    <row r="193" spans="1:10">
      <c r="A193" t="s">
        <v>4552</v>
      </c>
      <c r="B193" s="580">
        <v>34167200000000</v>
      </c>
      <c r="C193" t="s">
        <v>4553</v>
      </c>
      <c r="D193" s="77">
        <v>0</v>
      </c>
      <c r="E193" s="77">
        <v>950</v>
      </c>
      <c r="F193" s="77">
        <v>-950</v>
      </c>
      <c r="G193" s="77">
        <v>0</v>
      </c>
      <c r="H193" s="77">
        <v>0</v>
      </c>
      <c r="I193" s="112">
        <f t="shared" si="4"/>
        <v>0</v>
      </c>
      <c r="J193" s="77">
        <f t="shared" si="5"/>
        <v>0</v>
      </c>
    </row>
    <row r="194" spans="1:10">
      <c r="A194" t="s">
        <v>4554</v>
      </c>
      <c r="B194" s="580">
        <v>53272200000000</v>
      </c>
      <c r="C194" t="s">
        <v>4555</v>
      </c>
      <c r="D194" s="77">
        <v>0</v>
      </c>
      <c r="E194" s="77">
        <v>25000</v>
      </c>
      <c r="F194" s="77">
        <v>-25000</v>
      </c>
      <c r="G194" s="77">
        <v>0</v>
      </c>
      <c r="H194" s="77">
        <v>0</v>
      </c>
      <c r="I194" s="112">
        <f t="shared" si="4"/>
        <v>0</v>
      </c>
      <c r="J194" s="77">
        <f t="shared" si="5"/>
        <v>0</v>
      </c>
    </row>
    <row r="195" spans="1:10">
      <c r="A195" t="s">
        <v>4556</v>
      </c>
      <c r="B195" s="580">
        <v>62801500000000</v>
      </c>
      <c r="C195" t="s">
        <v>5470</v>
      </c>
      <c r="D195" s="77">
        <v>0</v>
      </c>
      <c r="E195" s="77">
        <v>16000</v>
      </c>
      <c r="F195" s="77">
        <v>-16000</v>
      </c>
      <c r="G195" s="77">
        <v>0</v>
      </c>
      <c r="H195" s="77">
        <v>0</v>
      </c>
      <c r="I195" s="112">
        <f t="shared" si="4"/>
        <v>0</v>
      </c>
      <c r="J195" s="77">
        <f t="shared" si="5"/>
        <v>0</v>
      </c>
    </row>
    <row r="196" spans="1:10">
      <c r="A196" t="s">
        <v>4558</v>
      </c>
      <c r="B196" s="580">
        <v>43147700000000</v>
      </c>
      <c r="C196" t="s">
        <v>5471</v>
      </c>
      <c r="D196" s="77">
        <v>0</v>
      </c>
      <c r="E196" s="77">
        <v>2100</v>
      </c>
      <c r="F196" s="77">
        <v>-6530</v>
      </c>
      <c r="G196" s="77">
        <v>-4430</v>
      </c>
      <c r="H196" s="77">
        <v>-4430</v>
      </c>
      <c r="I196" s="112">
        <f t="shared" si="4"/>
        <v>-4.43</v>
      </c>
      <c r="J196" s="77">
        <f t="shared" si="5"/>
        <v>-4</v>
      </c>
    </row>
    <row r="197" spans="1:10">
      <c r="A197" t="s">
        <v>4560</v>
      </c>
      <c r="B197" s="580">
        <v>26079200000000</v>
      </c>
      <c r="C197" t="s">
        <v>5472</v>
      </c>
      <c r="D197" s="77">
        <v>0</v>
      </c>
      <c r="E197" s="77">
        <v>5600</v>
      </c>
      <c r="F197" s="77">
        <v>-5600</v>
      </c>
      <c r="G197" s="77">
        <v>0</v>
      </c>
      <c r="H197" s="77">
        <v>0</v>
      </c>
      <c r="I197" s="112">
        <f t="shared" si="4"/>
        <v>0</v>
      </c>
      <c r="J197" s="77">
        <f t="shared" si="5"/>
        <v>0</v>
      </c>
    </row>
    <row r="198" spans="1:10">
      <c r="A198" t="s">
        <v>4562</v>
      </c>
      <c r="B198" s="580">
        <v>34163700000000</v>
      </c>
      <c r="C198" t="s">
        <v>4563</v>
      </c>
      <c r="D198" s="77">
        <v>0</v>
      </c>
      <c r="E198" s="77">
        <v>40260.99</v>
      </c>
      <c r="F198" s="77">
        <v>-40260.99</v>
      </c>
      <c r="G198" s="77">
        <v>0</v>
      </c>
      <c r="H198" s="77">
        <v>0</v>
      </c>
      <c r="I198" s="112">
        <f t="shared" si="4"/>
        <v>0</v>
      </c>
      <c r="J198" s="77">
        <f t="shared" si="5"/>
        <v>0</v>
      </c>
    </row>
    <row r="199" spans="1:10">
      <c r="A199" t="s">
        <v>4564</v>
      </c>
      <c r="B199" s="580">
        <v>49001500000000</v>
      </c>
      <c r="C199" t="s">
        <v>4565</v>
      </c>
      <c r="D199" s="77">
        <v>0</v>
      </c>
      <c r="E199" s="77">
        <v>8288</v>
      </c>
      <c r="F199" s="77">
        <v>-8288</v>
      </c>
      <c r="G199" s="77">
        <v>0</v>
      </c>
      <c r="H199" s="77">
        <v>0</v>
      </c>
      <c r="I199" s="112">
        <f t="shared" si="4"/>
        <v>0</v>
      </c>
      <c r="J199" s="77">
        <f t="shared" si="5"/>
        <v>0</v>
      </c>
    </row>
    <row r="200" spans="1:10">
      <c r="A200" t="s">
        <v>4566</v>
      </c>
      <c r="B200" s="580">
        <v>22840000000000</v>
      </c>
      <c r="C200" t="s">
        <v>5473</v>
      </c>
      <c r="D200" s="77">
        <v>0</v>
      </c>
      <c r="E200" s="77">
        <v>0</v>
      </c>
      <c r="F200" s="77">
        <v>-2012.4</v>
      </c>
      <c r="G200" s="77">
        <v>-2012.4</v>
      </c>
      <c r="H200" s="77">
        <v>-2012.4</v>
      </c>
      <c r="I200" s="112">
        <f t="shared" ref="I200:I263" si="6">G200/1000</f>
        <v>-2.0124</v>
      </c>
      <c r="J200" s="77">
        <f t="shared" ref="J200:J263" si="7">ROUND(I200,0)</f>
        <v>-2</v>
      </c>
    </row>
    <row r="201" spans="1:10">
      <c r="A201" t="s">
        <v>4568</v>
      </c>
      <c r="B201" s="580">
        <v>33029600000000</v>
      </c>
      <c r="C201" t="s">
        <v>5474</v>
      </c>
      <c r="D201" s="77">
        <v>0</v>
      </c>
      <c r="E201" s="77">
        <v>111.66</v>
      </c>
      <c r="F201" s="77">
        <v>-111.66</v>
      </c>
      <c r="G201" s="77">
        <v>0</v>
      </c>
      <c r="H201" s="77">
        <v>0</v>
      </c>
      <c r="I201" s="112">
        <f t="shared" si="6"/>
        <v>0</v>
      </c>
      <c r="J201" s="77">
        <f t="shared" si="7"/>
        <v>0</v>
      </c>
    </row>
    <row r="202" spans="1:10">
      <c r="A202" t="s">
        <v>864</v>
      </c>
      <c r="B202" s="580">
        <v>2116</v>
      </c>
      <c r="C202" t="s">
        <v>180</v>
      </c>
      <c r="D202" s="77">
        <v>-10597.76</v>
      </c>
      <c r="E202" s="77">
        <v>80232.06</v>
      </c>
      <c r="F202" s="77">
        <v>-73883.710000000006</v>
      </c>
      <c r="G202" s="77">
        <v>6348.35</v>
      </c>
      <c r="H202" s="77">
        <v>-4249.41</v>
      </c>
      <c r="I202" s="112">
        <f t="shared" si="6"/>
        <v>6.3483499999999999</v>
      </c>
      <c r="J202" s="77">
        <f t="shared" si="7"/>
        <v>6</v>
      </c>
    </row>
    <row r="203" spans="1:10">
      <c r="A203" t="s">
        <v>865</v>
      </c>
      <c r="B203" s="580">
        <v>21162</v>
      </c>
      <c r="C203" t="s">
        <v>866</v>
      </c>
      <c r="D203" s="77">
        <v>-658.18</v>
      </c>
      <c r="E203" s="77">
        <v>12788.96</v>
      </c>
      <c r="F203" s="77">
        <v>-12724.78</v>
      </c>
      <c r="G203" s="77">
        <v>64.180000000000007</v>
      </c>
      <c r="H203" s="77">
        <v>-594</v>
      </c>
      <c r="I203" s="112">
        <f t="shared" si="6"/>
        <v>6.4180000000000001E-2</v>
      </c>
      <c r="J203" s="77">
        <f t="shared" si="7"/>
        <v>0</v>
      </c>
    </row>
    <row r="204" spans="1:10">
      <c r="A204" t="s">
        <v>867</v>
      </c>
      <c r="B204" s="580">
        <v>21163</v>
      </c>
      <c r="C204" t="s">
        <v>868</v>
      </c>
      <c r="D204" s="77">
        <v>-4050.31</v>
      </c>
      <c r="E204" s="77">
        <v>61553.83</v>
      </c>
      <c r="F204" s="77">
        <v>-61158.93</v>
      </c>
      <c r="G204" s="77">
        <v>394.9</v>
      </c>
      <c r="H204" s="77">
        <v>-3655.41</v>
      </c>
      <c r="I204" s="112">
        <f t="shared" si="6"/>
        <v>0.39489999999999997</v>
      </c>
      <c r="J204" s="77">
        <f t="shared" si="7"/>
        <v>0</v>
      </c>
    </row>
    <row r="205" spans="1:10">
      <c r="A205" t="s">
        <v>4583</v>
      </c>
      <c r="B205">
        <v>21167</v>
      </c>
      <c r="C205" t="s">
        <v>4584</v>
      </c>
      <c r="D205" s="77">
        <v>-5889.27</v>
      </c>
      <c r="E205" s="77">
        <v>5889.27</v>
      </c>
      <c r="F205" s="77">
        <v>0</v>
      </c>
      <c r="G205" s="77">
        <v>5889.27</v>
      </c>
      <c r="H205" s="77">
        <v>0</v>
      </c>
      <c r="I205" s="112">
        <f t="shared" si="6"/>
        <v>5.8892700000000007</v>
      </c>
      <c r="J205" s="77">
        <f t="shared" si="7"/>
        <v>6</v>
      </c>
    </row>
    <row r="206" spans="1:10">
      <c r="A206" t="s">
        <v>869</v>
      </c>
      <c r="B206" s="580">
        <v>2117</v>
      </c>
      <c r="C206" t="s">
        <v>870</v>
      </c>
      <c r="D206" s="77">
        <v>-3116623.03</v>
      </c>
      <c r="E206" s="77">
        <v>4954106.17</v>
      </c>
      <c r="F206" s="77">
        <v>-5007813.55</v>
      </c>
      <c r="G206" s="77">
        <v>-53707.38</v>
      </c>
      <c r="H206" s="77">
        <v>-3170330.41</v>
      </c>
      <c r="I206" s="112">
        <f t="shared" si="6"/>
        <v>-53.707380000000001</v>
      </c>
      <c r="J206" s="77">
        <f t="shared" si="7"/>
        <v>-54</v>
      </c>
    </row>
    <row r="207" spans="1:10">
      <c r="A207" t="s">
        <v>871</v>
      </c>
      <c r="B207" s="580">
        <v>561</v>
      </c>
      <c r="C207" t="s">
        <v>872</v>
      </c>
      <c r="D207" s="77">
        <v>-2788910.46</v>
      </c>
      <c r="E207" s="77">
        <v>4419162.6100000003</v>
      </c>
      <c r="F207" s="77">
        <v>-4615667.82</v>
      </c>
      <c r="G207" s="77">
        <v>-196505.21</v>
      </c>
      <c r="H207" s="77">
        <v>-2985415.67</v>
      </c>
      <c r="I207" s="112">
        <f t="shared" si="6"/>
        <v>-196.50521000000001</v>
      </c>
      <c r="J207" s="77">
        <f t="shared" si="7"/>
        <v>-197</v>
      </c>
    </row>
    <row r="208" spans="1:10">
      <c r="A208" t="s">
        <v>873</v>
      </c>
      <c r="B208" s="580" t="s">
        <v>874</v>
      </c>
      <c r="C208" t="s">
        <v>875</v>
      </c>
      <c r="D208" s="77">
        <v>-16146.66</v>
      </c>
      <c r="E208" s="77">
        <v>49179.26</v>
      </c>
      <c r="F208" s="77">
        <v>-49025.4</v>
      </c>
      <c r="G208" s="77">
        <v>153.86000000000001</v>
      </c>
      <c r="H208" s="77">
        <v>-15992.8</v>
      </c>
      <c r="I208" s="112">
        <f t="shared" si="6"/>
        <v>0.15386000000000002</v>
      </c>
      <c r="J208" s="77">
        <f t="shared" si="7"/>
        <v>0</v>
      </c>
    </row>
    <row r="209" spans="1:10">
      <c r="A209" t="s">
        <v>876</v>
      </c>
      <c r="B209" s="580">
        <v>6147</v>
      </c>
      <c r="C209" t="s">
        <v>877</v>
      </c>
      <c r="D209" s="77">
        <v>-2304.0100000000002</v>
      </c>
      <c r="E209" s="77">
        <v>7037.87</v>
      </c>
      <c r="F209" s="77">
        <v>-27230.76</v>
      </c>
      <c r="G209" s="77">
        <v>-20192.89</v>
      </c>
      <c r="H209" s="77">
        <v>-22496.9</v>
      </c>
      <c r="I209" s="112">
        <f t="shared" si="6"/>
        <v>-20.192889999999998</v>
      </c>
      <c r="J209" s="77">
        <f t="shared" si="7"/>
        <v>-20</v>
      </c>
    </row>
    <row r="210" spans="1:10">
      <c r="A210" t="s">
        <v>878</v>
      </c>
      <c r="B210" s="580">
        <v>6190</v>
      </c>
      <c r="C210" t="s">
        <v>879</v>
      </c>
      <c r="D210" s="77">
        <v>-307916.96000000002</v>
      </c>
      <c r="E210" s="77">
        <v>475227.41</v>
      </c>
      <c r="F210" s="77">
        <v>-313735.49</v>
      </c>
      <c r="G210" s="77">
        <v>161491.92000000001</v>
      </c>
      <c r="H210" s="77">
        <v>-146425.04</v>
      </c>
      <c r="I210" s="112">
        <f t="shared" si="6"/>
        <v>161.49192000000002</v>
      </c>
      <c r="J210" s="77">
        <f t="shared" si="7"/>
        <v>161</v>
      </c>
    </row>
    <row r="211" spans="1:10">
      <c r="A211" t="s">
        <v>880</v>
      </c>
      <c r="B211" s="580">
        <v>6175</v>
      </c>
      <c r="C211" t="s">
        <v>881</v>
      </c>
      <c r="D211" s="77">
        <v>-1344.94</v>
      </c>
      <c r="E211" s="77">
        <v>3499.02</v>
      </c>
      <c r="F211" s="77">
        <v>-2154.08</v>
      </c>
      <c r="G211" s="77">
        <v>1344.94</v>
      </c>
      <c r="H211" s="77">
        <v>0</v>
      </c>
      <c r="I211" s="112">
        <f t="shared" si="6"/>
        <v>1.34494</v>
      </c>
      <c r="J211" s="77">
        <f t="shared" si="7"/>
        <v>1</v>
      </c>
    </row>
    <row r="212" spans="1:10">
      <c r="A212" t="s">
        <v>889</v>
      </c>
      <c r="B212" s="580">
        <v>2118</v>
      </c>
      <c r="C212" t="s">
        <v>537</v>
      </c>
      <c r="D212" s="77">
        <v>-25330983.530000001</v>
      </c>
      <c r="E212" s="77">
        <v>40978737.350000001</v>
      </c>
      <c r="F212" s="77">
        <v>-47879780.420000002</v>
      </c>
      <c r="G212" s="77">
        <v>-6901043.0700000003</v>
      </c>
      <c r="H212" s="77">
        <v>-32232026.600000001</v>
      </c>
      <c r="I212" s="112">
        <f t="shared" si="6"/>
        <v>-6901.0430700000006</v>
      </c>
      <c r="J212" s="77">
        <f t="shared" si="7"/>
        <v>-6901</v>
      </c>
    </row>
    <row r="213" spans="1:10">
      <c r="A213" t="s">
        <v>890</v>
      </c>
      <c r="B213">
        <v>21181</v>
      </c>
      <c r="C213" t="s">
        <v>891</v>
      </c>
      <c r="D213" s="77">
        <v>-5077166.0800000001</v>
      </c>
      <c r="E213" s="77">
        <v>26625707</v>
      </c>
      <c r="F213" s="77">
        <v>-28859069.539999999</v>
      </c>
      <c r="G213" s="77">
        <v>-2233362.54</v>
      </c>
      <c r="H213" s="77">
        <v>-7310528.6200000001</v>
      </c>
      <c r="I213" s="112">
        <f t="shared" si="6"/>
        <v>-2233.3625400000001</v>
      </c>
      <c r="J213" s="77">
        <f t="shared" si="7"/>
        <v>-2233</v>
      </c>
    </row>
    <row r="214" spans="1:10">
      <c r="A214" t="s">
        <v>892</v>
      </c>
      <c r="B214">
        <v>21182</v>
      </c>
      <c r="C214" t="s">
        <v>893</v>
      </c>
      <c r="D214" s="77">
        <v>-1873958.1</v>
      </c>
      <c r="E214" s="77">
        <v>29363.62</v>
      </c>
      <c r="F214" s="77">
        <v>-2114904.5299999998</v>
      </c>
      <c r="G214" s="77">
        <v>-2085540.91</v>
      </c>
      <c r="H214" s="77">
        <v>-3959499.01</v>
      </c>
      <c r="I214" s="112">
        <f t="shared" si="6"/>
        <v>-2085.5409099999997</v>
      </c>
      <c r="J214" s="77">
        <f t="shared" si="7"/>
        <v>-2086</v>
      </c>
    </row>
    <row r="215" spans="1:10">
      <c r="A215" t="s">
        <v>894</v>
      </c>
      <c r="B215" s="580">
        <v>21183</v>
      </c>
      <c r="C215" t="s">
        <v>895</v>
      </c>
      <c r="D215" s="77">
        <v>-11236622.25</v>
      </c>
      <c r="E215" s="77">
        <v>2313088.98</v>
      </c>
      <c r="F215" s="77">
        <v>-3696341.66</v>
      </c>
      <c r="G215" s="77">
        <v>-1383252.68</v>
      </c>
      <c r="H215" s="77">
        <v>-12619874.93</v>
      </c>
      <c r="I215" s="112">
        <f t="shared" si="6"/>
        <v>-1383.2526799999998</v>
      </c>
      <c r="J215" s="77">
        <f t="shared" si="7"/>
        <v>-1383</v>
      </c>
    </row>
    <row r="216" spans="1:10">
      <c r="A216" t="s">
        <v>896</v>
      </c>
      <c r="B216" s="580">
        <v>21184</v>
      </c>
      <c r="C216" t="s">
        <v>897</v>
      </c>
      <c r="D216" s="77">
        <v>-2116755.84</v>
      </c>
      <c r="E216" s="77">
        <v>6469938.1699999999</v>
      </c>
      <c r="F216" s="77">
        <v>-6564676.5300000003</v>
      </c>
      <c r="G216" s="77">
        <v>-94738.36</v>
      </c>
      <c r="H216" s="77">
        <v>-2211494.2000000002</v>
      </c>
      <c r="I216" s="112">
        <f t="shared" si="6"/>
        <v>-94.73836</v>
      </c>
      <c r="J216" s="77">
        <f t="shared" si="7"/>
        <v>-95</v>
      </c>
    </row>
    <row r="217" spans="1:10">
      <c r="A217" t="s">
        <v>898</v>
      </c>
      <c r="B217" s="580">
        <v>21185</v>
      </c>
      <c r="C217" t="s">
        <v>899</v>
      </c>
      <c r="D217" s="77">
        <v>-638810.59</v>
      </c>
      <c r="E217" s="77">
        <v>1954422.72</v>
      </c>
      <c r="F217" s="77">
        <v>-2156522.5699999998</v>
      </c>
      <c r="G217" s="77">
        <v>-202099.85</v>
      </c>
      <c r="H217" s="77">
        <v>-840910.44</v>
      </c>
      <c r="I217" s="112">
        <f t="shared" si="6"/>
        <v>-202.09985</v>
      </c>
      <c r="J217" s="77">
        <f t="shared" si="7"/>
        <v>-202</v>
      </c>
    </row>
    <row r="218" spans="1:10">
      <c r="A218" t="s">
        <v>900</v>
      </c>
      <c r="B218" s="580">
        <v>21186</v>
      </c>
      <c r="C218" t="s">
        <v>901</v>
      </c>
      <c r="D218" s="77">
        <v>0</v>
      </c>
      <c r="E218" s="77">
        <v>1440</v>
      </c>
      <c r="F218" s="77">
        <v>-1440</v>
      </c>
      <c r="G218" s="77">
        <v>0</v>
      </c>
      <c r="H218" s="77">
        <v>0</v>
      </c>
      <c r="I218" s="112">
        <f t="shared" si="6"/>
        <v>0</v>
      </c>
      <c r="J218" s="77">
        <f t="shared" si="7"/>
        <v>0</v>
      </c>
    </row>
    <row r="219" spans="1:10">
      <c r="A219" t="s">
        <v>902</v>
      </c>
      <c r="B219" s="580">
        <v>21187</v>
      </c>
      <c r="C219" t="s">
        <v>903</v>
      </c>
      <c r="D219" s="77">
        <v>0</v>
      </c>
      <c r="E219" s="77">
        <v>109569.51</v>
      </c>
      <c r="F219" s="77">
        <v>-109569.51</v>
      </c>
      <c r="G219" s="77">
        <v>0</v>
      </c>
      <c r="H219" s="77">
        <v>0</v>
      </c>
      <c r="I219" s="112">
        <f t="shared" si="6"/>
        <v>0</v>
      </c>
      <c r="J219" s="77">
        <f t="shared" si="7"/>
        <v>0</v>
      </c>
    </row>
    <row r="220" spans="1:10">
      <c r="A220" t="s">
        <v>904</v>
      </c>
      <c r="B220" s="580">
        <v>21188</v>
      </c>
      <c r="C220" t="s">
        <v>905</v>
      </c>
      <c r="D220" s="77">
        <v>0</v>
      </c>
      <c r="E220" s="77">
        <v>161775.60999999999</v>
      </c>
      <c r="F220" s="77">
        <v>-161775.60999999999</v>
      </c>
      <c r="G220" s="77">
        <v>0</v>
      </c>
      <c r="H220" s="77">
        <v>0</v>
      </c>
      <c r="I220" s="112">
        <f t="shared" si="6"/>
        <v>0</v>
      </c>
      <c r="J220" s="77">
        <f t="shared" si="7"/>
        <v>0</v>
      </c>
    </row>
    <row r="221" spans="1:10">
      <c r="A221" t="s">
        <v>906</v>
      </c>
      <c r="B221" s="580">
        <v>21189</v>
      </c>
      <c r="C221" t="s">
        <v>907</v>
      </c>
      <c r="D221" s="77">
        <v>-493208.75</v>
      </c>
      <c r="E221" s="77">
        <v>1506740.74</v>
      </c>
      <c r="F221" s="77">
        <v>-1546218.24</v>
      </c>
      <c r="G221" s="77">
        <v>-39477.5</v>
      </c>
      <c r="H221" s="77">
        <v>-532686.25</v>
      </c>
      <c r="I221" s="112">
        <f t="shared" si="6"/>
        <v>-39.477499999999999</v>
      </c>
      <c r="J221" s="77">
        <f t="shared" si="7"/>
        <v>-39</v>
      </c>
    </row>
    <row r="222" spans="1:10">
      <c r="A222" t="s">
        <v>908</v>
      </c>
      <c r="B222" s="580">
        <v>211810</v>
      </c>
      <c r="C222" t="s">
        <v>909</v>
      </c>
      <c r="D222" s="77">
        <v>-419150.23</v>
      </c>
      <c r="E222" s="77">
        <v>5585</v>
      </c>
      <c r="F222" s="77">
        <v>-473702.17</v>
      </c>
      <c r="G222" s="77">
        <v>-468117.17</v>
      </c>
      <c r="H222" s="77">
        <v>-887267.4</v>
      </c>
      <c r="I222" s="112">
        <f t="shared" si="6"/>
        <v>-468.11716999999999</v>
      </c>
      <c r="J222" s="77">
        <f t="shared" si="7"/>
        <v>-468</v>
      </c>
    </row>
    <row r="223" spans="1:10">
      <c r="A223" t="s">
        <v>910</v>
      </c>
      <c r="B223" s="580">
        <v>211811</v>
      </c>
      <c r="C223" t="s">
        <v>911</v>
      </c>
      <c r="D223" s="77">
        <v>-50268.54</v>
      </c>
      <c r="E223" s="77">
        <v>211474.9</v>
      </c>
      <c r="F223" s="77">
        <v>-168807.96</v>
      </c>
      <c r="G223" s="77">
        <v>42666.94</v>
      </c>
      <c r="H223" s="77">
        <v>-7601.6</v>
      </c>
      <c r="I223" s="112">
        <f t="shared" si="6"/>
        <v>42.666940000000004</v>
      </c>
      <c r="J223" s="77">
        <f t="shared" si="7"/>
        <v>43</v>
      </c>
    </row>
    <row r="224" spans="1:10" s="84" customFormat="1">
      <c r="A224" t="s">
        <v>912</v>
      </c>
      <c r="B224" s="580">
        <v>211812</v>
      </c>
      <c r="C224" t="s">
        <v>913</v>
      </c>
      <c r="D224" s="77">
        <v>-2525967.64</v>
      </c>
      <c r="E224" s="77">
        <v>500407.72</v>
      </c>
      <c r="F224" s="77">
        <v>-809768.09</v>
      </c>
      <c r="G224" s="77">
        <v>-309360.37</v>
      </c>
      <c r="H224" s="77">
        <v>-2835328.01</v>
      </c>
      <c r="I224" s="112">
        <f t="shared" si="6"/>
        <v>-309.36036999999999</v>
      </c>
      <c r="J224" s="77">
        <f t="shared" si="7"/>
        <v>-309</v>
      </c>
    </row>
    <row r="225" spans="1:10" s="84" customFormat="1">
      <c r="A225" t="s">
        <v>914</v>
      </c>
      <c r="B225" s="580">
        <v>211813</v>
      </c>
      <c r="C225" t="s">
        <v>915</v>
      </c>
      <c r="D225" s="77">
        <v>-899075.51</v>
      </c>
      <c r="E225" s="77">
        <v>178188.4</v>
      </c>
      <c r="F225" s="77">
        <v>-288250.39</v>
      </c>
      <c r="G225" s="77">
        <v>-110061.99</v>
      </c>
      <c r="H225" s="77">
        <v>-1009137.5</v>
      </c>
      <c r="I225" s="112">
        <f t="shared" si="6"/>
        <v>-110.06199000000001</v>
      </c>
      <c r="J225" s="77">
        <f t="shared" si="7"/>
        <v>-110</v>
      </c>
    </row>
    <row r="226" spans="1:10" s="84" customFormat="1">
      <c r="A226" t="s">
        <v>4731</v>
      </c>
      <c r="B226" s="580">
        <v>211815</v>
      </c>
      <c r="C226" t="s">
        <v>458</v>
      </c>
      <c r="D226" s="77">
        <v>0</v>
      </c>
      <c r="E226" s="77">
        <v>0</v>
      </c>
      <c r="F226" s="77">
        <v>-17698.64</v>
      </c>
      <c r="G226" s="77">
        <v>-17698.64</v>
      </c>
      <c r="H226" s="77">
        <v>-17698.64</v>
      </c>
      <c r="I226" s="112">
        <f t="shared" si="6"/>
        <v>-17.698640000000001</v>
      </c>
      <c r="J226" s="77">
        <f t="shared" si="7"/>
        <v>-18</v>
      </c>
    </row>
    <row r="227" spans="1:10" s="84" customFormat="1">
      <c r="A227" t="s">
        <v>4732</v>
      </c>
      <c r="B227">
        <v>211816</v>
      </c>
      <c r="C227" t="s">
        <v>4733</v>
      </c>
      <c r="D227" s="77">
        <v>0</v>
      </c>
      <c r="E227" s="77">
        <v>911034.98</v>
      </c>
      <c r="F227" s="77">
        <v>-911034.98</v>
      </c>
      <c r="G227" s="77">
        <v>0</v>
      </c>
      <c r="H227" s="77">
        <v>0</v>
      </c>
      <c r="I227" s="112">
        <f t="shared" si="6"/>
        <v>0</v>
      </c>
      <c r="J227" s="77">
        <f t="shared" si="7"/>
        <v>0</v>
      </c>
    </row>
    <row r="228" spans="1:10">
      <c r="A228" t="s">
        <v>4736</v>
      </c>
      <c r="B228">
        <v>2119</v>
      </c>
      <c r="C228" t="s">
        <v>4737</v>
      </c>
      <c r="D228" s="77">
        <v>-300000</v>
      </c>
      <c r="E228" s="77">
        <v>95774.399999999994</v>
      </c>
      <c r="F228" s="77">
        <v>0</v>
      </c>
      <c r="G228" s="77">
        <v>95774.399999999994</v>
      </c>
      <c r="H228" s="77">
        <v>-204225.6</v>
      </c>
      <c r="I228" s="112">
        <f t="shared" si="6"/>
        <v>95.7744</v>
      </c>
      <c r="J228" s="77">
        <f t="shared" si="7"/>
        <v>96</v>
      </c>
    </row>
    <row r="229" spans="1:10" s="84" customFormat="1">
      <c r="A229" t="s">
        <v>4749</v>
      </c>
      <c r="B229">
        <v>211920</v>
      </c>
      <c r="C229" t="s">
        <v>456</v>
      </c>
      <c r="D229" s="77">
        <v>-300000</v>
      </c>
      <c r="E229" s="77">
        <v>95774.399999999994</v>
      </c>
      <c r="F229" s="77">
        <v>0</v>
      </c>
      <c r="G229" s="77">
        <v>95774.399999999994</v>
      </c>
      <c r="H229" s="77">
        <v>-204225.6</v>
      </c>
      <c r="I229" s="112">
        <f t="shared" si="6"/>
        <v>95.7744</v>
      </c>
      <c r="J229" s="77">
        <f t="shared" si="7"/>
        <v>96</v>
      </c>
    </row>
    <row r="230" spans="1:10" s="84" customFormat="1">
      <c r="A230" t="s">
        <v>80</v>
      </c>
      <c r="B230">
        <v>21114</v>
      </c>
      <c r="C230" t="s">
        <v>79</v>
      </c>
      <c r="D230" s="77">
        <v>-67658.100000000006</v>
      </c>
      <c r="E230" s="77">
        <v>202849.39</v>
      </c>
      <c r="F230" s="77">
        <v>-202786.93</v>
      </c>
      <c r="G230" s="77">
        <v>62.46</v>
      </c>
      <c r="H230" s="77">
        <v>-67595.64</v>
      </c>
      <c r="I230" s="112">
        <f t="shared" si="6"/>
        <v>6.2460000000000002E-2</v>
      </c>
      <c r="J230" s="77">
        <f t="shared" si="7"/>
        <v>0</v>
      </c>
    </row>
    <row r="231" spans="1:10" s="84" customFormat="1">
      <c r="A231" t="s">
        <v>916</v>
      </c>
      <c r="B231">
        <v>211145</v>
      </c>
      <c r="C231" t="s">
        <v>917</v>
      </c>
      <c r="D231" s="77">
        <v>-31015.45</v>
      </c>
      <c r="E231" s="77">
        <v>92921.43</v>
      </c>
      <c r="F231" s="77">
        <v>-92858.97</v>
      </c>
      <c r="G231" s="77">
        <v>62.46</v>
      </c>
      <c r="H231" s="77">
        <v>-30952.99</v>
      </c>
      <c r="I231" s="112">
        <f t="shared" si="6"/>
        <v>6.2460000000000002E-2</v>
      </c>
      <c r="J231" s="77">
        <f t="shared" si="7"/>
        <v>0</v>
      </c>
    </row>
    <row r="232" spans="1:10">
      <c r="A232" t="s">
        <v>4818</v>
      </c>
      <c r="B232">
        <v>211148</v>
      </c>
      <c r="C232" t="s">
        <v>4819</v>
      </c>
      <c r="D232" s="77">
        <v>-36642.65</v>
      </c>
      <c r="E232" s="77">
        <v>109927.96</v>
      </c>
      <c r="F232" s="77">
        <v>-109927.96</v>
      </c>
      <c r="G232" s="77">
        <v>0</v>
      </c>
      <c r="H232" s="77">
        <v>-36642.65</v>
      </c>
      <c r="I232" s="112">
        <f t="shared" si="6"/>
        <v>0</v>
      </c>
      <c r="J232" s="77">
        <f t="shared" si="7"/>
        <v>0</v>
      </c>
    </row>
    <row r="233" spans="1:10">
      <c r="A233" t="s">
        <v>918</v>
      </c>
      <c r="B233">
        <v>21115</v>
      </c>
      <c r="C233" t="s">
        <v>907</v>
      </c>
      <c r="D233" s="77">
        <v>-487864.27</v>
      </c>
      <c r="E233" s="77">
        <v>1495883.77</v>
      </c>
      <c r="F233" s="77">
        <v>-1535133.05</v>
      </c>
      <c r="G233" s="77">
        <v>-39249.279999999999</v>
      </c>
      <c r="H233" s="77">
        <v>-527113.55000000005</v>
      </c>
      <c r="I233" s="112">
        <f t="shared" si="6"/>
        <v>-39.249279999999999</v>
      </c>
      <c r="J233" s="77">
        <f t="shared" si="7"/>
        <v>-39</v>
      </c>
    </row>
    <row r="234" spans="1:10" s="84" customFormat="1">
      <c r="A234" t="s">
        <v>919</v>
      </c>
      <c r="B234">
        <v>211151</v>
      </c>
      <c r="C234" t="s">
        <v>920</v>
      </c>
      <c r="D234" s="77">
        <v>-487864.27</v>
      </c>
      <c r="E234" s="77">
        <v>1495883.77</v>
      </c>
      <c r="F234" s="77">
        <v>-1535133.05</v>
      </c>
      <c r="G234" s="77">
        <v>-39249.279999999999</v>
      </c>
      <c r="H234" s="77">
        <v>-527113.55000000005</v>
      </c>
      <c r="I234" s="112">
        <f t="shared" si="6"/>
        <v>-39.249279999999999</v>
      </c>
      <c r="J234" s="77">
        <f t="shared" si="7"/>
        <v>-39</v>
      </c>
    </row>
    <row r="235" spans="1:10" s="84" customFormat="1">
      <c r="A235" t="s">
        <v>84</v>
      </c>
      <c r="B235">
        <v>21116</v>
      </c>
      <c r="C235" t="s">
        <v>181</v>
      </c>
      <c r="D235" s="77">
        <v>-3096538.62</v>
      </c>
      <c r="E235" s="77">
        <v>1064683.05</v>
      </c>
      <c r="F235" s="77">
        <v>-1102684.27</v>
      </c>
      <c r="G235" s="77">
        <v>-38001.22</v>
      </c>
      <c r="H235" s="77">
        <v>-3134539.84</v>
      </c>
      <c r="I235" s="112">
        <f t="shared" si="6"/>
        <v>-38.001220000000004</v>
      </c>
      <c r="J235" s="77">
        <f t="shared" si="7"/>
        <v>-38</v>
      </c>
    </row>
    <row r="236" spans="1:10">
      <c r="A236" t="s">
        <v>4820</v>
      </c>
      <c r="B236">
        <v>211161</v>
      </c>
      <c r="C236" t="s">
        <v>1677</v>
      </c>
      <c r="D236" s="77">
        <v>-3725426.64</v>
      </c>
      <c r="E236" s="77">
        <v>931356.66</v>
      </c>
      <c r="F236" s="77">
        <v>-931356.66</v>
      </c>
      <c r="G236" s="77">
        <v>0</v>
      </c>
      <c r="H236" s="77">
        <v>-3725426.64</v>
      </c>
      <c r="I236" s="112">
        <f t="shared" si="6"/>
        <v>0</v>
      </c>
      <c r="J236" s="77">
        <f t="shared" si="7"/>
        <v>0</v>
      </c>
    </row>
    <row r="237" spans="1:10">
      <c r="A237" t="s">
        <v>4821</v>
      </c>
      <c r="B237">
        <v>211162</v>
      </c>
      <c r="C237" t="s">
        <v>4822</v>
      </c>
      <c r="D237" s="77">
        <v>628888.02</v>
      </c>
      <c r="E237" s="77">
        <v>133326.39000000001</v>
      </c>
      <c r="F237" s="77">
        <v>-171327.61</v>
      </c>
      <c r="G237" s="77">
        <v>-38001.22</v>
      </c>
      <c r="H237" s="77">
        <v>590886.80000000005</v>
      </c>
      <c r="I237" s="112">
        <f t="shared" si="6"/>
        <v>-38.001220000000004</v>
      </c>
      <c r="J237" s="77">
        <f t="shared" si="7"/>
        <v>-38</v>
      </c>
    </row>
    <row r="238" spans="1:10" s="84" customFormat="1">
      <c r="A238" t="s">
        <v>921</v>
      </c>
      <c r="B238">
        <v>22</v>
      </c>
      <c r="C238" t="s">
        <v>369</v>
      </c>
      <c r="D238" s="77">
        <v>-23767600.41</v>
      </c>
      <c r="E238" s="77">
        <v>4043265.83</v>
      </c>
      <c r="F238" s="77">
        <v>-401323.94</v>
      </c>
      <c r="G238" s="77">
        <v>3641941.89</v>
      </c>
      <c r="H238" s="77">
        <v>-20125658.52</v>
      </c>
      <c r="I238" s="112">
        <f t="shared" si="6"/>
        <v>3641.9418900000001</v>
      </c>
      <c r="J238" s="77">
        <f t="shared" si="7"/>
        <v>3642</v>
      </c>
    </row>
    <row r="239" spans="1:10" s="84" customFormat="1">
      <c r="A239" t="s">
        <v>922</v>
      </c>
      <c r="B239">
        <v>221</v>
      </c>
      <c r="C239" t="s">
        <v>923</v>
      </c>
      <c r="D239" s="77">
        <v>-23767600.41</v>
      </c>
      <c r="E239" s="77">
        <v>4043265.83</v>
      </c>
      <c r="F239" s="77">
        <v>-401323.94</v>
      </c>
      <c r="G239" s="77">
        <v>3641941.89</v>
      </c>
      <c r="H239" s="77">
        <v>-20125658.52</v>
      </c>
      <c r="I239" s="112">
        <f t="shared" si="6"/>
        <v>3641.9418900000001</v>
      </c>
      <c r="J239" s="77">
        <f t="shared" si="7"/>
        <v>3642</v>
      </c>
    </row>
    <row r="240" spans="1:10" s="84" customFormat="1">
      <c r="A240" t="s">
        <v>85</v>
      </c>
      <c r="B240">
        <v>2215</v>
      </c>
      <c r="C240" t="s">
        <v>924</v>
      </c>
      <c r="D240" s="77">
        <v>-12593857.41</v>
      </c>
      <c r="E240" s="77">
        <v>3111909.17</v>
      </c>
      <c r="F240" s="77">
        <v>-267997.55</v>
      </c>
      <c r="G240" s="77">
        <v>2843911.62</v>
      </c>
      <c r="H240" s="77">
        <v>-9749945.7899999991</v>
      </c>
      <c r="I240" s="112">
        <f t="shared" si="6"/>
        <v>2843.9116200000003</v>
      </c>
      <c r="J240" s="77">
        <f t="shared" si="7"/>
        <v>2844</v>
      </c>
    </row>
    <row r="241" spans="1:10" s="84" customFormat="1">
      <c r="A241" t="s">
        <v>925</v>
      </c>
      <c r="B241">
        <v>22151</v>
      </c>
      <c r="C241" t="s">
        <v>926</v>
      </c>
      <c r="D241" s="77">
        <v>-4537950.2699999996</v>
      </c>
      <c r="E241" s="77">
        <v>76943.62</v>
      </c>
      <c r="F241" s="77">
        <v>-163829</v>
      </c>
      <c r="G241" s="77">
        <v>-86885.38</v>
      </c>
      <c r="H241" s="77">
        <v>-4624835.6500000004</v>
      </c>
      <c r="I241" s="112">
        <f t="shared" si="6"/>
        <v>-86.885379999999998</v>
      </c>
      <c r="J241" s="77">
        <f t="shared" si="7"/>
        <v>-87</v>
      </c>
    </row>
    <row r="242" spans="1:10">
      <c r="A242" t="s">
        <v>927</v>
      </c>
      <c r="B242">
        <v>22152</v>
      </c>
      <c r="C242" t="s">
        <v>928</v>
      </c>
      <c r="D242" s="77">
        <v>0</v>
      </c>
      <c r="E242" s="77">
        <v>0</v>
      </c>
      <c r="F242" s="77">
        <v>-108.38</v>
      </c>
      <c r="G242" s="77">
        <v>-108.38</v>
      </c>
      <c r="H242" s="77">
        <v>-108.38</v>
      </c>
      <c r="I242" s="112">
        <f t="shared" si="6"/>
        <v>-0.10837999999999999</v>
      </c>
      <c r="J242" s="77">
        <f t="shared" si="7"/>
        <v>0</v>
      </c>
    </row>
    <row r="243" spans="1:10">
      <c r="A243" t="s">
        <v>929</v>
      </c>
      <c r="B243">
        <v>22153</v>
      </c>
      <c r="C243" t="s">
        <v>930</v>
      </c>
      <c r="D243" s="77">
        <v>-8055907.1399999997</v>
      </c>
      <c r="E243" s="77">
        <v>3034965.55</v>
      </c>
      <c r="F243" s="77">
        <v>-104060.17</v>
      </c>
      <c r="G243" s="77">
        <v>2930905.38</v>
      </c>
      <c r="H243" s="77">
        <v>-5125001.76</v>
      </c>
      <c r="I243" s="112">
        <f t="shared" si="6"/>
        <v>2930.9053799999997</v>
      </c>
      <c r="J243" s="77">
        <f t="shared" si="7"/>
        <v>2931</v>
      </c>
    </row>
    <row r="244" spans="1:10">
      <c r="A244" t="s">
        <v>86</v>
      </c>
      <c r="B244">
        <v>2218</v>
      </c>
      <c r="C244" t="s">
        <v>181</v>
      </c>
      <c r="D244" s="77">
        <v>-11173743</v>
      </c>
      <c r="E244" s="77">
        <v>931356.66</v>
      </c>
      <c r="F244" s="77">
        <v>-133326.39000000001</v>
      </c>
      <c r="G244" s="77">
        <v>798030.27</v>
      </c>
      <c r="H244" s="77">
        <v>-10375712.73</v>
      </c>
      <c r="I244" s="112">
        <f t="shared" si="6"/>
        <v>798.03026999999997</v>
      </c>
      <c r="J244" s="77">
        <f t="shared" si="7"/>
        <v>798</v>
      </c>
    </row>
    <row r="245" spans="1:10">
      <c r="A245" t="s">
        <v>4856</v>
      </c>
      <c r="B245">
        <v>22181</v>
      </c>
      <c r="C245" t="s">
        <v>1677</v>
      </c>
      <c r="D245" s="77">
        <v>-12107636.58</v>
      </c>
      <c r="E245" s="77">
        <v>931356.66</v>
      </c>
      <c r="F245" s="77">
        <v>0</v>
      </c>
      <c r="G245" s="77">
        <v>931356.66</v>
      </c>
      <c r="H245" s="77">
        <v>-11176279.92</v>
      </c>
      <c r="I245" s="112">
        <f t="shared" si="6"/>
        <v>931.35666000000003</v>
      </c>
      <c r="J245" s="77">
        <f t="shared" si="7"/>
        <v>931</v>
      </c>
    </row>
    <row r="246" spans="1:10">
      <c r="A246" t="s">
        <v>4857</v>
      </c>
      <c r="B246">
        <v>22182</v>
      </c>
      <c r="C246" t="s">
        <v>4858</v>
      </c>
      <c r="D246" s="77">
        <v>933893.58</v>
      </c>
      <c r="E246" s="77">
        <v>0</v>
      </c>
      <c r="F246" s="77">
        <v>-133326.39000000001</v>
      </c>
      <c r="G246" s="77">
        <v>-133326.39000000001</v>
      </c>
      <c r="H246" s="77">
        <v>800567.19</v>
      </c>
      <c r="I246" s="112">
        <f t="shared" si="6"/>
        <v>-133.32639</v>
      </c>
      <c r="J246" s="77">
        <f t="shared" si="7"/>
        <v>-133</v>
      </c>
    </row>
    <row r="247" spans="1:10">
      <c r="A247" t="s">
        <v>931</v>
      </c>
      <c r="B247" t="s">
        <v>932</v>
      </c>
      <c r="C247" t="s">
        <v>371</v>
      </c>
      <c r="D247" s="77">
        <v>-24891290.41</v>
      </c>
      <c r="E247" s="77">
        <v>18999648.960000001</v>
      </c>
      <c r="F247" s="77">
        <v>-5783280.3099999996</v>
      </c>
      <c r="G247" s="77">
        <v>13216368.65</v>
      </c>
      <c r="H247" s="77">
        <v>-11674921.76</v>
      </c>
      <c r="I247" s="112">
        <f t="shared" si="6"/>
        <v>13216.36865</v>
      </c>
      <c r="J247" s="77">
        <f t="shared" si="7"/>
        <v>13216</v>
      </c>
    </row>
    <row r="248" spans="1:10" s="84" customFormat="1">
      <c r="A248" t="s">
        <v>89</v>
      </c>
      <c r="B248">
        <v>241</v>
      </c>
      <c r="C248" t="s">
        <v>88</v>
      </c>
      <c r="D248" s="77">
        <v>-34443159.609999999</v>
      </c>
      <c r="E248" s="77">
        <v>0</v>
      </c>
      <c r="F248" s="77">
        <v>-1710574.4</v>
      </c>
      <c r="G248" s="77">
        <v>-1710574.4</v>
      </c>
      <c r="H248" s="77">
        <v>-36153734.009999998</v>
      </c>
      <c r="I248" s="112">
        <f t="shared" si="6"/>
        <v>-1710.5744</v>
      </c>
      <c r="J248" s="77">
        <f t="shared" si="7"/>
        <v>-1711</v>
      </c>
    </row>
    <row r="249" spans="1:10" s="84" customFormat="1">
      <c r="A249" s="84" t="s">
        <v>933</v>
      </c>
      <c r="B249" s="84">
        <v>2411</v>
      </c>
      <c r="C249" s="84" t="s">
        <v>934</v>
      </c>
      <c r="D249" s="884">
        <v>-34443159.609999999</v>
      </c>
      <c r="E249" s="884">
        <v>0</v>
      </c>
      <c r="F249" s="884">
        <v>-1710574.4</v>
      </c>
      <c r="G249" s="884">
        <v>-1710574.4</v>
      </c>
      <c r="H249" s="884">
        <v>-36153734.009999998</v>
      </c>
      <c r="I249" s="112">
        <f t="shared" si="6"/>
        <v>-1710.5744</v>
      </c>
      <c r="J249" s="77">
        <f t="shared" si="7"/>
        <v>-1711</v>
      </c>
    </row>
    <row r="250" spans="1:10" s="84" customFormat="1">
      <c r="A250" s="84" t="s">
        <v>935</v>
      </c>
      <c r="B250" s="84">
        <v>24111</v>
      </c>
      <c r="C250" s="84" t="s">
        <v>934</v>
      </c>
      <c r="D250" s="884">
        <v>-34443159.609999999</v>
      </c>
      <c r="E250" s="884">
        <v>0</v>
      </c>
      <c r="F250" s="884">
        <v>-1710574.4</v>
      </c>
      <c r="G250" s="884">
        <v>-1710574.4</v>
      </c>
      <c r="H250" s="884">
        <v>-36153734.009999998</v>
      </c>
      <c r="I250" s="112">
        <f t="shared" si="6"/>
        <v>-1710.5744</v>
      </c>
      <c r="J250" s="77">
        <f t="shared" si="7"/>
        <v>-1711</v>
      </c>
    </row>
    <row r="251" spans="1:10" s="84" customFormat="1">
      <c r="A251" s="84" t="s">
        <v>936</v>
      </c>
      <c r="B251" s="84">
        <v>243</v>
      </c>
      <c r="C251" s="84" t="s">
        <v>937</v>
      </c>
      <c r="D251" s="884">
        <v>28.96</v>
      </c>
      <c r="E251" s="884">
        <v>25.92</v>
      </c>
      <c r="F251" s="884">
        <v>0</v>
      </c>
      <c r="G251" s="884">
        <v>25.92</v>
      </c>
      <c r="H251" s="884">
        <v>54.88</v>
      </c>
      <c r="I251" s="112">
        <f t="shared" si="6"/>
        <v>2.5920000000000002E-2</v>
      </c>
      <c r="J251" s="77">
        <f t="shared" si="7"/>
        <v>0</v>
      </c>
    </row>
    <row r="252" spans="1:10">
      <c r="A252" t="s">
        <v>938</v>
      </c>
      <c r="B252">
        <v>2431</v>
      </c>
      <c r="C252" t="s">
        <v>939</v>
      </c>
      <c r="D252" s="77">
        <v>28.96</v>
      </c>
      <c r="E252" s="77">
        <v>25.92</v>
      </c>
      <c r="F252" s="77">
        <v>0</v>
      </c>
      <c r="G252" s="77">
        <v>25.92</v>
      </c>
      <c r="H252" s="77">
        <v>54.88</v>
      </c>
      <c r="I252" s="112">
        <f t="shared" si="6"/>
        <v>2.5920000000000002E-2</v>
      </c>
      <c r="J252" s="77">
        <f t="shared" si="7"/>
        <v>0</v>
      </c>
    </row>
    <row r="253" spans="1:10">
      <c r="A253" t="s">
        <v>940</v>
      </c>
      <c r="B253">
        <v>24311</v>
      </c>
      <c r="C253" t="s">
        <v>941</v>
      </c>
      <c r="D253" s="77">
        <v>28.96</v>
      </c>
      <c r="E253" s="77">
        <v>25.92</v>
      </c>
      <c r="F253" s="77">
        <v>0</v>
      </c>
      <c r="G253" s="77">
        <v>25.92</v>
      </c>
      <c r="H253" s="77">
        <v>54.88</v>
      </c>
      <c r="I253" s="112">
        <f t="shared" si="6"/>
        <v>2.5920000000000002E-2</v>
      </c>
      <c r="J253" s="77">
        <f t="shared" si="7"/>
        <v>0</v>
      </c>
    </row>
    <row r="254" spans="1:10">
      <c r="A254" t="s">
        <v>94</v>
      </c>
      <c r="B254">
        <v>246</v>
      </c>
      <c r="C254" t="s">
        <v>942</v>
      </c>
      <c r="D254" s="77">
        <v>11625113.91</v>
      </c>
      <c r="E254" s="77">
        <v>17289048.640000001</v>
      </c>
      <c r="F254" s="77">
        <v>-2748251.14</v>
      </c>
      <c r="G254" s="77">
        <v>14540797.5</v>
      </c>
      <c r="H254" s="77">
        <v>26165911.41</v>
      </c>
      <c r="I254" s="112">
        <f t="shared" si="6"/>
        <v>14540.797500000001</v>
      </c>
      <c r="J254" s="77">
        <f t="shared" si="7"/>
        <v>14541</v>
      </c>
    </row>
    <row r="255" spans="1:10" s="84" customFormat="1">
      <c r="A255" t="s">
        <v>943</v>
      </c>
      <c r="B255">
        <v>2462</v>
      </c>
      <c r="C255" t="s">
        <v>944</v>
      </c>
      <c r="D255" s="77">
        <v>2833698.9</v>
      </c>
      <c r="E255" s="77">
        <v>0</v>
      </c>
      <c r="F255" s="77">
        <v>0</v>
      </c>
      <c r="G255" s="77">
        <v>0</v>
      </c>
      <c r="H255" s="77">
        <v>2833698.9</v>
      </c>
      <c r="I255" s="112">
        <f t="shared" si="6"/>
        <v>0</v>
      </c>
      <c r="J255" s="77">
        <f t="shared" si="7"/>
        <v>0</v>
      </c>
    </row>
    <row r="256" spans="1:10">
      <c r="A256" t="s">
        <v>945</v>
      </c>
      <c r="B256">
        <v>24622</v>
      </c>
      <c r="C256" t="s">
        <v>946</v>
      </c>
      <c r="D256" s="77">
        <v>2833698.9</v>
      </c>
      <c r="E256" s="77">
        <v>0</v>
      </c>
      <c r="F256" s="77">
        <v>0</v>
      </c>
      <c r="G256" s="77">
        <v>0</v>
      </c>
      <c r="H256" s="77">
        <v>2833698.9</v>
      </c>
      <c r="I256" s="112">
        <f t="shared" si="6"/>
        <v>0</v>
      </c>
      <c r="J256" s="77">
        <f t="shared" si="7"/>
        <v>0</v>
      </c>
    </row>
    <row r="257" spans="1:10">
      <c r="A257" t="s">
        <v>947</v>
      </c>
      <c r="B257">
        <v>24699</v>
      </c>
      <c r="C257" t="s">
        <v>121</v>
      </c>
      <c r="D257" s="77">
        <v>8791415.0099999998</v>
      </c>
      <c r="E257" s="77">
        <v>17289048.640000001</v>
      </c>
      <c r="F257" s="77">
        <v>-2748251.14</v>
      </c>
      <c r="G257" s="77">
        <v>14540797.5</v>
      </c>
      <c r="H257" s="77">
        <v>23332212.510000002</v>
      </c>
      <c r="I257" s="112">
        <f t="shared" si="6"/>
        <v>14540.797500000001</v>
      </c>
      <c r="J257" s="77">
        <f t="shared" si="7"/>
        <v>14541</v>
      </c>
    </row>
    <row r="258" spans="1:10">
      <c r="A258" t="s">
        <v>948</v>
      </c>
      <c r="B258">
        <v>246991</v>
      </c>
      <c r="C258" t="s">
        <v>121</v>
      </c>
      <c r="D258" s="77">
        <v>8791415.0099999998</v>
      </c>
      <c r="E258" s="77">
        <v>17289048.640000001</v>
      </c>
      <c r="F258" s="77">
        <v>-2748251.14</v>
      </c>
      <c r="G258" s="77">
        <v>14540797.5</v>
      </c>
      <c r="H258" s="77">
        <v>23332212.510000002</v>
      </c>
      <c r="I258" s="112">
        <f t="shared" si="6"/>
        <v>14540.797500000001</v>
      </c>
      <c r="J258" s="77">
        <f t="shared" si="7"/>
        <v>14541</v>
      </c>
    </row>
    <row r="259" spans="1:10">
      <c r="A259" t="s">
        <v>92</v>
      </c>
      <c r="B259">
        <v>247</v>
      </c>
      <c r="C259" t="s">
        <v>949</v>
      </c>
      <c r="D259" s="77">
        <v>-2073273.67</v>
      </c>
      <c r="E259" s="77">
        <v>1710574.4</v>
      </c>
      <c r="F259" s="77">
        <v>-1324454.77</v>
      </c>
      <c r="G259" s="77">
        <v>386119.63</v>
      </c>
      <c r="H259" s="77">
        <v>-1687154.04</v>
      </c>
      <c r="I259" s="112">
        <f t="shared" si="6"/>
        <v>386.11963000000003</v>
      </c>
      <c r="J259" s="77">
        <f t="shared" si="7"/>
        <v>386</v>
      </c>
    </row>
    <row r="260" spans="1:10">
      <c r="A260" t="s">
        <v>950</v>
      </c>
      <c r="B260">
        <v>2471</v>
      </c>
      <c r="C260" t="s">
        <v>949</v>
      </c>
      <c r="D260" s="77">
        <v>-2073273.67</v>
      </c>
      <c r="E260" s="77">
        <v>1710574.4</v>
      </c>
      <c r="F260" s="77">
        <v>-1324454.77</v>
      </c>
      <c r="G260" s="77">
        <v>386119.63</v>
      </c>
      <c r="H260" s="77">
        <v>-1687154.04</v>
      </c>
      <c r="I260" s="112">
        <f t="shared" si="6"/>
        <v>386.11963000000003</v>
      </c>
      <c r="J260" s="77">
        <f t="shared" si="7"/>
        <v>386</v>
      </c>
    </row>
    <row r="261" spans="1:10">
      <c r="A261" t="s">
        <v>951</v>
      </c>
      <c r="B261">
        <v>24711</v>
      </c>
      <c r="C261" t="s">
        <v>949</v>
      </c>
      <c r="D261" s="77">
        <v>-2073273.67</v>
      </c>
      <c r="E261" s="77">
        <v>1710574.4</v>
      </c>
      <c r="F261" s="77">
        <v>-1324454.77</v>
      </c>
      <c r="G261" s="77">
        <v>386119.63</v>
      </c>
      <c r="H261" s="77">
        <v>-1687154.04</v>
      </c>
      <c r="I261" s="112">
        <f t="shared" si="6"/>
        <v>386.11963000000003</v>
      </c>
      <c r="J261" s="77">
        <f t="shared" si="7"/>
        <v>386</v>
      </c>
    </row>
    <row r="262" spans="1:10">
      <c r="A262">
        <v>3</v>
      </c>
      <c r="B262">
        <v>3</v>
      </c>
      <c r="C262" t="s">
        <v>184</v>
      </c>
      <c r="D262" s="77">
        <v>-46694099.420000002</v>
      </c>
      <c r="E262" s="77">
        <v>849555.2</v>
      </c>
      <c r="F262" s="77">
        <v>-37595756.82</v>
      </c>
      <c r="G262" s="77">
        <v>-36746201.619999997</v>
      </c>
      <c r="H262" s="77">
        <v>-83440301.040000007</v>
      </c>
      <c r="I262" s="112">
        <f t="shared" si="6"/>
        <v>-36746.20162</v>
      </c>
      <c r="J262" s="77">
        <f t="shared" si="7"/>
        <v>-36746</v>
      </c>
    </row>
    <row r="263" spans="1:10" s="84" customFormat="1">
      <c r="A263" t="s">
        <v>952</v>
      </c>
      <c r="B263">
        <v>31</v>
      </c>
      <c r="C263" t="s">
        <v>185</v>
      </c>
      <c r="D263" s="77">
        <v>-43261845.229999997</v>
      </c>
      <c r="E263" s="77">
        <v>849013.35</v>
      </c>
      <c r="F263" s="77">
        <v>-33553117.34</v>
      </c>
      <c r="G263" s="77">
        <v>-32704103.989999998</v>
      </c>
      <c r="H263" s="77">
        <v>-75965949.219999999</v>
      </c>
      <c r="I263" s="112">
        <f t="shared" si="6"/>
        <v>-32704.10399</v>
      </c>
      <c r="J263" s="77">
        <f t="shared" si="7"/>
        <v>-32704</v>
      </c>
    </row>
    <row r="264" spans="1:10">
      <c r="A264" t="s">
        <v>953</v>
      </c>
      <c r="B264">
        <v>311</v>
      </c>
      <c r="C264" t="s">
        <v>954</v>
      </c>
      <c r="D264" s="77">
        <v>-43261845.229999997</v>
      </c>
      <c r="E264" s="77">
        <v>849013.35</v>
      </c>
      <c r="F264" s="77">
        <v>-33553117.34</v>
      </c>
      <c r="G264" s="77">
        <v>-32704103.989999998</v>
      </c>
      <c r="H264" s="77">
        <v>-75965949.219999999</v>
      </c>
      <c r="I264" s="112">
        <f t="shared" ref="I264:I327" si="8">G264/1000</f>
        <v>-32704.10399</v>
      </c>
      <c r="J264" s="77">
        <f t="shared" ref="J264:J327" si="9">ROUND(I264,0)</f>
        <v>-32704</v>
      </c>
    </row>
    <row r="265" spans="1:10" s="84" customFormat="1">
      <c r="A265" t="s">
        <v>30</v>
      </c>
      <c r="B265">
        <v>3111</v>
      </c>
      <c r="C265" t="s">
        <v>954</v>
      </c>
      <c r="D265" s="77">
        <v>-43261845.229999997</v>
      </c>
      <c r="E265" s="77">
        <v>849013.35</v>
      </c>
      <c r="F265" s="77">
        <v>-33553117.34</v>
      </c>
      <c r="G265" s="77">
        <v>-32704103.989999998</v>
      </c>
      <c r="H265" s="77">
        <v>-75965949.219999999</v>
      </c>
      <c r="I265" s="112">
        <f t="shared" si="8"/>
        <v>-32704.10399</v>
      </c>
      <c r="J265" s="77">
        <f t="shared" si="9"/>
        <v>-32704</v>
      </c>
    </row>
    <row r="266" spans="1:10" s="84" customFormat="1">
      <c r="A266" t="s">
        <v>955</v>
      </c>
      <c r="B266">
        <v>31111</v>
      </c>
      <c r="C266" t="s">
        <v>29</v>
      </c>
      <c r="D266" s="77">
        <v>-43261845.229999997</v>
      </c>
      <c r="E266" s="77">
        <v>849013.35</v>
      </c>
      <c r="F266" s="77">
        <v>-33553117.34</v>
      </c>
      <c r="G266" s="77">
        <v>-32704103.989999998</v>
      </c>
      <c r="H266" s="77">
        <v>-75965949.219999999</v>
      </c>
      <c r="I266" s="112">
        <f t="shared" si="8"/>
        <v>-32704.10399</v>
      </c>
      <c r="J266" s="77">
        <f t="shared" si="9"/>
        <v>-32704</v>
      </c>
    </row>
    <row r="267" spans="1:10">
      <c r="A267" t="s">
        <v>956</v>
      </c>
      <c r="B267">
        <v>33</v>
      </c>
      <c r="C267" t="s">
        <v>957</v>
      </c>
      <c r="D267" s="77">
        <v>-3432254.19</v>
      </c>
      <c r="E267" s="77">
        <v>541.85</v>
      </c>
      <c r="F267" s="77">
        <v>-4042639.48</v>
      </c>
      <c r="G267" s="77">
        <v>-4042097.63</v>
      </c>
      <c r="H267" s="77">
        <v>-7474351.8200000003</v>
      </c>
      <c r="I267" s="112">
        <f t="shared" si="8"/>
        <v>-4042.0976299999998</v>
      </c>
      <c r="J267" s="77">
        <f t="shared" si="9"/>
        <v>-4042</v>
      </c>
    </row>
    <row r="268" spans="1:10">
      <c r="A268" t="s">
        <v>37</v>
      </c>
      <c r="B268">
        <v>331</v>
      </c>
      <c r="C268" t="s">
        <v>36</v>
      </c>
      <c r="D268" s="77">
        <v>-285814.05</v>
      </c>
      <c r="E268" s="77">
        <v>541.85</v>
      </c>
      <c r="F268" s="77">
        <v>-253790.87</v>
      </c>
      <c r="G268" s="77">
        <v>-253249.02</v>
      </c>
      <c r="H268" s="77">
        <v>-539063.06999999995</v>
      </c>
      <c r="I268" s="112">
        <f t="shared" si="8"/>
        <v>-253.24902</v>
      </c>
      <c r="J268" s="77">
        <f t="shared" si="9"/>
        <v>-253</v>
      </c>
    </row>
    <row r="269" spans="1:10">
      <c r="A269" t="s">
        <v>958</v>
      </c>
      <c r="B269">
        <v>3311</v>
      </c>
      <c r="C269" t="s">
        <v>959</v>
      </c>
      <c r="D269" s="77">
        <v>-285814.05</v>
      </c>
      <c r="E269" s="77">
        <v>541.85</v>
      </c>
      <c r="F269" s="77">
        <v>-253790.87</v>
      </c>
      <c r="G269" s="77">
        <v>-253249.02</v>
      </c>
      <c r="H269" s="77">
        <v>-539063.06999999995</v>
      </c>
      <c r="I269" s="112">
        <f t="shared" si="8"/>
        <v>-253.24902</v>
      </c>
      <c r="J269" s="77">
        <f t="shared" si="9"/>
        <v>-253</v>
      </c>
    </row>
    <row r="270" spans="1:10">
      <c r="A270" t="s">
        <v>4958</v>
      </c>
      <c r="B270">
        <v>33115</v>
      </c>
      <c r="C270" t="s">
        <v>4959</v>
      </c>
      <c r="D270" s="77">
        <v>-90374.68</v>
      </c>
      <c r="E270" s="77">
        <v>541.85</v>
      </c>
      <c r="F270" s="77">
        <v>-131124.14000000001</v>
      </c>
      <c r="G270" s="77">
        <v>-130582.29</v>
      </c>
      <c r="H270" s="77">
        <v>-220956.97</v>
      </c>
      <c r="I270" s="112">
        <f t="shared" si="8"/>
        <v>-130.58229</v>
      </c>
      <c r="J270" s="77">
        <f t="shared" si="9"/>
        <v>-131</v>
      </c>
    </row>
    <row r="271" spans="1:10">
      <c r="A271" t="s">
        <v>4960</v>
      </c>
      <c r="B271">
        <v>33116</v>
      </c>
      <c r="C271" t="s">
        <v>4961</v>
      </c>
      <c r="D271" s="77">
        <v>-108856.27</v>
      </c>
      <c r="E271" s="77">
        <v>0</v>
      </c>
      <c r="F271" s="77">
        <v>-98479.33</v>
      </c>
      <c r="G271" s="77">
        <v>-98479.33</v>
      </c>
      <c r="H271" s="77">
        <v>-207335.6</v>
      </c>
      <c r="I271" s="112">
        <f t="shared" si="8"/>
        <v>-98.479330000000004</v>
      </c>
      <c r="J271" s="77">
        <f t="shared" si="9"/>
        <v>-98</v>
      </c>
    </row>
    <row r="272" spans="1:10">
      <c r="A272" t="s">
        <v>4962</v>
      </c>
      <c r="B272">
        <v>33117</v>
      </c>
      <c r="C272" t="s">
        <v>4963</v>
      </c>
      <c r="D272" s="77">
        <v>-86583.1</v>
      </c>
      <c r="E272" s="77">
        <v>0</v>
      </c>
      <c r="F272" s="77">
        <v>-24187.4</v>
      </c>
      <c r="G272" s="77">
        <v>-24187.4</v>
      </c>
      <c r="H272" s="77">
        <v>-110770.5</v>
      </c>
      <c r="I272" s="112">
        <f t="shared" si="8"/>
        <v>-24.1874</v>
      </c>
      <c r="J272" s="77">
        <f t="shared" si="9"/>
        <v>-24</v>
      </c>
    </row>
    <row r="273" spans="1:10" s="84" customFormat="1">
      <c r="A273" t="s">
        <v>963</v>
      </c>
      <c r="B273">
        <v>332</v>
      </c>
      <c r="C273" t="s">
        <v>964</v>
      </c>
      <c r="D273" s="77">
        <v>-3146440.14</v>
      </c>
      <c r="E273" s="77">
        <v>0</v>
      </c>
      <c r="F273" s="77">
        <v>-676939.44</v>
      </c>
      <c r="G273" s="77">
        <v>-676939.44</v>
      </c>
      <c r="H273" s="77">
        <v>-3823379.58</v>
      </c>
      <c r="I273" s="112">
        <f t="shared" si="8"/>
        <v>-676.93943999999999</v>
      </c>
      <c r="J273" s="77">
        <f t="shared" si="9"/>
        <v>-677</v>
      </c>
    </row>
    <row r="274" spans="1:10" s="84" customFormat="1">
      <c r="A274" t="s">
        <v>965</v>
      </c>
      <c r="B274">
        <v>3321</v>
      </c>
      <c r="C274" t="s">
        <v>193</v>
      </c>
      <c r="D274" s="77">
        <v>-3146440.14</v>
      </c>
      <c r="E274" s="77">
        <v>0</v>
      </c>
      <c r="F274" s="77">
        <v>-676939.44</v>
      </c>
      <c r="G274" s="77">
        <v>-676939.44</v>
      </c>
      <c r="H274" s="77">
        <v>-3823379.58</v>
      </c>
      <c r="I274" s="112">
        <f t="shared" si="8"/>
        <v>-676.93943999999999</v>
      </c>
      <c r="J274" s="77">
        <f t="shared" si="9"/>
        <v>-677</v>
      </c>
    </row>
    <row r="275" spans="1:10">
      <c r="A275" t="s">
        <v>966</v>
      </c>
      <c r="B275">
        <v>33212</v>
      </c>
      <c r="C275" t="s">
        <v>967</v>
      </c>
      <c r="D275" s="77">
        <v>-3146440.14</v>
      </c>
      <c r="E275" s="77">
        <v>0</v>
      </c>
      <c r="F275" s="77">
        <v>-671433.78</v>
      </c>
      <c r="G275" s="77">
        <v>-671433.78</v>
      </c>
      <c r="H275" s="77">
        <v>-3817873.92</v>
      </c>
      <c r="I275" s="112">
        <f t="shared" si="8"/>
        <v>-671.43378000000007</v>
      </c>
      <c r="J275" s="77">
        <f t="shared" si="9"/>
        <v>-671</v>
      </c>
    </row>
    <row r="276" spans="1:10">
      <c r="A276" t="s">
        <v>968</v>
      </c>
      <c r="B276">
        <v>33213</v>
      </c>
      <c r="C276" t="s">
        <v>969</v>
      </c>
      <c r="D276" s="77">
        <v>0</v>
      </c>
      <c r="E276" s="77">
        <v>0</v>
      </c>
      <c r="F276" s="77">
        <v>-5505.66</v>
      </c>
      <c r="G276" s="77">
        <v>-5505.66</v>
      </c>
      <c r="H276" s="77">
        <v>-5505.66</v>
      </c>
      <c r="I276" s="112">
        <f t="shared" si="8"/>
        <v>-5.5056599999999998</v>
      </c>
      <c r="J276" s="77">
        <f t="shared" si="9"/>
        <v>-6</v>
      </c>
    </row>
    <row r="277" spans="1:10" s="84" customFormat="1">
      <c r="A277" t="s">
        <v>33</v>
      </c>
      <c r="B277">
        <v>336</v>
      </c>
      <c r="C277" t="s">
        <v>4990</v>
      </c>
      <c r="D277" s="77">
        <v>0</v>
      </c>
      <c r="E277" s="77">
        <v>0</v>
      </c>
      <c r="F277" s="77">
        <v>-3111909.17</v>
      </c>
      <c r="G277" s="77">
        <v>-3111909.17</v>
      </c>
      <c r="H277" s="77">
        <v>-3111909.17</v>
      </c>
      <c r="I277" s="112">
        <f t="shared" si="8"/>
        <v>-3111.9091699999999</v>
      </c>
      <c r="J277" s="77">
        <f t="shared" si="9"/>
        <v>-3112</v>
      </c>
    </row>
    <row r="278" spans="1:10" s="84" customFormat="1">
      <c r="A278" t="s">
        <v>4991</v>
      </c>
      <c r="B278">
        <v>3361</v>
      </c>
      <c r="C278" t="s">
        <v>4992</v>
      </c>
      <c r="D278" s="77">
        <v>0</v>
      </c>
      <c r="E278" s="77">
        <v>0</v>
      </c>
      <c r="F278" s="77">
        <v>-3111909.17</v>
      </c>
      <c r="G278" s="77">
        <v>-3111909.17</v>
      </c>
      <c r="H278" s="77">
        <v>-3111909.17</v>
      </c>
      <c r="I278" s="112">
        <f t="shared" si="8"/>
        <v>-3111.9091699999999</v>
      </c>
      <c r="J278" s="77">
        <f t="shared" si="9"/>
        <v>-3112</v>
      </c>
    </row>
    <row r="279" spans="1:10">
      <c r="A279" t="s">
        <v>4993</v>
      </c>
      <c r="B279">
        <v>33611</v>
      </c>
      <c r="C279" t="s">
        <v>4994</v>
      </c>
      <c r="D279" s="77">
        <v>0</v>
      </c>
      <c r="E279" s="77">
        <v>0</v>
      </c>
      <c r="F279" s="77">
        <v>-76943.62</v>
      </c>
      <c r="G279" s="77">
        <v>-76943.62</v>
      </c>
      <c r="H279" s="77">
        <v>-76943.62</v>
      </c>
      <c r="I279" s="112">
        <f t="shared" si="8"/>
        <v>-76.943619999999996</v>
      </c>
      <c r="J279" s="77">
        <f t="shared" si="9"/>
        <v>-77</v>
      </c>
    </row>
    <row r="280" spans="1:10">
      <c r="A280" t="s">
        <v>4997</v>
      </c>
      <c r="B280">
        <v>33613</v>
      </c>
      <c r="C280" t="s">
        <v>4998</v>
      </c>
      <c r="D280" s="77">
        <v>0</v>
      </c>
      <c r="E280" s="77">
        <v>0</v>
      </c>
      <c r="F280" s="77">
        <v>-3034965.55</v>
      </c>
      <c r="G280" s="77">
        <v>-3034965.55</v>
      </c>
      <c r="H280" s="77">
        <v>-3034965.55</v>
      </c>
      <c r="I280" s="112">
        <f t="shared" si="8"/>
        <v>-3034.9655499999999</v>
      </c>
      <c r="J280" s="77">
        <f t="shared" si="9"/>
        <v>-3035</v>
      </c>
    </row>
    <row r="281" spans="1:10">
      <c r="A281">
        <v>4</v>
      </c>
      <c r="B281">
        <v>4</v>
      </c>
      <c r="C281" t="s">
        <v>970</v>
      </c>
      <c r="D281" s="77">
        <v>46834193.990000002</v>
      </c>
      <c r="E281" s="77">
        <v>53347804.409999996</v>
      </c>
      <c r="F281" s="77">
        <v>-2060805.29</v>
      </c>
      <c r="G281" s="77">
        <v>51286999.119999997</v>
      </c>
      <c r="H281" s="77">
        <v>98121193.109999999</v>
      </c>
      <c r="I281" s="112">
        <f t="shared" si="8"/>
        <v>51286.99912</v>
      </c>
      <c r="J281" s="77">
        <f t="shared" si="9"/>
        <v>51287</v>
      </c>
    </row>
    <row r="282" spans="1:10">
      <c r="A282" t="s">
        <v>971</v>
      </c>
      <c r="B282">
        <v>41</v>
      </c>
      <c r="C282" t="s">
        <v>972</v>
      </c>
      <c r="D282" s="77">
        <v>29569943.16</v>
      </c>
      <c r="E282" s="77">
        <v>33517065.52</v>
      </c>
      <c r="F282" s="77">
        <v>-1290806.53</v>
      </c>
      <c r="G282" s="77">
        <v>32226258.989999998</v>
      </c>
      <c r="H282" s="77">
        <v>61796202.149999999</v>
      </c>
      <c r="I282" s="112">
        <f t="shared" si="8"/>
        <v>32226.258989999998</v>
      </c>
      <c r="J282" s="77">
        <f t="shared" si="9"/>
        <v>32226</v>
      </c>
    </row>
    <row r="283" spans="1:10">
      <c r="A283" t="s">
        <v>973</v>
      </c>
      <c r="B283">
        <v>411</v>
      </c>
      <c r="C283" t="s">
        <v>974</v>
      </c>
      <c r="D283" s="77">
        <v>24961577.77</v>
      </c>
      <c r="E283" s="77">
        <v>28125150.949999999</v>
      </c>
      <c r="F283" s="77">
        <v>-635262.68999999994</v>
      </c>
      <c r="G283" s="77">
        <v>27489888.260000002</v>
      </c>
      <c r="H283" s="77">
        <v>52451466.030000001</v>
      </c>
      <c r="I283" s="112">
        <f t="shared" si="8"/>
        <v>27489.888260000003</v>
      </c>
      <c r="J283" s="77">
        <f t="shared" si="9"/>
        <v>27490</v>
      </c>
    </row>
    <row r="284" spans="1:10">
      <c r="A284" t="s">
        <v>975</v>
      </c>
      <c r="B284">
        <v>4111</v>
      </c>
      <c r="C284" t="s">
        <v>976</v>
      </c>
      <c r="D284" s="77">
        <v>16938145.789999999</v>
      </c>
      <c r="E284" s="77">
        <v>19281045.120000001</v>
      </c>
      <c r="F284" s="77">
        <v>-537971.59</v>
      </c>
      <c r="G284" s="77">
        <v>18743073.530000001</v>
      </c>
      <c r="H284" s="77">
        <v>35681219.32</v>
      </c>
      <c r="I284" s="112">
        <f t="shared" si="8"/>
        <v>18743.073530000001</v>
      </c>
      <c r="J284" s="77">
        <f t="shared" si="9"/>
        <v>18743</v>
      </c>
    </row>
    <row r="285" spans="1:10">
      <c r="A285" t="s">
        <v>977</v>
      </c>
      <c r="B285">
        <v>41111</v>
      </c>
      <c r="C285" t="s">
        <v>978</v>
      </c>
      <c r="D285" s="77">
        <v>13867578.199999999</v>
      </c>
      <c r="E285" s="77">
        <v>14994880.4</v>
      </c>
      <c r="F285" s="77">
        <v>-294069.76000000001</v>
      </c>
      <c r="G285" s="77">
        <v>14700810.640000001</v>
      </c>
      <c r="H285" s="77">
        <v>28568388.84</v>
      </c>
      <c r="I285" s="112">
        <f t="shared" si="8"/>
        <v>14700.81064</v>
      </c>
      <c r="J285" s="77">
        <f t="shared" si="9"/>
        <v>14701</v>
      </c>
    </row>
    <row r="286" spans="1:10">
      <c r="A286" t="s">
        <v>979</v>
      </c>
      <c r="B286">
        <v>41117</v>
      </c>
      <c r="C286" t="s">
        <v>980</v>
      </c>
      <c r="D286" s="77">
        <v>1420133.57</v>
      </c>
      <c r="E286" s="77">
        <v>2532993.1800000002</v>
      </c>
      <c r="F286" s="77">
        <v>-243508.17</v>
      </c>
      <c r="G286" s="77">
        <v>2289485.0099999998</v>
      </c>
      <c r="H286" s="77">
        <v>3709618.58</v>
      </c>
      <c r="I286" s="112">
        <f t="shared" si="8"/>
        <v>2289.4850099999999</v>
      </c>
      <c r="J286" s="77">
        <f t="shared" si="9"/>
        <v>2289</v>
      </c>
    </row>
    <row r="287" spans="1:10" s="84" customFormat="1">
      <c r="A287" t="s">
        <v>981</v>
      </c>
      <c r="B287">
        <v>41118</v>
      </c>
      <c r="C287" t="s">
        <v>982</v>
      </c>
      <c r="D287" s="77">
        <v>292100.43</v>
      </c>
      <c r="E287" s="77">
        <v>241294.15</v>
      </c>
      <c r="F287" s="77">
        <v>0</v>
      </c>
      <c r="G287" s="77">
        <v>241294.15</v>
      </c>
      <c r="H287" s="77">
        <v>533394.57999999996</v>
      </c>
      <c r="I287" s="112">
        <f t="shared" si="8"/>
        <v>241.29415</v>
      </c>
      <c r="J287" s="77">
        <f t="shared" si="9"/>
        <v>241</v>
      </c>
    </row>
    <row r="288" spans="1:10">
      <c r="A288" t="s">
        <v>983</v>
      </c>
      <c r="B288">
        <v>41119</v>
      </c>
      <c r="C288" t="s">
        <v>984</v>
      </c>
      <c r="D288" s="77">
        <v>1290240.07</v>
      </c>
      <c r="E288" s="77">
        <v>1441439.15</v>
      </c>
      <c r="F288" s="77">
        <v>-393.66</v>
      </c>
      <c r="G288" s="77">
        <v>1441045.49</v>
      </c>
      <c r="H288" s="77">
        <v>2731285.56</v>
      </c>
      <c r="I288" s="112">
        <f t="shared" si="8"/>
        <v>1441.04549</v>
      </c>
      <c r="J288" s="77">
        <f t="shared" si="9"/>
        <v>1441</v>
      </c>
    </row>
    <row r="289" spans="1:10">
      <c r="A289" t="s">
        <v>987</v>
      </c>
      <c r="B289">
        <v>411113</v>
      </c>
      <c r="C289" t="s">
        <v>988</v>
      </c>
      <c r="D289" s="77">
        <v>29316.959999999999</v>
      </c>
      <c r="E289" s="77">
        <v>31626.27</v>
      </c>
      <c r="F289" s="77">
        <v>0</v>
      </c>
      <c r="G289" s="77">
        <v>31626.27</v>
      </c>
      <c r="H289" s="77">
        <v>60943.23</v>
      </c>
      <c r="I289" s="112">
        <f t="shared" si="8"/>
        <v>31.626270000000002</v>
      </c>
      <c r="J289" s="77">
        <f t="shared" si="9"/>
        <v>32</v>
      </c>
    </row>
    <row r="290" spans="1:10">
      <c r="A290" t="s">
        <v>989</v>
      </c>
      <c r="B290">
        <v>411114</v>
      </c>
      <c r="C290" t="s">
        <v>990</v>
      </c>
      <c r="D290" s="77">
        <v>38776.559999999998</v>
      </c>
      <c r="E290" s="77">
        <v>38811.97</v>
      </c>
      <c r="F290" s="77">
        <v>0</v>
      </c>
      <c r="G290" s="77">
        <v>38811.97</v>
      </c>
      <c r="H290" s="77">
        <v>77588.53</v>
      </c>
      <c r="I290" s="112">
        <f t="shared" si="8"/>
        <v>38.811970000000002</v>
      </c>
      <c r="J290" s="77">
        <f t="shared" si="9"/>
        <v>39</v>
      </c>
    </row>
    <row r="291" spans="1:10">
      <c r="A291" t="s">
        <v>991</v>
      </c>
      <c r="B291">
        <v>4112</v>
      </c>
      <c r="C291" t="s">
        <v>8</v>
      </c>
      <c r="D291" s="77">
        <v>5232773.1900000004</v>
      </c>
      <c r="E291" s="77">
        <v>5830789.7999999998</v>
      </c>
      <c r="F291" s="77">
        <v>-88725.759999999995</v>
      </c>
      <c r="G291" s="77">
        <v>5742064.04</v>
      </c>
      <c r="H291" s="77">
        <v>10974837.23</v>
      </c>
      <c r="I291" s="112">
        <f t="shared" si="8"/>
        <v>5742.0640400000002</v>
      </c>
      <c r="J291" s="77">
        <f t="shared" si="9"/>
        <v>5742</v>
      </c>
    </row>
    <row r="292" spans="1:10">
      <c r="A292" t="s">
        <v>992</v>
      </c>
      <c r="B292">
        <v>41121</v>
      </c>
      <c r="C292" t="s">
        <v>874</v>
      </c>
      <c r="D292" s="77">
        <v>3278862.39</v>
      </c>
      <c r="E292" s="77">
        <v>3419611.63</v>
      </c>
      <c r="F292" s="77">
        <v>0</v>
      </c>
      <c r="G292" s="77">
        <v>3419611.63</v>
      </c>
      <c r="H292" s="77">
        <v>6698474.0199999996</v>
      </c>
      <c r="I292" s="112">
        <f t="shared" si="8"/>
        <v>3419.6116299999999</v>
      </c>
      <c r="J292" s="77">
        <f t="shared" si="9"/>
        <v>3420</v>
      </c>
    </row>
    <row r="293" spans="1:10" s="84" customFormat="1">
      <c r="A293" t="s">
        <v>993</v>
      </c>
      <c r="B293">
        <v>41122</v>
      </c>
      <c r="C293" t="s">
        <v>198</v>
      </c>
      <c r="D293" s="77">
        <v>1167793.93</v>
      </c>
      <c r="E293" s="77">
        <v>1223267.06</v>
      </c>
      <c r="F293" s="77">
        <v>-3.59</v>
      </c>
      <c r="G293" s="77">
        <v>1223263.47</v>
      </c>
      <c r="H293" s="77">
        <v>2391057.4</v>
      </c>
      <c r="I293" s="112">
        <f t="shared" si="8"/>
        <v>1223.2634699999999</v>
      </c>
      <c r="J293" s="77">
        <f t="shared" si="9"/>
        <v>1223</v>
      </c>
    </row>
    <row r="294" spans="1:10" s="84" customFormat="1">
      <c r="A294" t="s">
        <v>994</v>
      </c>
      <c r="B294">
        <v>41124</v>
      </c>
      <c r="C294" t="s">
        <v>995</v>
      </c>
      <c r="D294" s="77">
        <v>290056.45</v>
      </c>
      <c r="E294" s="77">
        <v>324047.15000000002</v>
      </c>
      <c r="F294" s="77">
        <v>-0.54</v>
      </c>
      <c r="G294" s="77">
        <v>324046.61</v>
      </c>
      <c r="H294" s="77">
        <v>614103.06000000006</v>
      </c>
      <c r="I294" s="112">
        <f t="shared" si="8"/>
        <v>324.04660999999999</v>
      </c>
      <c r="J294" s="77">
        <f t="shared" si="9"/>
        <v>324</v>
      </c>
    </row>
    <row r="295" spans="1:10" s="84" customFormat="1">
      <c r="A295" t="s">
        <v>996</v>
      </c>
      <c r="B295">
        <v>41125</v>
      </c>
      <c r="C295" t="s">
        <v>997</v>
      </c>
      <c r="D295" s="77">
        <v>282904.92</v>
      </c>
      <c r="E295" s="77">
        <v>551953.98</v>
      </c>
      <c r="F295" s="77">
        <v>-64637.29</v>
      </c>
      <c r="G295" s="77">
        <v>487316.69</v>
      </c>
      <c r="H295" s="77">
        <v>770221.61</v>
      </c>
      <c r="I295" s="112">
        <f t="shared" si="8"/>
        <v>487.31668999999999</v>
      </c>
      <c r="J295" s="77">
        <f t="shared" si="9"/>
        <v>487</v>
      </c>
    </row>
    <row r="296" spans="1:10">
      <c r="A296" t="s">
        <v>998</v>
      </c>
      <c r="B296">
        <v>41126</v>
      </c>
      <c r="C296" t="s">
        <v>999</v>
      </c>
      <c r="D296" s="77">
        <v>103323.61</v>
      </c>
      <c r="E296" s="77">
        <v>196417.78</v>
      </c>
      <c r="F296" s="77">
        <v>-24084.34</v>
      </c>
      <c r="G296" s="77">
        <v>172333.44</v>
      </c>
      <c r="H296" s="77">
        <v>275657.05</v>
      </c>
      <c r="I296" s="112">
        <f t="shared" si="8"/>
        <v>172.33344</v>
      </c>
      <c r="J296" s="77">
        <f t="shared" si="9"/>
        <v>172</v>
      </c>
    </row>
    <row r="297" spans="1:10">
      <c r="A297" t="s">
        <v>1000</v>
      </c>
      <c r="B297">
        <v>41127</v>
      </c>
      <c r="C297" t="s">
        <v>1001</v>
      </c>
      <c r="D297" s="77">
        <v>109831.89</v>
      </c>
      <c r="E297" s="77">
        <v>115492.2</v>
      </c>
      <c r="F297" s="77">
        <v>0</v>
      </c>
      <c r="G297" s="77">
        <v>115492.2</v>
      </c>
      <c r="H297" s="77">
        <v>225324.09</v>
      </c>
      <c r="I297" s="112">
        <f t="shared" si="8"/>
        <v>115.4922</v>
      </c>
      <c r="J297" s="77">
        <f t="shared" si="9"/>
        <v>115</v>
      </c>
    </row>
    <row r="298" spans="1:10">
      <c r="A298" t="s">
        <v>1002</v>
      </c>
      <c r="B298">
        <v>4113</v>
      </c>
      <c r="C298" t="s">
        <v>9</v>
      </c>
      <c r="D298" s="77">
        <v>2790658.79</v>
      </c>
      <c r="E298" s="77">
        <v>3013316.03</v>
      </c>
      <c r="F298" s="77">
        <v>-8565.34</v>
      </c>
      <c r="G298" s="77">
        <v>3004750.69</v>
      </c>
      <c r="H298" s="77">
        <v>5795409.4800000004</v>
      </c>
      <c r="I298" s="112">
        <f t="shared" si="8"/>
        <v>3004.7506899999998</v>
      </c>
      <c r="J298" s="77">
        <f t="shared" si="9"/>
        <v>3005</v>
      </c>
    </row>
    <row r="299" spans="1:10">
      <c r="A299" t="s">
        <v>1003</v>
      </c>
      <c r="B299">
        <v>41131</v>
      </c>
      <c r="C299" t="s">
        <v>907</v>
      </c>
      <c r="D299" s="77">
        <v>1019976.22</v>
      </c>
      <c r="E299" s="77">
        <v>1069246.57</v>
      </c>
      <c r="F299" s="77">
        <v>0</v>
      </c>
      <c r="G299" s="77">
        <v>1069246.57</v>
      </c>
      <c r="H299" s="77">
        <v>2089222.79</v>
      </c>
      <c r="I299" s="112">
        <f t="shared" si="8"/>
        <v>1069.24657</v>
      </c>
      <c r="J299" s="77">
        <f t="shared" si="9"/>
        <v>1069</v>
      </c>
    </row>
    <row r="300" spans="1:10">
      <c r="A300" t="s">
        <v>1004</v>
      </c>
      <c r="B300">
        <v>41132</v>
      </c>
      <c r="C300" t="s">
        <v>1005</v>
      </c>
      <c r="D300" s="77">
        <v>932612.24</v>
      </c>
      <c r="E300" s="77">
        <v>1086946.71</v>
      </c>
      <c r="F300" s="77">
        <v>-392.69</v>
      </c>
      <c r="G300" s="77">
        <v>1086554.02</v>
      </c>
      <c r="H300" s="77">
        <v>2019166.26</v>
      </c>
      <c r="I300" s="112">
        <f t="shared" si="8"/>
        <v>1086.55402</v>
      </c>
      <c r="J300" s="77">
        <f t="shared" si="9"/>
        <v>1087</v>
      </c>
    </row>
    <row r="301" spans="1:10">
      <c r="A301" t="s">
        <v>1006</v>
      </c>
      <c r="B301">
        <v>41133</v>
      </c>
      <c r="C301" t="s">
        <v>1007</v>
      </c>
      <c r="D301" s="77">
        <v>0</v>
      </c>
      <c r="E301" s="77">
        <v>2441.15</v>
      </c>
      <c r="F301" s="77">
        <v>-2441.15</v>
      </c>
      <c r="G301" s="77">
        <v>0</v>
      </c>
      <c r="H301" s="77">
        <v>0</v>
      </c>
      <c r="I301" s="112">
        <f t="shared" si="8"/>
        <v>0</v>
      </c>
      <c r="J301" s="77">
        <f t="shared" si="9"/>
        <v>0</v>
      </c>
    </row>
    <row r="302" spans="1:10" s="84" customFormat="1">
      <c r="A302" t="s">
        <v>1008</v>
      </c>
      <c r="B302">
        <v>41135</v>
      </c>
      <c r="C302" t="s">
        <v>1009</v>
      </c>
      <c r="D302" s="77">
        <v>243929.3</v>
      </c>
      <c r="E302" s="77">
        <v>226308.32</v>
      </c>
      <c r="F302" s="77">
        <v>0</v>
      </c>
      <c r="G302" s="77">
        <v>226308.32</v>
      </c>
      <c r="H302" s="77">
        <v>470237.62</v>
      </c>
      <c r="I302" s="112">
        <f t="shared" si="8"/>
        <v>226.30832000000001</v>
      </c>
      <c r="J302" s="77">
        <f t="shared" si="9"/>
        <v>226</v>
      </c>
    </row>
    <row r="303" spans="1:10">
      <c r="A303" t="s">
        <v>1010</v>
      </c>
      <c r="B303">
        <v>41136</v>
      </c>
      <c r="C303" t="s">
        <v>1011</v>
      </c>
      <c r="D303" s="77">
        <v>573659.98</v>
      </c>
      <c r="E303" s="77">
        <v>584380.93999999994</v>
      </c>
      <c r="F303" s="77">
        <v>0</v>
      </c>
      <c r="G303" s="77">
        <v>584380.93999999994</v>
      </c>
      <c r="H303" s="77">
        <v>1158040.92</v>
      </c>
      <c r="I303" s="112">
        <f t="shared" si="8"/>
        <v>584.3809399999999</v>
      </c>
      <c r="J303" s="77">
        <f t="shared" si="9"/>
        <v>584</v>
      </c>
    </row>
    <row r="304" spans="1:10">
      <c r="A304" t="s">
        <v>1012</v>
      </c>
      <c r="B304">
        <v>411310</v>
      </c>
      <c r="C304" t="s">
        <v>1013</v>
      </c>
      <c r="D304" s="77">
        <v>5528.62</v>
      </c>
      <c r="E304" s="77">
        <v>14959.4</v>
      </c>
      <c r="F304" s="77">
        <v>-5731.5</v>
      </c>
      <c r="G304" s="77">
        <v>9227.9</v>
      </c>
      <c r="H304" s="77">
        <v>14756.52</v>
      </c>
      <c r="I304" s="112">
        <f t="shared" si="8"/>
        <v>9.2279</v>
      </c>
      <c r="J304" s="77">
        <f t="shared" si="9"/>
        <v>9</v>
      </c>
    </row>
    <row r="305" spans="1:10">
      <c r="A305" t="s">
        <v>1014</v>
      </c>
      <c r="B305">
        <v>411311</v>
      </c>
      <c r="C305" t="s">
        <v>1015</v>
      </c>
      <c r="D305" s="77">
        <v>14952.43</v>
      </c>
      <c r="E305" s="77">
        <v>17006.939999999999</v>
      </c>
      <c r="F305" s="77">
        <v>0</v>
      </c>
      <c r="G305" s="77">
        <v>17006.939999999999</v>
      </c>
      <c r="H305" s="77">
        <v>31959.37</v>
      </c>
      <c r="I305" s="112">
        <f t="shared" si="8"/>
        <v>17.00694</v>
      </c>
      <c r="J305" s="77">
        <f t="shared" si="9"/>
        <v>17</v>
      </c>
    </row>
    <row r="306" spans="1:10">
      <c r="A306" t="s">
        <v>5072</v>
      </c>
      <c r="B306">
        <v>411313</v>
      </c>
      <c r="C306" t="s">
        <v>5073</v>
      </c>
      <c r="D306" s="77">
        <v>0</v>
      </c>
      <c r="E306" s="77">
        <v>12026</v>
      </c>
      <c r="F306" s="77">
        <v>0</v>
      </c>
      <c r="G306" s="77">
        <v>12026</v>
      </c>
      <c r="H306" s="77">
        <v>12026</v>
      </c>
      <c r="I306" s="112">
        <f t="shared" si="8"/>
        <v>12.026</v>
      </c>
      <c r="J306" s="77">
        <f t="shared" si="9"/>
        <v>12</v>
      </c>
    </row>
    <row r="307" spans="1:10">
      <c r="A307" t="s">
        <v>1020</v>
      </c>
      <c r="B307">
        <v>413</v>
      </c>
      <c r="C307" t="s">
        <v>1021</v>
      </c>
      <c r="D307" s="77">
        <v>2599315.9900000002</v>
      </c>
      <c r="E307" s="77">
        <v>2893603.52</v>
      </c>
      <c r="F307" s="77">
        <v>-180000</v>
      </c>
      <c r="G307" s="77">
        <v>2713603.52</v>
      </c>
      <c r="H307" s="77">
        <v>5312919.51</v>
      </c>
      <c r="I307" s="112">
        <f t="shared" si="8"/>
        <v>2713.6035200000001</v>
      </c>
      <c r="J307" s="77">
        <f t="shared" si="9"/>
        <v>2714</v>
      </c>
    </row>
    <row r="308" spans="1:10">
      <c r="A308" t="s">
        <v>12</v>
      </c>
      <c r="B308">
        <v>4131</v>
      </c>
      <c r="C308" t="s">
        <v>11</v>
      </c>
      <c r="D308" s="77">
        <v>2599315.9900000002</v>
      </c>
      <c r="E308" s="77">
        <v>2893603.52</v>
      </c>
      <c r="F308" s="77">
        <v>-180000</v>
      </c>
      <c r="G308" s="77">
        <v>2713603.52</v>
      </c>
      <c r="H308" s="77">
        <v>5312919.51</v>
      </c>
      <c r="I308" s="112">
        <f t="shared" si="8"/>
        <v>2713.6035200000001</v>
      </c>
      <c r="J308" s="77">
        <f t="shared" si="9"/>
        <v>2714</v>
      </c>
    </row>
    <row r="309" spans="1:10" s="84" customFormat="1">
      <c r="A309" t="s">
        <v>1022</v>
      </c>
      <c r="B309">
        <v>41311</v>
      </c>
      <c r="C309" t="s">
        <v>1023</v>
      </c>
      <c r="D309" s="77">
        <v>137680.16</v>
      </c>
      <c r="E309" s="77">
        <v>714385.36</v>
      </c>
      <c r="F309" s="77">
        <v>0</v>
      </c>
      <c r="G309" s="77">
        <v>714385.36</v>
      </c>
      <c r="H309" s="77">
        <v>852065.52</v>
      </c>
      <c r="I309" s="112">
        <f t="shared" si="8"/>
        <v>714.38535999999999</v>
      </c>
      <c r="J309" s="77">
        <f t="shared" si="9"/>
        <v>714</v>
      </c>
    </row>
    <row r="310" spans="1:10">
      <c r="A310" t="s">
        <v>1024</v>
      </c>
      <c r="B310">
        <v>41312</v>
      </c>
      <c r="C310" t="s">
        <v>1025</v>
      </c>
      <c r="D310" s="77">
        <v>259172.42</v>
      </c>
      <c r="E310" s="77">
        <v>505853.57</v>
      </c>
      <c r="F310" s="77">
        <v>-180000</v>
      </c>
      <c r="G310" s="77">
        <v>325853.57</v>
      </c>
      <c r="H310" s="77">
        <v>585025.99</v>
      </c>
      <c r="I310" s="112">
        <f t="shared" si="8"/>
        <v>325.85356999999999</v>
      </c>
      <c r="J310" s="77">
        <f t="shared" si="9"/>
        <v>326</v>
      </c>
    </row>
    <row r="311" spans="1:10">
      <c r="A311" t="s">
        <v>1026</v>
      </c>
      <c r="B311">
        <v>41315</v>
      </c>
      <c r="C311" t="s">
        <v>1027</v>
      </c>
      <c r="D311" s="77">
        <v>240633.09</v>
      </c>
      <c r="E311" s="77">
        <v>478476.95</v>
      </c>
      <c r="F311" s="77">
        <v>0</v>
      </c>
      <c r="G311" s="77">
        <v>478476.95</v>
      </c>
      <c r="H311" s="77">
        <v>719110.04</v>
      </c>
      <c r="I311" s="112">
        <f t="shared" si="8"/>
        <v>478.47694999999999</v>
      </c>
      <c r="J311" s="77">
        <f t="shared" si="9"/>
        <v>478</v>
      </c>
    </row>
    <row r="312" spans="1:10">
      <c r="A312" t="s">
        <v>1028</v>
      </c>
      <c r="B312">
        <v>413114</v>
      </c>
      <c r="C312" t="s">
        <v>1029</v>
      </c>
      <c r="D312" s="77">
        <v>1832149.12</v>
      </c>
      <c r="E312" s="77">
        <v>1056826.1000000001</v>
      </c>
      <c r="F312" s="77">
        <v>0</v>
      </c>
      <c r="G312" s="77">
        <v>1056826.1000000001</v>
      </c>
      <c r="H312" s="77">
        <v>2888975.22</v>
      </c>
      <c r="I312" s="112">
        <f t="shared" si="8"/>
        <v>1056.8261</v>
      </c>
      <c r="J312" s="77">
        <f t="shared" si="9"/>
        <v>1057</v>
      </c>
    </row>
    <row r="313" spans="1:10">
      <c r="A313" t="s">
        <v>1030</v>
      </c>
      <c r="B313">
        <v>413117</v>
      </c>
      <c r="C313" t="s">
        <v>1031</v>
      </c>
      <c r="D313" s="77">
        <v>128507.15</v>
      </c>
      <c r="E313" s="77">
        <v>136830.38</v>
      </c>
      <c r="F313" s="77">
        <v>0</v>
      </c>
      <c r="G313" s="77">
        <v>136830.38</v>
      </c>
      <c r="H313" s="77">
        <v>265337.53000000003</v>
      </c>
      <c r="I313" s="112">
        <f t="shared" si="8"/>
        <v>136.83037999999999</v>
      </c>
      <c r="J313" s="77">
        <f t="shared" si="9"/>
        <v>137</v>
      </c>
    </row>
    <row r="314" spans="1:10">
      <c r="A314" t="s">
        <v>1032</v>
      </c>
      <c r="B314">
        <v>4131997</v>
      </c>
      <c r="C314" t="s">
        <v>1033</v>
      </c>
      <c r="D314" s="77">
        <v>1174.05</v>
      </c>
      <c r="E314" s="77">
        <v>1231.1600000000001</v>
      </c>
      <c r="F314" s="77">
        <v>0</v>
      </c>
      <c r="G314" s="77">
        <v>1231.1600000000001</v>
      </c>
      <c r="H314" s="77">
        <v>2405.21</v>
      </c>
      <c r="I314" s="112">
        <f t="shared" si="8"/>
        <v>1.23116</v>
      </c>
      <c r="J314" s="77">
        <f t="shared" si="9"/>
        <v>1</v>
      </c>
    </row>
    <row r="315" spans="1:10">
      <c r="A315" t="s">
        <v>18</v>
      </c>
      <c r="B315">
        <v>414</v>
      </c>
      <c r="C315" t="s">
        <v>1034</v>
      </c>
      <c r="D315" s="77">
        <v>99931.55</v>
      </c>
      <c r="E315" s="77">
        <v>85874.25</v>
      </c>
      <c r="F315" s="77">
        <v>0</v>
      </c>
      <c r="G315" s="77">
        <v>85874.25</v>
      </c>
      <c r="H315" s="77">
        <v>185805.8</v>
      </c>
      <c r="I315" s="112">
        <f t="shared" si="8"/>
        <v>85.874250000000004</v>
      </c>
      <c r="J315" s="77">
        <f t="shared" si="9"/>
        <v>86</v>
      </c>
    </row>
    <row r="316" spans="1:10">
      <c r="A316" t="s">
        <v>1035</v>
      </c>
      <c r="B316">
        <v>4141</v>
      </c>
      <c r="C316" t="s">
        <v>17</v>
      </c>
      <c r="D316" s="77">
        <v>99931.55</v>
      </c>
      <c r="E316" s="77">
        <v>85874.25</v>
      </c>
      <c r="F316" s="77">
        <v>0</v>
      </c>
      <c r="G316" s="77">
        <v>85874.25</v>
      </c>
      <c r="H316" s="77">
        <v>185805.8</v>
      </c>
      <c r="I316" s="112">
        <f t="shared" si="8"/>
        <v>85.874250000000004</v>
      </c>
      <c r="J316" s="77">
        <f t="shared" si="9"/>
        <v>86</v>
      </c>
    </row>
    <row r="317" spans="1:10">
      <c r="A317" t="s">
        <v>1036</v>
      </c>
      <c r="B317">
        <v>41412</v>
      </c>
      <c r="C317" t="s">
        <v>1037</v>
      </c>
      <c r="D317" s="77">
        <v>84930.59</v>
      </c>
      <c r="E317" s="77">
        <v>85874.25</v>
      </c>
      <c r="F317" s="77">
        <v>0</v>
      </c>
      <c r="G317" s="77">
        <v>85874.25</v>
      </c>
      <c r="H317" s="77">
        <v>170804.84</v>
      </c>
      <c r="I317" s="112">
        <f t="shared" si="8"/>
        <v>85.874250000000004</v>
      </c>
      <c r="J317" s="77">
        <f t="shared" si="9"/>
        <v>86</v>
      </c>
    </row>
    <row r="318" spans="1:10" s="84" customFormat="1">
      <c r="A318" t="s">
        <v>1038</v>
      </c>
      <c r="B318">
        <v>41418</v>
      </c>
      <c r="C318" t="s">
        <v>1039</v>
      </c>
      <c r="D318" s="77">
        <v>15000.96</v>
      </c>
      <c r="E318" s="77">
        <v>0</v>
      </c>
      <c r="F318" s="77">
        <v>0</v>
      </c>
      <c r="G318" s="77">
        <v>0</v>
      </c>
      <c r="H318" s="77">
        <v>15000.96</v>
      </c>
      <c r="I318" s="112">
        <f t="shared" si="8"/>
        <v>0</v>
      </c>
      <c r="J318" s="77">
        <f t="shared" si="9"/>
        <v>0</v>
      </c>
    </row>
    <row r="319" spans="1:10" s="84" customFormat="1">
      <c r="A319" t="s">
        <v>1040</v>
      </c>
      <c r="B319">
        <v>416</v>
      </c>
      <c r="C319" t="s">
        <v>1041</v>
      </c>
      <c r="D319" s="77">
        <v>1909117.85</v>
      </c>
      <c r="E319" s="77">
        <v>2412436.7999999998</v>
      </c>
      <c r="F319" s="77">
        <v>-475543.84</v>
      </c>
      <c r="G319" s="77">
        <v>1936892.96</v>
      </c>
      <c r="H319" s="77">
        <v>3846010.81</v>
      </c>
      <c r="I319" s="112">
        <f t="shared" si="8"/>
        <v>1936.8929599999999</v>
      </c>
      <c r="J319" s="77">
        <f t="shared" si="9"/>
        <v>1937</v>
      </c>
    </row>
    <row r="320" spans="1:10">
      <c r="A320" t="s">
        <v>14</v>
      </c>
      <c r="B320">
        <v>4161</v>
      </c>
      <c r="C320" t="s">
        <v>1042</v>
      </c>
      <c r="D320" s="77">
        <v>648184.54</v>
      </c>
      <c r="E320" s="77">
        <v>855974.22</v>
      </c>
      <c r="F320" s="77">
        <v>-212547.96</v>
      </c>
      <c r="G320" s="77">
        <v>643426.26</v>
      </c>
      <c r="H320" s="77">
        <v>1291610.8</v>
      </c>
      <c r="I320" s="112">
        <f t="shared" si="8"/>
        <v>643.42625999999996</v>
      </c>
      <c r="J320" s="77">
        <f t="shared" si="9"/>
        <v>643</v>
      </c>
    </row>
    <row r="321" spans="1:10" s="84" customFormat="1">
      <c r="A321" t="s">
        <v>1045</v>
      </c>
      <c r="B321">
        <v>41614</v>
      </c>
      <c r="C321" t="s">
        <v>1046</v>
      </c>
      <c r="D321" s="77">
        <v>148995.85999999999</v>
      </c>
      <c r="E321" s="77">
        <v>122805.54</v>
      </c>
      <c r="F321" s="77">
        <v>-21219</v>
      </c>
      <c r="G321" s="77">
        <v>101586.54</v>
      </c>
      <c r="H321" s="77">
        <v>250582.39999999999</v>
      </c>
      <c r="I321" s="112">
        <f t="shared" si="8"/>
        <v>101.58654</v>
      </c>
      <c r="J321" s="77">
        <f t="shared" si="9"/>
        <v>102</v>
      </c>
    </row>
    <row r="322" spans="1:10" s="84" customFormat="1">
      <c r="A322" t="s">
        <v>1047</v>
      </c>
      <c r="B322">
        <v>41616</v>
      </c>
      <c r="C322" t="s">
        <v>1048</v>
      </c>
      <c r="D322" s="77">
        <v>5608.67</v>
      </c>
      <c r="E322" s="77">
        <v>6790.64</v>
      </c>
      <c r="F322" s="77">
        <v>0</v>
      </c>
      <c r="G322" s="77">
        <v>6790.64</v>
      </c>
      <c r="H322" s="77">
        <v>12399.31</v>
      </c>
      <c r="I322" s="112">
        <f t="shared" si="8"/>
        <v>6.7906400000000007</v>
      </c>
      <c r="J322" s="77">
        <f t="shared" si="9"/>
        <v>7</v>
      </c>
    </row>
    <row r="323" spans="1:10">
      <c r="A323" t="s">
        <v>1051</v>
      </c>
      <c r="B323">
        <v>416112</v>
      </c>
      <c r="C323" t="s">
        <v>1052</v>
      </c>
      <c r="D323" s="77">
        <v>1060.1099999999999</v>
      </c>
      <c r="E323" s="77">
        <v>1413.48</v>
      </c>
      <c r="F323" s="77">
        <v>-353.37</v>
      </c>
      <c r="G323" s="77">
        <v>1060.1099999999999</v>
      </c>
      <c r="H323" s="77">
        <v>2120.2199999999998</v>
      </c>
      <c r="I323" s="112">
        <f t="shared" si="8"/>
        <v>1.0601099999999999</v>
      </c>
      <c r="J323" s="77">
        <f t="shared" si="9"/>
        <v>1</v>
      </c>
    </row>
    <row r="324" spans="1:10">
      <c r="A324" t="s">
        <v>1053</v>
      </c>
      <c r="B324">
        <v>416114</v>
      </c>
      <c r="C324" t="s">
        <v>1054</v>
      </c>
      <c r="D324" s="77">
        <v>143665.70000000001</v>
      </c>
      <c r="E324" s="77">
        <v>280045.73</v>
      </c>
      <c r="F324" s="77">
        <v>-127317.06</v>
      </c>
      <c r="G324" s="77">
        <v>152728.67000000001</v>
      </c>
      <c r="H324" s="77">
        <v>296394.37</v>
      </c>
      <c r="I324" s="112">
        <f t="shared" si="8"/>
        <v>152.72867000000002</v>
      </c>
      <c r="J324" s="77">
        <f t="shared" si="9"/>
        <v>153</v>
      </c>
    </row>
    <row r="325" spans="1:10">
      <c r="A325" t="s">
        <v>1055</v>
      </c>
      <c r="B325">
        <v>416115</v>
      </c>
      <c r="C325" t="s">
        <v>1056</v>
      </c>
      <c r="D325" s="77">
        <v>91417.16</v>
      </c>
      <c r="E325" s="77">
        <v>168642.38</v>
      </c>
      <c r="F325" s="77">
        <v>-63658.53</v>
      </c>
      <c r="G325" s="77">
        <v>104983.85</v>
      </c>
      <c r="H325" s="77">
        <v>196401.01</v>
      </c>
      <c r="I325" s="112">
        <f t="shared" si="8"/>
        <v>104.98385</v>
      </c>
      <c r="J325" s="77">
        <f t="shared" si="9"/>
        <v>105</v>
      </c>
    </row>
    <row r="326" spans="1:10">
      <c r="A326" t="s">
        <v>1057</v>
      </c>
      <c r="B326">
        <v>416116</v>
      </c>
      <c r="C326" t="s">
        <v>1058</v>
      </c>
      <c r="D326" s="77">
        <v>257437.04</v>
      </c>
      <c r="E326" s="77">
        <v>276276.45</v>
      </c>
      <c r="F326" s="77">
        <v>0</v>
      </c>
      <c r="G326" s="77">
        <v>276276.45</v>
      </c>
      <c r="H326" s="77">
        <v>533713.49</v>
      </c>
      <c r="I326" s="112">
        <f t="shared" si="8"/>
        <v>276.27645000000001</v>
      </c>
      <c r="J326" s="77">
        <f t="shared" si="9"/>
        <v>276</v>
      </c>
    </row>
    <row r="327" spans="1:10">
      <c r="A327" t="s">
        <v>16</v>
      </c>
      <c r="B327">
        <v>4162</v>
      </c>
      <c r="C327" t="s">
        <v>1059</v>
      </c>
      <c r="D327" s="77">
        <v>1260933.31</v>
      </c>
      <c r="E327" s="77">
        <v>1556462.58</v>
      </c>
      <c r="F327" s="77">
        <v>-262995.88</v>
      </c>
      <c r="G327" s="77">
        <v>1293466.7</v>
      </c>
      <c r="H327" s="77">
        <v>2554400.0099999998</v>
      </c>
      <c r="I327" s="112">
        <f t="shared" si="8"/>
        <v>1293.4666999999999</v>
      </c>
      <c r="J327" s="77">
        <f t="shared" si="9"/>
        <v>1293</v>
      </c>
    </row>
    <row r="328" spans="1:10">
      <c r="A328" t="s">
        <v>1060</v>
      </c>
      <c r="B328">
        <v>41621</v>
      </c>
      <c r="C328" t="s">
        <v>1061</v>
      </c>
      <c r="D328" s="77">
        <v>172264.29</v>
      </c>
      <c r="E328" s="77">
        <v>206791.72</v>
      </c>
      <c r="F328" s="77">
        <v>0</v>
      </c>
      <c r="G328" s="77">
        <v>206791.72</v>
      </c>
      <c r="H328" s="77">
        <v>379056.01</v>
      </c>
      <c r="I328" s="112">
        <f t="shared" ref="I328:I391" si="10">G328/1000</f>
        <v>206.79172</v>
      </c>
      <c r="J328" s="77">
        <f t="shared" ref="J328:J391" si="11">ROUND(I328,0)</f>
        <v>207</v>
      </c>
    </row>
    <row r="329" spans="1:10">
      <c r="A329" t="s">
        <v>1062</v>
      </c>
      <c r="B329">
        <v>41622</v>
      </c>
      <c r="C329" t="s">
        <v>1063</v>
      </c>
      <c r="D329" s="77">
        <v>0</v>
      </c>
      <c r="E329" s="77">
        <v>12898.91</v>
      </c>
      <c r="F329" s="77">
        <v>-12898.91</v>
      </c>
      <c r="G329" s="77">
        <v>0</v>
      </c>
      <c r="H329" s="77">
        <v>0</v>
      </c>
      <c r="I329" s="112">
        <f t="shared" si="10"/>
        <v>0</v>
      </c>
      <c r="J329" s="77">
        <f t="shared" si="11"/>
        <v>0</v>
      </c>
    </row>
    <row r="330" spans="1:10">
      <c r="A330" t="s">
        <v>1064</v>
      </c>
      <c r="B330">
        <v>41624</v>
      </c>
      <c r="C330" t="s">
        <v>1065</v>
      </c>
      <c r="D330" s="77">
        <v>344362.09</v>
      </c>
      <c r="E330" s="77">
        <v>263962.89</v>
      </c>
      <c r="F330" s="77">
        <v>0</v>
      </c>
      <c r="G330" s="77">
        <v>263962.89</v>
      </c>
      <c r="H330" s="77">
        <v>608324.98</v>
      </c>
      <c r="I330" s="112">
        <f t="shared" si="10"/>
        <v>263.96289000000002</v>
      </c>
      <c r="J330" s="77">
        <f t="shared" si="11"/>
        <v>264</v>
      </c>
    </row>
    <row r="331" spans="1:10">
      <c r="A331" t="s">
        <v>1066</v>
      </c>
      <c r="B331">
        <v>41626</v>
      </c>
      <c r="C331" t="s">
        <v>1067</v>
      </c>
      <c r="D331" s="77">
        <v>72367.44</v>
      </c>
      <c r="E331" s="77">
        <v>267998.90000000002</v>
      </c>
      <c r="F331" s="77">
        <v>-10364.120000000001</v>
      </c>
      <c r="G331" s="77">
        <v>257634.78</v>
      </c>
      <c r="H331" s="77">
        <v>330002.21999999997</v>
      </c>
      <c r="I331" s="112">
        <f t="shared" si="10"/>
        <v>257.63477999999998</v>
      </c>
      <c r="J331" s="77">
        <f t="shared" si="11"/>
        <v>258</v>
      </c>
    </row>
    <row r="332" spans="1:10">
      <c r="A332" t="s">
        <v>1068</v>
      </c>
      <c r="B332">
        <v>41627</v>
      </c>
      <c r="C332" t="s">
        <v>1069</v>
      </c>
      <c r="D332" s="77">
        <v>417022.32</v>
      </c>
      <c r="E332" s="77">
        <v>415710.84</v>
      </c>
      <c r="F332" s="77">
        <v>0</v>
      </c>
      <c r="G332" s="77">
        <v>415710.84</v>
      </c>
      <c r="H332" s="77">
        <v>832733.16</v>
      </c>
      <c r="I332" s="112">
        <f t="shared" si="10"/>
        <v>415.71084000000002</v>
      </c>
      <c r="J332" s="77">
        <f t="shared" si="11"/>
        <v>416</v>
      </c>
    </row>
    <row r="333" spans="1:10">
      <c r="A333" t="s">
        <v>1070</v>
      </c>
      <c r="B333">
        <v>416210</v>
      </c>
      <c r="C333" t="s">
        <v>1071</v>
      </c>
      <c r="D333" s="77">
        <v>66264</v>
      </c>
      <c r="E333" s="77">
        <v>149366.47</v>
      </c>
      <c r="F333" s="77">
        <v>0</v>
      </c>
      <c r="G333" s="77">
        <v>149366.47</v>
      </c>
      <c r="H333" s="77">
        <v>215630.47</v>
      </c>
      <c r="I333" s="112">
        <f t="shared" si="10"/>
        <v>149.36646999999999</v>
      </c>
      <c r="J333" s="77">
        <f t="shared" si="11"/>
        <v>149</v>
      </c>
    </row>
    <row r="334" spans="1:10">
      <c r="A334" t="s">
        <v>5189</v>
      </c>
      <c r="B334">
        <v>416220</v>
      </c>
      <c r="C334" t="s">
        <v>456</v>
      </c>
      <c r="D334" s="77">
        <v>188653.17</v>
      </c>
      <c r="E334" s="77">
        <v>6384.96</v>
      </c>
      <c r="F334" s="77">
        <v>-195038.13</v>
      </c>
      <c r="G334" s="77">
        <v>-188653.17</v>
      </c>
      <c r="H334" s="77">
        <v>0</v>
      </c>
      <c r="I334" s="112">
        <f t="shared" si="10"/>
        <v>-188.65317000000002</v>
      </c>
      <c r="J334" s="77">
        <f t="shared" si="11"/>
        <v>-189</v>
      </c>
    </row>
    <row r="335" spans="1:10" s="84" customFormat="1">
      <c r="A335" t="s">
        <v>5190</v>
      </c>
      <c r="B335">
        <v>416221</v>
      </c>
      <c r="C335" t="s">
        <v>456</v>
      </c>
      <c r="D335" s="77">
        <v>0</v>
      </c>
      <c r="E335" s="77">
        <v>233347.89</v>
      </c>
      <c r="F335" s="77">
        <v>-44694.720000000001</v>
      </c>
      <c r="G335" s="77">
        <v>188653.17</v>
      </c>
      <c r="H335" s="77">
        <v>188653.17</v>
      </c>
      <c r="I335" s="112">
        <f t="shared" si="10"/>
        <v>188.65317000000002</v>
      </c>
      <c r="J335" s="77">
        <f t="shared" si="11"/>
        <v>189</v>
      </c>
    </row>
    <row r="336" spans="1:10" s="84" customFormat="1">
      <c r="A336" t="s">
        <v>1072</v>
      </c>
      <c r="B336">
        <v>42</v>
      </c>
      <c r="C336" t="s">
        <v>1073</v>
      </c>
      <c r="D336" s="77">
        <v>17264250.829999998</v>
      </c>
      <c r="E336" s="77">
        <v>19830738.890000001</v>
      </c>
      <c r="F336" s="77">
        <v>-769998.76</v>
      </c>
      <c r="G336" s="77">
        <v>19060740.129999999</v>
      </c>
      <c r="H336" s="77">
        <v>36324990.960000001</v>
      </c>
      <c r="I336" s="112">
        <f t="shared" si="10"/>
        <v>19060.740129999998</v>
      </c>
      <c r="J336" s="77">
        <f t="shared" si="11"/>
        <v>19061</v>
      </c>
    </row>
    <row r="337" spans="1:10">
      <c r="A337" t="s">
        <v>1074</v>
      </c>
      <c r="B337">
        <v>421</v>
      </c>
      <c r="C337" t="s">
        <v>1075</v>
      </c>
      <c r="D337" s="77">
        <v>11699486.33</v>
      </c>
      <c r="E337" s="77">
        <v>12947727.16</v>
      </c>
      <c r="F337" s="77">
        <v>-180163.89</v>
      </c>
      <c r="G337" s="77">
        <v>12767563.27</v>
      </c>
      <c r="H337" s="77">
        <v>24467049.600000001</v>
      </c>
      <c r="I337" s="112">
        <f t="shared" si="10"/>
        <v>12767.563269999999</v>
      </c>
      <c r="J337" s="77">
        <f t="shared" si="11"/>
        <v>12768</v>
      </c>
    </row>
    <row r="338" spans="1:10">
      <c r="A338" t="s">
        <v>1076</v>
      </c>
      <c r="B338">
        <v>4211</v>
      </c>
      <c r="C338" t="s">
        <v>976</v>
      </c>
      <c r="D338" s="77">
        <v>8055428.2000000002</v>
      </c>
      <c r="E338" s="77">
        <v>8882629.1699999999</v>
      </c>
      <c r="F338" s="77">
        <f>-119135.31</f>
        <v>-119135.31</v>
      </c>
      <c r="G338" s="77">
        <f>8763493.86+2000</f>
        <v>8765493.8599999994</v>
      </c>
      <c r="H338" s="77">
        <v>16818922.059999999</v>
      </c>
      <c r="I338" s="112">
        <f t="shared" si="10"/>
        <v>8765.4938599999987</v>
      </c>
      <c r="J338" s="77">
        <f t="shared" si="11"/>
        <v>8765</v>
      </c>
    </row>
    <row r="339" spans="1:10">
      <c r="A339" t="s">
        <v>1077</v>
      </c>
      <c r="B339">
        <v>42111</v>
      </c>
      <c r="C339" t="s">
        <v>978</v>
      </c>
      <c r="D339" s="77">
        <v>6561727.1399999997</v>
      </c>
      <c r="E339" s="77">
        <v>6936448.7599999998</v>
      </c>
      <c r="F339" s="77">
        <v>-43681.65</v>
      </c>
      <c r="G339" s="77">
        <v>6892767.1100000003</v>
      </c>
      <c r="H339" s="77">
        <v>13454494.25</v>
      </c>
      <c r="I339" s="112">
        <f t="shared" si="10"/>
        <v>6892.7671100000007</v>
      </c>
      <c r="J339" s="77">
        <f t="shared" si="11"/>
        <v>6893</v>
      </c>
    </row>
    <row r="340" spans="1:10">
      <c r="A340" t="s">
        <v>1078</v>
      </c>
      <c r="B340">
        <v>42117</v>
      </c>
      <c r="C340" t="s">
        <v>980</v>
      </c>
      <c r="D340" s="77">
        <v>756674.52</v>
      </c>
      <c r="E340" s="77">
        <v>1163348.48</v>
      </c>
      <c r="F340" s="77">
        <v>-75453.66</v>
      </c>
      <c r="G340" s="77">
        <v>1087894.82</v>
      </c>
      <c r="H340" s="77">
        <v>1844569.34</v>
      </c>
      <c r="I340" s="112">
        <f t="shared" si="10"/>
        <v>1087.89482</v>
      </c>
      <c r="J340" s="77">
        <f t="shared" si="11"/>
        <v>1088</v>
      </c>
    </row>
    <row r="341" spans="1:10" s="84" customFormat="1">
      <c r="A341" t="s">
        <v>1079</v>
      </c>
      <c r="B341">
        <v>42118</v>
      </c>
      <c r="C341" t="s">
        <v>982</v>
      </c>
      <c r="D341" s="77">
        <v>119448.54</v>
      </c>
      <c r="E341" s="77">
        <v>69855.08</v>
      </c>
      <c r="F341" s="77">
        <v>0</v>
      </c>
      <c r="G341" s="77">
        <v>69855.08</v>
      </c>
      <c r="H341" s="77">
        <v>189303.62</v>
      </c>
      <c r="I341" s="112">
        <f t="shared" si="10"/>
        <v>69.855080000000001</v>
      </c>
      <c r="J341" s="77">
        <f t="shared" si="11"/>
        <v>70</v>
      </c>
    </row>
    <row r="342" spans="1:10" s="84" customFormat="1">
      <c r="A342" t="s">
        <v>1080</v>
      </c>
      <c r="B342">
        <v>42119</v>
      </c>
      <c r="C342" t="s">
        <v>1081</v>
      </c>
      <c r="D342" s="77">
        <v>589719.13</v>
      </c>
      <c r="E342" s="77">
        <v>673859.04</v>
      </c>
      <c r="F342" s="77">
        <v>0</v>
      </c>
      <c r="G342" s="77">
        <v>673859.04</v>
      </c>
      <c r="H342" s="77">
        <v>1263578.17</v>
      </c>
      <c r="I342" s="112">
        <f t="shared" si="10"/>
        <v>673.85904000000005</v>
      </c>
      <c r="J342" s="77">
        <f t="shared" si="11"/>
        <v>674</v>
      </c>
    </row>
    <row r="343" spans="1:10">
      <c r="A343" t="s">
        <v>1083</v>
      </c>
      <c r="B343">
        <v>421112</v>
      </c>
      <c r="C343" t="s">
        <v>988</v>
      </c>
      <c r="D343" s="77">
        <v>0</v>
      </c>
      <c r="E343" s="77">
        <v>14973.46</v>
      </c>
      <c r="F343" s="77">
        <v>0</v>
      </c>
      <c r="G343" s="77">
        <v>14973.46</v>
      </c>
      <c r="H343" s="77">
        <v>14973.46</v>
      </c>
      <c r="I343" s="112">
        <f t="shared" si="10"/>
        <v>14.973459999999999</v>
      </c>
      <c r="J343" s="77">
        <f t="shared" si="11"/>
        <v>15</v>
      </c>
    </row>
    <row r="344" spans="1:10" s="84" customFormat="1">
      <c r="A344" t="s">
        <v>5207</v>
      </c>
      <c r="B344">
        <v>421114</v>
      </c>
      <c r="C344" t="s">
        <v>990</v>
      </c>
      <c r="D344" s="77">
        <v>27858.87</v>
      </c>
      <c r="E344" s="77">
        <v>24144.35</v>
      </c>
      <c r="F344" s="77">
        <v>0</v>
      </c>
      <c r="G344" s="77">
        <v>24144.35</v>
      </c>
      <c r="H344" s="77">
        <v>52003.22</v>
      </c>
      <c r="I344" s="112">
        <f t="shared" si="10"/>
        <v>24.144349999999999</v>
      </c>
      <c r="J344" s="77">
        <f t="shared" si="11"/>
        <v>24</v>
      </c>
    </row>
    <row r="345" spans="1:10">
      <c r="A345" t="s">
        <v>1084</v>
      </c>
      <c r="B345">
        <v>4212</v>
      </c>
      <c r="C345" t="s">
        <v>8</v>
      </c>
      <c r="D345" s="77">
        <v>2396270.25</v>
      </c>
      <c r="E345" s="77">
        <v>2671276.62</v>
      </c>
      <c r="F345" s="77">
        <v>-52406.03</v>
      </c>
      <c r="G345" s="77">
        <v>2618870.59</v>
      </c>
      <c r="H345" s="77">
        <v>5015140.84</v>
      </c>
      <c r="I345" s="112">
        <f t="shared" si="10"/>
        <v>2618.87059</v>
      </c>
      <c r="J345" s="77">
        <f t="shared" si="11"/>
        <v>2619</v>
      </c>
    </row>
    <row r="346" spans="1:10" s="84" customFormat="1">
      <c r="A346" t="s">
        <v>1085</v>
      </c>
      <c r="B346">
        <v>42121</v>
      </c>
      <c r="C346" t="s">
        <v>874</v>
      </c>
      <c r="D346" s="77">
        <v>1444830.36</v>
      </c>
      <c r="E346" s="77">
        <v>1566772.34</v>
      </c>
      <c r="F346" s="77">
        <v>0</v>
      </c>
      <c r="G346" s="77">
        <v>1566772.34</v>
      </c>
      <c r="H346" s="77">
        <v>3011602.7</v>
      </c>
      <c r="I346" s="112">
        <f t="shared" si="10"/>
        <v>1566.77234</v>
      </c>
      <c r="J346" s="77">
        <f t="shared" si="11"/>
        <v>1567</v>
      </c>
    </row>
    <row r="347" spans="1:10">
      <c r="A347" t="s">
        <v>1086</v>
      </c>
      <c r="B347">
        <v>42122</v>
      </c>
      <c r="C347" t="s">
        <v>198</v>
      </c>
      <c r="D347" s="77">
        <v>519542.83</v>
      </c>
      <c r="E347" s="77">
        <v>551886.78</v>
      </c>
      <c r="F347" s="77">
        <v>0</v>
      </c>
      <c r="G347" s="77">
        <v>551886.78</v>
      </c>
      <c r="H347" s="77">
        <v>1071429.6100000001</v>
      </c>
      <c r="I347" s="112">
        <f t="shared" si="10"/>
        <v>551.88678000000004</v>
      </c>
      <c r="J347" s="77">
        <f t="shared" si="11"/>
        <v>552</v>
      </c>
    </row>
    <row r="348" spans="1:10" s="84" customFormat="1">
      <c r="A348" t="s">
        <v>1087</v>
      </c>
      <c r="B348">
        <v>42124</v>
      </c>
      <c r="C348" t="s">
        <v>995</v>
      </c>
      <c r="D348" s="77">
        <v>130442.88</v>
      </c>
      <c r="E348" s="77">
        <v>149655.01999999999</v>
      </c>
      <c r="F348" s="77">
        <v>0</v>
      </c>
      <c r="G348" s="77">
        <v>149655.01999999999</v>
      </c>
      <c r="H348" s="77">
        <v>280097.90000000002</v>
      </c>
      <c r="I348" s="112">
        <f t="shared" si="10"/>
        <v>149.65501999999998</v>
      </c>
      <c r="J348" s="77">
        <f t="shared" si="11"/>
        <v>150</v>
      </c>
    </row>
    <row r="349" spans="1:10" s="84" customFormat="1">
      <c r="A349" t="s">
        <v>1088</v>
      </c>
      <c r="B349">
        <v>42125</v>
      </c>
      <c r="C349" t="s">
        <v>997</v>
      </c>
      <c r="D349" s="77">
        <v>196134.45</v>
      </c>
      <c r="E349" s="77">
        <v>257814.11</v>
      </c>
      <c r="F349" s="77">
        <v>-39422.080000000002</v>
      </c>
      <c r="G349" s="77">
        <v>218392.03</v>
      </c>
      <c r="H349" s="77">
        <v>414526.48</v>
      </c>
      <c r="I349" s="112">
        <f t="shared" si="10"/>
        <v>218.39203000000001</v>
      </c>
      <c r="J349" s="77">
        <f t="shared" si="11"/>
        <v>218</v>
      </c>
    </row>
    <row r="350" spans="1:10">
      <c r="A350" t="s">
        <v>1089</v>
      </c>
      <c r="B350">
        <v>42126</v>
      </c>
      <c r="C350" t="s">
        <v>999</v>
      </c>
      <c r="D350" s="77">
        <v>77523.899999999994</v>
      </c>
      <c r="E350" s="77">
        <v>91832.61</v>
      </c>
      <c r="F350" s="77">
        <v>-12983.95</v>
      </c>
      <c r="G350" s="77">
        <v>78848.66</v>
      </c>
      <c r="H350" s="77">
        <v>156372.56</v>
      </c>
      <c r="I350" s="112">
        <f t="shared" si="10"/>
        <v>78.84866000000001</v>
      </c>
      <c r="J350" s="77">
        <f t="shared" si="11"/>
        <v>79</v>
      </c>
    </row>
    <row r="351" spans="1:10">
      <c r="A351" t="s">
        <v>1090</v>
      </c>
      <c r="B351">
        <v>42127</v>
      </c>
      <c r="C351" t="s">
        <v>1001</v>
      </c>
      <c r="D351" s="77">
        <v>27795.83</v>
      </c>
      <c r="E351" s="77">
        <v>53315.76</v>
      </c>
      <c r="F351" s="77">
        <v>0</v>
      </c>
      <c r="G351" s="77">
        <v>53315.76</v>
      </c>
      <c r="H351" s="77">
        <v>81111.59</v>
      </c>
      <c r="I351" s="112">
        <f t="shared" si="10"/>
        <v>53.315760000000004</v>
      </c>
      <c r="J351" s="77">
        <f t="shared" si="11"/>
        <v>53</v>
      </c>
    </row>
    <row r="352" spans="1:10">
      <c r="A352" t="s">
        <v>1091</v>
      </c>
      <c r="B352">
        <v>4213</v>
      </c>
      <c r="C352" t="s">
        <v>9</v>
      </c>
      <c r="D352" s="77">
        <v>1247787.8799999999</v>
      </c>
      <c r="E352" s="77">
        <v>1393821.37</v>
      </c>
      <c r="F352" s="77">
        <v>-8622.5499999999993</v>
      </c>
      <c r="G352" s="77">
        <v>1385198.82</v>
      </c>
      <c r="H352" s="77">
        <v>2632986.7000000002</v>
      </c>
      <c r="I352" s="112">
        <f t="shared" si="10"/>
        <v>1385.1988200000001</v>
      </c>
      <c r="J352" s="77">
        <f t="shared" si="11"/>
        <v>1385</v>
      </c>
    </row>
    <row r="353" spans="1:10">
      <c r="A353" t="s">
        <v>1092</v>
      </c>
      <c r="B353">
        <v>42131</v>
      </c>
      <c r="C353" t="s">
        <v>907</v>
      </c>
      <c r="D353" s="77">
        <v>443295.12</v>
      </c>
      <c r="E353" s="77">
        <v>465886.48</v>
      </c>
      <c r="F353" s="77">
        <v>0</v>
      </c>
      <c r="G353" s="77">
        <v>465886.48</v>
      </c>
      <c r="H353" s="77">
        <v>909181.6</v>
      </c>
      <c r="I353" s="112">
        <f t="shared" si="10"/>
        <v>465.88648000000001</v>
      </c>
      <c r="J353" s="77">
        <f t="shared" si="11"/>
        <v>466</v>
      </c>
    </row>
    <row r="354" spans="1:10">
      <c r="A354" t="s">
        <v>1093</v>
      </c>
      <c r="B354">
        <v>42132</v>
      </c>
      <c r="C354" t="s">
        <v>1005</v>
      </c>
      <c r="D354" s="77">
        <v>385940.33</v>
      </c>
      <c r="E354" s="77">
        <v>449825.27</v>
      </c>
      <c r="F354" s="77">
        <v>-162.51</v>
      </c>
      <c r="G354" s="77">
        <v>449662.76</v>
      </c>
      <c r="H354" s="77">
        <v>835603.09</v>
      </c>
      <c r="I354" s="112">
        <f t="shared" si="10"/>
        <v>449.66275999999999</v>
      </c>
      <c r="J354" s="77">
        <f t="shared" si="11"/>
        <v>450</v>
      </c>
    </row>
    <row r="355" spans="1:10">
      <c r="A355" t="s">
        <v>1094</v>
      </c>
      <c r="B355">
        <v>42133</v>
      </c>
      <c r="C355" t="s">
        <v>1007</v>
      </c>
      <c r="D355" s="77">
        <v>5513.92</v>
      </c>
      <c r="E355" s="77">
        <v>11608.18</v>
      </c>
      <c r="F355" s="77">
        <v>-5106.8100000000004</v>
      </c>
      <c r="G355" s="77">
        <v>6501.37</v>
      </c>
      <c r="H355" s="77">
        <v>12015.29</v>
      </c>
      <c r="I355" s="112">
        <f t="shared" si="10"/>
        <v>6.5013699999999996</v>
      </c>
      <c r="J355" s="77">
        <f t="shared" si="11"/>
        <v>7</v>
      </c>
    </row>
    <row r="356" spans="1:10">
      <c r="A356" t="s">
        <v>1095</v>
      </c>
      <c r="B356">
        <v>42134</v>
      </c>
      <c r="C356" t="s">
        <v>1096</v>
      </c>
      <c r="D356" s="77">
        <v>66240.960000000006</v>
      </c>
      <c r="E356" s="77">
        <v>64411.86</v>
      </c>
      <c r="F356" s="77">
        <v>0</v>
      </c>
      <c r="G356" s="77">
        <v>64411.86</v>
      </c>
      <c r="H356" s="77">
        <v>130652.82</v>
      </c>
      <c r="I356" s="112">
        <f t="shared" si="10"/>
        <v>64.411860000000004</v>
      </c>
      <c r="J356" s="77">
        <f t="shared" si="11"/>
        <v>64</v>
      </c>
    </row>
    <row r="357" spans="1:10">
      <c r="A357" t="s">
        <v>1097</v>
      </c>
      <c r="B357">
        <v>42135</v>
      </c>
      <c r="C357" t="s">
        <v>1009</v>
      </c>
      <c r="D357" s="77">
        <v>68189.490000000005</v>
      </c>
      <c r="E357" s="77">
        <v>72136.89</v>
      </c>
      <c r="F357" s="77">
        <v>0</v>
      </c>
      <c r="G357" s="77">
        <v>72136.89</v>
      </c>
      <c r="H357" s="77">
        <v>140326.38</v>
      </c>
      <c r="I357" s="112">
        <f t="shared" si="10"/>
        <v>72.136889999999994</v>
      </c>
      <c r="J357" s="77">
        <f t="shared" si="11"/>
        <v>72</v>
      </c>
    </row>
    <row r="358" spans="1:10">
      <c r="A358" t="s">
        <v>1098</v>
      </c>
      <c r="B358">
        <v>42136</v>
      </c>
      <c r="C358" t="s">
        <v>1011</v>
      </c>
      <c r="D358" s="77">
        <v>251228.94</v>
      </c>
      <c r="E358" s="77">
        <v>261172.27</v>
      </c>
      <c r="F358" s="77">
        <v>-856.73</v>
      </c>
      <c r="G358" s="77">
        <v>260315.54</v>
      </c>
      <c r="H358" s="77">
        <v>511544.48</v>
      </c>
      <c r="I358" s="112">
        <f t="shared" si="10"/>
        <v>260.31554</v>
      </c>
      <c r="J358" s="77">
        <f t="shared" si="11"/>
        <v>260</v>
      </c>
    </row>
    <row r="359" spans="1:10">
      <c r="A359" t="s">
        <v>1099</v>
      </c>
      <c r="B359">
        <v>421310</v>
      </c>
      <c r="C359" t="s">
        <v>1013</v>
      </c>
      <c r="D359" s="77">
        <v>2120.39</v>
      </c>
      <c r="E359" s="77">
        <v>6190.6</v>
      </c>
      <c r="F359" s="77">
        <v>-2496.5</v>
      </c>
      <c r="G359" s="77">
        <v>3694.1</v>
      </c>
      <c r="H359" s="77">
        <v>5814.49</v>
      </c>
      <c r="I359" s="112">
        <f t="shared" si="10"/>
        <v>3.6940999999999997</v>
      </c>
      <c r="J359" s="77">
        <f t="shared" si="11"/>
        <v>4</v>
      </c>
    </row>
    <row r="360" spans="1:10">
      <c r="A360" t="s">
        <v>1100</v>
      </c>
      <c r="B360">
        <v>421311</v>
      </c>
      <c r="C360" t="s">
        <v>1015</v>
      </c>
      <c r="D360" s="77">
        <v>25258.73</v>
      </c>
      <c r="E360" s="77">
        <v>37770.06</v>
      </c>
      <c r="F360" s="77">
        <v>0</v>
      </c>
      <c r="G360" s="77">
        <v>37770.06</v>
      </c>
      <c r="H360" s="77">
        <v>63028.79</v>
      </c>
      <c r="I360" s="112">
        <f t="shared" si="10"/>
        <v>37.770060000000001</v>
      </c>
      <c r="J360" s="77">
        <f t="shared" si="11"/>
        <v>38</v>
      </c>
    </row>
    <row r="361" spans="1:10">
      <c r="A361" t="s">
        <v>5216</v>
      </c>
      <c r="B361">
        <v>421313</v>
      </c>
      <c r="C361" t="s">
        <v>5073</v>
      </c>
      <c r="D361" s="77">
        <v>0</v>
      </c>
      <c r="E361" s="77">
        <v>24819.759999999998</v>
      </c>
      <c r="F361" s="77">
        <v>0</v>
      </c>
      <c r="G361" s="77">
        <v>24819.759999999998</v>
      </c>
      <c r="H361" s="77">
        <v>24819.759999999998</v>
      </c>
      <c r="I361" s="112">
        <f t="shared" si="10"/>
        <v>24.819759999999999</v>
      </c>
      <c r="J361" s="77">
        <f t="shared" si="11"/>
        <v>25</v>
      </c>
    </row>
    <row r="362" spans="1:10">
      <c r="A362" t="s">
        <v>22</v>
      </c>
      <c r="B362">
        <v>422</v>
      </c>
      <c r="C362" t="s">
        <v>1101</v>
      </c>
      <c r="D362" s="77">
        <v>16418.47</v>
      </c>
      <c r="E362" s="77">
        <v>5228.3100000000004</v>
      </c>
      <c r="F362" s="77">
        <v>0</v>
      </c>
      <c r="G362" s="77">
        <v>5228.3100000000004</v>
      </c>
      <c r="H362" s="77">
        <v>21646.78</v>
      </c>
      <c r="I362" s="112">
        <f t="shared" si="10"/>
        <v>5.2283100000000005</v>
      </c>
      <c r="J362" s="77">
        <f t="shared" si="11"/>
        <v>5</v>
      </c>
    </row>
    <row r="363" spans="1:10">
      <c r="A363" t="s">
        <v>1102</v>
      </c>
      <c r="B363">
        <v>4221</v>
      </c>
      <c r="C363" t="s">
        <v>1103</v>
      </c>
      <c r="D363" s="77">
        <v>16418.47</v>
      </c>
      <c r="E363" s="77">
        <v>5228.3100000000004</v>
      </c>
      <c r="F363" s="77">
        <v>0</v>
      </c>
      <c r="G363" s="77">
        <v>5228.3100000000004</v>
      </c>
      <c r="H363" s="77">
        <v>21646.78</v>
      </c>
      <c r="I363" s="112">
        <f t="shared" si="10"/>
        <v>5.2283100000000005</v>
      </c>
      <c r="J363" s="77">
        <f t="shared" si="11"/>
        <v>5</v>
      </c>
    </row>
    <row r="364" spans="1:10">
      <c r="A364" t="s">
        <v>1104</v>
      </c>
      <c r="B364">
        <v>42211</v>
      </c>
      <c r="C364" t="s">
        <v>1105</v>
      </c>
      <c r="D364" s="77">
        <v>16418.47</v>
      </c>
      <c r="E364" s="77">
        <v>5228.3100000000004</v>
      </c>
      <c r="F364" s="77">
        <v>0</v>
      </c>
      <c r="G364" s="77">
        <v>5228.3100000000004</v>
      </c>
      <c r="H364" s="77">
        <v>21646.78</v>
      </c>
      <c r="I364" s="112">
        <f t="shared" si="10"/>
        <v>5.2283100000000005</v>
      </c>
      <c r="J364" s="77">
        <f t="shared" si="11"/>
        <v>5</v>
      </c>
    </row>
    <row r="365" spans="1:10">
      <c r="A365" t="s">
        <v>1106</v>
      </c>
      <c r="B365">
        <v>423</v>
      </c>
      <c r="C365" t="s">
        <v>1107</v>
      </c>
      <c r="D365" s="77">
        <v>2070237.21</v>
      </c>
      <c r="E365" s="77">
        <v>3122337.64</v>
      </c>
      <c r="F365" s="77">
        <v>-290048.57</v>
      </c>
      <c r="G365" s="77">
        <v>2832289.07</v>
      </c>
      <c r="H365" s="77">
        <v>4902526.28</v>
      </c>
      <c r="I365" s="112">
        <f t="shared" si="10"/>
        <v>2832.2890699999998</v>
      </c>
      <c r="J365" s="77">
        <f t="shared" si="11"/>
        <v>2832</v>
      </c>
    </row>
    <row r="366" spans="1:10">
      <c r="A366" t="s">
        <v>23</v>
      </c>
      <c r="B366">
        <v>4231</v>
      </c>
      <c r="C366" t="s">
        <v>1107</v>
      </c>
      <c r="D366" s="77">
        <v>2070237.21</v>
      </c>
      <c r="E366" s="77">
        <v>3122337.64</v>
      </c>
      <c r="F366" s="77">
        <v>-290048.57</v>
      </c>
      <c r="G366" s="77">
        <v>2832289.07</v>
      </c>
      <c r="H366" s="77">
        <v>4902526.28</v>
      </c>
      <c r="I366" s="112">
        <f t="shared" si="10"/>
        <v>2832.2890699999998</v>
      </c>
      <c r="J366" s="77">
        <f t="shared" si="11"/>
        <v>2832</v>
      </c>
    </row>
    <row r="367" spans="1:10">
      <c r="A367" t="s">
        <v>1108</v>
      </c>
      <c r="B367">
        <v>42311</v>
      </c>
      <c r="C367" t="s">
        <v>1023</v>
      </c>
      <c r="D367" s="77">
        <v>0</v>
      </c>
      <c r="E367" s="77">
        <v>28939</v>
      </c>
      <c r="F367" s="77">
        <v>0</v>
      </c>
      <c r="G367" s="77">
        <v>28939</v>
      </c>
      <c r="H367" s="77">
        <v>28939</v>
      </c>
      <c r="I367" s="112">
        <f t="shared" si="10"/>
        <v>28.939</v>
      </c>
      <c r="J367" s="77">
        <f t="shared" si="11"/>
        <v>29</v>
      </c>
    </row>
    <row r="368" spans="1:10">
      <c r="A368" t="s">
        <v>1109</v>
      </c>
      <c r="B368">
        <v>42312</v>
      </c>
      <c r="C368" t="s">
        <v>1025</v>
      </c>
      <c r="D368" s="77">
        <v>353633.99</v>
      </c>
      <c r="E368" s="77">
        <v>640886.97</v>
      </c>
      <c r="F368" s="77">
        <v>-180000</v>
      </c>
      <c r="G368" s="77">
        <v>460886.97</v>
      </c>
      <c r="H368" s="77">
        <v>814520.96</v>
      </c>
      <c r="I368" s="112">
        <f t="shared" si="10"/>
        <v>460.88696999999996</v>
      </c>
      <c r="J368" s="77">
        <f t="shared" si="11"/>
        <v>461</v>
      </c>
    </row>
    <row r="369" spans="1:10">
      <c r="A369" t="s">
        <v>1110</v>
      </c>
      <c r="B369">
        <v>42313</v>
      </c>
      <c r="C369" t="s">
        <v>1111</v>
      </c>
      <c r="D369" s="77">
        <v>136565.04</v>
      </c>
      <c r="E369" s="77">
        <v>202786.93</v>
      </c>
      <c r="F369" s="77">
        <v>-62.46</v>
      </c>
      <c r="G369" s="77">
        <v>202724.47</v>
      </c>
      <c r="H369" s="77">
        <v>339289.51</v>
      </c>
      <c r="I369" s="112">
        <f t="shared" si="10"/>
        <v>202.72447</v>
      </c>
      <c r="J369" s="77">
        <f t="shared" si="11"/>
        <v>203</v>
      </c>
    </row>
    <row r="370" spans="1:10">
      <c r="A370" t="s">
        <v>1112</v>
      </c>
      <c r="B370">
        <v>42315</v>
      </c>
      <c r="C370" t="s">
        <v>1027</v>
      </c>
      <c r="D370" s="77">
        <v>115290.48</v>
      </c>
      <c r="E370" s="77">
        <v>496703.15</v>
      </c>
      <c r="F370" s="77">
        <v>-81127.31</v>
      </c>
      <c r="G370" s="77">
        <v>415575.84</v>
      </c>
      <c r="H370" s="77">
        <v>530866.31999999995</v>
      </c>
      <c r="I370" s="112">
        <f t="shared" si="10"/>
        <v>415.57584000000003</v>
      </c>
      <c r="J370" s="77">
        <f t="shared" si="11"/>
        <v>416</v>
      </c>
    </row>
    <row r="371" spans="1:10">
      <c r="A371" t="s">
        <v>1113</v>
      </c>
      <c r="B371">
        <v>42316</v>
      </c>
      <c r="C371" t="s">
        <v>1114</v>
      </c>
      <c r="D371" s="77">
        <v>1043</v>
      </c>
      <c r="E371" s="77">
        <v>179.9</v>
      </c>
      <c r="F371" s="77">
        <v>0</v>
      </c>
      <c r="G371" s="77">
        <v>179.9</v>
      </c>
      <c r="H371" s="77">
        <v>1222.9000000000001</v>
      </c>
      <c r="I371" s="112">
        <f t="shared" si="10"/>
        <v>0.1799</v>
      </c>
      <c r="J371" s="77">
        <f t="shared" si="11"/>
        <v>0</v>
      </c>
    </row>
    <row r="372" spans="1:10">
      <c r="A372" t="s">
        <v>1115</v>
      </c>
      <c r="B372">
        <v>42317</v>
      </c>
      <c r="C372" t="s">
        <v>1116</v>
      </c>
      <c r="D372" s="77">
        <v>123302.49</v>
      </c>
      <c r="E372" s="77">
        <v>337822.94</v>
      </c>
      <c r="F372" s="77">
        <v>-8525</v>
      </c>
      <c r="G372" s="77">
        <v>329297.94</v>
      </c>
      <c r="H372" s="77">
        <v>452600.43</v>
      </c>
      <c r="I372" s="112">
        <f t="shared" si="10"/>
        <v>329.29793999999998</v>
      </c>
      <c r="J372" s="77">
        <f t="shared" si="11"/>
        <v>329</v>
      </c>
    </row>
    <row r="373" spans="1:10">
      <c r="A373" t="s">
        <v>1117</v>
      </c>
      <c r="B373">
        <v>42318</v>
      </c>
      <c r="C373" t="s">
        <v>1118</v>
      </c>
      <c r="D373" s="77">
        <v>60307.32</v>
      </c>
      <c r="E373" s="77">
        <v>86760.46</v>
      </c>
      <c r="F373" s="77">
        <v>-20333.8</v>
      </c>
      <c r="G373" s="77">
        <v>66426.66</v>
      </c>
      <c r="H373" s="77">
        <v>126733.98</v>
      </c>
      <c r="I373" s="112">
        <f t="shared" si="10"/>
        <v>66.426659999999998</v>
      </c>
      <c r="J373" s="77">
        <f t="shared" si="11"/>
        <v>66</v>
      </c>
    </row>
    <row r="374" spans="1:10">
      <c r="A374" t="s">
        <v>1119</v>
      </c>
      <c r="B374">
        <v>423113</v>
      </c>
      <c r="C374" t="s">
        <v>1120</v>
      </c>
      <c r="D374" s="77">
        <v>43278.41</v>
      </c>
      <c r="E374" s="77">
        <v>59315.26</v>
      </c>
      <c r="F374" s="77">
        <v>0</v>
      </c>
      <c r="G374" s="77">
        <v>59315.26</v>
      </c>
      <c r="H374" s="77">
        <v>102593.67</v>
      </c>
      <c r="I374" s="112">
        <f t="shared" si="10"/>
        <v>59.315260000000002</v>
      </c>
      <c r="J374" s="77">
        <f t="shared" si="11"/>
        <v>59</v>
      </c>
    </row>
    <row r="375" spans="1:10">
      <c r="A375" t="s">
        <v>1121</v>
      </c>
      <c r="B375">
        <v>423114</v>
      </c>
      <c r="C375" t="s">
        <v>1122</v>
      </c>
      <c r="D375" s="77">
        <v>998930.75</v>
      </c>
      <c r="E375" s="77">
        <v>1122165.72</v>
      </c>
      <c r="F375" s="77">
        <v>0</v>
      </c>
      <c r="G375" s="77">
        <v>1122165.72</v>
      </c>
      <c r="H375" s="77">
        <v>2121096.4700000002</v>
      </c>
      <c r="I375" s="112">
        <f t="shared" si="10"/>
        <v>1122.16572</v>
      </c>
      <c r="J375" s="77">
        <f t="shared" si="11"/>
        <v>1122</v>
      </c>
    </row>
    <row r="376" spans="1:10">
      <c r="A376" t="s">
        <v>1123</v>
      </c>
      <c r="B376">
        <v>423115</v>
      </c>
      <c r="C376" t="s">
        <v>1124</v>
      </c>
      <c r="D376" s="77">
        <v>14400</v>
      </c>
      <c r="E376" s="77">
        <v>15252</v>
      </c>
      <c r="F376" s="77">
        <v>0</v>
      </c>
      <c r="G376" s="77">
        <v>15252</v>
      </c>
      <c r="H376" s="77">
        <v>29652</v>
      </c>
      <c r="I376" s="112">
        <f t="shared" si="10"/>
        <v>15.252000000000001</v>
      </c>
      <c r="J376" s="77">
        <f t="shared" si="11"/>
        <v>15</v>
      </c>
    </row>
    <row r="377" spans="1:10">
      <c r="A377" t="s">
        <v>1125</v>
      </c>
      <c r="B377">
        <v>423117</v>
      </c>
      <c r="C377" t="s">
        <v>1126</v>
      </c>
      <c r="D377" s="77">
        <v>135288.34</v>
      </c>
      <c r="E377" s="77">
        <v>112405.29</v>
      </c>
      <c r="F377" s="77">
        <v>0</v>
      </c>
      <c r="G377" s="77">
        <v>112405.29</v>
      </c>
      <c r="H377" s="77">
        <v>247693.63</v>
      </c>
      <c r="I377" s="112">
        <f t="shared" si="10"/>
        <v>112.40528999999999</v>
      </c>
      <c r="J377" s="77">
        <f t="shared" si="11"/>
        <v>112</v>
      </c>
    </row>
    <row r="378" spans="1:10">
      <c r="A378" t="s">
        <v>5239</v>
      </c>
      <c r="B378">
        <v>423118</v>
      </c>
      <c r="C378" t="s">
        <v>5240</v>
      </c>
      <c r="D378" s="77">
        <v>84015.15</v>
      </c>
      <c r="E378" s="77">
        <v>6820.88</v>
      </c>
      <c r="F378" s="77">
        <v>0</v>
      </c>
      <c r="G378" s="77">
        <v>6820.88</v>
      </c>
      <c r="H378" s="77">
        <v>90836.03</v>
      </c>
      <c r="I378" s="112">
        <f t="shared" si="10"/>
        <v>6.8208799999999998</v>
      </c>
      <c r="J378" s="77">
        <f t="shared" si="11"/>
        <v>7</v>
      </c>
    </row>
    <row r="379" spans="1:10">
      <c r="A379" t="s">
        <v>1127</v>
      </c>
      <c r="B379">
        <v>423119</v>
      </c>
      <c r="C379" t="s">
        <v>1128</v>
      </c>
      <c r="D379" s="77">
        <v>4182.24</v>
      </c>
      <c r="E379" s="77">
        <v>12299.14</v>
      </c>
      <c r="F379" s="77">
        <v>0</v>
      </c>
      <c r="G379" s="77">
        <v>12299.14</v>
      </c>
      <c r="H379" s="77">
        <v>16481.38</v>
      </c>
      <c r="I379" s="112">
        <f t="shared" si="10"/>
        <v>12.29914</v>
      </c>
      <c r="J379" s="77">
        <f t="shared" si="11"/>
        <v>12</v>
      </c>
    </row>
    <row r="380" spans="1:10">
      <c r="A380" t="s">
        <v>24</v>
      </c>
      <c r="B380">
        <v>424</v>
      </c>
      <c r="C380" t="s">
        <v>1129</v>
      </c>
      <c r="D380" s="77">
        <v>340239.81</v>
      </c>
      <c r="E380" s="77">
        <v>113378.24000000001</v>
      </c>
      <c r="F380" s="77">
        <v>0</v>
      </c>
      <c r="G380" s="77">
        <v>113378.24000000001</v>
      </c>
      <c r="H380" s="77">
        <v>453618.05</v>
      </c>
      <c r="I380" s="112">
        <f t="shared" si="10"/>
        <v>113.37824000000001</v>
      </c>
      <c r="J380" s="77">
        <f t="shared" si="11"/>
        <v>113</v>
      </c>
    </row>
    <row r="381" spans="1:10">
      <c r="A381" t="s">
        <v>1130</v>
      </c>
      <c r="B381">
        <v>4241</v>
      </c>
      <c r="C381" t="s">
        <v>1131</v>
      </c>
      <c r="D381" s="77">
        <v>340239.81</v>
      </c>
      <c r="E381" s="77">
        <v>113378.24000000001</v>
      </c>
      <c r="F381" s="77">
        <v>0</v>
      </c>
      <c r="G381" s="77">
        <v>113378.24000000001</v>
      </c>
      <c r="H381" s="77">
        <v>453618.05</v>
      </c>
      <c r="I381" s="112">
        <f t="shared" si="10"/>
        <v>113.37824000000001</v>
      </c>
      <c r="J381" s="77">
        <f t="shared" si="11"/>
        <v>113</v>
      </c>
    </row>
    <row r="382" spans="1:10">
      <c r="A382" t="s">
        <v>1132</v>
      </c>
      <c r="B382">
        <v>42412</v>
      </c>
      <c r="C382" t="s">
        <v>1037</v>
      </c>
      <c r="D382" s="77">
        <v>35146.58</v>
      </c>
      <c r="E382" s="77">
        <v>35537.11</v>
      </c>
      <c r="F382" s="77">
        <v>0</v>
      </c>
      <c r="G382" s="77">
        <v>35537.11</v>
      </c>
      <c r="H382" s="77">
        <v>70683.69</v>
      </c>
      <c r="I382" s="112">
        <f t="shared" si="10"/>
        <v>35.537109999999998</v>
      </c>
      <c r="J382" s="77">
        <f t="shared" si="11"/>
        <v>36</v>
      </c>
    </row>
    <row r="383" spans="1:10">
      <c r="A383" t="s">
        <v>1133</v>
      </c>
      <c r="B383">
        <v>42415</v>
      </c>
      <c r="C383" t="s">
        <v>1134</v>
      </c>
      <c r="D383" s="77">
        <v>53774.06</v>
      </c>
      <c r="E383" s="77">
        <v>12724.78</v>
      </c>
      <c r="F383" s="77">
        <v>0</v>
      </c>
      <c r="G383" s="77">
        <v>12724.78</v>
      </c>
      <c r="H383" s="77">
        <v>66498.84</v>
      </c>
      <c r="I383" s="112">
        <f t="shared" si="10"/>
        <v>12.724780000000001</v>
      </c>
      <c r="J383" s="77">
        <f t="shared" si="11"/>
        <v>13</v>
      </c>
    </row>
    <row r="384" spans="1:10">
      <c r="A384" t="s">
        <v>1135</v>
      </c>
      <c r="B384">
        <v>42416</v>
      </c>
      <c r="C384" t="s">
        <v>1136</v>
      </c>
      <c r="D384" s="77">
        <v>250562.01</v>
      </c>
      <c r="E384" s="77">
        <v>61158.93</v>
      </c>
      <c r="F384" s="77">
        <v>0</v>
      </c>
      <c r="G384" s="77">
        <v>61158.93</v>
      </c>
      <c r="H384" s="77">
        <v>311720.94</v>
      </c>
      <c r="I384" s="112">
        <f t="shared" si="10"/>
        <v>61.158929999999998</v>
      </c>
      <c r="J384" s="77">
        <f t="shared" si="11"/>
        <v>61</v>
      </c>
    </row>
    <row r="385" spans="1:10">
      <c r="A385" t="s">
        <v>1137</v>
      </c>
      <c r="B385">
        <v>424112</v>
      </c>
      <c r="C385" t="s">
        <v>1039</v>
      </c>
      <c r="D385" s="77">
        <v>757.16</v>
      </c>
      <c r="E385" s="77">
        <v>3957.42</v>
      </c>
      <c r="F385" s="77">
        <v>0</v>
      </c>
      <c r="G385" s="77">
        <v>3957.42</v>
      </c>
      <c r="H385" s="77">
        <v>4714.58</v>
      </c>
      <c r="I385" s="112">
        <f t="shared" si="10"/>
        <v>3.9574199999999999</v>
      </c>
      <c r="J385" s="77">
        <f t="shared" si="11"/>
        <v>4</v>
      </c>
    </row>
    <row r="386" spans="1:10">
      <c r="A386" t="s">
        <v>1138</v>
      </c>
      <c r="B386">
        <v>425</v>
      </c>
      <c r="C386" t="s">
        <v>1139</v>
      </c>
      <c r="D386" s="77">
        <v>5889.27</v>
      </c>
      <c r="E386" s="77">
        <v>108.38</v>
      </c>
      <c r="F386" s="77">
        <v>0</v>
      </c>
      <c r="G386" s="77">
        <v>108.38</v>
      </c>
      <c r="H386" s="77">
        <v>5997.65</v>
      </c>
      <c r="I386" s="112">
        <f t="shared" si="10"/>
        <v>0.10837999999999999</v>
      </c>
      <c r="J386" s="77">
        <f t="shared" si="11"/>
        <v>0</v>
      </c>
    </row>
    <row r="387" spans="1:10">
      <c r="A387" t="s">
        <v>1144</v>
      </c>
      <c r="B387">
        <v>4252</v>
      </c>
      <c r="C387" t="s">
        <v>1145</v>
      </c>
      <c r="D387" s="77">
        <v>5889.27</v>
      </c>
      <c r="E387" s="77">
        <v>0</v>
      </c>
      <c r="F387" s="77">
        <v>0</v>
      </c>
      <c r="G387" s="77">
        <v>0</v>
      </c>
      <c r="H387" s="77">
        <v>5889.27</v>
      </c>
      <c r="I387" s="112">
        <f t="shared" si="10"/>
        <v>0</v>
      </c>
      <c r="J387" s="77">
        <f t="shared" si="11"/>
        <v>0</v>
      </c>
    </row>
    <row r="388" spans="1:10">
      <c r="A388" t="s">
        <v>1146</v>
      </c>
      <c r="B388">
        <v>42521</v>
      </c>
      <c r="C388" t="s">
        <v>1147</v>
      </c>
      <c r="D388" s="77">
        <v>5889.27</v>
      </c>
      <c r="E388" s="77">
        <v>0</v>
      </c>
      <c r="F388" s="77">
        <v>0</v>
      </c>
      <c r="G388" s="77">
        <v>0</v>
      </c>
      <c r="H388" s="77">
        <v>5889.27</v>
      </c>
      <c r="I388" s="112">
        <f t="shared" si="10"/>
        <v>0</v>
      </c>
      <c r="J388" s="77">
        <f t="shared" si="11"/>
        <v>0</v>
      </c>
    </row>
    <row r="389" spans="1:10">
      <c r="A389" t="s">
        <v>1148</v>
      </c>
      <c r="B389">
        <v>4254</v>
      </c>
      <c r="C389" t="s">
        <v>1149</v>
      </c>
      <c r="D389" s="77">
        <v>0</v>
      </c>
      <c r="E389" s="77">
        <v>108.38</v>
      </c>
      <c r="F389" s="77">
        <v>0</v>
      </c>
      <c r="G389" s="77">
        <v>108.38</v>
      </c>
      <c r="H389" s="77">
        <v>108.38</v>
      </c>
      <c r="I389" s="112">
        <f t="shared" si="10"/>
        <v>0.10837999999999999</v>
      </c>
      <c r="J389" s="77">
        <f t="shared" si="11"/>
        <v>0</v>
      </c>
    </row>
    <row r="390" spans="1:10">
      <c r="A390" t="s">
        <v>5274</v>
      </c>
      <c r="B390">
        <v>42542</v>
      </c>
      <c r="C390" t="s">
        <v>5153</v>
      </c>
      <c r="D390" s="77">
        <v>0</v>
      </c>
      <c r="E390" s="77">
        <v>108.38</v>
      </c>
      <c r="F390" s="77">
        <v>0</v>
      </c>
      <c r="G390" s="77">
        <v>108.38</v>
      </c>
      <c r="H390" s="77">
        <v>108.38</v>
      </c>
      <c r="I390" s="112">
        <f t="shared" si="10"/>
        <v>0.10837999999999999</v>
      </c>
      <c r="J390" s="77">
        <f t="shared" si="11"/>
        <v>0</v>
      </c>
    </row>
    <row r="391" spans="1:10">
      <c r="A391" t="s">
        <v>1152</v>
      </c>
      <c r="B391">
        <v>426</v>
      </c>
      <c r="C391" t="s">
        <v>1153</v>
      </c>
      <c r="D391" s="77">
        <v>2805215.43</v>
      </c>
      <c r="E391" s="77">
        <v>3202742.38</v>
      </c>
      <c r="F391" s="77">
        <v>-299786.3</v>
      </c>
      <c r="G391" s="77">
        <v>2902956.08</v>
      </c>
      <c r="H391" s="77">
        <v>5708171.5099999998</v>
      </c>
      <c r="I391" s="112">
        <f t="shared" si="10"/>
        <v>2902.9560799999999</v>
      </c>
      <c r="J391" s="77">
        <f t="shared" si="11"/>
        <v>2903</v>
      </c>
    </row>
    <row r="392" spans="1:10">
      <c r="A392" t="s">
        <v>25</v>
      </c>
      <c r="B392">
        <v>4261</v>
      </c>
      <c r="C392" t="s">
        <v>1154</v>
      </c>
      <c r="D392" s="77">
        <v>1633802.99</v>
      </c>
      <c r="E392" s="77">
        <v>1737570.31</v>
      </c>
      <c r="F392" s="77">
        <v>-90347.08</v>
      </c>
      <c r="G392" s="77">
        <v>1647223.23</v>
      </c>
      <c r="H392" s="77">
        <v>3281026.22</v>
      </c>
      <c r="I392" s="112">
        <f t="shared" ref="I392:I415" si="12">G392/1000</f>
        <v>1647.2232300000001</v>
      </c>
      <c r="J392" s="77">
        <f t="shared" ref="J392:J415" si="13">ROUND(I392,0)</f>
        <v>1647</v>
      </c>
    </row>
    <row r="393" spans="1:10">
      <c r="A393" t="s">
        <v>1156</v>
      </c>
      <c r="B393">
        <v>42613</v>
      </c>
      <c r="C393" t="s">
        <v>1157</v>
      </c>
      <c r="D393" s="77">
        <v>17868.900000000001</v>
      </c>
      <c r="E393" s="77">
        <v>22009.09</v>
      </c>
      <c r="F393" s="77">
        <v>0</v>
      </c>
      <c r="G393" s="77">
        <v>22009.09</v>
      </c>
      <c r="H393" s="77">
        <v>39877.99</v>
      </c>
      <c r="I393" s="112">
        <f t="shared" si="12"/>
        <v>22.00909</v>
      </c>
      <c r="J393" s="77">
        <f t="shared" si="13"/>
        <v>22</v>
      </c>
    </row>
    <row r="394" spans="1:10">
      <c r="A394" t="s">
        <v>1158</v>
      </c>
      <c r="B394">
        <v>42614</v>
      </c>
      <c r="C394" t="s">
        <v>1046</v>
      </c>
      <c r="D394" s="77">
        <v>61658.54</v>
      </c>
      <c r="E394" s="77">
        <v>50820.28</v>
      </c>
      <c r="F394" s="77">
        <v>-8781</v>
      </c>
      <c r="G394" s="77">
        <v>42039.28</v>
      </c>
      <c r="H394" s="77">
        <v>103697.82</v>
      </c>
      <c r="I394" s="112">
        <f t="shared" si="12"/>
        <v>42.039279999999998</v>
      </c>
      <c r="J394" s="77">
        <f t="shared" si="13"/>
        <v>42</v>
      </c>
    </row>
    <row r="395" spans="1:10">
      <c r="A395" t="s">
        <v>1159</v>
      </c>
      <c r="B395">
        <v>42616</v>
      </c>
      <c r="C395" t="s">
        <v>1048</v>
      </c>
      <c r="D395" s="77">
        <v>1814.68</v>
      </c>
      <c r="E395" s="77">
        <v>2998.49</v>
      </c>
      <c r="F395" s="77">
        <v>0</v>
      </c>
      <c r="G395" s="77">
        <v>2998.49</v>
      </c>
      <c r="H395" s="77">
        <v>4813.17</v>
      </c>
      <c r="I395" s="112">
        <f t="shared" si="12"/>
        <v>2.9984899999999999</v>
      </c>
      <c r="J395" s="77">
        <f t="shared" si="13"/>
        <v>3</v>
      </c>
    </row>
    <row r="396" spans="1:10">
      <c r="A396" t="s">
        <v>1160</v>
      </c>
      <c r="B396">
        <v>42617</v>
      </c>
      <c r="C396" t="s">
        <v>1161</v>
      </c>
      <c r="D396" s="77">
        <v>1023.51</v>
      </c>
      <c r="E396" s="77">
        <v>241.32</v>
      </c>
      <c r="F396" s="77">
        <v>0</v>
      </c>
      <c r="G396" s="77">
        <v>241.32</v>
      </c>
      <c r="H396" s="77">
        <v>1264.83</v>
      </c>
      <c r="I396" s="112">
        <f t="shared" si="12"/>
        <v>0.24132000000000001</v>
      </c>
      <c r="J396" s="77">
        <f t="shared" si="13"/>
        <v>0</v>
      </c>
    </row>
    <row r="397" spans="1:10">
      <c r="A397" t="s">
        <v>1162</v>
      </c>
      <c r="B397">
        <v>426110</v>
      </c>
      <c r="C397" t="s">
        <v>1050</v>
      </c>
      <c r="D397" s="77">
        <v>0</v>
      </c>
      <c r="E397" s="77">
        <v>969.01</v>
      </c>
      <c r="F397" s="77">
        <v>0</v>
      </c>
      <c r="G397" s="77">
        <v>969.01</v>
      </c>
      <c r="H397" s="77">
        <v>969.01</v>
      </c>
      <c r="I397" s="112">
        <f t="shared" si="12"/>
        <v>0.96901000000000004</v>
      </c>
      <c r="J397" s="77">
        <f t="shared" si="13"/>
        <v>1</v>
      </c>
    </row>
    <row r="398" spans="1:10">
      <c r="A398" t="s">
        <v>1163</v>
      </c>
      <c r="B398">
        <v>426111</v>
      </c>
      <c r="C398" t="s">
        <v>190</v>
      </c>
      <c r="D398" s="77">
        <v>601316.32999999996</v>
      </c>
      <c r="E398" s="77">
        <v>611911.18000000005</v>
      </c>
      <c r="F398" s="77">
        <v>0</v>
      </c>
      <c r="G398" s="77">
        <v>611911.18000000005</v>
      </c>
      <c r="H398" s="77">
        <v>1213227.51</v>
      </c>
      <c r="I398" s="112">
        <f t="shared" si="12"/>
        <v>611.91118000000006</v>
      </c>
      <c r="J398" s="77">
        <f t="shared" si="13"/>
        <v>612</v>
      </c>
    </row>
    <row r="399" spans="1:10">
      <c r="A399" t="s">
        <v>1164</v>
      </c>
      <c r="B399">
        <v>426112</v>
      </c>
      <c r="C399" t="s">
        <v>1052</v>
      </c>
      <c r="D399" s="77">
        <v>7771.09</v>
      </c>
      <c r="E399" s="77">
        <v>9795.2199999999993</v>
      </c>
      <c r="F399" s="77">
        <v>-146.22999999999999</v>
      </c>
      <c r="G399" s="77">
        <v>9648.99</v>
      </c>
      <c r="H399" s="77">
        <v>17420.080000000002</v>
      </c>
      <c r="I399" s="112">
        <f t="shared" si="12"/>
        <v>9.6489899999999995</v>
      </c>
      <c r="J399" s="77">
        <f t="shared" si="13"/>
        <v>10</v>
      </c>
    </row>
    <row r="400" spans="1:10">
      <c r="A400" t="s">
        <v>1165</v>
      </c>
      <c r="B400">
        <v>426114</v>
      </c>
      <c r="C400" t="s">
        <v>1054</v>
      </c>
      <c r="D400" s="77">
        <v>59451.34</v>
      </c>
      <c r="E400" s="77">
        <v>115886.22</v>
      </c>
      <c r="F400" s="77">
        <v>-52682.94</v>
      </c>
      <c r="G400" s="77">
        <v>63203.28</v>
      </c>
      <c r="H400" s="77">
        <v>122654.62</v>
      </c>
      <c r="I400" s="112">
        <f t="shared" si="12"/>
        <v>63.203279999999999</v>
      </c>
      <c r="J400" s="77">
        <f t="shared" si="13"/>
        <v>63</v>
      </c>
    </row>
    <row r="401" spans="1:10">
      <c r="A401" t="s">
        <v>1166</v>
      </c>
      <c r="B401">
        <v>426116</v>
      </c>
      <c r="C401" t="s">
        <v>1058</v>
      </c>
      <c r="D401" s="77">
        <v>106534.46</v>
      </c>
      <c r="E401" s="77">
        <v>114330.71</v>
      </c>
      <c r="F401" s="77">
        <v>0</v>
      </c>
      <c r="G401" s="77">
        <v>114330.71</v>
      </c>
      <c r="H401" s="77">
        <v>220865.17</v>
      </c>
      <c r="I401" s="112">
        <f t="shared" si="12"/>
        <v>114.33071000000001</v>
      </c>
      <c r="J401" s="77">
        <f t="shared" si="13"/>
        <v>114</v>
      </c>
    </row>
    <row r="402" spans="1:10">
      <c r="A402" t="s">
        <v>1167</v>
      </c>
      <c r="B402">
        <v>426117</v>
      </c>
      <c r="C402" t="s">
        <v>1056</v>
      </c>
      <c r="D402" s="77">
        <v>37541.99</v>
      </c>
      <c r="E402" s="77">
        <v>69786.64</v>
      </c>
      <c r="F402" s="77">
        <v>-28736.91</v>
      </c>
      <c r="G402" s="77">
        <v>41049.730000000003</v>
      </c>
      <c r="H402" s="77">
        <v>78591.72</v>
      </c>
      <c r="I402" s="112">
        <f t="shared" si="12"/>
        <v>41.049730000000004</v>
      </c>
      <c r="J402" s="77">
        <f t="shared" si="13"/>
        <v>41</v>
      </c>
    </row>
    <row r="403" spans="1:10">
      <c r="A403" t="s">
        <v>5287</v>
      </c>
      <c r="B403">
        <v>426118</v>
      </c>
      <c r="C403" t="s">
        <v>5288</v>
      </c>
      <c r="D403" s="77">
        <v>738822.15</v>
      </c>
      <c r="E403" s="77">
        <v>738822.15</v>
      </c>
      <c r="F403" s="77">
        <v>0</v>
      </c>
      <c r="G403" s="77">
        <v>738822.15</v>
      </c>
      <c r="H403" s="77">
        <v>1477644.3</v>
      </c>
      <c r="I403" s="112">
        <f t="shared" si="12"/>
        <v>738.82215000000008</v>
      </c>
      <c r="J403" s="77">
        <f t="shared" si="13"/>
        <v>739</v>
      </c>
    </row>
    <row r="404" spans="1:10">
      <c r="A404" t="s">
        <v>26</v>
      </c>
      <c r="B404">
        <v>4262</v>
      </c>
      <c r="C404" t="s">
        <v>1168</v>
      </c>
      <c r="D404" s="77">
        <v>1171412.44</v>
      </c>
      <c r="E404" s="77">
        <v>1465172.07</v>
      </c>
      <c r="F404" s="77">
        <v>-209439.22</v>
      </c>
      <c r="G404" s="77">
        <v>1255732.8500000001</v>
      </c>
      <c r="H404" s="77">
        <v>2427145.29</v>
      </c>
      <c r="I404" s="112">
        <f t="shared" si="12"/>
        <v>1255.7328500000001</v>
      </c>
      <c r="J404" s="77">
        <f t="shared" si="13"/>
        <v>1256</v>
      </c>
    </row>
    <row r="405" spans="1:10">
      <c r="A405" t="s">
        <v>1169</v>
      </c>
      <c r="B405">
        <v>42621</v>
      </c>
      <c r="C405" t="s">
        <v>1061</v>
      </c>
      <c r="D405" s="77">
        <v>60917.46</v>
      </c>
      <c r="E405" s="77">
        <v>71353.16</v>
      </c>
      <c r="F405" s="77">
        <v>-8722.9500000000007</v>
      </c>
      <c r="G405" s="77">
        <v>62630.21</v>
      </c>
      <c r="H405" s="77">
        <v>123547.67</v>
      </c>
      <c r="I405" s="112">
        <f t="shared" si="12"/>
        <v>62.630209999999998</v>
      </c>
      <c r="J405" s="77">
        <f t="shared" si="13"/>
        <v>63</v>
      </c>
    </row>
    <row r="406" spans="1:10">
      <c r="A406" t="s">
        <v>1170</v>
      </c>
      <c r="B406">
        <v>42622</v>
      </c>
      <c r="C406" t="s">
        <v>1063</v>
      </c>
      <c r="D406" s="77">
        <v>111893.46</v>
      </c>
      <c r="E406" s="77">
        <v>126366.44</v>
      </c>
      <c r="F406" s="77">
        <v>-1999.94</v>
      </c>
      <c r="G406" s="77">
        <v>124366.5</v>
      </c>
      <c r="H406" s="77">
        <v>236259.96</v>
      </c>
      <c r="I406" s="112">
        <f t="shared" si="12"/>
        <v>124.3665</v>
      </c>
      <c r="J406" s="77">
        <f t="shared" si="13"/>
        <v>124</v>
      </c>
    </row>
    <row r="407" spans="1:10">
      <c r="A407" t="s">
        <v>1171</v>
      </c>
      <c r="B407">
        <v>42624</v>
      </c>
      <c r="C407" t="s">
        <v>1172</v>
      </c>
      <c r="D407" s="77">
        <v>100239.03999999999</v>
      </c>
      <c r="E407" s="77">
        <v>239225.49</v>
      </c>
      <c r="F407" s="77">
        <v>0</v>
      </c>
      <c r="G407" s="77">
        <v>239225.49</v>
      </c>
      <c r="H407" s="77">
        <v>339464.53</v>
      </c>
      <c r="I407" s="112">
        <f t="shared" si="12"/>
        <v>239.22548999999998</v>
      </c>
      <c r="J407" s="77">
        <f t="shared" si="13"/>
        <v>239</v>
      </c>
    </row>
    <row r="408" spans="1:10">
      <c r="A408" t="s">
        <v>1173</v>
      </c>
      <c r="B408">
        <v>42626</v>
      </c>
      <c r="C408" t="s">
        <v>1174</v>
      </c>
      <c r="D408" s="77">
        <v>34952</v>
      </c>
      <c r="E408" s="77">
        <v>82125.850000000006</v>
      </c>
      <c r="F408" s="77">
        <v>-9249.8799999999992</v>
      </c>
      <c r="G408" s="77">
        <v>72875.97</v>
      </c>
      <c r="H408" s="77">
        <v>107827.97</v>
      </c>
      <c r="I408" s="112">
        <f t="shared" si="12"/>
        <v>72.875969999999995</v>
      </c>
      <c r="J408" s="77">
        <f t="shared" si="13"/>
        <v>73</v>
      </c>
    </row>
    <row r="409" spans="1:10">
      <c r="A409" t="s">
        <v>1175</v>
      </c>
      <c r="B409">
        <v>42627</v>
      </c>
      <c r="C409" t="s">
        <v>1176</v>
      </c>
      <c r="D409" s="77">
        <v>644824.27</v>
      </c>
      <c r="E409" s="77">
        <v>652549.06999999995</v>
      </c>
      <c r="F409" s="77">
        <v>-1500.1</v>
      </c>
      <c r="G409" s="77">
        <v>651048.97</v>
      </c>
      <c r="H409" s="77">
        <v>1295873.24</v>
      </c>
      <c r="I409" s="112">
        <f t="shared" si="12"/>
        <v>651.04896999999994</v>
      </c>
      <c r="J409" s="77">
        <f t="shared" si="13"/>
        <v>651</v>
      </c>
    </row>
    <row r="410" spans="1:10">
      <c r="A410" t="s">
        <v>1177</v>
      </c>
      <c r="B410">
        <v>42629</v>
      </c>
      <c r="C410" t="s">
        <v>1178</v>
      </c>
      <c r="D410" s="77">
        <v>1000</v>
      </c>
      <c r="E410" s="77">
        <v>2493.4899999999998</v>
      </c>
      <c r="F410" s="77">
        <v>0</v>
      </c>
      <c r="G410" s="77">
        <v>2493.4899999999998</v>
      </c>
      <c r="H410" s="77">
        <v>3493.49</v>
      </c>
      <c r="I410" s="112">
        <f t="shared" si="12"/>
        <v>2.49349</v>
      </c>
      <c r="J410" s="77">
        <f t="shared" si="13"/>
        <v>2</v>
      </c>
    </row>
    <row r="411" spans="1:10">
      <c r="A411" t="s">
        <v>1179</v>
      </c>
      <c r="B411">
        <v>426210</v>
      </c>
      <c r="C411" t="s">
        <v>1180</v>
      </c>
      <c r="D411" s="77">
        <v>0</v>
      </c>
      <c r="E411" s="77">
        <v>51650.53</v>
      </c>
      <c r="F411" s="77">
        <v>0</v>
      </c>
      <c r="G411" s="77">
        <v>51650.53</v>
      </c>
      <c r="H411" s="77">
        <v>51650.53</v>
      </c>
      <c r="I411" s="112">
        <f t="shared" si="12"/>
        <v>51.650529999999996</v>
      </c>
      <c r="J411" s="77">
        <f t="shared" si="13"/>
        <v>52</v>
      </c>
    </row>
    <row r="412" spans="1:10">
      <c r="A412" t="s">
        <v>5301</v>
      </c>
      <c r="B412">
        <v>426213</v>
      </c>
      <c r="C412" t="s">
        <v>5185</v>
      </c>
      <c r="D412" s="77">
        <v>56490</v>
      </c>
      <c r="E412" s="77">
        <v>0</v>
      </c>
      <c r="F412" s="77">
        <v>0</v>
      </c>
      <c r="G412" s="77">
        <v>0</v>
      </c>
      <c r="H412" s="77">
        <v>56490</v>
      </c>
      <c r="I412" s="112">
        <f t="shared" si="12"/>
        <v>0</v>
      </c>
      <c r="J412" s="77">
        <f t="shared" si="13"/>
        <v>0</v>
      </c>
    </row>
    <row r="413" spans="1:10">
      <c r="A413" t="s">
        <v>1181</v>
      </c>
      <c r="B413">
        <v>426214</v>
      </c>
      <c r="C413" t="s">
        <v>1182</v>
      </c>
      <c r="D413" s="77">
        <v>36187.74</v>
      </c>
      <c r="E413" s="77">
        <v>37729.35</v>
      </c>
      <c r="F413" s="77">
        <v>0</v>
      </c>
      <c r="G413" s="77">
        <v>37729.35</v>
      </c>
      <c r="H413" s="77">
        <v>73917.09</v>
      </c>
      <c r="I413" s="112">
        <f t="shared" si="12"/>
        <v>37.729349999999997</v>
      </c>
      <c r="J413" s="77">
        <f t="shared" si="13"/>
        <v>38</v>
      </c>
    </row>
    <row r="414" spans="1:10">
      <c r="A414" t="s">
        <v>1183</v>
      </c>
      <c r="B414">
        <v>426215</v>
      </c>
      <c r="C414" t="s">
        <v>1184</v>
      </c>
      <c r="D414" s="77">
        <v>13561.64</v>
      </c>
      <c r="E414" s="77">
        <v>13712.34</v>
      </c>
      <c r="F414" s="77">
        <v>0</v>
      </c>
      <c r="G414" s="77">
        <v>13712.34</v>
      </c>
      <c r="H414" s="77">
        <v>27273.98</v>
      </c>
      <c r="I414" s="112">
        <f t="shared" si="12"/>
        <v>13.712339999999999</v>
      </c>
      <c r="J414" s="77">
        <f t="shared" si="13"/>
        <v>14</v>
      </c>
    </row>
    <row r="415" spans="1:10">
      <c r="A415" t="s">
        <v>5307</v>
      </c>
      <c r="B415">
        <v>426220</v>
      </c>
      <c r="C415" t="s">
        <v>456</v>
      </c>
      <c r="D415" s="77">
        <v>111346.83</v>
      </c>
      <c r="E415" s="77">
        <v>25539.84</v>
      </c>
      <c r="F415" s="77">
        <v>-136886.67000000001</v>
      </c>
      <c r="G415" s="77">
        <v>-111346.83</v>
      </c>
      <c r="H415" s="77">
        <v>0</v>
      </c>
      <c r="I415" s="112">
        <f t="shared" si="12"/>
        <v>-111.34683</v>
      </c>
      <c r="J415" s="77">
        <f t="shared" si="13"/>
        <v>-111</v>
      </c>
    </row>
    <row r="416" spans="1:10">
      <c r="A416" t="s">
        <v>5308</v>
      </c>
      <c r="B416">
        <v>426221</v>
      </c>
      <c r="C416" t="s">
        <v>456</v>
      </c>
      <c r="D416" s="77">
        <v>0</v>
      </c>
      <c r="E416" s="77">
        <v>162426.51</v>
      </c>
      <c r="F416" s="77">
        <v>-51079.68</v>
      </c>
      <c r="G416" s="77">
        <v>111346.83</v>
      </c>
      <c r="H416" s="77">
        <v>111346.83</v>
      </c>
      <c r="I416" s="112">
        <f>G416/1000</f>
        <v>111.34683</v>
      </c>
      <c r="J416" s="77">
        <f>ROUND(I416,0)</f>
        <v>111</v>
      </c>
    </row>
    <row r="417" spans="1:10">
      <c r="A417" t="s">
        <v>39</v>
      </c>
      <c r="B417">
        <v>427</v>
      </c>
      <c r="C417" t="s">
        <v>38</v>
      </c>
      <c r="D417" s="77">
        <v>326764.31</v>
      </c>
      <c r="E417" s="77">
        <v>439216.78</v>
      </c>
      <c r="F417" s="77">
        <v>0</v>
      </c>
      <c r="G417" s="77">
        <v>439216.78</v>
      </c>
      <c r="H417" s="77">
        <v>765981.09</v>
      </c>
      <c r="I417" s="112">
        <f t="shared" ref="I417:I430" si="14">G417/1000</f>
        <v>439.21678000000003</v>
      </c>
      <c r="J417" s="77">
        <f t="shared" ref="J417:J430" si="15">ROUND(I417,0)</f>
        <v>439</v>
      </c>
    </row>
    <row r="418" spans="1:10">
      <c r="A418" t="s">
        <v>1185</v>
      </c>
      <c r="B418">
        <v>42701</v>
      </c>
      <c r="C418" t="s">
        <v>38</v>
      </c>
      <c r="D418" s="77">
        <v>326764.31</v>
      </c>
      <c r="E418" s="77">
        <v>439216.78</v>
      </c>
      <c r="F418" s="77">
        <v>0</v>
      </c>
      <c r="G418" s="77">
        <v>439216.78</v>
      </c>
      <c r="H418" s="77">
        <v>765981.09</v>
      </c>
      <c r="I418" s="112">
        <f t="shared" si="14"/>
        <v>439.21678000000003</v>
      </c>
      <c r="J418" s="77">
        <f t="shared" si="15"/>
        <v>439</v>
      </c>
    </row>
    <row r="419" spans="1:10">
      <c r="A419" t="s">
        <v>1188</v>
      </c>
      <c r="B419">
        <v>42720</v>
      </c>
      <c r="C419" t="s">
        <v>1189</v>
      </c>
      <c r="D419" s="77">
        <v>146222.56</v>
      </c>
      <c r="E419" s="77">
        <v>267889.17</v>
      </c>
      <c r="F419" s="77">
        <v>0</v>
      </c>
      <c r="G419" s="77">
        <v>267889.17</v>
      </c>
      <c r="H419" s="77">
        <v>414111.73</v>
      </c>
      <c r="I419" s="112">
        <f t="shared" si="14"/>
        <v>267.88916999999998</v>
      </c>
      <c r="J419" s="77">
        <f t="shared" si="15"/>
        <v>268</v>
      </c>
    </row>
    <row r="420" spans="1:10">
      <c r="A420" t="s">
        <v>5328</v>
      </c>
      <c r="B420">
        <v>427122</v>
      </c>
      <c r="C420" t="s">
        <v>512</v>
      </c>
      <c r="D420" s="77">
        <v>180541.75</v>
      </c>
      <c r="E420" s="77">
        <v>171327.61</v>
      </c>
      <c r="F420" s="77">
        <v>0</v>
      </c>
      <c r="G420" s="77">
        <v>171327.61</v>
      </c>
      <c r="H420" s="77">
        <v>351869.36</v>
      </c>
      <c r="I420" s="112">
        <f t="shared" si="14"/>
        <v>171.32760999999999</v>
      </c>
      <c r="J420" s="77">
        <f t="shared" si="15"/>
        <v>171</v>
      </c>
    </row>
    <row r="421" spans="1:10">
      <c r="A421">
        <v>5</v>
      </c>
      <c r="B421">
        <v>5</v>
      </c>
      <c r="C421" t="s">
        <v>1190</v>
      </c>
      <c r="D421" s="77">
        <v>-140094.57</v>
      </c>
      <c r="E421" s="77">
        <v>2748251.14</v>
      </c>
      <c r="F421" s="77">
        <v>-17289048.640000001</v>
      </c>
      <c r="G421" s="77">
        <v>-14540797.5</v>
      </c>
      <c r="H421" s="77">
        <v>-14680892.07</v>
      </c>
      <c r="I421" s="112">
        <f t="shared" si="14"/>
        <v>-14540.797500000001</v>
      </c>
      <c r="J421" s="77">
        <f t="shared" si="15"/>
        <v>-14541</v>
      </c>
    </row>
    <row r="422" spans="1:10">
      <c r="A422" t="s">
        <v>1191</v>
      </c>
      <c r="B422">
        <v>51</v>
      </c>
      <c r="C422" t="s">
        <v>1190</v>
      </c>
      <c r="D422" s="77">
        <v>-140094.57</v>
      </c>
      <c r="E422" s="77">
        <v>2748251.14</v>
      </c>
      <c r="F422" s="77">
        <v>-17289048.640000001</v>
      </c>
      <c r="G422" s="77">
        <v>-14540797.5</v>
      </c>
      <c r="H422" s="77">
        <v>-14680892.07</v>
      </c>
      <c r="I422" s="112">
        <f t="shared" si="14"/>
        <v>-14540.797500000001</v>
      </c>
      <c r="J422" s="77">
        <f t="shared" si="15"/>
        <v>-14541</v>
      </c>
    </row>
    <row r="423" spans="1:10">
      <c r="A423" t="s">
        <v>1192</v>
      </c>
      <c r="B423">
        <v>511</v>
      </c>
      <c r="C423" t="s">
        <v>1193</v>
      </c>
      <c r="D423" s="77">
        <v>10055292.970000001</v>
      </c>
      <c r="E423" s="77">
        <v>2748251.14</v>
      </c>
      <c r="F423" s="77">
        <v>0</v>
      </c>
      <c r="G423" s="77">
        <v>2748251.14</v>
      </c>
      <c r="H423" s="77">
        <v>12803544.109999999</v>
      </c>
      <c r="I423" s="112">
        <f t="shared" si="14"/>
        <v>2748.2511400000003</v>
      </c>
      <c r="J423" s="77">
        <f t="shared" si="15"/>
        <v>2748</v>
      </c>
    </row>
    <row r="424" spans="1:10">
      <c r="A424" t="s">
        <v>1194</v>
      </c>
      <c r="B424">
        <v>5111</v>
      </c>
      <c r="C424" t="s">
        <v>1195</v>
      </c>
      <c r="D424" s="77">
        <v>6094618.3300000001</v>
      </c>
      <c r="E424" s="77">
        <v>0</v>
      </c>
      <c r="F424" s="77">
        <v>0</v>
      </c>
      <c r="G424" s="77">
        <v>0</v>
      </c>
      <c r="H424" s="77">
        <v>6094618.3300000001</v>
      </c>
      <c r="I424" s="112">
        <f t="shared" si="14"/>
        <v>0</v>
      </c>
      <c r="J424" s="77">
        <f t="shared" si="15"/>
        <v>0</v>
      </c>
    </row>
    <row r="425" spans="1:10">
      <c r="A425" t="s">
        <v>1196</v>
      </c>
      <c r="B425">
        <v>5112</v>
      </c>
      <c r="C425" t="s">
        <v>1197</v>
      </c>
      <c r="D425" s="77">
        <v>3960674.64</v>
      </c>
      <c r="E425" s="77">
        <v>0</v>
      </c>
      <c r="F425" s="77">
        <v>0</v>
      </c>
      <c r="G425" s="77">
        <v>0</v>
      </c>
      <c r="H425" s="77">
        <v>3960674.64</v>
      </c>
      <c r="I425" s="112">
        <f t="shared" si="14"/>
        <v>0</v>
      </c>
      <c r="J425" s="77">
        <f t="shared" si="15"/>
        <v>0</v>
      </c>
    </row>
    <row r="426" spans="1:10">
      <c r="A426" t="s">
        <v>1200</v>
      </c>
      <c r="B426">
        <v>5116</v>
      </c>
      <c r="C426" t="s">
        <v>1201</v>
      </c>
      <c r="D426" s="77">
        <v>0</v>
      </c>
      <c r="E426" s="77">
        <v>2748251.14</v>
      </c>
      <c r="F426" s="77">
        <v>0</v>
      </c>
      <c r="G426" s="77">
        <v>2748251.14</v>
      </c>
      <c r="H426" s="77">
        <v>2748251.14</v>
      </c>
      <c r="I426" s="112">
        <f t="shared" si="14"/>
        <v>2748.2511400000003</v>
      </c>
      <c r="J426" s="77">
        <f t="shared" si="15"/>
        <v>2748</v>
      </c>
    </row>
    <row r="427" spans="1:10">
      <c r="A427" t="s">
        <v>1202</v>
      </c>
      <c r="B427">
        <v>512</v>
      </c>
      <c r="C427" t="s">
        <v>1203</v>
      </c>
      <c r="D427" s="77">
        <v>-10195387.539999999</v>
      </c>
      <c r="E427" s="77">
        <v>0</v>
      </c>
      <c r="F427" s="77">
        <v>-17289048.640000001</v>
      </c>
      <c r="G427" s="77">
        <v>-17289048.640000001</v>
      </c>
      <c r="H427" s="77">
        <v>-27484436.18</v>
      </c>
      <c r="I427" s="112">
        <f t="shared" si="14"/>
        <v>-17289.048640000001</v>
      </c>
      <c r="J427" s="77">
        <f t="shared" si="15"/>
        <v>-17289</v>
      </c>
    </row>
    <row r="428" spans="1:10">
      <c r="A428" t="s">
        <v>1204</v>
      </c>
      <c r="B428">
        <v>5123</v>
      </c>
      <c r="C428" t="s">
        <v>1205</v>
      </c>
      <c r="D428" s="77">
        <v>-10195387.539999999</v>
      </c>
      <c r="E428" s="77">
        <v>0</v>
      </c>
      <c r="F428" s="77">
        <v>0</v>
      </c>
      <c r="G428" s="77">
        <v>0</v>
      </c>
      <c r="H428" s="77">
        <v>-10195387.539999999</v>
      </c>
      <c r="I428" s="112">
        <f t="shared" si="14"/>
        <v>0</v>
      </c>
      <c r="J428" s="77">
        <f t="shared" si="15"/>
        <v>0</v>
      </c>
    </row>
    <row r="429" spans="1:10">
      <c r="A429" t="s">
        <v>5408</v>
      </c>
      <c r="B429">
        <v>5124</v>
      </c>
      <c r="C429" t="s">
        <v>1199</v>
      </c>
      <c r="D429" s="77">
        <v>0</v>
      </c>
      <c r="E429" s="77">
        <v>0</v>
      </c>
      <c r="F429" s="77">
        <v>-9435982.0500000007</v>
      </c>
      <c r="G429" s="77">
        <v>-9435982.0500000007</v>
      </c>
      <c r="H429" s="77">
        <v>-9435982.0500000007</v>
      </c>
      <c r="I429" s="112">
        <f t="shared" si="14"/>
        <v>-9435.9820500000005</v>
      </c>
      <c r="J429" s="77">
        <f t="shared" si="15"/>
        <v>-9436</v>
      </c>
    </row>
    <row r="430" spans="1:10">
      <c r="A430" t="s">
        <v>1206</v>
      </c>
      <c r="B430">
        <v>5125</v>
      </c>
      <c r="C430" t="s">
        <v>1207</v>
      </c>
      <c r="D430" s="77">
        <v>0</v>
      </c>
      <c r="E430" s="77">
        <v>0</v>
      </c>
      <c r="F430" s="77">
        <v>-7853066.5899999999</v>
      </c>
      <c r="G430" s="77">
        <v>-7853066.5899999999</v>
      </c>
      <c r="H430" s="77">
        <v>-7853066.5899999999</v>
      </c>
      <c r="I430" s="112">
        <f t="shared" si="14"/>
        <v>-7853.0665899999995</v>
      </c>
      <c r="J430" s="77">
        <f t="shared" si="15"/>
        <v>-7853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2"/>
  <sheetViews>
    <sheetView workbookViewId="0">
      <selection activeCell="B10" sqref="B10"/>
    </sheetView>
  </sheetViews>
  <sheetFormatPr defaultRowHeight="14.45"/>
  <cols>
    <col min="1" max="1" width="10.5703125" customWidth="1"/>
    <col min="2" max="2" width="49.42578125" customWidth="1"/>
    <col min="3" max="3" width="10.42578125" customWidth="1"/>
    <col min="5" max="5" width="13.7109375" customWidth="1"/>
    <col min="7" max="7" width="9.85546875" bestFit="1" customWidth="1"/>
    <col min="8" max="8" width="11" bestFit="1" customWidth="1"/>
  </cols>
  <sheetData>
    <row r="1" spans="1:8">
      <c r="A1" t="s">
        <v>541</v>
      </c>
      <c r="B1" t="s">
        <v>1372</v>
      </c>
      <c r="C1" t="s">
        <v>543</v>
      </c>
      <c r="D1" t="s">
        <v>544</v>
      </c>
      <c r="E1" t="s">
        <v>545</v>
      </c>
      <c r="F1" t="s">
        <v>546</v>
      </c>
      <c r="G1" t="s">
        <v>547</v>
      </c>
      <c r="H1" t="s">
        <v>548</v>
      </c>
    </row>
    <row r="2" spans="1:8">
      <c r="A2" t="s">
        <v>549</v>
      </c>
    </row>
    <row r="4" spans="1:8">
      <c r="A4" t="s">
        <v>5475</v>
      </c>
    </row>
    <row r="5" spans="1:8">
      <c r="A5" t="s">
        <v>5433</v>
      </c>
    </row>
    <row r="7" spans="1:8">
      <c r="A7" t="s">
        <v>1375</v>
      </c>
      <c r="B7" t="s">
        <v>968</v>
      </c>
      <c r="C7">
        <v>33213</v>
      </c>
      <c r="D7" t="s">
        <v>969</v>
      </c>
      <c r="E7" t="s">
        <v>1376</v>
      </c>
      <c r="F7">
        <v>0</v>
      </c>
    </row>
    <row r="9" spans="1:8">
      <c r="A9" t="s">
        <v>473</v>
      </c>
      <c r="B9" t="s">
        <v>1377</v>
      </c>
      <c r="C9" t="s">
        <v>1378</v>
      </c>
      <c r="D9" t="s">
        <v>1379</v>
      </c>
      <c r="E9" t="s">
        <v>5434</v>
      </c>
      <c r="F9" t="s">
        <v>555</v>
      </c>
      <c r="G9" t="s">
        <v>556</v>
      </c>
      <c r="H9" t="s">
        <v>558</v>
      </c>
    </row>
    <row r="10" spans="1:8">
      <c r="A10" s="97">
        <v>43831</v>
      </c>
      <c r="B10" t="s">
        <v>5476</v>
      </c>
      <c r="C10" s="613">
        <v>409582106</v>
      </c>
      <c r="E10" t="s">
        <v>5439</v>
      </c>
      <c r="G10">
        <v>-381.22</v>
      </c>
      <c r="H10">
        <v>-381.22</v>
      </c>
    </row>
    <row r="11" spans="1:8">
      <c r="A11" s="97">
        <v>43861</v>
      </c>
      <c r="B11" t="s">
        <v>5477</v>
      </c>
      <c r="C11" s="613" t="s">
        <v>5478</v>
      </c>
      <c r="E11">
        <v>211147</v>
      </c>
      <c r="G11" s="94">
        <v>-7149.78</v>
      </c>
      <c r="H11" s="94">
        <v>-7531</v>
      </c>
    </row>
    <row r="12" spans="1:8">
      <c r="A12" s="97">
        <v>43862</v>
      </c>
      <c r="B12" t="s">
        <v>5479</v>
      </c>
      <c r="C12" s="613">
        <v>76112</v>
      </c>
      <c r="E12" s="612" t="s">
        <v>5480</v>
      </c>
      <c r="G12" s="94">
        <v>-2346.33</v>
      </c>
      <c r="H12" s="94">
        <v>-9877.33</v>
      </c>
    </row>
    <row r="13" spans="1:8">
      <c r="A13" s="617">
        <v>43891</v>
      </c>
      <c r="B13" s="317" t="s">
        <v>5481</v>
      </c>
      <c r="C13" s="618" t="s">
        <v>5482</v>
      </c>
      <c r="D13" s="317"/>
      <c r="E13" s="317">
        <v>12182</v>
      </c>
      <c r="F13" s="317"/>
      <c r="G13" s="619">
        <v>-9828.51</v>
      </c>
      <c r="H13" s="619">
        <v>-19705.84</v>
      </c>
    </row>
    <row r="14" spans="1:8">
      <c r="A14" s="617">
        <v>43891</v>
      </c>
      <c r="B14" s="317" t="s">
        <v>5483</v>
      </c>
      <c r="C14" s="618" t="s">
        <v>5484</v>
      </c>
      <c r="D14" s="317"/>
      <c r="E14" s="317">
        <v>12183</v>
      </c>
      <c r="F14" s="317"/>
      <c r="G14" s="619">
        <v>-1235.29</v>
      </c>
      <c r="H14" s="619">
        <v>-20941.13</v>
      </c>
    </row>
    <row r="15" spans="1:8">
      <c r="A15" s="97"/>
      <c r="B15" t="s">
        <v>5485</v>
      </c>
      <c r="C15" s="613"/>
      <c r="G15" s="94">
        <v>-20907.43</v>
      </c>
      <c r="H15" s="94">
        <f>G15+H14</f>
        <v>-41848.559999999998</v>
      </c>
    </row>
    <row r="16" spans="1:8">
      <c r="A16" s="97"/>
      <c r="C16" s="613"/>
      <c r="G16" s="94"/>
      <c r="H16" s="94"/>
    </row>
    <row r="18" spans="5:7">
      <c r="E18" t="s">
        <v>5486</v>
      </c>
      <c r="G18">
        <f>SUM(G10:G12)/1000</f>
        <v>-9.8773300000000006</v>
      </c>
    </row>
    <row r="19" spans="5:7">
      <c r="G19">
        <f>ROUND(G18,0)</f>
        <v>-10</v>
      </c>
    </row>
    <row r="21" spans="5:7">
      <c r="E21" t="s">
        <v>5487</v>
      </c>
      <c r="G21">
        <f>SUM(G13:G15)/1000</f>
        <v>-31.971229999999998</v>
      </c>
    </row>
    <row r="22" spans="5:7">
      <c r="G22">
        <f>ROUND(G21,0)</f>
        <v>-32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61"/>
  <sheetViews>
    <sheetView topLeftCell="A43" workbookViewId="0">
      <selection activeCell="D59" sqref="D59"/>
    </sheetView>
  </sheetViews>
  <sheetFormatPr defaultRowHeight="14.45"/>
  <cols>
    <col min="1" max="1" width="14" customWidth="1"/>
    <col min="2" max="2" width="32" customWidth="1"/>
    <col min="6" max="6" width="13.28515625" style="70" bestFit="1" customWidth="1"/>
    <col min="7" max="7" width="11.5703125" style="70" bestFit="1" customWidth="1"/>
    <col min="8" max="8" width="12.42578125" bestFit="1" customWidth="1"/>
    <col min="9" max="9" width="9.5703125" bestFit="1" customWidth="1"/>
  </cols>
  <sheetData>
    <row r="1" spans="1:8">
      <c r="A1" t="s">
        <v>541</v>
      </c>
      <c r="B1" t="s">
        <v>1372</v>
      </c>
      <c r="C1" t="s">
        <v>543</v>
      </c>
      <c r="D1" t="s">
        <v>544</v>
      </c>
      <c r="E1" t="s">
        <v>545</v>
      </c>
      <c r="F1" s="70" t="s">
        <v>546</v>
      </c>
      <c r="G1" s="70" t="s">
        <v>547</v>
      </c>
      <c r="H1" t="s">
        <v>548</v>
      </c>
    </row>
    <row r="2" spans="1:8">
      <c r="A2" t="s">
        <v>549</v>
      </c>
    </row>
    <row r="4" spans="1:8">
      <c r="A4" t="s">
        <v>5488</v>
      </c>
    </row>
    <row r="5" spans="1:8">
      <c r="A5" t="s">
        <v>5489</v>
      </c>
    </row>
    <row r="7" spans="1:8">
      <c r="A7" t="s">
        <v>1375</v>
      </c>
      <c r="B7" t="s">
        <v>925</v>
      </c>
      <c r="C7">
        <v>22151</v>
      </c>
      <c r="D7" t="s">
        <v>926</v>
      </c>
      <c r="E7" t="s">
        <v>1376</v>
      </c>
      <c r="F7" s="70">
        <v>-4036157.6</v>
      </c>
    </row>
    <row r="9" spans="1:8">
      <c r="A9" t="s">
        <v>473</v>
      </c>
      <c r="B9" t="s">
        <v>1377</v>
      </c>
      <c r="C9" t="s">
        <v>1378</v>
      </c>
      <c r="D9" t="s">
        <v>1379</v>
      </c>
      <c r="E9" t="s">
        <v>5434</v>
      </c>
      <c r="F9" s="70" t="s">
        <v>555</v>
      </c>
      <c r="G9" s="70" t="s">
        <v>556</v>
      </c>
      <c r="H9" t="s">
        <v>558</v>
      </c>
    </row>
    <row r="10" spans="1:8">
      <c r="A10" s="97">
        <v>45322</v>
      </c>
      <c r="B10" t="s">
        <v>5490</v>
      </c>
      <c r="C10" t="s">
        <v>5491</v>
      </c>
      <c r="E10">
        <v>42720</v>
      </c>
      <c r="G10" s="70">
        <v>-40361.58</v>
      </c>
      <c r="H10" s="94">
        <v>-4076519.18</v>
      </c>
    </row>
    <row r="11" spans="1:8">
      <c r="A11" s="97">
        <v>45351</v>
      </c>
      <c r="B11" t="s">
        <v>5492</v>
      </c>
      <c r="C11" t="s">
        <v>5493</v>
      </c>
      <c r="E11">
        <v>42720</v>
      </c>
      <c r="G11" s="70">
        <v>-40361.58</v>
      </c>
      <c r="H11" s="94">
        <v>-4116880.76</v>
      </c>
    </row>
    <row r="12" spans="1:8">
      <c r="A12" s="97">
        <v>45382</v>
      </c>
      <c r="B12" t="s">
        <v>5494</v>
      </c>
      <c r="C12" t="s">
        <v>5495</v>
      </c>
      <c r="E12">
        <v>33611</v>
      </c>
      <c r="F12" s="379">
        <v>4097.53</v>
      </c>
      <c r="H12" s="94">
        <f t="shared" ref="H12:H18" si="0">F12+G12+H11</f>
        <v>-4112783.23</v>
      </c>
    </row>
    <row r="13" spans="1:8">
      <c r="A13" s="97">
        <v>45382</v>
      </c>
      <c r="B13" t="s">
        <v>5496</v>
      </c>
      <c r="C13" t="s">
        <v>5495</v>
      </c>
      <c r="E13">
        <v>33614</v>
      </c>
      <c r="F13" s="70">
        <v>209162.29</v>
      </c>
      <c r="H13" s="94">
        <f t="shared" si="0"/>
        <v>-3903620.94</v>
      </c>
    </row>
    <row r="14" spans="1:8">
      <c r="A14" s="97">
        <v>45412</v>
      </c>
      <c r="B14" t="s">
        <v>5492</v>
      </c>
      <c r="C14" t="s">
        <v>5497</v>
      </c>
      <c r="G14" s="70">
        <v>-39036.21</v>
      </c>
      <c r="H14" s="94">
        <f t="shared" si="0"/>
        <v>-3942657.15</v>
      </c>
    </row>
    <row r="15" spans="1:8">
      <c r="A15" s="97">
        <v>45443</v>
      </c>
      <c r="B15" t="s">
        <v>5492</v>
      </c>
      <c r="C15" t="s">
        <v>5498</v>
      </c>
      <c r="G15" s="70">
        <v>-39036.21</v>
      </c>
      <c r="H15" s="94">
        <f t="shared" si="0"/>
        <v>-3981693.36</v>
      </c>
    </row>
    <row r="16" spans="1:8">
      <c r="A16" s="97">
        <v>45473</v>
      </c>
      <c r="B16" t="s">
        <v>5499</v>
      </c>
      <c r="C16" t="s">
        <v>5500</v>
      </c>
      <c r="F16" s="379">
        <v>685507.01</v>
      </c>
      <c r="H16" s="94">
        <f t="shared" si="0"/>
        <v>-3296186.3499999996</v>
      </c>
    </row>
    <row r="17" spans="1:8">
      <c r="A17" s="97">
        <v>45473</v>
      </c>
      <c r="B17" t="s">
        <v>5501</v>
      </c>
      <c r="C17" t="s">
        <v>5500</v>
      </c>
      <c r="G17" s="70">
        <v>-693690.18</v>
      </c>
      <c r="H17" s="94">
        <f t="shared" si="0"/>
        <v>-3989876.53</v>
      </c>
    </row>
    <row r="18" spans="1:8">
      <c r="A18" s="97">
        <v>45473</v>
      </c>
      <c r="B18" t="s">
        <v>5502</v>
      </c>
      <c r="C18" t="s">
        <v>5500</v>
      </c>
      <c r="F18" s="70">
        <v>39656.53</v>
      </c>
      <c r="H18" s="94">
        <f t="shared" si="0"/>
        <v>-3950220</v>
      </c>
    </row>
    <row r="20" spans="1:8">
      <c r="A20" t="s">
        <v>1375</v>
      </c>
      <c r="B20" t="s">
        <v>927</v>
      </c>
      <c r="C20">
        <v>22152</v>
      </c>
      <c r="D20" t="s">
        <v>928</v>
      </c>
      <c r="E20" t="s">
        <v>1376</v>
      </c>
      <c r="F20" s="70">
        <v>-2438.15</v>
      </c>
    </row>
    <row r="22" spans="1:8">
      <c r="A22" t="s">
        <v>473</v>
      </c>
      <c r="B22" t="s">
        <v>1377</v>
      </c>
      <c r="C22" t="s">
        <v>1378</v>
      </c>
      <c r="D22" t="s">
        <v>1379</v>
      </c>
      <c r="E22" t="s">
        <v>5434</v>
      </c>
      <c r="F22" s="70" t="s">
        <v>555</v>
      </c>
      <c r="G22" s="70" t="s">
        <v>556</v>
      </c>
      <c r="H22" t="s">
        <v>558</v>
      </c>
    </row>
    <row r="23" spans="1:8">
      <c r="A23" s="97">
        <v>45322</v>
      </c>
      <c r="B23" t="s">
        <v>5503</v>
      </c>
      <c r="C23" t="s">
        <v>5491</v>
      </c>
      <c r="E23">
        <v>42720</v>
      </c>
      <c r="G23" s="70">
        <v>-24.38</v>
      </c>
      <c r="H23" s="94">
        <v>-2462.5300000000002</v>
      </c>
    </row>
    <row r="24" spans="1:8">
      <c r="A24" s="97">
        <v>45351</v>
      </c>
      <c r="B24" t="s">
        <v>5504</v>
      </c>
      <c r="C24" t="s">
        <v>5493</v>
      </c>
      <c r="E24">
        <v>42720</v>
      </c>
      <c r="G24" s="70">
        <v>-24.38</v>
      </c>
      <c r="H24" s="94">
        <v>-2486.91</v>
      </c>
    </row>
    <row r="25" spans="1:8">
      <c r="A25" s="97">
        <v>45382</v>
      </c>
      <c r="B25" t="s">
        <v>5505</v>
      </c>
      <c r="C25" t="s">
        <v>5495</v>
      </c>
      <c r="E25">
        <v>33614</v>
      </c>
      <c r="F25" s="70">
        <v>21.97</v>
      </c>
      <c r="H25" s="94">
        <f>F25+G25+H24</f>
        <v>-2464.94</v>
      </c>
    </row>
    <row r="26" spans="1:8">
      <c r="A26" s="97">
        <v>45412</v>
      </c>
      <c r="B26" t="s">
        <v>5504</v>
      </c>
      <c r="C26" t="s">
        <v>5497</v>
      </c>
      <c r="G26" s="70">
        <v>-24.65</v>
      </c>
      <c r="H26" s="94">
        <f>F26+G26+H25</f>
        <v>-2489.59</v>
      </c>
    </row>
    <row r="27" spans="1:8">
      <c r="A27" s="97">
        <v>45443</v>
      </c>
      <c r="B27" t="s">
        <v>5506</v>
      </c>
      <c r="C27" t="s">
        <v>5498</v>
      </c>
      <c r="G27" s="70">
        <v>-24.65</v>
      </c>
      <c r="H27" s="94">
        <f>F27+G27+H26</f>
        <v>-2514.2400000000002</v>
      </c>
    </row>
    <row r="28" spans="1:8">
      <c r="A28" s="97">
        <v>45473</v>
      </c>
      <c r="B28" t="s">
        <v>5507</v>
      </c>
      <c r="C28" t="s">
        <v>5500</v>
      </c>
      <c r="F28" s="70">
        <v>19.88</v>
      </c>
      <c r="H28" s="94">
        <f>F28+G28+H27</f>
        <v>-2494.36</v>
      </c>
    </row>
    <row r="30" spans="1:8">
      <c r="A30" t="s">
        <v>1375</v>
      </c>
      <c r="B30" t="s">
        <v>929</v>
      </c>
      <c r="C30">
        <v>22153</v>
      </c>
      <c r="D30" t="s">
        <v>930</v>
      </c>
      <c r="E30" t="s">
        <v>1376</v>
      </c>
      <c r="F30" s="70">
        <v>-6977847.75</v>
      </c>
    </row>
    <row r="32" spans="1:8">
      <c r="A32" t="s">
        <v>473</v>
      </c>
      <c r="B32" t="s">
        <v>1377</v>
      </c>
      <c r="C32" t="s">
        <v>1378</v>
      </c>
      <c r="D32" t="s">
        <v>1379</v>
      </c>
      <c r="E32" t="s">
        <v>5434</v>
      </c>
      <c r="F32" s="70" t="s">
        <v>555</v>
      </c>
      <c r="G32" s="70" t="s">
        <v>556</v>
      </c>
      <c r="H32" t="s">
        <v>558</v>
      </c>
    </row>
    <row r="33" spans="1:9">
      <c r="A33" s="97">
        <v>45322</v>
      </c>
      <c r="B33" t="s">
        <v>5508</v>
      </c>
      <c r="C33" t="s">
        <v>5491</v>
      </c>
      <c r="E33">
        <v>42720</v>
      </c>
      <c r="G33" s="70">
        <v>-69778.48</v>
      </c>
      <c r="H33" s="94">
        <v>-7047626.2300000004</v>
      </c>
    </row>
    <row r="34" spans="1:9">
      <c r="A34" s="97">
        <v>45351</v>
      </c>
      <c r="B34" t="s">
        <v>5509</v>
      </c>
      <c r="C34" t="s">
        <v>5493</v>
      </c>
      <c r="E34">
        <v>42720</v>
      </c>
      <c r="G34" s="70">
        <v>-69778.48</v>
      </c>
      <c r="H34" s="94">
        <v>-7117404.71</v>
      </c>
    </row>
    <row r="35" spans="1:9">
      <c r="A35" s="97">
        <v>45382</v>
      </c>
      <c r="B35" t="s">
        <v>5510</v>
      </c>
      <c r="C35" t="s">
        <v>5495</v>
      </c>
      <c r="E35">
        <v>42720</v>
      </c>
      <c r="G35" s="70">
        <v>-29434.84</v>
      </c>
      <c r="H35" s="94">
        <f>F35+G35+H34</f>
        <v>-7146839.5499999998</v>
      </c>
    </row>
    <row r="36" spans="1:9">
      <c r="A36" s="97">
        <v>45412</v>
      </c>
      <c r="B36" t="s">
        <v>5509</v>
      </c>
      <c r="C36" t="s">
        <v>5497</v>
      </c>
      <c r="G36" s="70">
        <v>-71468.399999999994</v>
      </c>
      <c r="H36" s="94">
        <f>F36+G36+H35</f>
        <v>-7218307.9500000002</v>
      </c>
    </row>
    <row r="37" spans="1:9">
      <c r="A37" s="97">
        <v>45443</v>
      </c>
      <c r="B37" t="s">
        <v>5509</v>
      </c>
      <c r="C37" t="s">
        <v>5498</v>
      </c>
      <c r="G37" s="70">
        <v>-71468.399999999994</v>
      </c>
      <c r="H37" s="94">
        <f>F37+G37+H36</f>
        <v>-7289776.3500000006</v>
      </c>
    </row>
    <row r="38" spans="1:9">
      <c r="A38" s="97">
        <v>45473</v>
      </c>
      <c r="B38" t="s">
        <v>5511</v>
      </c>
      <c r="C38" t="s">
        <v>5500</v>
      </c>
      <c r="F38" s="70">
        <v>61384.28</v>
      </c>
      <c r="H38" s="94">
        <f>F38+G38+H37</f>
        <v>-7228392.0700000003</v>
      </c>
    </row>
    <row r="41" spans="1:9">
      <c r="A41" t="s">
        <v>1454</v>
      </c>
      <c r="H41" s="70"/>
      <c r="I41" s="70"/>
    </row>
    <row r="42" spans="1:9">
      <c r="A42" t="s">
        <v>304</v>
      </c>
      <c r="G42" s="70">
        <f>SUM(G10:G15)</f>
        <v>-158795.57999999999</v>
      </c>
      <c r="H42" s="70">
        <f>G42/1000</f>
        <v>-158.79558</v>
      </c>
      <c r="I42" s="70">
        <f>ROUND(H42,0)</f>
        <v>-159</v>
      </c>
    </row>
    <row r="43" spans="1:9">
      <c r="A43" t="s">
        <v>305</v>
      </c>
      <c r="G43" s="70">
        <f>SUM(G33:G37)</f>
        <v>-311928.59999999998</v>
      </c>
      <c r="H43" s="70">
        <f>G43/1000</f>
        <v>-311.92859999999996</v>
      </c>
      <c r="I43" s="70">
        <f>ROUND(H43,0)</f>
        <v>-312</v>
      </c>
    </row>
    <row r="44" spans="1:9">
      <c r="A44" t="s">
        <v>463</v>
      </c>
      <c r="G44" s="70">
        <f>SUM(G23:G27)</f>
        <v>-98.06</v>
      </c>
      <c r="H44" s="70">
        <f>G44/1000</f>
        <v>-9.8060000000000008E-2</v>
      </c>
      <c r="I44" s="70">
        <f>ROUND(H44,0)</f>
        <v>0</v>
      </c>
    </row>
    <row r="45" spans="1:9">
      <c r="H45" s="70"/>
      <c r="I45" s="111">
        <f>SUM(I42:I44)</f>
        <v>-471</v>
      </c>
    </row>
    <row r="46" spans="1:9">
      <c r="H46" s="70"/>
      <c r="I46" s="70"/>
    </row>
    <row r="47" spans="1:9">
      <c r="A47" t="s">
        <v>5512</v>
      </c>
      <c r="H47" s="70"/>
      <c r="I47" s="70"/>
    </row>
    <row r="48" spans="1:9">
      <c r="A48" t="s">
        <v>304</v>
      </c>
      <c r="G48" s="70">
        <f>F12+F16</f>
        <v>689604.54</v>
      </c>
      <c r="H48" s="70">
        <f>G48/1000</f>
        <v>689.60454000000004</v>
      </c>
      <c r="I48" s="70">
        <f>ROUND(H48,0)</f>
        <v>690</v>
      </c>
    </row>
    <row r="49" spans="1:9">
      <c r="A49" t="s">
        <v>305</v>
      </c>
      <c r="G49" s="70">
        <v>0</v>
      </c>
      <c r="H49" s="70">
        <f>G49/1000</f>
        <v>0</v>
      </c>
      <c r="I49" s="70">
        <f>ROUND(H49,0)</f>
        <v>0</v>
      </c>
    </row>
    <row r="50" spans="1:9">
      <c r="A50" t="s">
        <v>463</v>
      </c>
      <c r="G50" s="70">
        <v>0</v>
      </c>
      <c r="H50" s="70">
        <f>G50/1000</f>
        <v>0</v>
      </c>
      <c r="I50" s="70">
        <f>ROUND(H50,0)</f>
        <v>0</v>
      </c>
    </row>
    <row r="51" spans="1:9">
      <c r="H51" s="70"/>
      <c r="I51" s="70"/>
    </row>
    <row r="52" spans="1:9">
      <c r="A52" t="s">
        <v>5513</v>
      </c>
      <c r="H52" s="70"/>
      <c r="I52" s="70"/>
    </row>
    <row r="53" spans="1:9">
      <c r="A53" t="s">
        <v>304</v>
      </c>
      <c r="G53" s="70">
        <f>F13+F18</f>
        <v>248818.82</v>
      </c>
      <c r="H53" s="70">
        <f>G53/1000</f>
        <v>248.81882000000002</v>
      </c>
      <c r="I53" s="70">
        <f>ROUND(H53,0)</f>
        <v>249</v>
      </c>
    </row>
    <row r="54" spans="1:9">
      <c r="A54" t="s">
        <v>305</v>
      </c>
      <c r="G54" s="70">
        <f>F38</f>
        <v>61384.28</v>
      </c>
      <c r="H54" s="70">
        <f>G54/1000</f>
        <v>61.384279999999997</v>
      </c>
      <c r="I54" s="70">
        <f>ROUND(H54,0)</f>
        <v>61</v>
      </c>
    </row>
    <row r="55" spans="1:9">
      <c r="A55" t="s">
        <v>463</v>
      </c>
      <c r="G55" s="70">
        <f>SUM(F23:F28)</f>
        <v>41.849999999999994</v>
      </c>
      <c r="H55" s="70">
        <f>G55/1000</f>
        <v>4.1849999999999991E-2</v>
      </c>
      <c r="I55" s="70">
        <f>ROUND(H55,0)</f>
        <v>0</v>
      </c>
    </row>
    <row r="56" spans="1:9">
      <c r="I56" s="291">
        <f>SUM(I48:I55)</f>
        <v>1000</v>
      </c>
    </row>
    <row r="57" spans="1:9">
      <c r="A57" t="s">
        <v>5514</v>
      </c>
    </row>
    <row r="58" spans="1:9">
      <c r="A58" t="s">
        <v>304</v>
      </c>
      <c r="G58" s="70">
        <f>G17</f>
        <v>-693690.18</v>
      </c>
      <c r="H58" s="70">
        <f>G58/1000</f>
        <v>-693.69018000000005</v>
      </c>
      <c r="I58" s="70">
        <f>ROUND(H58,0)</f>
        <v>-694</v>
      </c>
    </row>
    <row r="59" spans="1:9">
      <c r="A59" t="s">
        <v>305</v>
      </c>
      <c r="G59" s="70">
        <v>0</v>
      </c>
      <c r="H59" s="70">
        <f>G59/1000</f>
        <v>0</v>
      </c>
      <c r="I59" s="70">
        <f>ROUND(H59,0)</f>
        <v>0</v>
      </c>
    </row>
    <row r="60" spans="1:9">
      <c r="A60" t="s">
        <v>463</v>
      </c>
      <c r="G60" s="70">
        <v>0</v>
      </c>
      <c r="H60" s="70">
        <f>G60/1000</f>
        <v>0</v>
      </c>
      <c r="I60" s="70">
        <f>ROUND(H60,0)</f>
        <v>0</v>
      </c>
    </row>
    <row r="61" spans="1:9">
      <c r="I61" s="291">
        <f>SUM(I58:I60)</f>
        <v>-694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</sheetPr>
  <dimension ref="A1:G41"/>
  <sheetViews>
    <sheetView showGridLines="0" topLeftCell="A7" workbookViewId="0">
      <selection activeCell="G17" sqref="G17"/>
    </sheetView>
  </sheetViews>
  <sheetFormatPr defaultRowHeight="14.45"/>
  <cols>
    <col min="5" max="5" width="15.140625" bestFit="1" customWidth="1"/>
    <col min="6" max="6" width="15.5703125" bestFit="1" customWidth="1"/>
    <col min="7" max="7" width="13.42578125" customWidth="1"/>
  </cols>
  <sheetData>
    <row r="1" spans="1:7" s="13" customFormat="1" ht="22.15">
      <c r="A1" s="1250" t="s">
        <v>5515</v>
      </c>
      <c r="B1" s="873"/>
      <c r="C1" s="873"/>
      <c r="D1" s="873"/>
      <c r="E1" s="873"/>
    </row>
    <row r="2" spans="1:7" s="13" customFormat="1" ht="13.15"/>
    <row r="3" spans="1:7" s="13" customFormat="1" ht="10.5" customHeight="1">
      <c r="A3" s="1251" t="s">
        <v>5516</v>
      </c>
      <c r="B3" s="1251"/>
      <c r="C3" s="1251"/>
      <c r="D3" s="1251"/>
      <c r="E3" s="1251"/>
    </row>
    <row r="4" spans="1:7" s="13" customFormat="1" ht="10.5" customHeight="1">
      <c r="A4" s="1252" t="s">
        <v>5517</v>
      </c>
      <c r="B4" s="1252"/>
      <c r="C4" s="1252"/>
      <c r="D4" s="1252"/>
      <c r="E4" s="1252"/>
    </row>
    <row r="5" spans="1:7" s="13" customFormat="1" ht="13.15"/>
    <row r="6" spans="1:7" s="13" customFormat="1" ht="13.15">
      <c r="A6" s="1125" t="s">
        <v>5518</v>
      </c>
      <c r="B6" s="1126"/>
      <c r="C6" s="1125" t="s">
        <v>5519</v>
      </c>
      <c r="D6" s="1126"/>
      <c r="E6" s="876" t="s">
        <v>5520</v>
      </c>
    </row>
    <row r="7" spans="1:7" s="13" customFormat="1" ht="21">
      <c r="A7" s="1127"/>
      <c r="B7" s="1128"/>
      <c r="C7" s="1129"/>
      <c r="D7" s="1130"/>
      <c r="E7" s="877" t="s">
        <v>5521</v>
      </c>
    </row>
    <row r="8" spans="1:7" s="13" customFormat="1" ht="21">
      <c r="A8" s="1129"/>
      <c r="B8" s="1130"/>
      <c r="C8" s="1131" t="s">
        <v>5522</v>
      </c>
      <c r="D8" s="1132"/>
      <c r="E8" s="877" t="s">
        <v>5523</v>
      </c>
    </row>
    <row r="9" spans="1:7" s="13" customFormat="1" ht="30.6">
      <c r="A9" s="1108" t="s">
        <v>5524</v>
      </c>
      <c r="B9" s="1111" t="s">
        <v>5525</v>
      </c>
      <c r="C9" s="878" t="s">
        <v>5526</v>
      </c>
      <c r="D9" s="878" t="s">
        <v>5527</v>
      </c>
      <c r="E9" s="879">
        <v>7887902.75</v>
      </c>
    </row>
    <row r="10" spans="1:7" s="13" customFormat="1" ht="30.6">
      <c r="A10" s="1109"/>
      <c r="B10" s="1112"/>
      <c r="C10" s="878" t="s">
        <v>5528</v>
      </c>
      <c r="D10" s="878" t="s">
        <v>5529</v>
      </c>
      <c r="E10" s="879">
        <v>37104608.689999998</v>
      </c>
    </row>
    <row r="11" spans="1:7" s="13" customFormat="1" ht="30.6">
      <c r="A11" s="1109"/>
      <c r="B11" s="1112"/>
      <c r="C11" s="878" t="s">
        <v>5530</v>
      </c>
      <c r="D11" s="878" t="s">
        <v>5531</v>
      </c>
      <c r="E11" s="879">
        <v>15000</v>
      </c>
    </row>
    <row r="12" spans="1:7" s="13" customFormat="1" ht="51">
      <c r="A12" s="1109"/>
      <c r="B12" s="1112"/>
      <c r="C12" s="878" t="s">
        <v>5532</v>
      </c>
      <c r="D12" s="878" t="s">
        <v>5533</v>
      </c>
      <c r="E12" s="879">
        <v>101470.81</v>
      </c>
    </row>
    <row r="13" spans="1:7" s="13" customFormat="1" ht="30.6">
      <c r="A13" s="1110"/>
      <c r="B13" s="1113"/>
      <c r="C13" s="878" t="s">
        <v>5534</v>
      </c>
      <c r="D13" s="878" t="s">
        <v>5529</v>
      </c>
      <c r="E13" s="879">
        <v>1078535.3899999999</v>
      </c>
    </row>
    <row r="14" spans="1:7" s="13" customFormat="1" ht="13.15">
      <c r="A14" s="1105" t="s">
        <v>118</v>
      </c>
      <c r="B14" s="1106"/>
      <c r="C14" s="1107"/>
      <c r="D14" s="1106"/>
      <c r="E14" s="880">
        <v>46187517.640000001</v>
      </c>
    </row>
    <row r="15" spans="1:7" s="13" customFormat="1" ht="13.15">
      <c r="A15" s="872"/>
      <c r="B15" s="331"/>
      <c r="C15" s="871"/>
      <c r="D15" s="871"/>
      <c r="E15" s="610"/>
    </row>
    <row r="16" spans="1:7" s="13" customFormat="1" ht="13.15">
      <c r="A16" s="874" t="s">
        <v>5535</v>
      </c>
      <c r="B16" s="873"/>
      <c r="C16" s="873"/>
      <c r="D16" s="873"/>
      <c r="E16" s="875">
        <v>38198144.079999998</v>
      </c>
      <c r="F16" s="13">
        <f>E16/1000</f>
        <v>38198.144079999998</v>
      </c>
      <c r="G16" s="13">
        <f>ROUND(F16,0)+1</f>
        <v>38199</v>
      </c>
    </row>
    <row r="17" spans="1:7" s="13" customFormat="1" ht="13.15">
      <c r="A17" s="874" t="s">
        <v>5536</v>
      </c>
      <c r="B17" s="873"/>
      <c r="C17" s="873"/>
      <c r="D17" s="873"/>
      <c r="E17" s="875">
        <v>7989373.5599999996</v>
      </c>
      <c r="F17" s="13">
        <f>E17/1000</f>
        <v>7989.37356</v>
      </c>
      <c r="G17" s="13">
        <f>ROUND(F17,0)</f>
        <v>7989</v>
      </c>
    </row>
    <row r="18" spans="1:7" s="13" customFormat="1" ht="13.15">
      <c r="A18" s="873"/>
      <c r="B18" s="873"/>
      <c r="C18" s="873"/>
      <c r="D18" s="873"/>
      <c r="E18" s="875">
        <v>46187517.640000001</v>
      </c>
      <c r="F18" s="13">
        <f>E18/1000</f>
        <v>46187.517639999998</v>
      </c>
      <c r="G18" s="13">
        <f>ROUND(F18,0)</f>
        <v>46188</v>
      </c>
    </row>
    <row r="19" spans="1:7" s="13" customFormat="1" ht="13.15">
      <c r="E19" s="14"/>
    </row>
    <row r="20" spans="1:7">
      <c r="E20" s="94"/>
    </row>
    <row r="23" spans="1:7" ht="22.15">
      <c r="A23" s="568" t="s">
        <v>5537</v>
      </c>
    </row>
    <row r="25" spans="1:7">
      <c r="A25" s="1115" t="s">
        <v>5516</v>
      </c>
      <c r="B25" s="1115"/>
      <c r="C25" s="1115"/>
      <c r="D25" s="1115"/>
      <c r="E25" s="1115"/>
    </row>
    <row r="26" spans="1:7">
      <c r="A26" s="1116" t="s">
        <v>5538</v>
      </c>
      <c r="B26" s="1116"/>
      <c r="C26" s="1116"/>
      <c r="D26" s="1116"/>
      <c r="E26" s="1116"/>
    </row>
    <row r="28" spans="1:7">
      <c r="A28" s="1117" t="s">
        <v>5518</v>
      </c>
      <c r="B28" s="1117"/>
      <c r="C28" s="1117" t="s">
        <v>5519</v>
      </c>
      <c r="D28" s="1117"/>
      <c r="E28" s="330" t="s">
        <v>5539</v>
      </c>
    </row>
    <row r="29" spans="1:7" ht="31.9">
      <c r="A29" s="1117"/>
      <c r="B29" s="1117"/>
      <c r="C29" s="1117"/>
      <c r="D29" s="1117"/>
      <c r="E29" s="330" t="s">
        <v>5540</v>
      </c>
    </row>
    <row r="30" spans="1:7" ht="30.6">
      <c r="A30" s="1118" t="s">
        <v>5541</v>
      </c>
      <c r="B30" s="1121" t="s">
        <v>5542</v>
      </c>
      <c r="C30" s="331" t="s">
        <v>5528</v>
      </c>
      <c r="D30" s="331" t="s">
        <v>5529</v>
      </c>
      <c r="E30" s="332">
        <v>27432089.390000001</v>
      </c>
    </row>
    <row r="31" spans="1:7" ht="30.6">
      <c r="A31" s="1119"/>
      <c r="B31" s="1122"/>
      <c r="C31" s="331" t="s">
        <v>5530</v>
      </c>
      <c r="D31" s="331" t="s">
        <v>5531</v>
      </c>
      <c r="E31" s="332">
        <v>15000</v>
      </c>
    </row>
    <row r="32" spans="1:7" ht="20.45">
      <c r="A32" s="1119"/>
      <c r="B32" s="1122"/>
      <c r="C32" s="331" t="s">
        <v>5543</v>
      </c>
      <c r="D32" s="331" t="s">
        <v>5544</v>
      </c>
      <c r="E32" s="332">
        <v>50298.15</v>
      </c>
    </row>
    <row r="33" spans="1:7" ht="30.6">
      <c r="A33" s="1119"/>
      <c r="B33" s="1122"/>
      <c r="C33" s="331" t="s">
        <v>5534</v>
      </c>
      <c r="D33" s="331" t="s">
        <v>5529</v>
      </c>
      <c r="E33" s="332">
        <v>1078535.3899999999</v>
      </c>
    </row>
    <row r="34" spans="1:7" ht="30.6">
      <c r="A34" s="1119"/>
      <c r="B34" s="1122"/>
      <c r="C34" s="331" t="s">
        <v>5526</v>
      </c>
      <c r="D34" s="331" t="s">
        <v>5527</v>
      </c>
      <c r="E34" s="332">
        <v>4962165.57</v>
      </c>
    </row>
    <row r="35" spans="1:7" ht="30.6">
      <c r="A35" s="1120"/>
      <c r="B35" s="1123"/>
      <c r="C35" s="331" t="s">
        <v>5528</v>
      </c>
      <c r="D35" s="331" t="s">
        <v>5529</v>
      </c>
      <c r="E35" s="332">
        <v>91.37</v>
      </c>
    </row>
    <row r="36" spans="1:7">
      <c r="A36" s="1124" t="s">
        <v>118</v>
      </c>
      <c r="B36" s="1124"/>
      <c r="C36" s="1114"/>
      <c r="D36" s="1114"/>
      <c r="E36" s="332">
        <f>SUM(E30:E35)</f>
        <v>33538179.870000001</v>
      </c>
    </row>
    <row r="38" spans="1:7">
      <c r="A38" t="s">
        <v>5535</v>
      </c>
      <c r="E38" s="94">
        <f>+E30+E33+E35+E31</f>
        <v>28525716.150000002</v>
      </c>
      <c r="F38">
        <f>E38/1000</f>
        <v>28525.716150000004</v>
      </c>
      <c r="G38">
        <f>ROUND(F38,0)</f>
        <v>28526</v>
      </c>
    </row>
    <row r="39" spans="1:7">
      <c r="A39" t="s">
        <v>5545</v>
      </c>
      <c r="E39" s="94">
        <f>+E32+E34</f>
        <v>5012463.7200000007</v>
      </c>
      <c r="F39">
        <f>E39/1000</f>
        <v>5012.4637200000006</v>
      </c>
      <c r="G39">
        <f>ROUND(F39,0)</f>
        <v>5012</v>
      </c>
    </row>
    <row r="40" spans="1:7">
      <c r="E40" s="94">
        <f>+E38+E39</f>
        <v>33538179.870000005</v>
      </c>
    </row>
    <row r="41" spans="1:7">
      <c r="E41" s="94">
        <f>+E36-E40</f>
        <v>0</v>
      </c>
    </row>
  </sheetData>
  <mergeCells count="17">
    <mergeCell ref="A3:E3"/>
    <mergeCell ref="A4:E4"/>
    <mergeCell ref="A6:B8"/>
    <mergeCell ref="C6:D7"/>
    <mergeCell ref="C8:D8"/>
    <mergeCell ref="A14:B14"/>
    <mergeCell ref="C14:D14"/>
    <mergeCell ref="A9:A13"/>
    <mergeCell ref="B9:B13"/>
    <mergeCell ref="C36:D36"/>
    <mergeCell ref="A25:E25"/>
    <mergeCell ref="A26:E26"/>
    <mergeCell ref="A28:B29"/>
    <mergeCell ref="C28:D29"/>
    <mergeCell ref="A30:A35"/>
    <mergeCell ref="B30:B35"/>
    <mergeCell ref="A36:B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247"/>
  <sheetViews>
    <sheetView topLeftCell="C1" workbookViewId="0">
      <selection activeCell="D27" sqref="D27"/>
    </sheetView>
  </sheetViews>
  <sheetFormatPr defaultRowHeight="14.45"/>
  <cols>
    <col min="2" max="2" width="10.7109375" bestFit="1" customWidth="1"/>
    <col min="3" max="3" width="13" customWidth="1"/>
    <col min="4" max="4" width="86.28515625" customWidth="1"/>
    <col min="5" max="5" width="26.5703125" customWidth="1"/>
    <col min="7" max="7" width="13.7109375" customWidth="1"/>
    <col min="8" max="8" width="14.28515625" bestFit="1" customWidth="1"/>
    <col min="9" max="9" width="13.28515625" bestFit="1" customWidth="1"/>
    <col min="10" max="10" width="10.28515625" bestFit="1" customWidth="1"/>
  </cols>
  <sheetData>
    <row r="1" spans="1:9" s="84" customFormat="1">
      <c r="A1" s="84">
        <v>1</v>
      </c>
      <c r="B1" s="84" t="s">
        <v>1375</v>
      </c>
      <c r="C1" s="84" t="s">
        <v>576</v>
      </c>
      <c r="D1" s="84">
        <v>11239</v>
      </c>
      <c r="E1" s="84" t="s">
        <v>217</v>
      </c>
      <c r="F1" s="106" t="s">
        <v>1376</v>
      </c>
      <c r="G1" s="106">
        <v>1487.38</v>
      </c>
    </row>
    <row r="2" spans="1:9">
      <c r="A2" s="84">
        <v>1</v>
      </c>
    </row>
    <row r="3" spans="1:9">
      <c r="A3" s="84">
        <v>1</v>
      </c>
      <c r="B3" t="s">
        <v>473</v>
      </c>
      <c r="C3" t="s">
        <v>5546</v>
      </c>
      <c r="D3" t="s">
        <v>1377</v>
      </c>
      <c r="E3" t="s">
        <v>1378</v>
      </c>
      <c r="F3" t="s">
        <v>1379</v>
      </c>
      <c r="G3" t="s">
        <v>555</v>
      </c>
      <c r="H3" t="s">
        <v>556</v>
      </c>
      <c r="I3" t="s">
        <v>558</v>
      </c>
    </row>
    <row r="4" spans="1:9" s="95" customFormat="1">
      <c r="A4" s="118">
        <v>1</v>
      </c>
      <c r="B4" s="303">
        <v>45322</v>
      </c>
      <c r="C4" s="95">
        <v>33113</v>
      </c>
      <c r="D4" s="95" t="s">
        <v>5547</v>
      </c>
      <c r="E4" s="95" t="s">
        <v>5491</v>
      </c>
      <c r="G4" s="95">
        <v>12.28</v>
      </c>
      <c r="I4" s="304">
        <v>1639.15</v>
      </c>
    </row>
    <row r="5" spans="1:9" s="95" customFormat="1">
      <c r="A5" s="118">
        <v>1</v>
      </c>
      <c r="B5" s="303">
        <v>45351</v>
      </c>
      <c r="D5" s="95" t="s">
        <v>5548</v>
      </c>
      <c r="E5" s="95" t="s">
        <v>5493</v>
      </c>
      <c r="G5" s="95">
        <v>10.130000000000001</v>
      </c>
      <c r="I5" s="304">
        <f>G5+I4</f>
        <v>1649.2800000000002</v>
      </c>
    </row>
    <row r="6" spans="1:9" s="95" customFormat="1">
      <c r="A6" s="118">
        <v>1</v>
      </c>
      <c r="B6" s="303">
        <v>45382</v>
      </c>
      <c r="D6" s="95" t="s">
        <v>5549</v>
      </c>
      <c r="E6" s="581" t="s">
        <v>5495</v>
      </c>
      <c r="G6" s="95">
        <v>10.52</v>
      </c>
      <c r="I6" s="304">
        <f>G6+I5</f>
        <v>1659.8000000000002</v>
      </c>
    </row>
    <row r="7" spans="1:9" s="95" customFormat="1">
      <c r="A7" s="118">
        <v>1</v>
      </c>
      <c r="B7" s="303">
        <v>45412</v>
      </c>
      <c r="D7" s="95" t="s">
        <v>5550</v>
      </c>
      <c r="E7" s="581" t="s">
        <v>5497</v>
      </c>
      <c r="G7" s="95">
        <v>11.27</v>
      </c>
      <c r="I7" s="304">
        <f>G7+I6</f>
        <v>1671.0700000000002</v>
      </c>
    </row>
    <row r="8" spans="1:9" s="95" customFormat="1">
      <c r="A8" s="118">
        <v>1</v>
      </c>
      <c r="B8" s="303">
        <v>45443</v>
      </c>
      <c r="D8" s="95" t="s">
        <v>5551</v>
      </c>
      <c r="E8" s="581" t="s">
        <v>5498</v>
      </c>
      <c r="G8" s="95">
        <v>10.51</v>
      </c>
      <c r="I8" s="304">
        <f>G8+I7</f>
        <v>1681.5800000000002</v>
      </c>
    </row>
    <row r="9" spans="1:9" s="95" customFormat="1">
      <c r="A9" s="118">
        <v>1</v>
      </c>
      <c r="B9" s="303">
        <v>45473</v>
      </c>
      <c r="D9" s="95" t="s">
        <v>5552</v>
      </c>
      <c r="E9" s="581" t="s">
        <v>5500</v>
      </c>
      <c r="G9" s="95">
        <v>10.01</v>
      </c>
      <c r="I9" s="304">
        <f>G9+I8</f>
        <v>1691.5900000000001</v>
      </c>
    </row>
    <row r="10" spans="1:9" s="95" customFormat="1">
      <c r="A10" s="118">
        <v>1</v>
      </c>
      <c r="B10" s="303">
        <v>45504</v>
      </c>
      <c r="D10" s="95" t="s">
        <v>5553</v>
      </c>
      <c r="E10" s="581" t="s">
        <v>5554</v>
      </c>
      <c r="G10" s="95">
        <v>11.52</v>
      </c>
      <c r="I10" s="304">
        <v>1703.11</v>
      </c>
    </row>
    <row r="11" spans="1:9" s="95" customFormat="1">
      <c r="A11" s="118">
        <v>1</v>
      </c>
      <c r="B11" s="303">
        <v>45535</v>
      </c>
      <c r="D11" s="95" t="s">
        <v>5555</v>
      </c>
      <c r="E11" s="581" t="s">
        <v>5556</v>
      </c>
      <c r="G11" s="95">
        <v>11.02</v>
      </c>
      <c r="I11" s="304">
        <v>1714.13</v>
      </c>
    </row>
    <row r="12" spans="1:9">
      <c r="A12" s="84">
        <v>1</v>
      </c>
      <c r="B12" s="97">
        <v>45565</v>
      </c>
      <c r="D12" t="s">
        <v>5557</v>
      </c>
      <c r="E12" s="601" t="s">
        <v>5558</v>
      </c>
      <c r="G12">
        <v>10.64</v>
      </c>
      <c r="I12" s="94">
        <v>1724.77</v>
      </c>
    </row>
    <row r="13" spans="1:9">
      <c r="A13" s="84"/>
      <c r="B13" s="97">
        <v>45596</v>
      </c>
      <c r="D13" t="s">
        <v>5559</v>
      </c>
      <c r="E13" s="601" t="s">
        <v>5560</v>
      </c>
      <c r="G13">
        <v>11.78</v>
      </c>
      <c r="I13" s="94">
        <v>1736.55</v>
      </c>
    </row>
    <row r="14" spans="1:9">
      <c r="A14" s="84"/>
      <c r="B14" s="97">
        <v>45626</v>
      </c>
      <c r="D14" t="s">
        <v>5561</v>
      </c>
      <c r="E14" s="601" t="s">
        <v>5562</v>
      </c>
      <c r="G14">
        <v>10.01</v>
      </c>
      <c r="I14" s="94">
        <v>1746.56</v>
      </c>
    </row>
    <row r="15" spans="1:9">
      <c r="A15" s="84"/>
      <c r="B15" s="97">
        <v>45657</v>
      </c>
      <c r="D15" t="s">
        <v>5563</v>
      </c>
      <c r="E15" s="601" t="s">
        <v>5564</v>
      </c>
      <c r="G15">
        <v>11.77</v>
      </c>
      <c r="I15" s="94">
        <v>1758.33</v>
      </c>
    </row>
    <row r="16" spans="1:9">
      <c r="A16" s="84">
        <v>1</v>
      </c>
    </row>
    <row r="17" spans="1:9" s="84" customFormat="1">
      <c r="A17" s="84">
        <v>1</v>
      </c>
      <c r="B17" s="84" t="s">
        <v>1375</v>
      </c>
      <c r="C17" s="84" t="s">
        <v>577</v>
      </c>
      <c r="D17" s="84">
        <v>112316</v>
      </c>
      <c r="E17" s="84" t="s">
        <v>234</v>
      </c>
      <c r="F17" s="106" t="s">
        <v>1376</v>
      </c>
      <c r="G17" s="106"/>
    </row>
    <row r="18" spans="1:9">
      <c r="A18" s="84">
        <v>1</v>
      </c>
    </row>
    <row r="19" spans="1:9">
      <c r="A19" s="84">
        <v>1</v>
      </c>
      <c r="B19" t="s">
        <v>473</v>
      </c>
      <c r="C19" t="s">
        <v>5546</v>
      </c>
      <c r="D19" t="s">
        <v>1377</v>
      </c>
      <c r="E19" t="s">
        <v>1378</v>
      </c>
      <c r="F19" t="s">
        <v>1379</v>
      </c>
      <c r="G19" t="s">
        <v>555</v>
      </c>
      <c r="H19" t="s">
        <v>556</v>
      </c>
      <c r="I19" t="s">
        <v>558</v>
      </c>
    </row>
    <row r="20" spans="1:9" ht="16.5" customHeight="1">
      <c r="A20" s="84">
        <v>1</v>
      </c>
      <c r="B20" s="97">
        <v>45292</v>
      </c>
      <c r="C20">
        <v>112338</v>
      </c>
      <c r="D20" t="s">
        <v>5565</v>
      </c>
      <c r="E20" t="s">
        <v>5491</v>
      </c>
      <c r="G20" s="94"/>
      <c r="H20" s="94">
        <v>-842004.23</v>
      </c>
      <c r="I20">
        <v>0</v>
      </c>
    </row>
    <row r="21" spans="1:9">
      <c r="A21" s="84">
        <v>1</v>
      </c>
    </row>
    <row r="22" spans="1:9" s="84" customFormat="1">
      <c r="A22" s="84">
        <v>1</v>
      </c>
      <c r="B22" s="84" t="s">
        <v>1375</v>
      </c>
      <c r="C22" s="84" t="s">
        <v>578</v>
      </c>
      <c r="D22" s="84">
        <v>112317</v>
      </c>
      <c r="E22" s="84" t="s">
        <v>235</v>
      </c>
      <c r="F22" s="106" t="s">
        <v>1376</v>
      </c>
      <c r="G22" s="106"/>
    </row>
    <row r="23" spans="1:9">
      <c r="A23" s="84">
        <v>1</v>
      </c>
    </row>
    <row r="24" spans="1:9">
      <c r="A24" s="84">
        <v>1</v>
      </c>
      <c r="B24" t="s">
        <v>473</v>
      </c>
      <c r="C24" t="s">
        <v>5546</v>
      </c>
      <c r="D24" t="s">
        <v>1377</v>
      </c>
      <c r="E24" t="s">
        <v>1378</v>
      </c>
      <c r="F24" t="s">
        <v>1379</v>
      </c>
      <c r="G24" t="s">
        <v>555</v>
      </c>
      <c r="H24" t="s">
        <v>556</v>
      </c>
      <c r="I24" t="s">
        <v>558</v>
      </c>
    </row>
    <row r="25" spans="1:9">
      <c r="A25" s="84">
        <v>1</v>
      </c>
      <c r="B25" s="97">
        <v>45292</v>
      </c>
      <c r="C25">
        <v>112338</v>
      </c>
      <c r="D25" t="s">
        <v>5565</v>
      </c>
      <c r="E25" t="s">
        <v>5491</v>
      </c>
      <c r="H25" s="94">
        <v>-335274.46000000002</v>
      </c>
      <c r="I25">
        <v>0</v>
      </c>
    </row>
    <row r="26" spans="1:9">
      <c r="A26" s="84">
        <v>1</v>
      </c>
    </row>
    <row r="27" spans="1:9" s="84" customFormat="1">
      <c r="A27" s="84">
        <v>1</v>
      </c>
      <c r="B27" s="84" t="s">
        <v>1375</v>
      </c>
      <c r="C27" s="84" t="s">
        <v>1521</v>
      </c>
      <c r="D27" s="84">
        <v>112321</v>
      </c>
      <c r="E27" s="84" t="s">
        <v>1522</v>
      </c>
      <c r="F27" s="106" t="s">
        <v>1376</v>
      </c>
      <c r="G27" s="106"/>
    </row>
    <row r="28" spans="1:9">
      <c r="A28" s="84">
        <v>1</v>
      </c>
    </row>
    <row r="29" spans="1:9">
      <c r="A29" s="84">
        <v>1</v>
      </c>
      <c r="B29" t="s">
        <v>473</v>
      </c>
      <c r="C29" t="s">
        <v>5546</v>
      </c>
      <c r="D29" t="s">
        <v>1377</v>
      </c>
      <c r="E29" t="s">
        <v>1378</v>
      </c>
      <c r="F29" t="s">
        <v>1379</v>
      </c>
      <c r="G29" t="s">
        <v>555</v>
      </c>
      <c r="H29" t="s">
        <v>556</v>
      </c>
      <c r="I29" t="s">
        <v>558</v>
      </c>
    </row>
    <row r="30" spans="1:9">
      <c r="A30" s="84">
        <v>1</v>
      </c>
    </row>
    <row r="31" spans="1:9" s="84" customFormat="1">
      <c r="A31" s="84">
        <v>1</v>
      </c>
      <c r="B31" s="84" t="s">
        <v>1375</v>
      </c>
      <c r="C31" s="84" t="s">
        <v>579</v>
      </c>
      <c r="D31" s="84">
        <v>112323</v>
      </c>
      <c r="E31" s="84" t="s">
        <v>230</v>
      </c>
      <c r="F31" s="106" t="s">
        <v>1376</v>
      </c>
      <c r="G31" s="106"/>
    </row>
    <row r="32" spans="1:9">
      <c r="A32" s="84">
        <v>1</v>
      </c>
    </row>
    <row r="33" spans="1:9">
      <c r="A33" s="84">
        <v>1</v>
      </c>
      <c r="B33" t="s">
        <v>473</v>
      </c>
      <c r="C33" t="s">
        <v>5546</v>
      </c>
      <c r="D33" t="s">
        <v>1377</v>
      </c>
      <c r="E33" t="s">
        <v>1378</v>
      </c>
      <c r="F33" t="s">
        <v>1379</v>
      </c>
      <c r="G33" t="s">
        <v>555</v>
      </c>
      <c r="H33" t="s">
        <v>556</v>
      </c>
      <c r="I33" t="s">
        <v>558</v>
      </c>
    </row>
    <row r="34" spans="1:9" s="95" customFormat="1">
      <c r="A34" s="118">
        <v>1</v>
      </c>
      <c r="B34" s="303">
        <v>45322</v>
      </c>
      <c r="C34" s="95">
        <v>33113</v>
      </c>
      <c r="D34" s="95" t="s">
        <v>5547</v>
      </c>
      <c r="E34" s="95" t="s">
        <v>5491</v>
      </c>
      <c r="G34" s="304">
        <v>8152.85</v>
      </c>
      <c r="I34" s="304">
        <v>919387.67</v>
      </c>
    </row>
    <row r="35" spans="1:9" s="95" customFormat="1">
      <c r="A35" s="118">
        <v>1</v>
      </c>
      <c r="B35" s="303">
        <v>45351</v>
      </c>
      <c r="D35" s="95" t="s">
        <v>5548</v>
      </c>
      <c r="E35" s="95" t="s">
        <v>5493</v>
      </c>
      <c r="G35" s="304">
        <v>6723.99</v>
      </c>
      <c r="I35" s="304">
        <f>G35+I34</f>
        <v>926111.66</v>
      </c>
    </row>
    <row r="36" spans="1:9" s="95" customFormat="1">
      <c r="A36" s="118">
        <v>1</v>
      </c>
      <c r="B36" s="303">
        <v>45382</v>
      </c>
      <c r="D36" s="95" t="s">
        <v>5549</v>
      </c>
      <c r="E36" s="95" t="s">
        <v>5495</v>
      </c>
      <c r="G36" s="304">
        <v>6976.15</v>
      </c>
      <c r="I36" s="304">
        <f>G36+I35</f>
        <v>933087.81</v>
      </c>
    </row>
    <row r="37" spans="1:9" s="95" customFormat="1">
      <c r="A37" s="118">
        <v>1</v>
      </c>
      <c r="B37" s="303">
        <v>45412</v>
      </c>
      <c r="D37" s="95" t="s">
        <v>5550</v>
      </c>
      <c r="E37" s="95" t="s">
        <v>5497</v>
      </c>
      <c r="G37" s="304">
        <v>7480.44</v>
      </c>
      <c r="I37" s="304">
        <f>G37+I36</f>
        <v>940568.25</v>
      </c>
    </row>
    <row r="38" spans="1:9" s="95" customFormat="1">
      <c r="A38" s="118">
        <v>1</v>
      </c>
      <c r="B38" s="303">
        <v>45436</v>
      </c>
      <c r="D38" s="95" t="s">
        <v>5566</v>
      </c>
      <c r="E38" s="95" t="s">
        <v>5567</v>
      </c>
      <c r="G38" s="304"/>
      <c r="H38" s="95">
        <v>-779.3</v>
      </c>
      <c r="I38" s="304">
        <f>G38+I37+H38</f>
        <v>939788.95</v>
      </c>
    </row>
    <row r="39" spans="1:9" s="95" customFormat="1">
      <c r="A39" s="118">
        <v>1</v>
      </c>
      <c r="B39" s="303">
        <v>45443</v>
      </c>
      <c r="D39" s="95" t="s">
        <v>5551</v>
      </c>
      <c r="E39" s="95" t="s">
        <v>5498</v>
      </c>
      <c r="G39" s="304">
        <v>6971.44</v>
      </c>
      <c r="I39" s="304">
        <f>G39+I38-H39</f>
        <v>946760.3899999999</v>
      </c>
    </row>
    <row r="40" spans="1:9" s="95" customFormat="1">
      <c r="A40" s="118">
        <v>1</v>
      </c>
      <c r="B40" s="303">
        <v>45473</v>
      </c>
      <c r="D40" s="95" t="s">
        <v>5552</v>
      </c>
      <c r="E40" s="95" t="s">
        <v>5500</v>
      </c>
      <c r="G40" s="304">
        <v>6635.06</v>
      </c>
      <c r="I40" s="304">
        <f>G40+I39-H40</f>
        <v>953395.45</v>
      </c>
    </row>
    <row r="41" spans="1:9" s="95" customFormat="1">
      <c r="A41" s="118">
        <v>1</v>
      </c>
      <c r="B41" s="303">
        <v>45504</v>
      </c>
      <c r="D41" s="95" t="s">
        <v>5553</v>
      </c>
      <c r="E41" s="95" t="s">
        <v>5554</v>
      </c>
      <c r="G41" s="304">
        <v>7642.92</v>
      </c>
      <c r="I41" s="304">
        <v>961038.37</v>
      </c>
    </row>
    <row r="42" spans="1:9" s="95" customFormat="1">
      <c r="A42" s="118">
        <v>1</v>
      </c>
      <c r="B42" s="303">
        <v>45535</v>
      </c>
      <c r="D42" s="95" t="s">
        <v>5555</v>
      </c>
      <c r="E42" s="95" t="s">
        <v>5556</v>
      </c>
      <c r="G42" s="304">
        <v>7306.97</v>
      </c>
      <c r="I42" s="304">
        <v>968345.34</v>
      </c>
    </row>
    <row r="43" spans="1:9">
      <c r="A43" s="84">
        <v>1</v>
      </c>
      <c r="B43" s="97">
        <v>45565</v>
      </c>
      <c r="D43" t="s">
        <v>5557</v>
      </c>
      <c r="E43" t="s">
        <v>5558</v>
      </c>
      <c r="G43" s="94">
        <v>7023.15</v>
      </c>
      <c r="I43" s="94">
        <v>975368.49</v>
      </c>
    </row>
    <row r="44" spans="1:9">
      <c r="A44" s="84">
        <v>1</v>
      </c>
      <c r="B44" s="97">
        <v>45565</v>
      </c>
      <c r="D44" t="s">
        <v>5557</v>
      </c>
      <c r="E44" t="s">
        <v>5558</v>
      </c>
      <c r="G44" s="94">
        <v>31.85</v>
      </c>
      <c r="I44" s="94">
        <v>975400.34</v>
      </c>
    </row>
    <row r="45" spans="1:9">
      <c r="A45" s="84"/>
      <c r="B45" s="97">
        <v>45596</v>
      </c>
      <c r="D45" t="s">
        <v>5559</v>
      </c>
      <c r="E45" t="s">
        <v>5560</v>
      </c>
      <c r="G45" s="94">
        <v>7810.9</v>
      </c>
      <c r="I45" s="94">
        <v>983211.24</v>
      </c>
    </row>
    <row r="46" spans="1:9">
      <c r="A46" s="84"/>
      <c r="B46" s="97">
        <v>45626</v>
      </c>
      <c r="D46" t="s">
        <v>5561</v>
      </c>
      <c r="E46" t="s">
        <v>5562</v>
      </c>
      <c r="G46" s="94">
        <v>6635.06</v>
      </c>
      <c r="I46" s="94">
        <v>989846.3</v>
      </c>
    </row>
    <row r="47" spans="1:9">
      <c r="A47" s="84"/>
      <c r="B47" s="97">
        <v>45657</v>
      </c>
      <c r="D47" t="s">
        <v>5563</v>
      </c>
      <c r="E47" t="s">
        <v>5564</v>
      </c>
      <c r="G47" s="94">
        <v>7810.9</v>
      </c>
      <c r="I47" s="94">
        <v>997657.2</v>
      </c>
    </row>
    <row r="48" spans="1:9">
      <c r="A48" s="84">
        <v>1</v>
      </c>
    </row>
    <row r="49" spans="1:9" s="84" customFormat="1">
      <c r="A49" s="84">
        <v>1</v>
      </c>
      <c r="B49" s="84" t="s">
        <v>1375</v>
      </c>
      <c r="C49" s="84" t="s">
        <v>580</v>
      </c>
      <c r="D49" s="84">
        <v>112325</v>
      </c>
      <c r="E49" s="84" t="s">
        <v>229</v>
      </c>
      <c r="F49" s="84" t="s">
        <v>1376</v>
      </c>
    </row>
    <row r="50" spans="1:9">
      <c r="A50" s="84">
        <v>1</v>
      </c>
    </row>
    <row r="51" spans="1:9">
      <c r="A51" s="84">
        <v>1</v>
      </c>
      <c r="B51" t="s">
        <v>473</v>
      </c>
      <c r="C51" t="s">
        <v>5546</v>
      </c>
      <c r="D51" t="s">
        <v>1377</v>
      </c>
      <c r="E51" t="s">
        <v>1378</v>
      </c>
      <c r="F51" t="s">
        <v>1379</v>
      </c>
      <c r="G51" t="s">
        <v>555</v>
      </c>
      <c r="H51" t="s">
        <v>556</v>
      </c>
      <c r="I51" t="s">
        <v>558</v>
      </c>
    </row>
    <row r="52" spans="1:9" s="95" customFormat="1">
      <c r="A52" s="118">
        <v>1</v>
      </c>
      <c r="B52" s="303">
        <v>45322</v>
      </c>
      <c r="C52" s="95">
        <v>33113</v>
      </c>
      <c r="D52" s="95" t="s">
        <v>5547</v>
      </c>
      <c r="E52" s="95" t="s">
        <v>5491</v>
      </c>
      <c r="F52" s="304"/>
      <c r="G52" s="95">
        <v>33</v>
      </c>
      <c r="I52" s="304">
        <v>3805.73</v>
      </c>
    </row>
    <row r="53" spans="1:9" s="95" customFormat="1">
      <c r="A53" s="118">
        <v>1</v>
      </c>
      <c r="B53" s="303">
        <v>45351</v>
      </c>
      <c r="D53" s="95" t="s">
        <v>5548</v>
      </c>
      <c r="E53" s="95" t="s">
        <v>5493</v>
      </c>
      <c r="F53" s="304"/>
      <c r="G53" s="95">
        <v>27.21</v>
      </c>
      <c r="I53" s="304">
        <f>G53+I52</f>
        <v>3832.94</v>
      </c>
    </row>
    <row r="54" spans="1:9" s="95" customFormat="1">
      <c r="A54" s="118">
        <v>1</v>
      </c>
      <c r="B54" s="303">
        <v>45382</v>
      </c>
      <c r="D54" s="95" t="s">
        <v>5549</v>
      </c>
      <c r="E54" s="95" t="s">
        <v>5495</v>
      </c>
      <c r="F54" s="304"/>
      <c r="G54" s="95">
        <v>28.24</v>
      </c>
      <c r="I54" s="304">
        <f>G54+I53</f>
        <v>3861.18</v>
      </c>
    </row>
    <row r="55" spans="1:9" s="95" customFormat="1">
      <c r="A55" s="118">
        <v>1</v>
      </c>
      <c r="B55" s="303">
        <v>45412</v>
      </c>
      <c r="D55" s="95" t="s">
        <v>5550</v>
      </c>
      <c r="E55" s="95" t="s">
        <v>5497</v>
      </c>
      <c r="F55" s="304"/>
      <c r="G55" s="95">
        <v>30.27</v>
      </c>
      <c r="I55" s="304">
        <f>G55+I54</f>
        <v>3891.45</v>
      </c>
    </row>
    <row r="56" spans="1:9" s="95" customFormat="1">
      <c r="A56" s="118">
        <v>1</v>
      </c>
      <c r="B56" s="303">
        <v>45443</v>
      </c>
      <c r="D56" s="95" t="s">
        <v>5551</v>
      </c>
      <c r="E56" s="95" t="s">
        <v>5498</v>
      </c>
      <c r="F56" s="304"/>
      <c r="G56" s="95">
        <v>28.23</v>
      </c>
      <c r="I56" s="304">
        <f>G56+I55</f>
        <v>3919.68</v>
      </c>
    </row>
    <row r="57" spans="1:9" s="95" customFormat="1">
      <c r="A57" s="118">
        <v>1</v>
      </c>
      <c r="B57" s="303">
        <v>45473</v>
      </c>
      <c r="D57" s="95" t="s">
        <v>5552</v>
      </c>
      <c r="E57" s="95" t="s">
        <v>5500</v>
      </c>
      <c r="F57" s="304"/>
      <c r="G57" s="95">
        <v>26.88</v>
      </c>
      <c r="I57" s="304">
        <f>G57+I56</f>
        <v>3946.56</v>
      </c>
    </row>
    <row r="58" spans="1:9" s="95" customFormat="1">
      <c r="A58" s="118">
        <v>1</v>
      </c>
      <c r="B58" s="303">
        <v>45504</v>
      </c>
      <c r="D58" s="95" t="s">
        <v>5553</v>
      </c>
      <c r="E58" s="95" t="s">
        <v>5554</v>
      </c>
      <c r="F58" s="304"/>
      <c r="G58" s="95">
        <v>30.95</v>
      </c>
      <c r="I58" s="304">
        <v>3977.51</v>
      </c>
    </row>
    <row r="59" spans="1:9" s="95" customFormat="1">
      <c r="A59" s="118">
        <v>1</v>
      </c>
      <c r="B59" s="303">
        <v>45535</v>
      </c>
      <c r="D59" s="95" t="s">
        <v>5555</v>
      </c>
      <c r="E59" s="95" t="s">
        <v>5556</v>
      </c>
      <c r="F59" s="304"/>
      <c r="G59" s="95">
        <v>29.6</v>
      </c>
      <c r="I59" s="304">
        <v>4007.11</v>
      </c>
    </row>
    <row r="60" spans="1:9">
      <c r="A60" s="84"/>
      <c r="B60" s="97">
        <v>45565</v>
      </c>
      <c r="D60" t="s">
        <v>5557</v>
      </c>
      <c r="E60" t="s">
        <v>5558</v>
      </c>
      <c r="F60" s="94"/>
      <c r="G60">
        <v>28.57</v>
      </c>
      <c r="I60" s="94">
        <v>4035.68</v>
      </c>
    </row>
    <row r="61" spans="1:9">
      <c r="A61" s="84"/>
      <c r="B61" s="97">
        <v>45596</v>
      </c>
      <c r="D61" t="s">
        <v>5559</v>
      </c>
      <c r="E61" t="s">
        <v>5560</v>
      </c>
      <c r="F61" s="94"/>
      <c r="G61">
        <v>31.64</v>
      </c>
      <c r="I61" s="94">
        <v>4067.32</v>
      </c>
    </row>
    <row r="62" spans="1:9">
      <c r="A62" s="84"/>
      <c r="B62" s="97">
        <v>45626</v>
      </c>
      <c r="D62" t="s">
        <v>5561</v>
      </c>
      <c r="E62" t="s">
        <v>5562</v>
      </c>
      <c r="F62" s="94"/>
      <c r="G62">
        <v>26.87</v>
      </c>
      <c r="I62" s="94">
        <v>4094.19</v>
      </c>
    </row>
    <row r="63" spans="1:9">
      <c r="A63" s="84"/>
      <c r="B63" s="97">
        <v>45657</v>
      </c>
      <c r="D63" t="s">
        <v>5563</v>
      </c>
      <c r="E63" t="s">
        <v>5564</v>
      </c>
      <c r="F63" s="94"/>
      <c r="G63">
        <v>31.63</v>
      </c>
      <c r="I63" s="94">
        <v>4125.82</v>
      </c>
    </row>
    <row r="64" spans="1:9" ht="13.9" customHeight="1">
      <c r="A64" s="84">
        <v>1</v>
      </c>
    </row>
    <row r="65" spans="1:9" s="84" customFormat="1">
      <c r="A65" s="84">
        <v>1</v>
      </c>
      <c r="B65" s="84" t="s">
        <v>1375</v>
      </c>
      <c r="C65" s="84" t="s">
        <v>581</v>
      </c>
      <c r="D65" s="84">
        <v>112327</v>
      </c>
      <c r="E65" s="84" t="s">
        <v>582</v>
      </c>
      <c r="F65" s="84" t="s">
        <v>1376</v>
      </c>
    </row>
    <row r="66" spans="1:9">
      <c r="A66" s="84">
        <v>1</v>
      </c>
    </row>
    <row r="67" spans="1:9">
      <c r="A67" s="84">
        <v>1</v>
      </c>
      <c r="B67" t="s">
        <v>473</v>
      </c>
      <c r="C67" t="s">
        <v>5546</v>
      </c>
      <c r="D67" t="s">
        <v>1377</v>
      </c>
      <c r="E67" t="s">
        <v>1378</v>
      </c>
      <c r="F67" t="s">
        <v>1379</v>
      </c>
      <c r="G67" t="s">
        <v>555</v>
      </c>
      <c r="H67" t="s">
        <v>556</v>
      </c>
      <c r="I67" t="s">
        <v>558</v>
      </c>
    </row>
    <row r="68" spans="1:9" s="95" customFormat="1">
      <c r="A68" s="118">
        <v>1</v>
      </c>
      <c r="B68" s="303">
        <v>45322</v>
      </c>
      <c r="C68" s="95">
        <v>33113</v>
      </c>
      <c r="D68" s="95" t="s">
        <v>5547</v>
      </c>
      <c r="E68" s="95" t="s">
        <v>5491</v>
      </c>
      <c r="G68" s="95">
        <v>2</v>
      </c>
      <c r="I68" s="95">
        <v>266.37</v>
      </c>
    </row>
    <row r="69" spans="1:9" s="95" customFormat="1">
      <c r="A69" s="118">
        <v>1</v>
      </c>
      <c r="B69" s="303">
        <v>45351</v>
      </c>
      <c r="D69" s="95" t="s">
        <v>5548</v>
      </c>
      <c r="E69" s="95" t="s">
        <v>5493</v>
      </c>
      <c r="G69" s="95">
        <v>1.64</v>
      </c>
      <c r="I69" s="95">
        <f>G69+I68</f>
        <v>268.01</v>
      </c>
    </row>
    <row r="70" spans="1:9" s="95" customFormat="1">
      <c r="A70" s="118">
        <v>1</v>
      </c>
      <c r="B70" s="303">
        <v>45382</v>
      </c>
      <c r="D70" s="95" t="s">
        <v>5549</v>
      </c>
      <c r="E70" s="95" t="s">
        <v>5495</v>
      </c>
      <c r="G70" s="95">
        <v>1.71</v>
      </c>
      <c r="I70" s="95">
        <f>G70+I69</f>
        <v>269.71999999999997</v>
      </c>
    </row>
    <row r="71" spans="1:9" s="95" customFormat="1">
      <c r="A71" s="118">
        <v>1</v>
      </c>
      <c r="B71" s="303">
        <v>45412</v>
      </c>
      <c r="D71" s="95" t="s">
        <v>5550</v>
      </c>
      <c r="E71" s="95" t="s">
        <v>5497</v>
      </c>
      <c r="G71" s="95">
        <v>1.83</v>
      </c>
      <c r="I71" s="95">
        <f>G71+I70</f>
        <v>271.54999999999995</v>
      </c>
    </row>
    <row r="72" spans="1:9" s="95" customFormat="1">
      <c r="A72" s="118">
        <v>1</v>
      </c>
      <c r="B72" s="303">
        <v>45443</v>
      </c>
      <c r="D72" s="95" t="s">
        <v>5551</v>
      </c>
      <c r="E72" s="95" t="s">
        <v>5498</v>
      </c>
      <c r="G72" s="95">
        <v>1.71</v>
      </c>
      <c r="I72" s="95">
        <f>G72+I71</f>
        <v>273.25999999999993</v>
      </c>
    </row>
    <row r="73" spans="1:9" s="95" customFormat="1">
      <c r="A73" s="118">
        <v>1</v>
      </c>
      <c r="B73" s="303">
        <v>45473</v>
      </c>
      <c r="D73" s="95" t="s">
        <v>5552</v>
      </c>
      <c r="E73" s="95" t="s">
        <v>5500</v>
      </c>
      <c r="G73" s="95">
        <v>1.63</v>
      </c>
      <c r="I73" s="95">
        <f>G73+I72</f>
        <v>274.88999999999993</v>
      </c>
    </row>
    <row r="74" spans="1:9" s="95" customFormat="1">
      <c r="A74" s="118">
        <v>1</v>
      </c>
      <c r="B74" s="303">
        <v>45504</v>
      </c>
      <c r="D74" s="95" t="s">
        <v>5553</v>
      </c>
      <c r="E74" s="95" t="s">
        <v>5554</v>
      </c>
      <c r="G74" s="95">
        <v>1.87</v>
      </c>
      <c r="I74" s="95">
        <v>276.76</v>
      </c>
    </row>
    <row r="75" spans="1:9" s="95" customFormat="1">
      <c r="A75" s="118">
        <v>1</v>
      </c>
      <c r="B75" s="303">
        <v>45535</v>
      </c>
      <c r="D75" s="95" t="s">
        <v>5555</v>
      </c>
      <c r="E75" s="95" t="s">
        <v>5556</v>
      </c>
      <c r="G75" s="95">
        <v>1.79</v>
      </c>
      <c r="I75" s="95">
        <v>278.55</v>
      </c>
    </row>
    <row r="76" spans="1:9">
      <c r="A76" s="84"/>
      <c r="B76" s="97">
        <v>45565</v>
      </c>
      <c r="D76" t="s">
        <v>5557</v>
      </c>
      <c r="E76" t="s">
        <v>5558</v>
      </c>
      <c r="G76">
        <v>1.73</v>
      </c>
      <c r="I76">
        <v>280.27999999999997</v>
      </c>
    </row>
    <row r="77" spans="1:9">
      <c r="A77" s="84"/>
      <c r="B77" s="97">
        <v>45596</v>
      </c>
      <c r="D77" t="s">
        <v>5559</v>
      </c>
      <c r="E77" t="s">
        <v>5560</v>
      </c>
      <c r="G77">
        <v>1.91</v>
      </c>
      <c r="I77">
        <v>282.19</v>
      </c>
    </row>
    <row r="78" spans="1:9">
      <c r="A78" s="84"/>
      <c r="B78" s="97">
        <v>45626</v>
      </c>
      <c r="D78" t="s">
        <v>5561</v>
      </c>
      <c r="E78" t="s">
        <v>5562</v>
      </c>
      <c r="G78">
        <v>1.63</v>
      </c>
      <c r="I78">
        <v>283.82</v>
      </c>
    </row>
    <row r="79" spans="1:9">
      <c r="A79" s="84"/>
      <c r="B79" s="97">
        <v>45657</v>
      </c>
      <c r="D79" t="s">
        <v>5563</v>
      </c>
      <c r="E79" t="s">
        <v>5564</v>
      </c>
      <c r="G79">
        <v>1.91</v>
      </c>
      <c r="I79">
        <v>285.73</v>
      </c>
    </row>
    <row r="80" spans="1:9">
      <c r="A80" s="84">
        <v>1</v>
      </c>
    </row>
    <row r="81" spans="1:9" s="84" customFormat="1">
      <c r="A81" s="84">
        <v>1</v>
      </c>
      <c r="B81" s="84" t="s">
        <v>1375</v>
      </c>
      <c r="C81" s="84" t="s">
        <v>583</v>
      </c>
      <c r="D81" s="84">
        <v>112332</v>
      </c>
      <c r="E81" s="84" t="s">
        <v>584</v>
      </c>
      <c r="F81" s="106" t="s">
        <v>1376</v>
      </c>
      <c r="G81" s="106"/>
    </row>
    <row r="82" spans="1:9">
      <c r="A82" s="84">
        <v>1</v>
      </c>
    </row>
    <row r="83" spans="1:9">
      <c r="A83" s="84">
        <v>1</v>
      </c>
      <c r="B83" t="s">
        <v>473</v>
      </c>
      <c r="C83" t="s">
        <v>5546</v>
      </c>
      <c r="D83" t="s">
        <v>1377</v>
      </c>
      <c r="E83" t="s">
        <v>1378</v>
      </c>
      <c r="F83" t="s">
        <v>1379</v>
      </c>
      <c r="G83" t="s">
        <v>555</v>
      </c>
      <c r="H83" t="s">
        <v>556</v>
      </c>
      <c r="I83" t="s">
        <v>558</v>
      </c>
    </row>
    <row r="84" spans="1:9" s="95" customFormat="1">
      <c r="A84" s="118">
        <v>1</v>
      </c>
      <c r="B84" s="303">
        <v>44957</v>
      </c>
      <c r="C84" s="95">
        <v>33113</v>
      </c>
      <c r="D84" s="95" t="s">
        <v>5547</v>
      </c>
      <c r="E84" s="95" t="s">
        <v>5491</v>
      </c>
      <c r="F84" s="304"/>
      <c r="G84" s="304">
        <v>2634.51</v>
      </c>
      <c r="H84" s="304"/>
      <c r="I84" s="304">
        <v>339525.76</v>
      </c>
    </row>
    <row r="85" spans="1:9" s="95" customFormat="1">
      <c r="A85" s="118">
        <v>1</v>
      </c>
      <c r="B85" s="303">
        <v>45351</v>
      </c>
      <c r="D85" s="95" t="s">
        <v>5548</v>
      </c>
      <c r="E85" s="95" t="s">
        <v>5493</v>
      </c>
      <c r="F85" s="304"/>
      <c r="G85" s="304">
        <v>2172.79</v>
      </c>
      <c r="H85" s="304"/>
      <c r="I85" s="304">
        <f>G85+H85+I84</f>
        <v>341698.55</v>
      </c>
    </row>
    <row r="86" spans="1:9" s="95" customFormat="1">
      <c r="A86" s="118">
        <v>1</v>
      </c>
      <c r="B86" s="303">
        <v>45352</v>
      </c>
      <c r="D86" s="95" t="s">
        <v>5568</v>
      </c>
      <c r="E86" s="95" t="s">
        <v>5495</v>
      </c>
      <c r="F86" s="304"/>
      <c r="G86" s="304"/>
      <c r="H86" s="304">
        <v>-115331.56</v>
      </c>
      <c r="I86" s="304">
        <f>G86+H86+I85</f>
        <v>226366.99</v>
      </c>
    </row>
    <row r="87" spans="1:9" s="95" customFormat="1">
      <c r="A87" s="118">
        <v>1</v>
      </c>
      <c r="B87" s="303">
        <v>45352</v>
      </c>
      <c r="D87" s="95" t="s">
        <v>5569</v>
      </c>
      <c r="E87" s="95" t="s">
        <v>5495</v>
      </c>
      <c r="F87" s="304"/>
      <c r="G87" s="304"/>
      <c r="H87" s="304">
        <v>-29767.07</v>
      </c>
      <c r="I87" s="304">
        <f>G87+H87+I86</f>
        <v>196599.91999999998</v>
      </c>
    </row>
    <row r="88" spans="1:9" s="95" customFormat="1">
      <c r="A88" s="118">
        <v>1</v>
      </c>
      <c r="B88" s="303">
        <v>45382</v>
      </c>
      <c r="D88" s="95" t="s">
        <v>5549</v>
      </c>
      <c r="E88" s="95" t="s">
        <v>5495</v>
      </c>
      <c r="F88" s="304"/>
      <c r="G88" s="304">
        <v>1297.01</v>
      </c>
      <c r="H88" s="304"/>
      <c r="I88" s="304">
        <f>G88+H88+I87</f>
        <v>197896.93</v>
      </c>
    </row>
    <row r="89" spans="1:9" s="95" customFormat="1">
      <c r="A89" s="118">
        <v>1</v>
      </c>
      <c r="B89" s="303">
        <v>45412</v>
      </c>
      <c r="D89" s="95" t="s">
        <v>5550</v>
      </c>
      <c r="E89" s="95" t="s">
        <v>5497</v>
      </c>
      <c r="F89" s="304"/>
      <c r="G89" s="304">
        <v>1390.78</v>
      </c>
      <c r="H89" s="304"/>
      <c r="I89" s="304">
        <f>G89+I88</f>
        <v>199287.71</v>
      </c>
    </row>
    <row r="90" spans="1:9" s="95" customFormat="1">
      <c r="A90" s="118">
        <v>1</v>
      </c>
      <c r="B90" s="303">
        <v>45443</v>
      </c>
      <c r="D90" s="95" t="s">
        <v>5551</v>
      </c>
      <c r="E90" s="95" t="s">
        <v>5498</v>
      </c>
      <c r="F90" s="304"/>
      <c r="G90" s="304">
        <v>1297.02</v>
      </c>
      <c r="H90" s="304"/>
      <c r="I90" s="304">
        <f>G90+I89</f>
        <v>200584.72999999998</v>
      </c>
    </row>
    <row r="91" spans="1:9" s="95" customFormat="1">
      <c r="A91" s="118">
        <v>1</v>
      </c>
      <c r="B91" s="303">
        <v>45473</v>
      </c>
      <c r="D91" s="95" t="s">
        <v>5552</v>
      </c>
      <c r="E91" s="95" t="s">
        <v>5500</v>
      </c>
      <c r="F91" s="304"/>
      <c r="G91" s="304">
        <v>1234.51</v>
      </c>
      <c r="H91" s="304"/>
      <c r="I91" s="304">
        <f>G91+I90</f>
        <v>201819.24</v>
      </c>
    </row>
    <row r="92" spans="1:9" s="95" customFormat="1">
      <c r="A92" s="118">
        <v>1</v>
      </c>
      <c r="B92" s="303">
        <v>45504</v>
      </c>
      <c r="D92" s="95" t="s">
        <v>5553</v>
      </c>
      <c r="E92" s="95" t="s">
        <v>5554</v>
      </c>
      <c r="F92" s="304"/>
      <c r="G92" s="304">
        <v>1422.04</v>
      </c>
      <c r="H92" s="304"/>
      <c r="I92" s="304">
        <v>203241.28</v>
      </c>
    </row>
    <row r="93" spans="1:9" s="95" customFormat="1">
      <c r="A93" s="118">
        <v>1</v>
      </c>
      <c r="B93" s="303">
        <v>45535</v>
      </c>
      <c r="D93" s="95" t="s">
        <v>5555</v>
      </c>
      <c r="E93" s="95" t="s">
        <v>5556</v>
      </c>
      <c r="F93" s="304"/>
      <c r="G93" s="304">
        <v>1359.52</v>
      </c>
      <c r="H93" s="304"/>
      <c r="I93" s="304">
        <v>204600.8</v>
      </c>
    </row>
    <row r="94" spans="1:9">
      <c r="A94" s="84">
        <v>1</v>
      </c>
      <c r="B94" s="97">
        <v>45565</v>
      </c>
      <c r="D94" t="s">
        <v>5557</v>
      </c>
      <c r="E94" t="s">
        <v>5558</v>
      </c>
      <c r="F94" s="94"/>
      <c r="G94" s="94">
        <v>1312.65</v>
      </c>
      <c r="H94" s="94"/>
      <c r="I94" s="94">
        <v>205913.45</v>
      </c>
    </row>
    <row r="95" spans="1:9">
      <c r="A95" s="84"/>
      <c r="B95" s="97">
        <v>45596</v>
      </c>
      <c r="D95" t="s">
        <v>5559</v>
      </c>
      <c r="E95" t="s">
        <v>5560</v>
      </c>
      <c r="F95" s="94"/>
      <c r="G95" s="94">
        <v>1453.28</v>
      </c>
      <c r="H95" s="94"/>
      <c r="I95" s="94">
        <v>207366.73</v>
      </c>
    </row>
    <row r="96" spans="1:9">
      <c r="A96" s="84"/>
      <c r="B96" s="97">
        <v>45626</v>
      </c>
      <c r="D96" t="s">
        <v>5561</v>
      </c>
      <c r="E96" t="s">
        <v>5562</v>
      </c>
      <c r="F96" s="94"/>
      <c r="G96" s="94">
        <v>1234.51</v>
      </c>
      <c r="H96" s="94"/>
      <c r="I96" s="94">
        <v>208601.24</v>
      </c>
    </row>
    <row r="97" spans="1:9">
      <c r="A97" s="84"/>
      <c r="B97" s="97">
        <v>45657</v>
      </c>
      <c r="D97" t="s">
        <v>5563</v>
      </c>
      <c r="E97" t="s">
        <v>5564</v>
      </c>
      <c r="F97" s="94"/>
      <c r="G97" s="94">
        <v>1453.29</v>
      </c>
      <c r="H97" s="94"/>
      <c r="I97" s="94">
        <v>210054.53</v>
      </c>
    </row>
    <row r="98" spans="1:9">
      <c r="A98" s="84">
        <v>1</v>
      </c>
    </row>
    <row r="99" spans="1:9" s="84" customFormat="1">
      <c r="A99" s="84">
        <v>1</v>
      </c>
      <c r="B99" s="84" t="s">
        <v>1375</v>
      </c>
      <c r="C99" s="84" t="s">
        <v>585</v>
      </c>
      <c r="D99" s="84">
        <v>112333</v>
      </c>
      <c r="E99" s="84" t="s">
        <v>586</v>
      </c>
      <c r="F99" s="106" t="s">
        <v>1376</v>
      </c>
      <c r="G99" s="106"/>
    </row>
    <row r="100" spans="1:9">
      <c r="A100" s="84">
        <v>1</v>
      </c>
    </row>
    <row r="101" spans="1:9">
      <c r="A101" s="84">
        <v>1</v>
      </c>
      <c r="B101" t="s">
        <v>473</v>
      </c>
      <c r="C101" t="s">
        <v>5546</v>
      </c>
      <c r="D101" t="s">
        <v>1377</v>
      </c>
      <c r="E101" t="s">
        <v>1378</v>
      </c>
      <c r="F101" t="s">
        <v>1379</v>
      </c>
      <c r="G101" t="s">
        <v>555</v>
      </c>
      <c r="H101" t="s">
        <v>556</v>
      </c>
      <c r="I101" t="s">
        <v>558</v>
      </c>
    </row>
    <row r="102" spans="1:9" s="95" customFormat="1">
      <c r="A102" s="118">
        <v>1</v>
      </c>
      <c r="B102" s="303">
        <v>45322</v>
      </c>
      <c r="C102" s="95">
        <v>33113</v>
      </c>
      <c r="D102" s="95" t="s">
        <v>5547</v>
      </c>
      <c r="E102" s="95" t="s">
        <v>5491</v>
      </c>
      <c r="F102" s="304"/>
      <c r="G102" s="304">
        <v>1009.85</v>
      </c>
      <c r="H102" s="304"/>
      <c r="I102" s="304">
        <v>130145.49</v>
      </c>
    </row>
    <row r="103" spans="1:9" s="95" customFormat="1">
      <c r="A103" s="118">
        <v>1</v>
      </c>
      <c r="B103" s="303">
        <v>45351</v>
      </c>
      <c r="D103" s="95" t="s">
        <v>5548</v>
      </c>
      <c r="E103" s="95" t="s">
        <v>5493</v>
      </c>
      <c r="F103" s="304"/>
      <c r="G103" s="304">
        <v>832.86</v>
      </c>
      <c r="H103" s="304"/>
      <c r="I103" s="304">
        <f>G103+I102+H103</f>
        <v>130978.35</v>
      </c>
    </row>
    <row r="104" spans="1:9" s="95" customFormat="1">
      <c r="A104" s="118">
        <v>1</v>
      </c>
      <c r="B104" s="303">
        <v>44986</v>
      </c>
      <c r="D104" s="95" t="s">
        <v>5568</v>
      </c>
      <c r="E104" s="95" t="s">
        <v>5495</v>
      </c>
      <c r="F104" s="304"/>
      <c r="G104" s="304"/>
      <c r="H104" s="304">
        <v>-104108.06</v>
      </c>
      <c r="I104" s="304">
        <f>G104+I103+H104</f>
        <v>26870.290000000008</v>
      </c>
    </row>
    <row r="105" spans="1:9" s="95" customFormat="1">
      <c r="A105" s="118">
        <v>1</v>
      </c>
      <c r="B105" s="303">
        <v>44986</v>
      </c>
      <c r="D105" s="95" t="s">
        <v>5569</v>
      </c>
      <c r="E105" s="95" t="s">
        <v>5495</v>
      </c>
      <c r="F105" s="304"/>
      <c r="G105" s="304"/>
      <c r="H105" s="304">
        <v>-26870.29</v>
      </c>
      <c r="I105" s="304">
        <f>G105+I104+H105</f>
        <v>0</v>
      </c>
    </row>
    <row r="106" spans="1:9">
      <c r="A106" s="84">
        <v>1</v>
      </c>
    </row>
    <row r="107" spans="1:9" s="84" customFormat="1">
      <c r="A107" s="84">
        <v>1</v>
      </c>
      <c r="B107" s="84" t="s">
        <v>1375</v>
      </c>
      <c r="C107" s="84" t="s">
        <v>587</v>
      </c>
      <c r="D107" s="84">
        <v>112334</v>
      </c>
      <c r="E107" s="84" t="s">
        <v>392</v>
      </c>
      <c r="F107" s="106" t="s">
        <v>1376</v>
      </c>
      <c r="G107" s="106"/>
    </row>
    <row r="108" spans="1:9">
      <c r="A108" s="84">
        <v>1</v>
      </c>
    </row>
    <row r="109" spans="1:9">
      <c r="A109" s="84">
        <v>1</v>
      </c>
      <c r="B109" t="s">
        <v>473</v>
      </c>
      <c r="C109" t="s">
        <v>5546</v>
      </c>
      <c r="D109" t="s">
        <v>1377</v>
      </c>
      <c r="E109" t="s">
        <v>1378</v>
      </c>
      <c r="F109" t="s">
        <v>1379</v>
      </c>
      <c r="G109" t="s">
        <v>555</v>
      </c>
      <c r="H109" t="s">
        <v>556</v>
      </c>
      <c r="I109" t="s">
        <v>558</v>
      </c>
    </row>
    <row r="110" spans="1:9" s="95" customFormat="1">
      <c r="A110" s="118">
        <v>1</v>
      </c>
      <c r="B110" s="303">
        <v>45322</v>
      </c>
      <c r="C110" s="95">
        <v>33113</v>
      </c>
      <c r="D110" s="95" t="s">
        <v>5547</v>
      </c>
      <c r="E110" s="95" t="s">
        <v>5491</v>
      </c>
      <c r="G110" s="95">
        <v>17.95</v>
      </c>
      <c r="I110" s="304">
        <v>2140.83</v>
      </c>
    </row>
    <row r="111" spans="1:9" s="95" customFormat="1">
      <c r="A111" s="118">
        <v>1</v>
      </c>
      <c r="B111" s="303">
        <v>45351</v>
      </c>
      <c r="D111" s="95" t="s">
        <v>5548</v>
      </c>
      <c r="E111" s="95" t="s">
        <v>5493</v>
      </c>
      <c r="G111" s="95">
        <v>14.82</v>
      </c>
      <c r="I111" s="304">
        <f t="shared" ref="I111:I116" si="0">G111+H111+I110</f>
        <v>2155.65</v>
      </c>
    </row>
    <row r="112" spans="1:9" s="95" customFormat="1">
      <c r="A112" s="118">
        <v>1</v>
      </c>
      <c r="B112" s="303">
        <v>45382</v>
      </c>
      <c r="D112" s="95" t="s">
        <v>5549</v>
      </c>
      <c r="E112" s="95" t="s">
        <v>5495</v>
      </c>
      <c r="G112" s="95">
        <v>15.36</v>
      </c>
      <c r="I112" s="304">
        <f t="shared" si="0"/>
        <v>2171.0100000000002</v>
      </c>
    </row>
    <row r="113" spans="1:9" s="95" customFormat="1">
      <c r="A113" s="118">
        <v>1</v>
      </c>
      <c r="B113" s="303">
        <v>45412</v>
      </c>
      <c r="D113" s="95" t="s">
        <v>5550</v>
      </c>
      <c r="E113" s="95" t="s">
        <v>5497</v>
      </c>
      <c r="G113" s="95">
        <v>16.48</v>
      </c>
      <c r="I113" s="304">
        <f t="shared" si="0"/>
        <v>2187.4900000000002</v>
      </c>
    </row>
    <row r="114" spans="1:9" s="95" customFormat="1">
      <c r="A114" s="118">
        <v>1</v>
      </c>
      <c r="B114" s="303">
        <v>45436</v>
      </c>
      <c r="D114" s="95" t="s">
        <v>5566</v>
      </c>
      <c r="E114" s="95" t="s">
        <v>5570</v>
      </c>
      <c r="H114" s="95">
        <v>-227.28</v>
      </c>
      <c r="I114" s="304">
        <f t="shared" si="0"/>
        <v>1960.2100000000003</v>
      </c>
    </row>
    <row r="115" spans="1:9" s="95" customFormat="1">
      <c r="A115" s="118">
        <v>1</v>
      </c>
      <c r="B115" s="303">
        <v>45443</v>
      </c>
      <c r="D115" s="95" t="s">
        <v>5551</v>
      </c>
      <c r="E115" s="95" t="s">
        <v>5498</v>
      </c>
      <c r="G115" s="95">
        <v>15.69</v>
      </c>
      <c r="I115" s="304">
        <f t="shared" si="0"/>
        <v>1975.9000000000003</v>
      </c>
    </row>
    <row r="116" spans="1:9" s="95" customFormat="1">
      <c r="A116" s="118">
        <v>1</v>
      </c>
      <c r="B116" s="303">
        <v>45473</v>
      </c>
      <c r="D116" s="95" t="s">
        <v>5552</v>
      </c>
      <c r="E116" s="95" t="s">
        <v>5500</v>
      </c>
      <c r="G116" s="95">
        <v>13.14</v>
      </c>
      <c r="I116" s="304">
        <f t="shared" si="0"/>
        <v>1989.0400000000004</v>
      </c>
    </row>
    <row r="117" spans="1:9" s="95" customFormat="1">
      <c r="A117" s="118">
        <v>1</v>
      </c>
      <c r="B117" s="303">
        <v>45504</v>
      </c>
      <c r="D117" s="95" t="s">
        <v>5553</v>
      </c>
      <c r="E117" s="95" t="s">
        <v>5554</v>
      </c>
      <c r="G117" s="95">
        <v>15.14</v>
      </c>
      <c r="I117" s="304">
        <v>2004.18</v>
      </c>
    </row>
    <row r="118" spans="1:9" s="95" customFormat="1">
      <c r="A118" s="118">
        <v>1</v>
      </c>
      <c r="B118" s="303">
        <v>45535</v>
      </c>
      <c r="D118" s="95" t="s">
        <v>5555</v>
      </c>
      <c r="E118" s="95" t="s">
        <v>5556</v>
      </c>
      <c r="G118" s="95">
        <v>14.47</v>
      </c>
      <c r="I118" s="304">
        <v>2018.65</v>
      </c>
    </row>
    <row r="119" spans="1:9">
      <c r="A119" s="84">
        <v>1</v>
      </c>
      <c r="B119" s="97">
        <v>45565</v>
      </c>
      <c r="D119" t="s">
        <v>5557</v>
      </c>
      <c r="E119" t="s">
        <v>5558</v>
      </c>
      <c r="G119">
        <v>13.97</v>
      </c>
      <c r="I119" s="94">
        <v>2032.62</v>
      </c>
    </row>
    <row r="120" spans="1:9">
      <c r="A120" s="84"/>
      <c r="B120" s="97">
        <v>45596</v>
      </c>
      <c r="D120" t="s">
        <v>5559</v>
      </c>
      <c r="E120" t="s">
        <v>5560</v>
      </c>
      <c r="G120">
        <v>15.47</v>
      </c>
      <c r="I120" s="94">
        <v>2048.09</v>
      </c>
    </row>
    <row r="121" spans="1:9">
      <c r="A121" s="84"/>
      <c r="B121" s="97">
        <v>45626</v>
      </c>
      <c r="D121" t="s">
        <v>5561</v>
      </c>
      <c r="E121" t="s">
        <v>5562</v>
      </c>
      <c r="G121">
        <v>13.14</v>
      </c>
      <c r="I121" s="94">
        <v>2061.23</v>
      </c>
    </row>
    <row r="122" spans="1:9">
      <c r="A122" s="84"/>
      <c r="B122" s="97">
        <v>45657</v>
      </c>
      <c r="D122" t="s">
        <v>5563</v>
      </c>
      <c r="E122" t="s">
        <v>5564</v>
      </c>
      <c r="G122">
        <v>15.48</v>
      </c>
      <c r="I122" s="94">
        <v>2076.71</v>
      </c>
    </row>
    <row r="123" spans="1:9">
      <c r="A123" s="84">
        <v>1</v>
      </c>
    </row>
    <row r="124" spans="1:9" s="84" customFormat="1">
      <c r="A124" s="84">
        <v>1</v>
      </c>
      <c r="B124" s="84" t="s">
        <v>1375</v>
      </c>
      <c r="C124" s="84" t="s">
        <v>588</v>
      </c>
      <c r="D124" s="84">
        <v>112336</v>
      </c>
      <c r="E124" s="84" t="s">
        <v>589</v>
      </c>
      <c r="F124" s="84" t="s">
        <v>1376</v>
      </c>
    </row>
    <row r="125" spans="1:9">
      <c r="A125" s="84">
        <v>1</v>
      </c>
    </row>
    <row r="126" spans="1:9">
      <c r="A126" s="84">
        <v>1</v>
      </c>
      <c r="B126" t="s">
        <v>473</v>
      </c>
      <c r="C126" t="s">
        <v>5546</v>
      </c>
      <c r="D126" t="s">
        <v>1377</v>
      </c>
      <c r="E126" t="s">
        <v>1378</v>
      </c>
      <c r="F126" t="s">
        <v>1379</v>
      </c>
      <c r="G126" t="s">
        <v>555</v>
      </c>
      <c r="H126" t="s">
        <v>556</v>
      </c>
      <c r="I126" t="s">
        <v>558</v>
      </c>
    </row>
    <row r="127" spans="1:9" s="95" customFormat="1">
      <c r="A127" s="118">
        <v>1</v>
      </c>
      <c r="B127" s="303">
        <v>45322</v>
      </c>
      <c r="C127" s="95">
        <v>33113</v>
      </c>
      <c r="D127" s="95" t="s">
        <v>5547</v>
      </c>
      <c r="E127" s="95" t="s">
        <v>5491</v>
      </c>
      <c r="G127" s="304">
        <v>6483.91</v>
      </c>
      <c r="I127" s="304">
        <v>757213.92</v>
      </c>
    </row>
    <row r="128" spans="1:9" s="95" customFormat="1">
      <c r="A128" s="118">
        <v>1</v>
      </c>
      <c r="B128" s="303">
        <v>45351</v>
      </c>
      <c r="D128" s="95" t="s">
        <v>5548</v>
      </c>
      <c r="E128" s="95" t="s">
        <v>5493</v>
      </c>
      <c r="G128" s="304">
        <v>5347.55</v>
      </c>
      <c r="I128" s="304">
        <f t="shared" ref="I128:I135" si="1">G128+H128+I127</f>
        <v>762561.47000000009</v>
      </c>
    </row>
    <row r="129" spans="1:9" s="95" customFormat="1">
      <c r="A129" s="118">
        <v>1</v>
      </c>
      <c r="B129" s="303">
        <v>45016</v>
      </c>
      <c r="D129" s="95" t="s">
        <v>5571</v>
      </c>
      <c r="E129" s="95" t="s">
        <v>5495</v>
      </c>
      <c r="G129" s="304"/>
      <c r="H129" s="304">
        <v>-523053.03</v>
      </c>
      <c r="I129" s="304">
        <f t="shared" si="1"/>
        <v>239508.44000000006</v>
      </c>
    </row>
    <row r="130" spans="1:9" s="95" customFormat="1">
      <c r="A130" s="118">
        <v>1</v>
      </c>
      <c r="B130" s="303">
        <v>45016</v>
      </c>
      <c r="D130" s="95" t="s">
        <v>5571</v>
      </c>
      <c r="E130" s="95" t="s">
        <v>5495</v>
      </c>
      <c r="G130" s="304"/>
      <c r="H130" s="304">
        <v>-113024.02</v>
      </c>
      <c r="I130" s="304">
        <f t="shared" si="1"/>
        <v>126484.42000000006</v>
      </c>
    </row>
    <row r="131" spans="1:9" s="95" customFormat="1">
      <c r="A131" s="118">
        <v>1</v>
      </c>
      <c r="B131" s="303">
        <v>45016</v>
      </c>
      <c r="D131" s="95" t="s">
        <v>5549</v>
      </c>
      <c r="E131" s="95" t="s">
        <v>5495</v>
      </c>
      <c r="G131" s="304">
        <v>960.47</v>
      </c>
      <c r="I131" s="304">
        <f t="shared" si="1"/>
        <v>127444.89000000006</v>
      </c>
    </row>
    <row r="132" spans="1:9" s="95" customFormat="1">
      <c r="A132" s="118">
        <v>1</v>
      </c>
      <c r="B132" s="303">
        <v>45412</v>
      </c>
      <c r="D132" s="95" t="s">
        <v>5550</v>
      </c>
      <c r="E132" s="95" t="s">
        <v>5497</v>
      </c>
      <c r="G132" s="304">
        <v>1029.8900000000001</v>
      </c>
      <c r="I132" s="304">
        <f t="shared" si="1"/>
        <v>128474.78000000006</v>
      </c>
    </row>
    <row r="133" spans="1:9" s="95" customFormat="1">
      <c r="A133" s="118">
        <v>1</v>
      </c>
      <c r="B133" s="303">
        <v>45443</v>
      </c>
      <c r="D133" s="95" t="s">
        <v>5551</v>
      </c>
      <c r="E133" s="95" t="s">
        <v>5498</v>
      </c>
      <c r="G133" s="304">
        <v>960.46</v>
      </c>
      <c r="I133" s="304">
        <f t="shared" si="1"/>
        <v>129435.24000000006</v>
      </c>
    </row>
    <row r="134" spans="1:9" s="95" customFormat="1">
      <c r="A134" s="118">
        <v>1</v>
      </c>
      <c r="B134" s="303">
        <v>45473</v>
      </c>
      <c r="D134" s="95" t="s">
        <v>5552</v>
      </c>
      <c r="E134" s="95" t="s">
        <v>5500</v>
      </c>
      <c r="G134" s="304">
        <v>914.18</v>
      </c>
      <c r="I134" s="304">
        <f t="shared" si="1"/>
        <v>130349.42000000006</v>
      </c>
    </row>
    <row r="135" spans="1:9" s="95" customFormat="1">
      <c r="A135" s="118">
        <v>1</v>
      </c>
      <c r="B135" s="303">
        <v>45473</v>
      </c>
      <c r="D135" s="95" t="s">
        <v>5549</v>
      </c>
      <c r="E135" s="95" t="s">
        <v>5500</v>
      </c>
      <c r="G135" s="304">
        <v>6684.45</v>
      </c>
      <c r="I135" s="304">
        <f t="shared" si="1"/>
        <v>137033.87000000005</v>
      </c>
    </row>
    <row r="136" spans="1:9" s="95" customFormat="1">
      <c r="A136" s="118">
        <v>1</v>
      </c>
      <c r="B136" s="303">
        <v>45504</v>
      </c>
      <c r="D136" s="95" t="s">
        <v>5553</v>
      </c>
      <c r="E136" s="95" t="s">
        <v>5554</v>
      </c>
      <c r="G136" s="304">
        <v>1053.04</v>
      </c>
      <c r="I136" s="304">
        <v>138086.91</v>
      </c>
    </row>
    <row r="137" spans="1:9" s="95" customFormat="1">
      <c r="A137" s="118">
        <v>1</v>
      </c>
      <c r="B137" s="303">
        <v>45535</v>
      </c>
      <c r="D137" s="95" t="s">
        <v>5555</v>
      </c>
      <c r="E137" s="95" t="s">
        <v>5556</v>
      </c>
      <c r="G137" s="304">
        <v>1006.75</v>
      </c>
      <c r="I137" s="304">
        <v>139093.66</v>
      </c>
    </row>
    <row r="138" spans="1:9">
      <c r="A138" s="84">
        <v>1</v>
      </c>
      <c r="B138" s="97">
        <v>45565</v>
      </c>
      <c r="D138" t="s">
        <v>5557</v>
      </c>
      <c r="E138" t="s">
        <v>5558</v>
      </c>
      <c r="G138" s="94">
        <v>972.03</v>
      </c>
      <c r="I138" s="94">
        <v>140065.69</v>
      </c>
    </row>
    <row r="139" spans="1:9">
      <c r="A139" s="84"/>
      <c r="B139" s="97">
        <v>45596</v>
      </c>
      <c r="D139" t="s">
        <v>5559</v>
      </c>
      <c r="E139" t="s">
        <v>5560</v>
      </c>
      <c r="G139" s="94">
        <v>1076.19</v>
      </c>
      <c r="I139" s="94">
        <v>141141.88</v>
      </c>
    </row>
    <row r="140" spans="1:9">
      <c r="A140" s="84"/>
      <c r="B140" s="97">
        <v>45626</v>
      </c>
      <c r="D140" t="s">
        <v>5561</v>
      </c>
      <c r="E140" t="s">
        <v>5562</v>
      </c>
      <c r="G140" s="94">
        <v>914.18</v>
      </c>
      <c r="I140" s="94">
        <v>142056.06</v>
      </c>
    </row>
    <row r="141" spans="1:9">
      <c r="A141" s="84"/>
      <c r="B141" s="97">
        <v>45657</v>
      </c>
      <c r="D141" t="s">
        <v>5563</v>
      </c>
      <c r="E141" t="s">
        <v>5564</v>
      </c>
      <c r="G141" s="94">
        <v>1076.17</v>
      </c>
      <c r="I141" s="94">
        <v>143132.23000000001</v>
      </c>
    </row>
    <row r="142" spans="1:9">
      <c r="A142" s="84">
        <v>1</v>
      </c>
    </row>
    <row r="143" spans="1:9" s="84" customFormat="1">
      <c r="A143" s="84">
        <v>1</v>
      </c>
      <c r="B143" s="84" t="s">
        <v>1375</v>
      </c>
      <c r="C143" s="84" t="s">
        <v>590</v>
      </c>
      <c r="D143" s="84">
        <v>112337</v>
      </c>
      <c r="E143" s="84" t="s">
        <v>591</v>
      </c>
      <c r="F143" s="84" t="s">
        <v>1376</v>
      </c>
    </row>
    <row r="144" spans="1:9">
      <c r="A144" s="84">
        <v>1</v>
      </c>
    </row>
    <row r="145" spans="1:9">
      <c r="A145" s="84">
        <v>1</v>
      </c>
      <c r="B145" t="s">
        <v>473</v>
      </c>
      <c r="C145" t="s">
        <v>5546</v>
      </c>
      <c r="D145" t="s">
        <v>1377</v>
      </c>
      <c r="E145" t="s">
        <v>1378</v>
      </c>
      <c r="F145" t="s">
        <v>1379</v>
      </c>
      <c r="G145" t="s">
        <v>555</v>
      </c>
      <c r="H145" t="s">
        <v>556</v>
      </c>
      <c r="I145" t="s">
        <v>558</v>
      </c>
    </row>
    <row r="146" spans="1:9" s="95" customFormat="1">
      <c r="A146" s="118">
        <v>1</v>
      </c>
      <c r="B146" s="303">
        <v>45322</v>
      </c>
      <c r="C146" s="95">
        <v>33113</v>
      </c>
      <c r="D146" s="95" t="s">
        <v>5547</v>
      </c>
      <c r="E146" s="95" t="s">
        <v>5491</v>
      </c>
      <c r="G146" s="304">
        <v>2594.94</v>
      </c>
      <c r="I146" s="304">
        <v>303045.84000000003</v>
      </c>
    </row>
    <row r="147" spans="1:9" s="95" customFormat="1">
      <c r="A147" s="118">
        <v>1</v>
      </c>
      <c r="B147" s="303">
        <v>45351</v>
      </c>
      <c r="D147" s="95" t="s">
        <v>5548</v>
      </c>
      <c r="E147" s="95" t="s">
        <v>5493</v>
      </c>
      <c r="G147" s="304">
        <v>2140.15</v>
      </c>
      <c r="I147" s="304">
        <f t="shared" ref="I147:I153" si="2">G147+H147+I146</f>
        <v>305185.99000000005</v>
      </c>
    </row>
    <row r="148" spans="1:9" s="95" customFormat="1">
      <c r="A148" s="118">
        <v>1</v>
      </c>
      <c r="B148" s="303">
        <v>45382</v>
      </c>
      <c r="D148" s="95" t="s">
        <v>5549</v>
      </c>
      <c r="E148" s="95" t="s">
        <v>5495</v>
      </c>
      <c r="G148" s="304">
        <v>2220.41</v>
      </c>
      <c r="I148" s="304">
        <f t="shared" si="2"/>
        <v>307406.40000000002</v>
      </c>
    </row>
    <row r="149" spans="1:9" s="95" customFormat="1">
      <c r="A149" s="118">
        <v>1</v>
      </c>
      <c r="B149" s="303">
        <v>45412</v>
      </c>
      <c r="D149" s="95" t="s">
        <v>5550</v>
      </c>
      <c r="E149" s="95" t="s">
        <v>5497</v>
      </c>
      <c r="G149" s="304">
        <v>2380.9299999999998</v>
      </c>
      <c r="I149" s="304">
        <f t="shared" si="2"/>
        <v>309787.33</v>
      </c>
    </row>
    <row r="150" spans="1:9" s="95" customFormat="1">
      <c r="A150" s="118">
        <v>1</v>
      </c>
      <c r="B150" s="303">
        <v>45443</v>
      </c>
      <c r="D150" s="95" t="s">
        <v>5551</v>
      </c>
      <c r="E150" s="95" t="s">
        <v>5498</v>
      </c>
      <c r="G150" s="304">
        <v>2220.41</v>
      </c>
      <c r="I150" s="304">
        <f t="shared" si="2"/>
        <v>312007.74</v>
      </c>
    </row>
    <row r="151" spans="1:9" s="95" customFormat="1">
      <c r="A151" s="118">
        <v>1</v>
      </c>
      <c r="B151" s="303">
        <v>45464</v>
      </c>
      <c r="D151" s="95" t="s">
        <v>5572</v>
      </c>
      <c r="E151" s="95" t="s">
        <v>5500</v>
      </c>
      <c r="G151" s="304"/>
      <c r="H151" s="304">
        <v>-31711.01</v>
      </c>
      <c r="I151" s="304">
        <f t="shared" si="2"/>
        <v>280296.73</v>
      </c>
    </row>
    <row r="152" spans="1:9" s="95" customFormat="1">
      <c r="A152" s="118">
        <v>1</v>
      </c>
      <c r="B152" s="303">
        <v>45464</v>
      </c>
      <c r="D152" s="95" t="s">
        <v>5573</v>
      </c>
      <c r="E152" s="95" t="s">
        <v>5500</v>
      </c>
      <c r="G152" s="304"/>
      <c r="H152" s="304">
        <v>-147167.1</v>
      </c>
      <c r="I152" s="304">
        <f t="shared" si="2"/>
        <v>133129.62999999998</v>
      </c>
    </row>
    <row r="153" spans="1:9" s="95" customFormat="1">
      <c r="A153" s="118">
        <v>1</v>
      </c>
      <c r="B153" s="303">
        <v>45473</v>
      </c>
      <c r="D153" s="95" t="s">
        <v>5552</v>
      </c>
      <c r="E153" s="95" t="s">
        <v>5500</v>
      </c>
      <c r="F153" s="304"/>
      <c r="G153" s="304">
        <v>3587.25</v>
      </c>
      <c r="H153" s="304"/>
      <c r="I153" s="304">
        <f t="shared" si="2"/>
        <v>136716.87999999998</v>
      </c>
    </row>
    <row r="154" spans="1:9" s="95" customFormat="1">
      <c r="A154" s="118">
        <v>1</v>
      </c>
      <c r="B154" s="303">
        <v>45504</v>
      </c>
      <c r="D154" s="95" t="s">
        <v>5553</v>
      </c>
      <c r="E154" s="95" t="s">
        <v>5554</v>
      </c>
      <c r="F154" s="304"/>
      <c r="G154" s="304">
        <v>1050.5999999999999</v>
      </c>
      <c r="H154" s="304"/>
      <c r="I154" s="304">
        <v>137767.48000000001</v>
      </c>
    </row>
    <row r="155" spans="1:9">
      <c r="A155" s="84">
        <v>1</v>
      </c>
      <c r="B155" s="97">
        <v>45535</v>
      </c>
      <c r="D155" t="s">
        <v>5574</v>
      </c>
      <c r="E155" t="s">
        <v>5556</v>
      </c>
      <c r="F155" s="94"/>
      <c r="G155" s="94"/>
      <c r="H155" s="94">
        <v>-14255.49</v>
      </c>
      <c r="I155" s="94">
        <v>123511.99</v>
      </c>
    </row>
    <row r="156" spans="1:9">
      <c r="A156" s="84">
        <v>1</v>
      </c>
      <c r="B156" s="97">
        <v>45535</v>
      </c>
      <c r="D156" t="s">
        <v>5574</v>
      </c>
      <c r="E156" t="s">
        <v>5556</v>
      </c>
      <c r="F156" s="94"/>
      <c r="G156" s="94"/>
      <c r="H156" s="94">
        <v>-66289.11</v>
      </c>
      <c r="I156" s="94">
        <v>57222.879999999997</v>
      </c>
    </row>
    <row r="157" spans="1:9">
      <c r="A157" s="84">
        <v>1</v>
      </c>
      <c r="B157" s="97">
        <v>45535</v>
      </c>
      <c r="D157" t="s">
        <v>5575</v>
      </c>
      <c r="E157" t="s">
        <v>5556</v>
      </c>
      <c r="F157" s="94"/>
      <c r="G157" s="94">
        <v>1154.51</v>
      </c>
      <c r="H157" s="94"/>
      <c r="I157" s="94">
        <v>58377.39</v>
      </c>
    </row>
    <row r="158" spans="1:9">
      <c r="A158" s="84">
        <v>1</v>
      </c>
      <c r="B158" s="97">
        <v>45535</v>
      </c>
      <c r="D158" t="s">
        <v>5555</v>
      </c>
      <c r="E158" t="s">
        <v>5556</v>
      </c>
      <c r="F158" s="94"/>
      <c r="G158" s="94">
        <v>417.2</v>
      </c>
      <c r="H158" s="94"/>
      <c r="I158" s="94">
        <v>58794.59</v>
      </c>
    </row>
    <row r="159" spans="1:9">
      <c r="A159" s="84">
        <v>1</v>
      </c>
      <c r="B159" s="97"/>
      <c r="F159" s="94"/>
      <c r="G159" s="94"/>
      <c r="H159" s="94"/>
      <c r="I159" s="94"/>
    </row>
    <row r="160" spans="1:9" s="84" customFormat="1">
      <c r="A160" s="84">
        <v>1</v>
      </c>
      <c r="B160" s="84" t="s">
        <v>1375</v>
      </c>
      <c r="C160" t="s">
        <v>1537</v>
      </c>
      <c r="D160">
        <v>112338</v>
      </c>
      <c r="E160" t="s">
        <v>1437</v>
      </c>
      <c r="F160" s="106" t="s">
        <v>1376</v>
      </c>
      <c r="G160" s="106"/>
    </row>
    <row r="161" spans="1:9">
      <c r="A161" s="84">
        <v>1</v>
      </c>
    </row>
    <row r="162" spans="1:9">
      <c r="A162" s="84">
        <v>1</v>
      </c>
      <c r="B162" t="s">
        <v>473</v>
      </c>
      <c r="C162" t="s">
        <v>5546</v>
      </c>
      <c r="D162" t="s">
        <v>1377</v>
      </c>
      <c r="E162" t="s">
        <v>1378</v>
      </c>
      <c r="F162" t="s">
        <v>1379</v>
      </c>
      <c r="G162" t="s">
        <v>555</v>
      </c>
      <c r="H162" t="s">
        <v>556</v>
      </c>
      <c r="I162" t="s">
        <v>558</v>
      </c>
    </row>
    <row r="163" spans="1:9">
      <c r="A163" s="84">
        <v>1</v>
      </c>
      <c r="B163" s="97">
        <v>45292</v>
      </c>
      <c r="C163">
        <v>112316</v>
      </c>
      <c r="D163" t="s">
        <v>5565</v>
      </c>
      <c r="E163" t="s">
        <v>5491</v>
      </c>
      <c r="G163" s="94">
        <v>842004.23</v>
      </c>
      <c r="I163" s="94">
        <v>842004.23</v>
      </c>
    </row>
    <row r="164" spans="1:9" s="95" customFormat="1">
      <c r="A164" s="118">
        <v>1</v>
      </c>
      <c r="B164" s="303">
        <v>45322</v>
      </c>
      <c r="C164" s="95">
        <v>33113</v>
      </c>
      <c r="D164" s="95" t="s">
        <v>5547</v>
      </c>
      <c r="E164" s="95" t="s">
        <v>5491</v>
      </c>
      <c r="G164" s="304">
        <v>8167.44</v>
      </c>
      <c r="I164" s="304">
        <v>850171.67</v>
      </c>
    </row>
    <row r="165" spans="1:9" s="95" customFormat="1">
      <c r="A165" s="118">
        <v>1</v>
      </c>
      <c r="B165" s="303">
        <v>45351</v>
      </c>
      <c r="D165" s="95" t="s">
        <v>5548</v>
      </c>
      <c r="E165" s="95" t="s">
        <v>5493</v>
      </c>
      <c r="G165" s="304">
        <v>6736.03</v>
      </c>
      <c r="I165" s="304">
        <f>G165+H165+I164</f>
        <v>856907.70000000007</v>
      </c>
    </row>
    <row r="166" spans="1:9" s="95" customFormat="1">
      <c r="A166" s="118">
        <v>1</v>
      </c>
      <c r="B166" s="303">
        <v>45382</v>
      </c>
      <c r="D166" s="95" t="s">
        <v>5549</v>
      </c>
      <c r="E166" s="95" t="s">
        <v>5495</v>
      </c>
      <c r="G166" s="304">
        <v>6988.64</v>
      </c>
      <c r="I166" s="304">
        <f>G166+H166+I165</f>
        <v>863896.34000000008</v>
      </c>
    </row>
    <row r="167" spans="1:9" s="95" customFormat="1">
      <c r="A167" s="118">
        <v>1</v>
      </c>
      <c r="B167" s="303">
        <v>45412</v>
      </c>
      <c r="D167" s="95" t="s">
        <v>5550</v>
      </c>
      <c r="E167" s="95" t="s">
        <v>5497</v>
      </c>
      <c r="G167" s="304">
        <v>7493.84</v>
      </c>
      <c r="I167" s="304">
        <f>G167+H167+I166</f>
        <v>871390.18</v>
      </c>
    </row>
    <row r="168" spans="1:9" s="95" customFormat="1">
      <c r="A168" s="118">
        <v>1</v>
      </c>
      <c r="B168" s="303">
        <v>45443</v>
      </c>
      <c r="D168" s="95" t="s">
        <v>5551</v>
      </c>
      <c r="E168" s="95" t="s">
        <v>5498</v>
      </c>
      <c r="G168" s="304">
        <v>6988.64</v>
      </c>
      <c r="I168" s="304">
        <f>G168+H168+I167</f>
        <v>878378.82000000007</v>
      </c>
    </row>
    <row r="169" spans="1:9" s="95" customFormat="1">
      <c r="A169" s="118">
        <v>1</v>
      </c>
      <c r="B169" s="303">
        <v>45473</v>
      </c>
      <c r="D169" s="95" t="s">
        <v>5552</v>
      </c>
      <c r="E169" s="95" t="s">
        <v>5500</v>
      </c>
      <c r="G169" s="304">
        <v>6651.83</v>
      </c>
      <c r="I169" s="304">
        <f>G169+H169+I168</f>
        <v>885030.65</v>
      </c>
    </row>
    <row r="170" spans="1:9" s="95" customFormat="1">
      <c r="A170" s="118">
        <v>1</v>
      </c>
      <c r="B170" s="303">
        <v>45504</v>
      </c>
      <c r="D170" s="95" t="s">
        <v>5553</v>
      </c>
      <c r="E170" s="95" t="s">
        <v>5554</v>
      </c>
      <c r="G170" s="304">
        <v>7662.23</v>
      </c>
      <c r="I170" s="304">
        <v>892692.88</v>
      </c>
    </row>
    <row r="171" spans="1:9" s="95" customFormat="1">
      <c r="A171" s="118">
        <v>1</v>
      </c>
      <c r="B171" s="303">
        <v>45535</v>
      </c>
      <c r="D171" s="95" t="s">
        <v>5555</v>
      </c>
      <c r="E171" s="95" t="s">
        <v>5556</v>
      </c>
      <c r="G171" s="304">
        <v>7325.44</v>
      </c>
      <c r="I171" s="304">
        <v>900018.32</v>
      </c>
    </row>
    <row r="172" spans="1:9">
      <c r="A172" s="84"/>
      <c r="B172" s="97">
        <v>45565</v>
      </c>
      <c r="D172" t="s">
        <v>5557</v>
      </c>
      <c r="E172" t="s">
        <v>5558</v>
      </c>
      <c r="G172" s="94">
        <v>7072.84</v>
      </c>
      <c r="I172" s="94">
        <v>907091.16</v>
      </c>
    </row>
    <row r="173" spans="1:9">
      <c r="A173" s="84"/>
      <c r="B173" s="97">
        <v>45596</v>
      </c>
      <c r="D173" t="s">
        <v>5559</v>
      </c>
      <c r="E173" t="s">
        <v>5560</v>
      </c>
      <c r="G173" s="94">
        <v>7830.64</v>
      </c>
      <c r="I173" s="94">
        <v>914921.8</v>
      </c>
    </row>
    <row r="174" spans="1:9">
      <c r="A174" s="84"/>
      <c r="B174" s="97">
        <v>45626</v>
      </c>
      <c r="D174" t="s">
        <v>5561</v>
      </c>
      <c r="E174" t="s">
        <v>5562</v>
      </c>
      <c r="G174" s="94">
        <v>6651.83</v>
      </c>
      <c r="I174" s="94">
        <v>921573.63</v>
      </c>
    </row>
    <row r="175" spans="1:9">
      <c r="A175" s="84"/>
      <c r="B175" s="97">
        <v>45657</v>
      </c>
      <c r="D175" t="s">
        <v>5576</v>
      </c>
      <c r="E175" t="s">
        <v>5564</v>
      </c>
      <c r="G175" s="94"/>
      <c r="H175" s="94">
        <v>-25535.83</v>
      </c>
      <c r="I175" s="94">
        <v>896037.8</v>
      </c>
    </row>
    <row r="176" spans="1:9">
      <c r="A176" s="84"/>
      <c r="B176" s="97">
        <v>45657</v>
      </c>
      <c r="D176" t="s">
        <v>5576</v>
      </c>
      <c r="E176" t="s">
        <v>5564</v>
      </c>
      <c r="G176" s="94"/>
      <c r="H176" s="94">
        <v>-118532.33</v>
      </c>
      <c r="I176" s="94">
        <v>777505.47</v>
      </c>
    </row>
    <row r="177" spans="1:9">
      <c r="A177" s="84"/>
      <c r="B177" s="97">
        <v>45657</v>
      </c>
      <c r="D177" t="s">
        <v>5577</v>
      </c>
      <c r="E177" t="s">
        <v>5562</v>
      </c>
      <c r="G177" s="94">
        <v>8420.0400000000009</v>
      </c>
      <c r="I177" s="94">
        <v>785925.51</v>
      </c>
    </row>
    <row r="178" spans="1:9">
      <c r="A178" s="84"/>
      <c r="B178" s="97">
        <v>45657</v>
      </c>
      <c r="D178" t="s">
        <v>5563</v>
      </c>
      <c r="E178" t="s">
        <v>5564</v>
      </c>
      <c r="G178" s="94">
        <v>7830.64</v>
      </c>
      <c r="I178" s="94">
        <v>793756.15</v>
      </c>
    </row>
    <row r="179" spans="1:9">
      <c r="A179" s="84">
        <v>1</v>
      </c>
      <c r="B179" s="97"/>
      <c r="G179" s="94"/>
      <c r="I179" s="94"/>
    </row>
    <row r="180" spans="1:9">
      <c r="A180" s="84">
        <v>1</v>
      </c>
      <c r="B180" s="84" t="s">
        <v>1375</v>
      </c>
      <c r="C180" s="84" t="s">
        <v>1538</v>
      </c>
      <c r="D180" s="84">
        <v>112339</v>
      </c>
      <c r="E180" s="84" t="s">
        <v>1447</v>
      </c>
      <c r="F180" s="84" t="s">
        <v>1376</v>
      </c>
      <c r="G180" s="84">
        <v>0</v>
      </c>
      <c r="I180" s="94"/>
    </row>
    <row r="181" spans="1:9">
      <c r="A181" s="84">
        <v>1</v>
      </c>
      <c r="B181" s="97"/>
      <c r="G181" s="94"/>
      <c r="I181" s="94"/>
    </row>
    <row r="182" spans="1:9">
      <c r="A182" s="84">
        <v>1</v>
      </c>
      <c r="B182" t="s">
        <v>473</v>
      </c>
      <c r="C182" t="s">
        <v>5546</v>
      </c>
      <c r="D182" t="s">
        <v>1377</v>
      </c>
      <c r="E182" t="s">
        <v>1378</v>
      </c>
      <c r="F182" t="s">
        <v>1379</v>
      </c>
      <c r="G182" t="s">
        <v>555</v>
      </c>
      <c r="H182" t="s">
        <v>556</v>
      </c>
      <c r="I182" t="s">
        <v>558</v>
      </c>
    </row>
    <row r="183" spans="1:9">
      <c r="A183" s="84">
        <v>1</v>
      </c>
      <c r="B183" s="97">
        <v>45292</v>
      </c>
      <c r="C183">
        <v>112317</v>
      </c>
      <c r="D183" t="s">
        <v>5578</v>
      </c>
      <c r="E183" t="s">
        <v>5491</v>
      </c>
      <c r="G183" s="94">
        <v>335274.46000000002</v>
      </c>
      <c r="I183" s="94">
        <v>335274.46000000002</v>
      </c>
    </row>
    <row r="184" spans="1:9" s="95" customFormat="1">
      <c r="A184" s="118">
        <v>1</v>
      </c>
      <c r="B184" s="303">
        <v>45322</v>
      </c>
      <c r="C184" s="95">
        <v>33113</v>
      </c>
      <c r="D184" s="95" t="s">
        <v>5547</v>
      </c>
      <c r="E184" s="95" t="s">
        <v>5491</v>
      </c>
      <c r="G184" s="304">
        <v>3252.16</v>
      </c>
      <c r="I184" s="304">
        <v>338526.62</v>
      </c>
    </row>
    <row r="185" spans="1:9" s="95" customFormat="1">
      <c r="A185" s="118">
        <v>1</v>
      </c>
      <c r="B185" s="303">
        <v>45351</v>
      </c>
      <c r="D185" s="95" t="s">
        <v>5548</v>
      </c>
      <c r="E185" s="95" t="s">
        <v>5493</v>
      </c>
      <c r="G185" s="304">
        <v>2682.2</v>
      </c>
      <c r="I185" s="304">
        <f>G185+H185+I184</f>
        <v>341208.82</v>
      </c>
    </row>
    <row r="186" spans="1:9" s="95" customFormat="1">
      <c r="A186" s="118">
        <v>1</v>
      </c>
      <c r="B186" s="303">
        <v>45382</v>
      </c>
      <c r="D186" s="95" t="s">
        <v>5549</v>
      </c>
      <c r="E186" s="95" t="s">
        <v>5495</v>
      </c>
      <c r="G186" s="304">
        <v>2782.78</v>
      </c>
      <c r="I186" s="304">
        <f>G186+H186+I185</f>
        <v>343991.60000000003</v>
      </c>
    </row>
    <row r="187" spans="1:9" s="95" customFormat="1">
      <c r="A187" s="118">
        <v>1</v>
      </c>
      <c r="B187" s="303">
        <v>45412</v>
      </c>
      <c r="D187" s="95" t="s">
        <v>5550</v>
      </c>
      <c r="E187" s="95" t="s">
        <v>5497</v>
      </c>
      <c r="G187" s="304">
        <v>2983.94</v>
      </c>
      <c r="I187" s="304">
        <f>G187+H187+I186</f>
        <v>346975.54000000004</v>
      </c>
    </row>
    <row r="188" spans="1:9" s="95" customFormat="1">
      <c r="A188" s="118">
        <v>1</v>
      </c>
      <c r="B188" s="303">
        <v>45443</v>
      </c>
      <c r="D188" s="95" t="s">
        <v>5551</v>
      </c>
      <c r="E188" s="95" t="s">
        <v>5498</v>
      </c>
      <c r="G188" s="304">
        <v>2782.78</v>
      </c>
      <c r="I188" s="304">
        <f>G188+H188+I187</f>
        <v>349758.32000000007</v>
      </c>
    </row>
    <row r="189" spans="1:9" s="95" customFormat="1">
      <c r="A189" s="118">
        <v>1</v>
      </c>
      <c r="B189" s="303">
        <v>45473</v>
      </c>
      <c r="D189" s="95" t="s">
        <v>5552</v>
      </c>
      <c r="E189" s="95" t="s">
        <v>5500</v>
      </c>
      <c r="G189" s="304">
        <v>2648.66</v>
      </c>
      <c r="I189" s="304">
        <f>G189+H189+I188</f>
        <v>352406.98000000004</v>
      </c>
    </row>
    <row r="190" spans="1:9" s="95" customFormat="1">
      <c r="A190" s="118">
        <v>1</v>
      </c>
      <c r="B190" s="303">
        <v>45504</v>
      </c>
      <c r="D190" s="95" t="s">
        <v>5553</v>
      </c>
      <c r="E190" s="95" t="s">
        <v>5554</v>
      </c>
      <c r="G190" s="304">
        <v>3051</v>
      </c>
      <c r="I190" s="304">
        <v>355457.98</v>
      </c>
    </row>
    <row r="191" spans="1:9" s="95" customFormat="1">
      <c r="A191" s="118">
        <v>1</v>
      </c>
      <c r="B191" s="303">
        <v>45535</v>
      </c>
      <c r="D191" s="95" t="s">
        <v>5555</v>
      </c>
      <c r="E191" s="95" t="s">
        <v>5556</v>
      </c>
      <c r="G191" s="304">
        <v>2916.89</v>
      </c>
      <c r="I191" s="304">
        <v>358374.87</v>
      </c>
    </row>
    <row r="192" spans="1:9">
      <c r="A192" s="84">
        <v>1</v>
      </c>
      <c r="B192" s="97">
        <v>45565</v>
      </c>
      <c r="D192" t="s">
        <v>5557</v>
      </c>
      <c r="E192" t="s">
        <v>5558</v>
      </c>
      <c r="G192" s="94">
        <v>2816.31</v>
      </c>
      <c r="I192" s="94">
        <v>361191.18</v>
      </c>
    </row>
    <row r="193" spans="1:9">
      <c r="A193" s="84"/>
      <c r="B193" s="97">
        <v>45596</v>
      </c>
      <c r="D193" t="s">
        <v>5559</v>
      </c>
      <c r="E193" t="s">
        <v>5560</v>
      </c>
      <c r="G193" s="94">
        <v>3118.05</v>
      </c>
      <c r="I193" s="94">
        <v>364309.23</v>
      </c>
    </row>
    <row r="194" spans="1:9">
      <c r="A194" s="84"/>
      <c r="B194" s="97">
        <v>45626</v>
      </c>
      <c r="D194" t="s">
        <v>5561</v>
      </c>
      <c r="E194" t="s">
        <v>5562</v>
      </c>
      <c r="G194" s="94">
        <v>2648.67</v>
      </c>
      <c r="I194" s="94">
        <v>366957.9</v>
      </c>
    </row>
    <row r="195" spans="1:9">
      <c r="A195" s="84"/>
      <c r="B195" s="97">
        <v>45657</v>
      </c>
      <c r="D195" t="s">
        <v>5563</v>
      </c>
      <c r="E195" t="s">
        <v>5564</v>
      </c>
      <c r="G195" s="94">
        <v>3118.05</v>
      </c>
      <c r="I195" s="94">
        <v>370075.95</v>
      </c>
    </row>
    <row r="196" spans="1:9">
      <c r="A196" s="84"/>
      <c r="B196" s="97"/>
      <c r="G196" s="94"/>
      <c r="I196" s="94"/>
    </row>
    <row r="197" spans="1:9">
      <c r="A197" s="84">
        <v>1</v>
      </c>
    </row>
    <row r="198" spans="1:9">
      <c r="A198" s="84">
        <v>1</v>
      </c>
      <c r="B198" t="s">
        <v>1375</v>
      </c>
      <c r="C198" t="s">
        <v>626</v>
      </c>
      <c r="D198">
        <v>12131</v>
      </c>
      <c r="E198" t="s">
        <v>627</v>
      </c>
      <c r="F198" s="94" t="s">
        <v>1376</v>
      </c>
      <c r="G198" s="94"/>
    </row>
    <row r="199" spans="1:9">
      <c r="A199" s="84">
        <v>1</v>
      </c>
    </row>
    <row r="200" spans="1:9">
      <c r="A200" s="84">
        <v>1</v>
      </c>
      <c r="B200" t="s">
        <v>473</v>
      </c>
      <c r="C200" t="s">
        <v>5546</v>
      </c>
      <c r="D200" t="s">
        <v>1377</v>
      </c>
      <c r="E200" t="s">
        <v>1378</v>
      </c>
      <c r="F200" t="s">
        <v>1379</v>
      </c>
      <c r="G200" t="s">
        <v>555</v>
      </c>
      <c r="H200" t="s">
        <v>556</v>
      </c>
      <c r="I200" t="s">
        <v>558</v>
      </c>
    </row>
    <row r="201" spans="1:9" s="95" customFormat="1">
      <c r="A201" s="118">
        <v>1</v>
      </c>
      <c r="B201" s="303">
        <v>45322</v>
      </c>
      <c r="C201" s="95">
        <v>33113</v>
      </c>
      <c r="D201" s="95" t="s">
        <v>5547</v>
      </c>
      <c r="E201" s="95" t="s">
        <v>5491</v>
      </c>
      <c r="G201" s="95">
        <v>167.86</v>
      </c>
      <c r="I201" s="304">
        <v>23618.34</v>
      </c>
    </row>
    <row r="202" spans="1:9" s="95" customFormat="1">
      <c r="A202" s="118">
        <v>1</v>
      </c>
      <c r="B202" s="303">
        <v>45351</v>
      </c>
      <c r="D202" s="95" t="s">
        <v>5548</v>
      </c>
      <c r="E202" s="95" t="s">
        <v>5493</v>
      </c>
      <c r="G202" s="95">
        <v>138.44</v>
      </c>
      <c r="I202" s="304">
        <f>G202+H202+I201</f>
        <v>23756.78</v>
      </c>
    </row>
    <row r="203" spans="1:9" s="95" customFormat="1">
      <c r="A203" s="118">
        <v>1</v>
      </c>
      <c r="B203" s="303">
        <v>45382</v>
      </c>
      <c r="D203" s="95" t="s">
        <v>5549</v>
      </c>
      <c r="E203" s="95" t="s">
        <v>5495</v>
      </c>
      <c r="G203" s="95">
        <v>143.63999999999999</v>
      </c>
      <c r="I203" s="304">
        <f>G203+H203+I202</f>
        <v>23900.42</v>
      </c>
    </row>
    <row r="204" spans="1:9" s="95" customFormat="1">
      <c r="A204" s="118">
        <v>1</v>
      </c>
      <c r="B204" s="303">
        <v>45412</v>
      </c>
      <c r="D204" s="95" t="s">
        <v>5550</v>
      </c>
      <c r="E204" s="95" t="s">
        <v>5497</v>
      </c>
      <c r="G204" s="95">
        <v>154.02000000000001</v>
      </c>
      <c r="I204" s="304">
        <f>G204+I203</f>
        <v>24054.44</v>
      </c>
    </row>
    <row r="205" spans="1:9" s="95" customFormat="1">
      <c r="A205" s="118">
        <v>1</v>
      </c>
      <c r="B205" s="303">
        <v>45443</v>
      </c>
      <c r="D205" s="95" t="s">
        <v>5551</v>
      </c>
      <c r="E205" s="95" t="s">
        <v>5498</v>
      </c>
      <c r="G205" s="95">
        <v>143.63999999999999</v>
      </c>
      <c r="I205" s="304">
        <f>G205+I204</f>
        <v>24198.079999999998</v>
      </c>
    </row>
    <row r="206" spans="1:9" s="95" customFormat="1">
      <c r="A206" s="118">
        <v>1</v>
      </c>
      <c r="B206" s="303">
        <v>45473</v>
      </c>
      <c r="D206" s="95" t="s">
        <v>5552</v>
      </c>
      <c r="E206" s="95" t="s">
        <v>5500</v>
      </c>
      <c r="G206" s="95">
        <v>136.71</v>
      </c>
      <c r="I206" s="304">
        <f>G206+I205</f>
        <v>24334.789999999997</v>
      </c>
    </row>
    <row r="207" spans="1:9" s="95" customFormat="1">
      <c r="A207" s="118">
        <v>1</v>
      </c>
      <c r="B207" s="303">
        <v>45504</v>
      </c>
      <c r="D207" s="95" t="s">
        <v>5553</v>
      </c>
      <c r="E207" s="95" t="s">
        <v>5554</v>
      </c>
      <c r="G207" s="95">
        <v>157.47999999999999</v>
      </c>
      <c r="I207" s="304">
        <v>24492.27</v>
      </c>
    </row>
    <row r="208" spans="1:9" s="95" customFormat="1">
      <c r="A208" s="118">
        <v>1</v>
      </c>
      <c r="B208" s="303">
        <v>45535</v>
      </c>
      <c r="D208" s="95" t="s">
        <v>5555</v>
      </c>
      <c r="E208" s="95" t="s">
        <v>5556</v>
      </c>
      <c r="G208" s="95">
        <v>150.56</v>
      </c>
      <c r="I208" s="304">
        <v>24642.83</v>
      </c>
    </row>
    <row r="209" spans="1:9">
      <c r="A209" s="84">
        <v>1</v>
      </c>
      <c r="B209" s="97">
        <v>45565</v>
      </c>
      <c r="D209" t="s">
        <v>5557</v>
      </c>
      <c r="E209" t="s">
        <v>5558</v>
      </c>
      <c r="G209">
        <v>145.36000000000001</v>
      </c>
      <c r="I209" s="94">
        <v>24788.19</v>
      </c>
    </row>
    <row r="210" spans="1:9">
      <c r="A210" s="84"/>
      <c r="B210" s="97">
        <v>45596</v>
      </c>
      <c r="D210" t="s">
        <v>5559</v>
      </c>
      <c r="E210" t="s">
        <v>5560</v>
      </c>
      <c r="G210">
        <v>160.94</v>
      </c>
      <c r="I210" s="94">
        <v>24949.13</v>
      </c>
    </row>
    <row r="211" spans="1:9">
      <c r="A211" s="84"/>
      <c r="B211" s="97">
        <v>45626</v>
      </c>
      <c r="D211" t="s">
        <v>5561</v>
      </c>
      <c r="E211" t="s">
        <v>5562</v>
      </c>
      <c r="G211">
        <v>136.71</v>
      </c>
      <c r="I211" s="94">
        <v>25085.84</v>
      </c>
    </row>
    <row r="212" spans="1:9">
      <c r="A212" s="84"/>
      <c r="B212" s="97">
        <v>45657</v>
      </c>
      <c r="D212" t="s">
        <v>5563</v>
      </c>
      <c r="E212" t="s">
        <v>5564</v>
      </c>
      <c r="G212">
        <v>160.94999999999999</v>
      </c>
      <c r="I212" s="94">
        <v>25246.79</v>
      </c>
    </row>
    <row r="213" spans="1:9">
      <c r="A213" s="84">
        <v>1</v>
      </c>
    </row>
    <row r="214" spans="1:9">
      <c r="A214" s="84">
        <v>1</v>
      </c>
    </row>
    <row r="215" spans="1:9" s="84" customFormat="1">
      <c r="A215" s="84">
        <v>1</v>
      </c>
      <c r="B215" s="84" t="s">
        <v>1375</v>
      </c>
      <c r="C215" s="84" t="s">
        <v>629</v>
      </c>
      <c r="D215" s="84">
        <v>12135</v>
      </c>
      <c r="E215" s="84" t="s">
        <v>630</v>
      </c>
      <c r="F215" s="106" t="s">
        <v>1376</v>
      </c>
      <c r="G215" s="106"/>
    </row>
    <row r="216" spans="1:9">
      <c r="A216" s="84">
        <v>1</v>
      </c>
    </row>
    <row r="217" spans="1:9">
      <c r="A217" s="84">
        <v>1</v>
      </c>
      <c r="B217" t="s">
        <v>473</v>
      </c>
      <c r="C217" t="s">
        <v>5546</v>
      </c>
      <c r="D217" t="s">
        <v>1377</v>
      </c>
      <c r="E217" t="s">
        <v>1378</v>
      </c>
      <c r="F217" t="s">
        <v>1379</v>
      </c>
      <c r="G217" t="s">
        <v>555</v>
      </c>
      <c r="H217" t="s">
        <v>556</v>
      </c>
      <c r="I217" t="s">
        <v>558</v>
      </c>
    </row>
    <row r="218" spans="1:9" s="95" customFormat="1">
      <c r="A218" s="118">
        <v>1</v>
      </c>
      <c r="B218" s="303">
        <v>45322</v>
      </c>
      <c r="C218" s="95">
        <v>33113</v>
      </c>
      <c r="D218" s="95" t="s">
        <v>5547</v>
      </c>
      <c r="E218" s="95" t="s">
        <v>5491</v>
      </c>
      <c r="G218" s="304">
        <v>1142.68</v>
      </c>
      <c r="I218" s="304">
        <v>153419.49</v>
      </c>
    </row>
    <row r="219" spans="1:9" s="95" customFormat="1">
      <c r="A219" s="118">
        <v>1</v>
      </c>
      <c r="B219" s="303">
        <v>45351</v>
      </c>
      <c r="D219" s="95" t="s">
        <v>5548</v>
      </c>
      <c r="E219" s="95" t="s">
        <v>5493</v>
      </c>
      <c r="G219" s="304">
        <v>942.42</v>
      </c>
      <c r="I219" s="304">
        <f>G219+I218</f>
        <v>154361.91</v>
      </c>
    </row>
    <row r="220" spans="1:9" s="95" customFormat="1">
      <c r="A220" s="118">
        <v>1</v>
      </c>
      <c r="B220" s="303">
        <v>45382</v>
      </c>
      <c r="D220" s="95" t="s">
        <v>5549</v>
      </c>
      <c r="E220" s="95" t="s">
        <v>5495</v>
      </c>
      <c r="G220" s="304">
        <v>977.76</v>
      </c>
      <c r="I220" s="304">
        <f>G220+I219</f>
        <v>155339.67000000001</v>
      </c>
    </row>
    <row r="221" spans="1:9" s="95" customFormat="1">
      <c r="A221" s="118">
        <v>1</v>
      </c>
      <c r="B221" s="303">
        <v>45412</v>
      </c>
      <c r="D221" s="95" t="s">
        <v>5550</v>
      </c>
      <c r="E221" s="95" t="s">
        <v>5497</v>
      </c>
      <c r="G221" s="304">
        <v>1048.44</v>
      </c>
      <c r="I221" s="304">
        <f>G221+I220</f>
        <v>156388.11000000002</v>
      </c>
    </row>
    <row r="222" spans="1:9" s="95" customFormat="1">
      <c r="A222" s="118">
        <v>1</v>
      </c>
      <c r="B222" s="303">
        <v>45443</v>
      </c>
      <c r="D222" s="95" t="s">
        <v>5551</v>
      </c>
      <c r="E222" s="95" t="s">
        <v>5498</v>
      </c>
      <c r="G222" s="304">
        <v>977.76</v>
      </c>
      <c r="I222" s="304">
        <f>G222+I221</f>
        <v>157365.87000000002</v>
      </c>
    </row>
    <row r="223" spans="1:9" s="95" customFormat="1">
      <c r="A223" s="118">
        <v>1</v>
      </c>
      <c r="B223" s="303">
        <v>45473</v>
      </c>
      <c r="D223" s="95" t="s">
        <v>5552</v>
      </c>
      <c r="E223" s="95" t="s">
        <v>5500</v>
      </c>
      <c r="G223" s="304">
        <v>930.63</v>
      </c>
      <c r="I223" s="304">
        <f>G223+I222</f>
        <v>158296.50000000003</v>
      </c>
    </row>
    <row r="224" spans="1:9" s="95" customFormat="1">
      <c r="A224" s="118">
        <v>1</v>
      </c>
      <c r="B224" s="303">
        <v>45504</v>
      </c>
      <c r="D224" s="95" t="s">
        <v>5553</v>
      </c>
      <c r="E224" s="95" t="s">
        <v>5554</v>
      </c>
      <c r="G224" s="304">
        <v>1072</v>
      </c>
      <c r="I224" s="304">
        <v>159368.5</v>
      </c>
    </row>
    <row r="225" spans="1:9" s="95" customFormat="1">
      <c r="A225" s="118">
        <v>1</v>
      </c>
      <c r="B225" s="303">
        <v>45535</v>
      </c>
      <c r="D225" s="95" t="s">
        <v>5555</v>
      </c>
      <c r="E225" s="95" t="s">
        <v>5556</v>
      </c>
      <c r="G225" s="304">
        <v>1024.8800000000001</v>
      </c>
      <c r="I225" s="304">
        <v>160393.38</v>
      </c>
    </row>
    <row r="226" spans="1:9">
      <c r="A226" s="84">
        <v>1</v>
      </c>
      <c r="B226" s="97">
        <v>45565</v>
      </c>
      <c r="D226" t="s">
        <v>5557</v>
      </c>
      <c r="E226" t="s">
        <v>5558</v>
      </c>
      <c r="G226" s="94">
        <v>989.54</v>
      </c>
      <c r="I226" s="94">
        <v>161382.92000000001</v>
      </c>
    </row>
    <row r="227" spans="1:9">
      <c r="A227" s="84"/>
      <c r="B227" s="97">
        <v>45596</v>
      </c>
      <c r="D227" t="s">
        <v>5559</v>
      </c>
      <c r="E227" t="s">
        <v>5560</v>
      </c>
      <c r="G227" s="94">
        <v>1095.55</v>
      </c>
      <c r="I227" s="94">
        <v>162478.47</v>
      </c>
    </row>
    <row r="228" spans="1:9">
      <c r="A228" s="84"/>
      <c r="B228" s="97">
        <v>45626</v>
      </c>
      <c r="D228" t="s">
        <v>5561</v>
      </c>
      <c r="E228" t="s">
        <v>5562</v>
      </c>
      <c r="G228" s="94">
        <v>930.64</v>
      </c>
      <c r="I228" s="94">
        <v>163409.10999999999</v>
      </c>
    </row>
    <row r="229" spans="1:9">
      <c r="A229" s="84"/>
      <c r="B229" s="97">
        <v>45657</v>
      </c>
      <c r="D229" t="s">
        <v>5563</v>
      </c>
      <c r="E229" t="s">
        <v>5564</v>
      </c>
      <c r="G229" s="94">
        <v>1095.56</v>
      </c>
      <c r="I229" s="94">
        <v>164504.67000000001</v>
      </c>
    </row>
    <row r="230" spans="1:9">
      <c r="A230" s="84"/>
      <c r="B230" s="97"/>
      <c r="G230" s="94"/>
      <c r="I230" s="94"/>
    </row>
    <row r="231" spans="1:9">
      <c r="A231" s="84"/>
      <c r="B231" s="97" t="s">
        <v>1375</v>
      </c>
      <c r="D231" t="s">
        <v>1411</v>
      </c>
      <c r="E231">
        <v>112310</v>
      </c>
      <c r="F231" t="s">
        <v>1412</v>
      </c>
      <c r="G231" s="94"/>
      <c r="I231" s="94"/>
    </row>
    <row r="232" spans="1:9">
      <c r="A232" s="84"/>
      <c r="B232" s="97"/>
      <c r="G232" s="94"/>
      <c r="I232" s="94"/>
    </row>
    <row r="233" spans="1:9">
      <c r="A233" s="84"/>
      <c r="B233" s="97" t="s">
        <v>473</v>
      </c>
      <c r="D233" t="s">
        <v>1377</v>
      </c>
      <c r="E233" t="s">
        <v>1378</v>
      </c>
      <c r="F233" t="s">
        <v>1379</v>
      </c>
      <c r="G233" s="94" t="s">
        <v>555</v>
      </c>
      <c r="H233" t="s">
        <v>556</v>
      </c>
      <c r="I233" s="94" t="s">
        <v>558</v>
      </c>
    </row>
    <row r="234" spans="1:9" s="95" customFormat="1">
      <c r="A234" s="118"/>
      <c r="B234" s="303">
        <v>45536</v>
      </c>
      <c r="D234" s="95" t="s">
        <v>5579</v>
      </c>
      <c r="E234" s="95" t="s">
        <v>5558</v>
      </c>
      <c r="G234" s="304">
        <v>511.41</v>
      </c>
      <c r="I234" s="304">
        <v>511.41</v>
      </c>
    </row>
    <row r="235" spans="1:9">
      <c r="A235" s="84"/>
      <c r="B235" s="97">
        <v>45565</v>
      </c>
      <c r="D235" t="s">
        <v>5557</v>
      </c>
      <c r="E235" t="s">
        <v>5558</v>
      </c>
      <c r="G235" s="94">
        <v>4.3</v>
      </c>
      <c r="I235" s="94">
        <v>515.71</v>
      </c>
    </row>
    <row r="236" spans="1:9">
      <c r="A236" s="84"/>
      <c r="B236" s="97">
        <v>45596</v>
      </c>
      <c r="D236" t="s">
        <v>5559</v>
      </c>
      <c r="E236" t="s">
        <v>5560</v>
      </c>
      <c r="G236" s="94">
        <v>4.75</v>
      </c>
      <c r="I236" s="94">
        <v>520.46</v>
      </c>
    </row>
    <row r="237" spans="1:9">
      <c r="A237" s="84"/>
      <c r="B237" s="97">
        <v>45626</v>
      </c>
      <c r="D237" t="s">
        <v>5561</v>
      </c>
      <c r="E237" t="s">
        <v>5562</v>
      </c>
      <c r="G237" s="94">
        <v>4.04</v>
      </c>
      <c r="I237" s="94">
        <v>524.5</v>
      </c>
    </row>
    <row r="238" spans="1:9">
      <c r="A238" s="84"/>
      <c r="B238" s="97">
        <v>45657</v>
      </c>
      <c r="D238" t="s">
        <v>5563</v>
      </c>
      <c r="E238" t="s">
        <v>5564</v>
      </c>
      <c r="G238" s="94">
        <v>4.76</v>
      </c>
      <c r="I238" s="94">
        <v>529.26</v>
      </c>
    </row>
    <row r="240" spans="1:9">
      <c r="G240" s="70">
        <f>SUBTOTAL(9,G4:H239)</f>
        <v>-1017237.4900000021</v>
      </c>
      <c r="H240" s="70"/>
      <c r="I240" s="112">
        <f>G240-H240</f>
        <v>-1017237.4900000021</v>
      </c>
    </row>
    <row r="241" spans="4:10">
      <c r="D241" s="118" t="s">
        <v>5580</v>
      </c>
      <c r="G241" s="306">
        <f>G4+G34+G52+G68+G84+G102+G110+G127+G146+G164+G184+G201+G218+G5+G35+G53+G69+G85+G103+G111+G128+G147+G165+G185+G202+G219+G6+G36+G54+G70+G88+H87+H105+G112+G131+G148+G166+G186+G203+G220+G7+G8+G9+G37+G39+G40+G55+G56+G57+G71+G72+G73+G89+G90+G91+G113+G116+G115+G132+G133+G135+G134+G149+G150+G153+G167+G168+G169+G187+G188+G189+G204+G205+G206+G221+G222+G223+G10+G41+G58+G74+G92+G117+G136+G154+G170+G190+G207+G224+G11+G42+G59+G75+G93+G118+G137+G157+G158+G171+G191+G208+G225+G12+G43+G44+G60+G76+G94+G119+G138+G172+G192+G209+G226+G235+G13+G14+G15+G45+G46+G47+G61+G62+G63+G77+G78+G79+G95+G96+G97+G120+G121+G122+G139+G140+G141+G173+G174+G177+G178+G193+G194+G195+H175+H176+G210+G211+G212+G227+G228+G229+G236+G237+G238</f>
        <v>98197.0600000001</v>
      </c>
      <c r="I241">
        <f>G241/1000</f>
        <v>98.197060000000093</v>
      </c>
      <c r="J241" s="318">
        <f>ROUND(I241,0)</f>
        <v>98</v>
      </c>
    </row>
    <row r="243" spans="4:10">
      <c r="D243" s="305" t="s">
        <v>5581</v>
      </c>
      <c r="G243" s="307">
        <v>0</v>
      </c>
      <c r="I243">
        <f>G243/1000</f>
        <v>0</v>
      </c>
      <c r="J243" s="305">
        <f>ROUND(I243,0)</f>
        <v>0</v>
      </c>
    </row>
    <row r="245" spans="4:10">
      <c r="G245" s="94">
        <f>SUM(G241:G244)</f>
        <v>98197.0600000001</v>
      </c>
      <c r="J245">
        <f>SUM(J241:J244)</f>
        <v>98</v>
      </c>
    </row>
    <row r="247" spans="4:10">
      <c r="G247" s="112"/>
    </row>
  </sheetData>
  <autoFilter ref="A1:J218" xr:uid="{00000000-0009-0000-0000-000015000000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92"/>
  <sheetViews>
    <sheetView topLeftCell="A50" zoomScaleNormal="100" workbookViewId="0"/>
  </sheetViews>
  <sheetFormatPr defaultRowHeight="14.45"/>
  <cols>
    <col min="1" max="1" width="2" bestFit="1" customWidth="1"/>
    <col min="2" max="2" width="10.7109375" bestFit="1" customWidth="1"/>
    <col min="3" max="3" width="12.28515625" bestFit="1" customWidth="1"/>
    <col min="4" max="4" width="106.42578125" customWidth="1"/>
    <col min="5" max="5" width="10.7109375" customWidth="1"/>
    <col min="6" max="6" width="10.7109375" bestFit="1" customWidth="1"/>
    <col min="7" max="7" width="13.28515625" bestFit="1" customWidth="1"/>
    <col min="8" max="8" width="9.7109375" bestFit="1" customWidth="1"/>
    <col min="9" max="9" width="11.7109375" bestFit="1" customWidth="1"/>
    <col min="10" max="10" width="9.5703125" bestFit="1" customWidth="1"/>
  </cols>
  <sheetData>
    <row r="1" spans="1:9" s="84" customFormat="1">
      <c r="A1" s="84">
        <v>1</v>
      </c>
      <c r="B1" s="84" t="s">
        <v>1375</v>
      </c>
      <c r="C1" s="84" t="s">
        <v>636</v>
      </c>
      <c r="D1" s="84">
        <v>12181</v>
      </c>
      <c r="E1" s="84" t="s">
        <v>637</v>
      </c>
      <c r="F1" s="106" t="s">
        <v>1376</v>
      </c>
      <c r="G1" s="106">
        <v>3928358.17</v>
      </c>
    </row>
    <row r="2" spans="1:9">
      <c r="A2">
        <v>1</v>
      </c>
    </row>
    <row r="3" spans="1:9">
      <c r="A3">
        <v>1</v>
      </c>
      <c r="B3" t="s">
        <v>473</v>
      </c>
      <c r="C3" t="s">
        <v>5546</v>
      </c>
      <c r="D3" t="s">
        <v>1377</v>
      </c>
      <c r="E3" t="s">
        <v>1378</v>
      </c>
      <c r="F3" t="s">
        <v>1379</v>
      </c>
      <c r="G3" t="s">
        <v>555</v>
      </c>
      <c r="H3" t="s">
        <v>556</v>
      </c>
      <c r="I3" t="s">
        <v>558</v>
      </c>
    </row>
    <row r="4" spans="1:9" s="95" customFormat="1">
      <c r="A4" s="95">
        <v>1</v>
      </c>
      <c r="B4" s="303">
        <v>45322</v>
      </c>
      <c r="C4" s="95">
        <v>33113</v>
      </c>
      <c r="D4" s="95" t="s">
        <v>5582</v>
      </c>
      <c r="E4" s="870" t="s">
        <v>5491</v>
      </c>
      <c r="F4" s="304"/>
      <c r="G4" s="304">
        <v>12807.65</v>
      </c>
      <c r="H4" s="304"/>
      <c r="I4" s="306">
        <v>4126409.28</v>
      </c>
    </row>
    <row r="5" spans="1:9" s="95" customFormat="1">
      <c r="A5" s="95">
        <v>1</v>
      </c>
      <c r="B5" s="303">
        <v>45351</v>
      </c>
      <c r="D5" s="95" t="s">
        <v>5583</v>
      </c>
      <c r="E5" s="870" t="s">
        <v>5493</v>
      </c>
      <c r="F5" s="304"/>
      <c r="G5" s="304">
        <v>12807.66</v>
      </c>
      <c r="H5" s="304"/>
      <c r="I5" s="306">
        <f>G5+H5+I4</f>
        <v>4139216.94</v>
      </c>
    </row>
    <row r="6" spans="1:9" s="95" customFormat="1">
      <c r="A6" s="95">
        <v>1</v>
      </c>
      <c r="B6" s="303">
        <v>45382</v>
      </c>
      <c r="D6" s="95" t="s">
        <v>5583</v>
      </c>
      <c r="E6" s="870" t="s">
        <v>5495</v>
      </c>
      <c r="F6" s="304"/>
      <c r="G6" s="304">
        <v>19584.52</v>
      </c>
      <c r="H6" s="304"/>
      <c r="I6" s="306">
        <f>G6+H6+I5</f>
        <v>4158801.46</v>
      </c>
    </row>
    <row r="7" spans="1:9" s="95" customFormat="1">
      <c r="B7" s="303">
        <v>45412</v>
      </c>
      <c r="D7" s="95" t="s">
        <v>5584</v>
      </c>
      <c r="E7" s="870" t="s">
        <v>5497</v>
      </c>
      <c r="F7" s="304"/>
      <c r="G7" s="304">
        <v>15066.61</v>
      </c>
      <c r="H7" s="304"/>
      <c r="I7" s="306">
        <f>G7+I6</f>
        <v>4173868.07</v>
      </c>
    </row>
    <row r="8" spans="1:9" s="95" customFormat="1">
      <c r="B8" s="303">
        <v>45443</v>
      </c>
      <c r="D8" s="95" t="s">
        <v>5585</v>
      </c>
      <c r="E8" s="870" t="s">
        <v>5498</v>
      </c>
      <c r="F8" s="304"/>
      <c r="G8" s="304">
        <v>15066.61</v>
      </c>
      <c r="H8" s="304"/>
      <c r="I8" s="306">
        <f>G8+I7</f>
        <v>4188934.6799999997</v>
      </c>
    </row>
    <row r="9" spans="1:9" s="95" customFormat="1">
      <c r="B9" s="303">
        <v>45473</v>
      </c>
      <c r="D9" s="95" t="s">
        <v>5582</v>
      </c>
      <c r="E9" s="870" t="s">
        <v>5500</v>
      </c>
      <c r="F9" s="304"/>
      <c r="G9" s="304">
        <v>28124.45</v>
      </c>
      <c r="H9" s="304"/>
      <c r="I9" s="306">
        <f>G9+I8</f>
        <v>4217059.13</v>
      </c>
    </row>
    <row r="10" spans="1:9" s="95" customFormat="1">
      <c r="B10" s="303">
        <v>45504</v>
      </c>
      <c r="D10" s="95" t="s">
        <v>5586</v>
      </c>
      <c r="E10" s="870" t="s">
        <v>5554</v>
      </c>
      <c r="F10" s="304"/>
      <c r="G10" s="304">
        <v>14516.36</v>
      </c>
      <c r="H10" s="304"/>
      <c r="I10" s="306">
        <v>4231575.49</v>
      </c>
    </row>
    <row r="11" spans="1:9" s="95" customFormat="1">
      <c r="B11" s="303">
        <v>45535</v>
      </c>
      <c r="D11" s="95" t="s">
        <v>5584</v>
      </c>
      <c r="E11" s="870" t="s">
        <v>5556</v>
      </c>
      <c r="F11" s="304"/>
      <c r="G11" s="304">
        <v>14516.36</v>
      </c>
      <c r="H11" s="304"/>
      <c r="I11" s="306">
        <v>4246091.8499999996</v>
      </c>
    </row>
    <row r="12" spans="1:9">
      <c r="B12" s="97">
        <v>45565</v>
      </c>
      <c r="D12" t="s">
        <v>5587</v>
      </c>
      <c r="E12" s="96" t="s">
        <v>5558</v>
      </c>
      <c r="F12" s="94"/>
      <c r="G12" s="94"/>
      <c r="H12" s="94">
        <v>-2836.06</v>
      </c>
      <c r="I12" s="106">
        <v>4243255.79</v>
      </c>
    </row>
    <row r="13" spans="1:9">
      <c r="B13" s="97">
        <v>45596</v>
      </c>
      <c r="D13" t="s">
        <v>5584</v>
      </c>
      <c r="E13" s="96" t="s">
        <v>5560</v>
      </c>
      <c r="F13" s="94"/>
      <c r="G13" s="94">
        <v>8732.2199999999993</v>
      </c>
      <c r="H13" s="94"/>
      <c r="I13" s="106">
        <v>4251988.01</v>
      </c>
    </row>
    <row r="14" spans="1:9">
      <c r="A14">
        <v>1</v>
      </c>
      <c r="B14" s="97">
        <v>45626</v>
      </c>
      <c r="D14" t="s">
        <v>5584</v>
      </c>
      <c r="E14" t="s">
        <v>5562</v>
      </c>
      <c r="F14" s="94"/>
      <c r="G14" s="94">
        <v>8732.2199999999993</v>
      </c>
      <c r="H14" s="94"/>
      <c r="I14" s="94">
        <v>4260720.2300000004</v>
      </c>
    </row>
    <row r="15" spans="1:9">
      <c r="A15">
        <v>1</v>
      </c>
      <c r="B15" s="97">
        <v>45657</v>
      </c>
      <c r="D15" t="s">
        <v>5582</v>
      </c>
      <c r="E15" t="s">
        <v>5564</v>
      </c>
      <c r="G15" s="94">
        <v>46494.32</v>
      </c>
      <c r="H15" s="94"/>
      <c r="I15" s="94">
        <v>4307214.55</v>
      </c>
    </row>
    <row r="16" spans="1:9">
      <c r="B16" s="97"/>
      <c r="G16" s="94"/>
      <c r="H16" s="94"/>
      <c r="I16" s="94"/>
    </row>
    <row r="17" spans="1:9" s="84" customFormat="1">
      <c r="A17" s="84">
        <v>1</v>
      </c>
      <c r="B17" s="84" t="s">
        <v>1375</v>
      </c>
      <c r="C17" s="84" t="s">
        <v>638</v>
      </c>
      <c r="D17" s="84">
        <v>12182</v>
      </c>
      <c r="E17" s="84" t="s">
        <v>639</v>
      </c>
      <c r="F17" s="106" t="s">
        <v>1376</v>
      </c>
      <c r="G17" s="106"/>
    </row>
    <row r="18" spans="1:9">
      <c r="A18">
        <v>1</v>
      </c>
    </row>
    <row r="19" spans="1:9">
      <c r="A19">
        <v>1</v>
      </c>
      <c r="B19" t="s">
        <v>473</v>
      </c>
      <c r="C19" t="s">
        <v>5546</v>
      </c>
      <c r="D19" t="s">
        <v>1377</v>
      </c>
      <c r="E19" t="s">
        <v>1378</v>
      </c>
      <c r="F19" t="s">
        <v>1379</v>
      </c>
      <c r="G19" t="s">
        <v>555</v>
      </c>
      <c r="H19" t="s">
        <v>556</v>
      </c>
      <c r="I19" t="s">
        <v>558</v>
      </c>
    </row>
    <row r="20" spans="1:9" s="95" customFormat="1">
      <c r="A20" s="95">
        <v>1</v>
      </c>
      <c r="B20" s="303">
        <v>45322</v>
      </c>
      <c r="C20" s="95">
        <v>33113</v>
      </c>
      <c r="D20" s="95" t="s">
        <v>1389</v>
      </c>
      <c r="E20" s="870" t="s">
        <v>5491</v>
      </c>
      <c r="F20" s="304"/>
      <c r="G20" s="304">
        <v>7782.82</v>
      </c>
      <c r="H20" s="304"/>
      <c r="I20" s="306">
        <v>1326313.4099999999</v>
      </c>
    </row>
    <row r="21" spans="1:9" s="95" customFormat="1">
      <c r="A21" s="95">
        <v>1</v>
      </c>
      <c r="B21" s="303">
        <v>45351</v>
      </c>
      <c r="D21" s="95" t="s">
        <v>5588</v>
      </c>
      <c r="E21" s="870" t="s">
        <v>5493</v>
      </c>
      <c r="F21" s="304"/>
      <c r="G21" s="304">
        <v>6988.61</v>
      </c>
      <c r="H21" s="304"/>
      <c r="I21" s="306">
        <f>G21+I20</f>
        <v>1333302.02</v>
      </c>
    </row>
    <row r="22" spans="1:9" s="95" customFormat="1">
      <c r="A22" s="95">
        <v>1</v>
      </c>
      <c r="B22" s="303">
        <v>45382</v>
      </c>
      <c r="D22" s="95" t="s">
        <v>5589</v>
      </c>
      <c r="E22" s="870" t="s">
        <v>5495</v>
      </c>
      <c r="F22" s="304"/>
      <c r="G22" s="304">
        <v>7384.61</v>
      </c>
      <c r="H22" s="304"/>
      <c r="I22" s="306">
        <f>G22+I21</f>
        <v>1340686.6300000001</v>
      </c>
    </row>
    <row r="23" spans="1:9" s="95" customFormat="1">
      <c r="A23" s="95">
        <v>1</v>
      </c>
      <c r="B23" s="303">
        <v>45412</v>
      </c>
      <c r="D23" s="95" t="s">
        <v>5588</v>
      </c>
      <c r="E23" s="870" t="s">
        <v>5497</v>
      </c>
      <c r="F23" s="304"/>
      <c r="G23" s="304">
        <v>8071.91</v>
      </c>
      <c r="H23" s="304"/>
      <c r="I23" s="306">
        <f>G23+I22</f>
        <v>1348758.54</v>
      </c>
    </row>
    <row r="24" spans="1:9" s="95" customFormat="1">
      <c r="A24" s="95">
        <v>1</v>
      </c>
      <c r="B24" s="303">
        <v>45443</v>
      </c>
      <c r="D24" s="95" t="s">
        <v>1389</v>
      </c>
      <c r="E24" s="870" t="s">
        <v>5498</v>
      </c>
      <c r="F24" s="304"/>
      <c r="G24" s="304">
        <v>7322.2</v>
      </c>
      <c r="H24" s="304"/>
      <c r="I24" s="306">
        <f>G24+I23</f>
        <v>1356080.74</v>
      </c>
    </row>
    <row r="25" spans="1:9" s="95" customFormat="1">
      <c r="A25" s="95">
        <v>1</v>
      </c>
      <c r="B25" s="303">
        <v>45473</v>
      </c>
      <c r="D25" s="95" t="s">
        <v>1389</v>
      </c>
      <c r="E25" s="870" t="s">
        <v>5500</v>
      </c>
      <c r="F25" s="304"/>
      <c r="G25" s="304">
        <v>7691.53</v>
      </c>
      <c r="H25" s="304"/>
      <c r="I25" s="306">
        <f>G25+I24</f>
        <v>1363772.27</v>
      </c>
    </row>
    <row r="26" spans="1:9" s="95" customFormat="1">
      <c r="A26" s="95">
        <v>1</v>
      </c>
      <c r="B26" s="303">
        <v>45504</v>
      </c>
      <c r="D26" s="95" t="s">
        <v>5588</v>
      </c>
      <c r="E26" s="870" t="s">
        <v>5554</v>
      </c>
      <c r="F26" s="304"/>
      <c r="G26" s="304">
        <v>8027.85</v>
      </c>
      <c r="H26" s="304"/>
      <c r="I26" s="306">
        <v>1371800.12</v>
      </c>
    </row>
    <row r="27" spans="1:9">
      <c r="A27">
        <v>1</v>
      </c>
      <c r="B27" s="97">
        <v>45535</v>
      </c>
      <c r="D27" t="s">
        <v>5590</v>
      </c>
      <c r="E27" s="96" t="s">
        <v>5556</v>
      </c>
      <c r="F27" s="94"/>
      <c r="G27" s="94"/>
      <c r="H27" s="94">
        <v>-10986.8</v>
      </c>
      <c r="I27" s="94">
        <v>1360813.32</v>
      </c>
    </row>
    <row r="28" spans="1:9">
      <c r="A28">
        <v>1</v>
      </c>
      <c r="B28" s="97">
        <v>45535</v>
      </c>
      <c r="D28" t="s">
        <v>5591</v>
      </c>
      <c r="E28" s="96" t="s">
        <v>5556</v>
      </c>
      <c r="F28" s="94"/>
      <c r="G28" s="94"/>
      <c r="H28" s="94">
        <v>-24592.76</v>
      </c>
      <c r="I28" s="94">
        <v>1336220.56</v>
      </c>
    </row>
    <row r="29" spans="1:9">
      <c r="A29">
        <v>1</v>
      </c>
      <c r="B29" s="97">
        <v>45535</v>
      </c>
      <c r="D29" t="s">
        <v>5590</v>
      </c>
      <c r="E29" s="96" t="s">
        <v>5556</v>
      </c>
      <c r="F29" s="94"/>
      <c r="G29" s="94"/>
      <c r="H29" s="94">
        <v>-12296.38</v>
      </c>
      <c r="I29" s="94">
        <v>1323924.18</v>
      </c>
    </row>
    <row r="30" spans="1:9">
      <c r="A30">
        <v>1</v>
      </c>
      <c r="B30" s="97">
        <v>45535</v>
      </c>
      <c r="D30" t="s">
        <v>5592</v>
      </c>
      <c r="E30" s="96" t="s">
        <v>5556</v>
      </c>
      <c r="F30" s="94"/>
      <c r="G30" s="94"/>
      <c r="H30" s="94">
        <v>-6236.47</v>
      </c>
      <c r="I30" s="94">
        <v>1317687.71</v>
      </c>
    </row>
    <row r="31" spans="1:9">
      <c r="A31">
        <v>1</v>
      </c>
      <c r="B31" s="97">
        <v>45535</v>
      </c>
      <c r="D31" t="s">
        <v>5593</v>
      </c>
      <c r="E31" s="96" t="s">
        <v>5556</v>
      </c>
      <c r="F31" s="94"/>
      <c r="G31" s="94"/>
      <c r="H31" s="94">
        <v>-13939.76</v>
      </c>
      <c r="I31" s="94">
        <v>1303747.95</v>
      </c>
    </row>
    <row r="32" spans="1:9">
      <c r="A32">
        <v>1</v>
      </c>
      <c r="B32" s="97">
        <v>45535</v>
      </c>
      <c r="D32" t="s">
        <v>5594</v>
      </c>
      <c r="E32" s="96" t="s">
        <v>5556</v>
      </c>
      <c r="F32" s="94"/>
      <c r="G32" s="94"/>
      <c r="H32" s="94">
        <v>-26605.16</v>
      </c>
      <c r="I32" s="94">
        <v>1277142.79</v>
      </c>
    </row>
    <row r="33" spans="1:9">
      <c r="A33">
        <v>1</v>
      </c>
      <c r="B33" s="97">
        <v>45535</v>
      </c>
      <c r="D33" t="s">
        <v>5595</v>
      </c>
      <c r="E33" s="96" t="s">
        <v>5556</v>
      </c>
      <c r="F33" s="94"/>
      <c r="G33" s="94"/>
      <c r="H33" s="94">
        <v>-270.45999999999998</v>
      </c>
      <c r="I33" s="94">
        <v>1276872.33</v>
      </c>
    </row>
    <row r="34" spans="1:9">
      <c r="A34">
        <v>1</v>
      </c>
      <c r="B34" s="97">
        <v>45535</v>
      </c>
      <c r="D34" t="s">
        <v>5596</v>
      </c>
      <c r="E34" s="96" t="s">
        <v>5556</v>
      </c>
      <c r="F34" s="94"/>
      <c r="G34" s="94">
        <v>7182.35</v>
      </c>
      <c r="H34" s="94"/>
      <c r="I34" s="94">
        <v>1284054.68</v>
      </c>
    </row>
    <row r="35" spans="1:9">
      <c r="A35">
        <v>1</v>
      </c>
      <c r="B35" s="97">
        <v>45535</v>
      </c>
      <c r="D35" t="s">
        <v>5597</v>
      </c>
      <c r="E35" t="s">
        <v>5556</v>
      </c>
      <c r="H35" s="94">
        <v>-13751.41</v>
      </c>
      <c r="I35" s="94">
        <v>1270303.27</v>
      </c>
    </row>
    <row r="36" spans="1:9">
      <c r="B36" s="97">
        <v>45536</v>
      </c>
      <c r="D36" t="s">
        <v>5598</v>
      </c>
      <c r="E36" t="s">
        <v>5556</v>
      </c>
      <c r="G36" s="94">
        <v>10986.8</v>
      </c>
      <c r="H36" s="94"/>
      <c r="I36" s="94">
        <v>1281290.07</v>
      </c>
    </row>
    <row r="37" spans="1:9">
      <c r="B37" s="97">
        <v>45536</v>
      </c>
      <c r="D37" t="s">
        <v>5598</v>
      </c>
      <c r="E37" t="s">
        <v>5556</v>
      </c>
      <c r="G37" s="94">
        <v>24592.76</v>
      </c>
      <c r="H37" s="94"/>
      <c r="I37" s="94">
        <v>1305882.83</v>
      </c>
    </row>
    <row r="38" spans="1:9">
      <c r="B38" s="97">
        <v>45536</v>
      </c>
      <c r="D38" t="s">
        <v>5598</v>
      </c>
      <c r="E38" t="s">
        <v>5556</v>
      </c>
      <c r="G38" s="94">
        <v>12296.38</v>
      </c>
      <c r="H38" s="94"/>
      <c r="I38" s="94">
        <v>1318179.21</v>
      </c>
    </row>
    <row r="39" spans="1:9">
      <c r="B39" s="97">
        <v>45536</v>
      </c>
      <c r="D39" t="s">
        <v>5598</v>
      </c>
      <c r="E39" t="s">
        <v>5556</v>
      </c>
      <c r="G39" s="94">
        <v>6236.47</v>
      </c>
      <c r="H39" s="94"/>
      <c r="I39" s="94">
        <v>1324415.68</v>
      </c>
    </row>
    <row r="40" spans="1:9">
      <c r="B40" s="97">
        <v>45536</v>
      </c>
      <c r="D40" t="s">
        <v>5599</v>
      </c>
      <c r="E40" t="s">
        <v>5556</v>
      </c>
      <c r="G40" s="94">
        <v>911140.72</v>
      </c>
      <c r="H40" s="94"/>
      <c r="I40" s="94">
        <v>2235556.4</v>
      </c>
    </row>
    <row r="41" spans="1:9">
      <c r="B41" s="97">
        <v>45553</v>
      </c>
      <c r="D41" t="s">
        <v>5600</v>
      </c>
      <c r="E41" t="s">
        <v>5601</v>
      </c>
      <c r="H41" s="94">
        <v>-13203.59</v>
      </c>
      <c r="I41" s="94">
        <v>2222352.81</v>
      </c>
    </row>
    <row r="42" spans="1:9">
      <c r="B42" s="97">
        <v>45565</v>
      </c>
      <c r="D42" t="s">
        <v>5602</v>
      </c>
      <c r="E42" t="s">
        <v>5556</v>
      </c>
      <c r="H42" s="94">
        <v>-70.44</v>
      </c>
      <c r="I42" s="94">
        <v>2222282.37</v>
      </c>
    </row>
    <row r="43" spans="1:9">
      <c r="B43" s="97">
        <v>45565</v>
      </c>
      <c r="D43" t="s">
        <v>1389</v>
      </c>
      <c r="E43" t="s">
        <v>5558</v>
      </c>
      <c r="G43" s="94">
        <v>12771.52</v>
      </c>
      <c r="H43" s="94"/>
      <c r="I43" s="94">
        <v>2235053.89</v>
      </c>
    </row>
    <row r="44" spans="1:9">
      <c r="B44" s="97">
        <v>45565</v>
      </c>
      <c r="D44" t="s">
        <v>5603</v>
      </c>
      <c r="E44" t="s">
        <v>5556</v>
      </c>
      <c r="G44">
        <v>310.32</v>
      </c>
      <c r="I44" s="94">
        <v>2235364.21</v>
      </c>
    </row>
    <row r="45" spans="1:9">
      <c r="B45" s="97">
        <v>45596</v>
      </c>
      <c r="D45" t="s">
        <v>5588</v>
      </c>
      <c r="E45" t="s">
        <v>5560</v>
      </c>
      <c r="G45" s="94">
        <v>12809.38</v>
      </c>
      <c r="I45" s="94">
        <v>2248173.59</v>
      </c>
    </row>
    <row r="46" spans="1:9">
      <c r="B46" s="97">
        <v>45626</v>
      </c>
      <c r="D46" t="s">
        <v>5588</v>
      </c>
      <c r="E46" t="s">
        <v>5562</v>
      </c>
      <c r="G46" s="94">
        <v>12802.1</v>
      </c>
      <c r="I46" s="94">
        <v>2260975.69</v>
      </c>
    </row>
    <row r="47" spans="1:9">
      <c r="B47" s="97">
        <v>45657</v>
      </c>
      <c r="D47" t="s">
        <v>1389</v>
      </c>
      <c r="E47" t="s">
        <v>5564</v>
      </c>
      <c r="G47" s="94">
        <v>12954.45</v>
      </c>
      <c r="I47" s="94">
        <v>2273930.14</v>
      </c>
    </row>
    <row r="48" spans="1:9">
      <c r="B48" s="97"/>
      <c r="I48" s="94"/>
    </row>
    <row r="49" spans="1:9" s="84" customFormat="1">
      <c r="A49" s="84">
        <v>1</v>
      </c>
      <c r="B49" s="84" t="s">
        <v>1375</v>
      </c>
      <c r="C49" s="84" t="s">
        <v>640</v>
      </c>
      <c r="D49" s="84">
        <v>12183</v>
      </c>
      <c r="E49" s="84" t="s">
        <v>641</v>
      </c>
      <c r="F49" s="106" t="s">
        <v>1376</v>
      </c>
      <c r="G49" s="106"/>
    </row>
    <row r="50" spans="1:9">
      <c r="A50">
        <v>1</v>
      </c>
    </row>
    <row r="51" spans="1:9">
      <c r="A51">
        <v>1</v>
      </c>
      <c r="B51" t="s">
        <v>473</v>
      </c>
      <c r="C51" t="s">
        <v>5546</v>
      </c>
      <c r="D51" t="s">
        <v>1377</v>
      </c>
      <c r="E51" t="s">
        <v>1378</v>
      </c>
      <c r="F51" t="s">
        <v>1379</v>
      </c>
      <c r="G51" t="s">
        <v>555</v>
      </c>
      <c r="H51" t="s">
        <v>556</v>
      </c>
      <c r="I51" t="s">
        <v>558</v>
      </c>
    </row>
    <row r="52" spans="1:9">
      <c r="A52">
        <v>1</v>
      </c>
      <c r="B52" s="97">
        <v>45322</v>
      </c>
      <c r="C52">
        <v>33113</v>
      </c>
      <c r="D52" t="s">
        <v>5604</v>
      </c>
      <c r="E52" s="96" t="s">
        <v>5605</v>
      </c>
      <c r="G52" s="304">
        <v>470.83</v>
      </c>
      <c r="I52" s="106">
        <v>168629.6</v>
      </c>
    </row>
    <row r="53" spans="1:9">
      <c r="A53">
        <v>1</v>
      </c>
      <c r="B53" s="97">
        <v>45322</v>
      </c>
      <c r="C53">
        <v>33113</v>
      </c>
      <c r="D53" t="s">
        <v>5604</v>
      </c>
      <c r="E53" s="96" t="s">
        <v>5491</v>
      </c>
      <c r="G53" s="304">
        <v>939.06</v>
      </c>
      <c r="I53" s="106">
        <v>169568.66</v>
      </c>
    </row>
    <row r="54" spans="1:9">
      <c r="A54">
        <v>1</v>
      </c>
      <c r="B54" s="97">
        <v>45351</v>
      </c>
      <c r="D54" t="s">
        <v>5606</v>
      </c>
      <c r="E54" s="96" t="s">
        <v>5491</v>
      </c>
      <c r="G54" s="304"/>
      <c r="H54">
        <v>-230.82</v>
      </c>
      <c r="I54" s="106">
        <f t="shared" ref="I54:I63" si="0">G54+H54+I53</f>
        <v>169337.84</v>
      </c>
    </row>
    <row r="55" spans="1:9">
      <c r="A55">
        <v>1</v>
      </c>
      <c r="B55" s="97">
        <v>45351</v>
      </c>
      <c r="D55" t="s">
        <v>5607</v>
      </c>
      <c r="E55" s="96" t="s">
        <v>5493</v>
      </c>
      <c r="G55" s="304">
        <v>708.24</v>
      </c>
      <c r="I55" s="106">
        <f t="shared" si="0"/>
        <v>170046.07999999999</v>
      </c>
    </row>
    <row r="56" spans="1:9">
      <c r="A56">
        <v>1</v>
      </c>
      <c r="B56" s="97">
        <v>45382</v>
      </c>
      <c r="D56" t="s">
        <v>5608</v>
      </c>
      <c r="E56" s="96" t="s">
        <v>5493</v>
      </c>
      <c r="G56" s="304">
        <v>697.27</v>
      </c>
      <c r="I56" s="106">
        <f t="shared" si="0"/>
        <v>170743.34999999998</v>
      </c>
    </row>
    <row r="57" spans="1:9">
      <c r="A57">
        <v>1</v>
      </c>
      <c r="B57" s="97">
        <v>45382</v>
      </c>
      <c r="D57" t="s">
        <v>5606</v>
      </c>
      <c r="E57" s="96" t="s">
        <v>5495</v>
      </c>
      <c r="G57" s="304">
        <v>1405.5</v>
      </c>
      <c r="I57" s="106">
        <f t="shared" si="0"/>
        <v>172148.84999999998</v>
      </c>
    </row>
    <row r="58" spans="1:9">
      <c r="B58" s="97">
        <v>45412</v>
      </c>
      <c r="D58" t="s">
        <v>5609</v>
      </c>
      <c r="E58" s="96" t="s">
        <v>5495</v>
      </c>
      <c r="G58" s="304"/>
      <c r="H58" s="94">
        <v>-1132.31</v>
      </c>
      <c r="I58" s="106">
        <f t="shared" si="0"/>
        <v>171016.53999999998</v>
      </c>
    </row>
    <row r="59" spans="1:9">
      <c r="B59" s="97">
        <v>45412</v>
      </c>
      <c r="D59" t="s">
        <v>5606</v>
      </c>
      <c r="E59" s="96" t="s">
        <v>5497</v>
      </c>
      <c r="G59" s="304">
        <v>273.2</v>
      </c>
      <c r="I59" s="106">
        <f t="shared" si="0"/>
        <v>171289.74</v>
      </c>
    </row>
    <row r="60" spans="1:9">
      <c r="B60" s="97">
        <v>45443</v>
      </c>
      <c r="D60" t="s">
        <v>5610</v>
      </c>
      <c r="E60" s="96" t="s">
        <v>5497</v>
      </c>
      <c r="G60" s="304">
        <v>376.66</v>
      </c>
      <c r="I60" s="106">
        <f t="shared" si="0"/>
        <v>171666.4</v>
      </c>
    </row>
    <row r="61" spans="1:9">
      <c r="B61" s="97">
        <v>45443</v>
      </c>
      <c r="D61" t="s">
        <v>5611</v>
      </c>
      <c r="E61" s="96" t="s">
        <v>5498</v>
      </c>
      <c r="G61" s="304">
        <v>649.85</v>
      </c>
      <c r="I61" s="106">
        <f t="shared" si="0"/>
        <v>172316.25</v>
      </c>
    </row>
    <row r="62" spans="1:9">
      <c r="B62" s="97">
        <v>45473</v>
      </c>
      <c r="D62" t="s">
        <v>5612</v>
      </c>
      <c r="E62" s="96" t="s">
        <v>5498</v>
      </c>
      <c r="G62" s="304">
        <v>139.82</v>
      </c>
      <c r="I62" s="106">
        <f t="shared" si="0"/>
        <v>172456.07</v>
      </c>
    </row>
    <row r="63" spans="1:9">
      <c r="B63" s="97">
        <v>45473</v>
      </c>
      <c r="D63" t="s">
        <v>5596</v>
      </c>
      <c r="E63" s="96" t="s">
        <v>5500</v>
      </c>
      <c r="G63" s="304">
        <v>789.67</v>
      </c>
      <c r="I63" s="106">
        <f t="shared" si="0"/>
        <v>173245.74000000002</v>
      </c>
    </row>
    <row r="64" spans="1:9">
      <c r="B64" s="97">
        <v>45504</v>
      </c>
      <c r="D64" t="s">
        <v>5613</v>
      </c>
      <c r="E64" s="96" t="s">
        <v>5500</v>
      </c>
      <c r="G64" s="304"/>
      <c r="H64">
        <v>-427.51</v>
      </c>
      <c r="I64" s="106">
        <v>172818.23</v>
      </c>
    </row>
    <row r="65" spans="2:10">
      <c r="B65" s="97">
        <v>45504</v>
      </c>
      <c r="D65" t="s">
        <v>5614</v>
      </c>
      <c r="E65" s="96" t="s">
        <v>5554</v>
      </c>
      <c r="G65" s="304">
        <v>362.16</v>
      </c>
      <c r="I65" s="106">
        <v>173180.39</v>
      </c>
    </row>
    <row r="66" spans="2:10">
      <c r="B66" s="97">
        <v>45535</v>
      </c>
      <c r="D66" t="s">
        <v>5615</v>
      </c>
      <c r="E66" s="96" t="s">
        <v>5554</v>
      </c>
      <c r="G66" s="94">
        <v>294.54000000000002</v>
      </c>
      <c r="I66" s="106">
        <v>173474.93</v>
      </c>
    </row>
    <row r="67" spans="2:10">
      <c r="B67" s="97">
        <v>45535</v>
      </c>
      <c r="D67" t="s">
        <v>5614</v>
      </c>
      <c r="E67" s="96" t="s">
        <v>5556</v>
      </c>
      <c r="G67" s="94">
        <v>656.7</v>
      </c>
      <c r="I67" s="106">
        <v>174131.63</v>
      </c>
    </row>
    <row r="68" spans="2:10">
      <c r="B68" s="97">
        <v>45565</v>
      </c>
      <c r="D68" t="s">
        <v>5616</v>
      </c>
      <c r="E68" s="96" t="s">
        <v>5556</v>
      </c>
      <c r="G68" s="94"/>
      <c r="H68">
        <v>-691.4</v>
      </c>
      <c r="I68" s="106">
        <v>173440.23</v>
      </c>
    </row>
    <row r="69" spans="2:10">
      <c r="B69" s="97">
        <v>45565</v>
      </c>
      <c r="D69" t="s">
        <v>5611</v>
      </c>
      <c r="E69" s="96" t="s">
        <v>5558</v>
      </c>
      <c r="G69" s="94">
        <v>34.700000000000003</v>
      </c>
      <c r="I69" s="106">
        <v>173474.93</v>
      </c>
    </row>
    <row r="70" spans="2:10">
      <c r="B70" s="97">
        <v>45596</v>
      </c>
      <c r="D70" t="s">
        <v>5617</v>
      </c>
      <c r="E70" s="96" t="s">
        <v>5558</v>
      </c>
      <c r="G70" s="94">
        <v>728.44</v>
      </c>
      <c r="I70" s="106">
        <v>174203.37</v>
      </c>
    </row>
    <row r="71" spans="2:10">
      <c r="B71" s="97">
        <v>45596</v>
      </c>
      <c r="D71" t="s">
        <v>5607</v>
      </c>
      <c r="E71" s="96" t="s">
        <v>5560</v>
      </c>
      <c r="G71" s="94">
        <v>763.14</v>
      </c>
      <c r="I71" s="106">
        <v>174966.51</v>
      </c>
    </row>
    <row r="72" spans="2:10">
      <c r="B72" s="97">
        <v>45626</v>
      </c>
      <c r="D72" t="s">
        <v>5617</v>
      </c>
      <c r="E72" s="96" t="s">
        <v>5560</v>
      </c>
      <c r="G72" s="94">
        <v>212.4</v>
      </c>
      <c r="I72" s="106">
        <v>175178.91</v>
      </c>
    </row>
    <row r="73" spans="2:10">
      <c r="B73" s="97">
        <v>45626</v>
      </c>
      <c r="D73" t="s">
        <v>5607</v>
      </c>
      <c r="E73" s="96" t="s">
        <v>5562</v>
      </c>
      <c r="G73" s="94">
        <v>975.54</v>
      </c>
      <c r="I73" s="106">
        <v>176154.45</v>
      </c>
    </row>
    <row r="74" spans="2:10">
      <c r="B74" s="97">
        <v>45657</v>
      </c>
      <c r="D74" t="s">
        <v>5616</v>
      </c>
      <c r="E74" s="96" t="s">
        <v>5562</v>
      </c>
      <c r="G74" s="94"/>
      <c r="H74">
        <v>-333.5</v>
      </c>
      <c r="I74" s="106">
        <v>175820.95</v>
      </c>
    </row>
    <row r="75" spans="2:10">
      <c r="B75" s="97">
        <v>45657</v>
      </c>
      <c r="D75" t="s">
        <v>5611</v>
      </c>
      <c r="E75" s="96" t="s">
        <v>5564</v>
      </c>
      <c r="G75" s="94">
        <v>642.04</v>
      </c>
      <c r="I75" s="106">
        <v>176462.99</v>
      </c>
    </row>
    <row r="77" spans="2:10">
      <c r="G77" s="70">
        <f>SUBTOTAL(9,G4:H76)</f>
        <v>1157316.6899999997</v>
      </c>
      <c r="I77" s="112">
        <f>G77/1000</f>
        <v>1157.3166899999997</v>
      </c>
      <c r="J77" s="112">
        <f>ROUND(I77,0)</f>
        <v>1157</v>
      </c>
    </row>
    <row r="78" spans="2:10">
      <c r="D78" s="95" t="s">
        <v>1454</v>
      </c>
      <c r="G78" s="304">
        <f>G4+G20+G53+G52+G5+G21+H54+G55+G6+G22+G56+G57+G7+G8+G9+G23+G24+G25+H58+G59+G60+G61+G62+G63+G10+G26+H64+G65+G11+G34+G66+G67+H30+H33+H12+G39+H42+G44+G43+H68+G69+G13+G14+G15+G45+G46+G47+G70+G71+G72+G73+H74+G75</f>
        <v>313675.89000000007</v>
      </c>
      <c r="I78" s="112">
        <f>G78/1000</f>
        <v>313.67589000000009</v>
      </c>
      <c r="J78" s="308">
        <f>ROUND(I78,0)</f>
        <v>314</v>
      </c>
    </row>
    <row r="79" spans="2:10">
      <c r="D79" s="117" t="s">
        <v>5618</v>
      </c>
      <c r="G79" s="309">
        <f>G40</f>
        <v>911140.72</v>
      </c>
      <c r="I79" s="112">
        <f>G79/1000</f>
        <v>911.14071999999999</v>
      </c>
      <c r="J79" s="310">
        <f>ROUND(I79,0)</f>
        <v>911</v>
      </c>
    </row>
    <row r="80" spans="2:10">
      <c r="G80" s="70">
        <f>SUBTOTAL(9,G78:G79)</f>
        <v>1224816.6100000001</v>
      </c>
    </row>
    <row r="81" spans="4:10">
      <c r="D81" t="s">
        <v>5619</v>
      </c>
      <c r="G81" s="94">
        <f>H27+H28+H29+H31+H32+H35+G36+G37+G38+H41</f>
        <v>-67499.920000000013</v>
      </c>
    </row>
    <row r="82" spans="4:10">
      <c r="G82" s="112">
        <f>G81/1000</f>
        <v>-67.499920000000017</v>
      </c>
    </row>
    <row r="83" spans="4:10">
      <c r="G83" s="112">
        <f>ROUND(G82,0)</f>
        <v>-67</v>
      </c>
    </row>
    <row r="84" spans="4:10">
      <c r="D84" t="s">
        <v>302</v>
      </c>
    </row>
    <row r="85" spans="4:10">
      <c r="D85" t="s">
        <v>304</v>
      </c>
      <c r="G85" s="94">
        <f>SUM(G4:H12)</f>
        <v>129654.16</v>
      </c>
      <c r="I85">
        <f>G85/1000</f>
        <v>129.65415999999999</v>
      </c>
      <c r="J85">
        <f>ROUND(I85,0)</f>
        <v>130</v>
      </c>
    </row>
    <row r="86" spans="4:10">
      <c r="D86" t="s">
        <v>305</v>
      </c>
      <c r="G86" s="94">
        <f>SUM(G20,G21,G22,G23,G24,G25,G26,G34,H33,H30,G39,H42,G43,G44)</f>
        <v>73192.820000000007</v>
      </c>
      <c r="I86">
        <f>G86/1000</f>
        <v>73.192820000000012</v>
      </c>
      <c r="J86">
        <f>ROUND(I86,0)</f>
        <v>73</v>
      </c>
    </row>
    <row r="87" spans="4:10">
      <c r="D87" t="s">
        <v>463</v>
      </c>
      <c r="G87" s="94">
        <f>SUM(G52:H69)</f>
        <v>5316.1599999999989</v>
      </c>
      <c r="I87">
        <f>G87/1000</f>
        <v>5.3161599999999991</v>
      </c>
      <c r="J87">
        <f>ROUND(I87,0)</f>
        <v>5</v>
      </c>
    </row>
    <row r="89" spans="4:10">
      <c r="D89" t="s">
        <v>5620</v>
      </c>
    </row>
    <row r="90" spans="4:10">
      <c r="D90" t="s">
        <v>304</v>
      </c>
    </row>
    <row r="91" spans="4:10">
      <c r="D91" t="s">
        <v>305</v>
      </c>
    </row>
    <row r="92" spans="4:10">
      <c r="D92" t="s">
        <v>463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417"/>
  <sheetViews>
    <sheetView topLeftCell="A239" workbookViewId="0">
      <selection activeCell="F261" sqref="F261"/>
    </sheetView>
  </sheetViews>
  <sheetFormatPr defaultColWidth="8.85546875" defaultRowHeight="14.45"/>
  <cols>
    <col min="1" max="1" width="11.85546875" customWidth="1"/>
    <col min="2" max="2" width="10.7109375" bestFit="1" customWidth="1"/>
    <col min="3" max="3" width="13" customWidth="1"/>
    <col min="4" max="4" width="29" customWidth="1"/>
    <col min="5" max="5" width="26.5703125" customWidth="1"/>
    <col min="6" max="6" width="11.5703125" style="1012" bestFit="1" customWidth="1"/>
    <col min="7" max="7" width="13.7109375" style="613" customWidth="1"/>
    <col min="8" max="8" width="14.28515625" style="613" bestFit="1" customWidth="1"/>
    <col min="9" max="9" width="13.28515625" bestFit="1" customWidth="1"/>
    <col min="10" max="10" width="10.28515625" bestFit="1" customWidth="1"/>
  </cols>
  <sheetData>
    <row r="1" spans="1:9">
      <c r="A1" t="s">
        <v>541</v>
      </c>
      <c r="B1" t="s">
        <v>1372</v>
      </c>
      <c r="C1" t="s">
        <v>543</v>
      </c>
      <c r="D1" t="s">
        <v>544</v>
      </c>
      <c r="E1" t="s">
        <v>545</v>
      </c>
      <c r="F1" s="1012" t="s">
        <v>546</v>
      </c>
      <c r="G1" s="1013" t="s">
        <v>547</v>
      </c>
      <c r="H1" s="613" t="s">
        <v>548</v>
      </c>
    </row>
    <row r="2" spans="1:9">
      <c r="A2" t="s">
        <v>549</v>
      </c>
    </row>
    <row r="4" spans="1:9">
      <c r="A4" t="s">
        <v>5621</v>
      </c>
      <c r="B4" s="97"/>
      <c r="I4" s="94"/>
    </row>
    <row r="5" spans="1:9">
      <c r="A5" t="s">
        <v>5622</v>
      </c>
      <c r="B5" s="97"/>
      <c r="I5" s="94"/>
    </row>
    <row r="6" spans="1:9">
      <c r="B6" s="97"/>
      <c r="E6" s="601"/>
      <c r="I6" s="94"/>
    </row>
    <row r="7" spans="1:9">
      <c r="A7" t="s">
        <v>1375</v>
      </c>
      <c r="B7" s="97" t="s">
        <v>1411</v>
      </c>
      <c r="C7">
        <v>112310</v>
      </c>
      <c r="D7" t="s">
        <v>1412</v>
      </c>
      <c r="E7" s="601" t="s">
        <v>1376</v>
      </c>
      <c r="F7" s="1012">
        <v>529.26</v>
      </c>
      <c r="I7" s="94"/>
    </row>
    <row r="8" spans="1:9">
      <c r="B8" s="97"/>
      <c r="E8" s="601"/>
      <c r="I8" s="94"/>
    </row>
    <row r="9" spans="1:9">
      <c r="A9" t="s">
        <v>473</v>
      </c>
      <c r="B9" s="97" t="s">
        <v>1377</v>
      </c>
      <c r="C9" t="s">
        <v>1378</v>
      </c>
      <c r="D9" t="s">
        <v>1379</v>
      </c>
      <c r="E9" s="601" t="s">
        <v>5434</v>
      </c>
      <c r="F9" s="1012" t="s">
        <v>555</v>
      </c>
      <c r="G9" s="613" t="s">
        <v>556</v>
      </c>
      <c r="H9" s="613" t="s">
        <v>558</v>
      </c>
      <c r="I9" s="94"/>
    </row>
    <row r="10" spans="1:9">
      <c r="A10" s="97">
        <v>45688</v>
      </c>
      <c r="B10" s="97" t="s">
        <v>5623</v>
      </c>
      <c r="C10" t="s">
        <v>5624</v>
      </c>
      <c r="E10" s="601" t="s">
        <v>5625</v>
      </c>
      <c r="F10" s="1012">
        <v>5.16</v>
      </c>
      <c r="H10" s="613">
        <v>534.41999999999996</v>
      </c>
      <c r="I10" s="94"/>
    </row>
    <row r="11" spans="1:9">
      <c r="A11" s="97">
        <v>45716</v>
      </c>
      <c r="B11" s="97" t="s">
        <v>5626</v>
      </c>
      <c r="C11" t="s">
        <v>1424</v>
      </c>
      <c r="E11" s="601" t="s">
        <v>5625</v>
      </c>
      <c r="F11" s="1012">
        <v>5.07</v>
      </c>
      <c r="H11" s="613">
        <v>539.49</v>
      </c>
      <c r="I11" s="94"/>
    </row>
    <row r="12" spans="1:9">
      <c r="A12" s="97">
        <v>45747</v>
      </c>
      <c r="B12" s="97" t="s">
        <v>5627</v>
      </c>
      <c r="C12" t="s">
        <v>5628</v>
      </c>
      <c r="E12" s="601" t="s">
        <v>5625</v>
      </c>
      <c r="F12" s="1012">
        <v>4.91</v>
      </c>
      <c r="H12" s="613">
        <v>544.4</v>
      </c>
      <c r="I12" s="94"/>
    </row>
    <row r="13" spans="1:9">
      <c r="A13" s="97">
        <v>45777</v>
      </c>
      <c r="B13" s="97" t="s">
        <v>5629</v>
      </c>
      <c r="C13" t="s">
        <v>5630</v>
      </c>
      <c r="E13" s="601" t="s">
        <v>5625</v>
      </c>
      <c r="F13" s="1012">
        <v>5.42</v>
      </c>
      <c r="H13" s="613">
        <v>549.82000000000005</v>
      </c>
      <c r="I13" s="94"/>
    </row>
    <row r="14" spans="1:9">
      <c r="A14" s="97">
        <v>45808</v>
      </c>
      <c r="B14" s="97" t="s">
        <v>5631</v>
      </c>
      <c r="C14" t="s">
        <v>5632</v>
      </c>
      <c r="E14" s="601" t="s">
        <v>5625</v>
      </c>
      <c r="F14" s="1012">
        <v>5.83</v>
      </c>
      <c r="H14" s="613">
        <v>555.65</v>
      </c>
      <c r="I14" s="94"/>
    </row>
    <row r="15" spans="1:9">
      <c r="A15" s="97">
        <v>45838</v>
      </c>
      <c r="B15" s="97" t="s">
        <v>5633</v>
      </c>
      <c r="C15" t="s">
        <v>5634</v>
      </c>
      <c r="E15" s="601" t="s">
        <v>5625</v>
      </c>
      <c r="F15" s="1012">
        <v>5.63</v>
      </c>
      <c r="H15" s="613">
        <v>561.28</v>
      </c>
      <c r="I15" s="94"/>
    </row>
    <row r="16" spans="1:9">
      <c r="A16" s="97">
        <v>45869</v>
      </c>
      <c r="B16" s="97" t="s">
        <v>5635</v>
      </c>
      <c r="C16" t="s">
        <v>5636</v>
      </c>
      <c r="F16" s="613">
        <v>6.55</v>
      </c>
      <c r="H16" s="613">
        <v>567.83000000000004</v>
      </c>
      <c r="I16" s="94"/>
    </row>
    <row r="17" spans="1:9">
      <c r="A17" s="97">
        <v>45900</v>
      </c>
      <c r="B17" s="97" t="s">
        <v>5637</v>
      </c>
      <c r="C17" t="s">
        <v>5638</v>
      </c>
      <c r="F17" s="613">
        <v>5.93</v>
      </c>
      <c r="H17" s="613">
        <v>573.76</v>
      </c>
      <c r="I17" s="94"/>
    </row>
    <row r="18" spans="1:9">
      <c r="A18" s="97">
        <v>45930</v>
      </c>
      <c r="B18" s="97" t="s">
        <v>5639</v>
      </c>
      <c r="C18" t="s">
        <v>5640</v>
      </c>
      <c r="F18" s="613">
        <v>6.24</v>
      </c>
      <c r="H18" s="613">
        <v>580</v>
      </c>
      <c r="I18" s="94"/>
    </row>
    <row r="19" spans="1:9">
      <c r="A19" s="97">
        <v>45961</v>
      </c>
      <c r="B19" s="97" t="s">
        <v>5641</v>
      </c>
      <c r="C19" t="s">
        <v>5642</v>
      </c>
      <c r="F19" s="613">
        <v>6.55</v>
      </c>
      <c r="H19" s="613">
        <v>586.54999999999995</v>
      </c>
      <c r="I19" s="94"/>
    </row>
    <row r="20" spans="1:9">
      <c r="A20" s="97">
        <v>45991</v>
      </c>
      <c r="B20" s="97" t="s">
        <v>5643</v>
      </c>
      <c r="C20" t="s">
        <v>5644</v>
      </c>
      <c r="F20" s="613">
        <v>5.37</v>
      </c>
      <c r="H20" s="613">
        <v>591.91999999999996</v>
      </c>
      <c r="I20" s="94"/>
    </row>
    <row r="21" spans="1:9">
      <c r="A21" s="97"/>
      <c r="B21" s="97"/>
      <c r="E21" s="601"/>
      <c r="I21" s="94"/>
    </row>
    <row r="22" spans="1:9">
      <c r="A22" s="97" t="s">
        <v>1375</v>
      </c>
      <c r="B22" s="97" t="s">
        <v>577</v>
      </c>
      <c r="C22">
        <v>112316</v>
      </c>
      <c r="D22" t="s">
        <v>234</v>
      </c>
      <c r="E22" s="601" t="s">
        <v>1376</v>
      </c>
      <c r="F22" s="1012">
        <v>568834.89</v>
      </c>
      <c r="I22" s="94"/>
    </row>
    <row r="23" spans="1:9">
      <c r="A23" s="97"/>
      <c r="B23" s="97"/>
      <c r="E23" s="601"/>
      <c r="I23" s="94"/>
    </row>
    <row r="24" spans="1:9">
      <c r="A24" s="97" t="s">
        <v>473</v>
      </c>
      <c r="B24" s="97" t="s">
        <v>1377</v>
      </c>
      <c r="C24" t="s">
        <v>1378</v>
      </c>
      <c r="D24" t="s">
        <v>1379</v>
      </c>
      <c r="E24" s="601" t="s">
        <v>5434</v>
      </c>
      <c r="F24" s="1012" t="s">
        <v>555</v>
      </c>
      <c r="G24" s="613" t="s">
        <v>556</v>
      </c>
      <c r="H24" s="613" t="s">
        <v>558</v>
      </c>
      <c r="I24" s="94"/>
    </row>
    <row r="25" spans="1:9">
      <c r="A25" s="97">
        <v>45688</v>
      </c>
      <c r="B25" s="97" t="s">
        <v>5645</v>
      </c>
      <c r="C25" t="s">
        <v>5624</v>
      </c>
      <c r="E25" s="601" t="s">
        <v>5646</v>
      </c>
      <c r="G25" s="1013">
        <v>-568834.89</v>
      </c>
      <c r="H25" s="613">
        <v>0</v>
      </c>
      <c r="I25" s="94"/>
    </row>
    <row r="26" spans="1:9">
      <c r="A26" s="97">
        <v>45716</v>
      </c>
      <c r="B26" s="97" t="s">
        <v>5647</v>
      </c>
      <c r="C26" t="s">
        <v>1424</v>
      </c>
      <c r="E26" s="601" t="s">
        <v>5648</v>
      </c>
      <c r="F26" s="1012">
        <v>10449.120000000001</v>
      </c>
      <c r="H26" s="1013">
        <v>10449.120000000001</v>
      </c>
      <c r="I26" s="94"/>
    </row>
    <row r="27" spans="1:9">
      <c r="A27" s="97">
        <v>45747</v>
      </c>
      <c r="B27" s="97" t="s">
        <v>5649</v>
      </c>
      <c r="C27" t="s">
        <v>5628</v>
      </c>
      <c r="E27" s="601" t="s">
        <v>5648</v>
      </c>
      <c r="F27" s="1012">
        <v>168180.6</v>
      </c>
      <c r="H27" s="1013">
        <v>178629.72</v>
      </c>
      <c r="I27" s="94"/>
    </row>
    <row r="28" spans="1:9">
      <c r="A28" s="97"/>
      <c r="B28" s="97"/>
      <c r="E28" s="601"/>
      <c r="H28" s="1013"/>
      <c r="I28" s="94"/>
    </row>
    <row r="29" spans="1:9">
      <c r="A29" s="97" t="s">
        <v>1375</v>
      </c>
      <c r="B29" s="97" t="s">
        <v>578</v>
      </c>
      <c r="C29">
        <v>112317</v>
      </c>
      <c r="D29" t="s">
        <v>235</v>
      </c>
      <c r="E29" s="601" t="s">
        <v>1376</v>
      </c>
      <c r="F29" s="1012">
        <v>192699.08</v>
      </c>
      <c r="H29" s="1013"/>
      <c r="I29" s="94"/>
    </row>
    <row r="30" spans="1:9">
      <c r="A30" s="97"/>
      <c r="B30" s="97"/>
      <c r="E30" s="601"/>
      <c r="H30" s="1013"/>
      <c r="I30" s="94"/>
    </row>
    <row r="31" spans="1:9">
      <c r="A31" s="97" t="s">
        <v>473</v>
      </c>
      <c r="B31" s="97" t="s">
        <v>1377</v>
      </c>
      <c r="C31" t="s">
        <v>1378</v>
      </c>
      <c r="D31" t="s">
        <v>1379</v>
      </c>
      <c r="E31" s="601" t="s">
        <v>5434</v>
      </c>
      <c r="F31" s="1012" t="s">
        <v>555</v>
      </c>
      <c r="G31" s="613" t="s">
        <v>556</v>
      </c>
      <c r="H31" s="1013" t="s">
        <v>558</v>
      </c>
      <c r="I31" s="94"/>
    </row>
    <row r="32" spans="1:9">
      <c r="A32" s="97">
        <v>45688</v>
      </c>
      <c r="B32" s="97" t="s">
        <v>5650</v>
      </c>
      <c r="C32" t="s">
        <v>5624</v>
      </c>
      <c r="E32" s="601" t="s">
        <v>5651</v>
      </c>
      <c r="G32" s="1013">
        <v>-192699.08</v>
      </c>
      <c r="H32" s="1013">
        <v>0</v>
      </c>
      <c r="I32" s="94"/>
    </row>
    <row r="33" spans="1:9">
      <c r="A33" s="97">
        <v>45716</v>
      </c>
      <c r="B33" s="97" t="s">
        <v>5652</v>
      </c>
      <c r="C33" t="s">
        <v>1424</v>
      </c>
      <c r="E33" s="601" t="s">
        <v>5653</v>
      </c>
      <c r="F33" s="1012">
        <v>3116.48</v>
      </c>
      <c r="H33" s="1013">
        <v>3116.48</v>
      </c>
      <c r="I33" s="94"/>
    </row>
    <row r="34" spans="1:9">
      <c r="A34" s="97">
        <v>45747</v>
      </c>
      <c r="B34" s="97" t="s">
        <v>5654</v>
      </c>
      <c r="C34" t="s">
        <v>5628</v>
      </c>
      <c r="E34" s="601" t="s">
        <v>5653</v>
      </c>
      <c r="F34" s="1012">
        <v>63509.24</v>
      </c>
      <c r="H34" s="1013">
        <v>66625.72</v>
      </c>
      <c r="I34" s="94"/>
    </row>
    <row r="35" spans="1:9">
      <c r="A35" s="97"/>
      <c r="B35" s="97"/>
      <c r="E35" s="601"/>
      <c r="H35" s="1013"/>
      <c r="I35" s="94"/>
    </row>
    <row r="36" spans="1:9">
      <c r="A36" s="97" t="s">
        <v>1375</v>
      </c>
      <c r="B36" s="97" t="s">
        <v>587</v>
      </c>
      <c r="C36">
        <v>112334</v>
      </c>
      <c r="D36" t="s">
        <v>392</v>
      </c>
      <c r="E36" s="601" t="s">
        <v>1376</v>
      </c>
      <c r="F36" s="1012">
        <v>0</v>
      </c>
      <c r="H36" s="1013"/>
      <c r="I36" s="94"/>
    </row>
    <row r="37" spans="1:9">
      <c r="A37" s="97"/>
      <c r="B37" s="97"/>
      <c r="E37" s="601"/>
      <c r="H37" s="1013"/>
      <c r="I37" s="94"/>
    </row>
    <row r="38" spans="1:9">
      <c r="A38" s="97" t="s">
        <v>473</v>
      </c>
      <c r="B38" s="97" t="s">
        <v>1377</v>
      </c>
      <c r="C38" t="s">
        <v>1378</v>
      </c>
      <c r="D38" t="s">
        <v>1379</v>
      </c>
      <c r="E38" s="601" t="s">
        <v>5434</v>
      </c>
      <c r="F38" s="1012" t="s">
        <v>555</v>
      </c>
      <c r="G38" s="613" t="s">
        <v>556</v>
      </c>
      <c r="H38" s="1013" t="s">
        <v>558</v>
      </c>
      <c r="I38" s="94"/>
    </row>
    <row r="39" spans="1:9">
      <c r="A39" s="97">
        <v>45689</v>
      </c>
      <c r="B39" s="97" t="s">
        <v>5655</v>
      </c>
      <c r="C39">
        <v>21485</v>
      </c>
      <c r="E39" s="601" t="s">
        <v>5656</v>
      </c>
      <c r="F39" s="1012">
        <v>746.46</v>
      </c>
      <c r="H39" s="1013">
        <v>746.46</v>
      </c>
      <c r="I39" s="94"/>
    </row>
    <row r="40" spans="1:9">
      <c r="A40" s="97">
        <v>45716</v>
      </c>
      <c r="B40" s="97" t="s">
        <v>5626</v>
      </c>
      <c r="C40" t="s">
        <v>1424</v>
      </c>
      <c r="E40" s="601" t="s">
        <v>5625</v>
      </c>
      <c r="F40" s="1012">
        <v>7.39</v>
      </c>
      <c r="H40" s="1013">
        <v>753.85</v>
      </c>
      <c r="I40" s="94"/>
    </row>
    <row r="41" spans="1:9">
      <c r="A41" s="97">
        <v>45747</v>
      </c>
      <c r="B41" s="97" t="s">
        <v>5627</v>
      </c>
      <c r="C41" t="s">
        <v>5628</v>
      </c>
      <c r="E41" s="601" t="s">
        <v>5625</v>
      </c>
      <c r="F41" s="1012">
        <v>7.17</v>
      </c>
      <c r="H41" s="1013">
        <v>761.02</v>
      </c>
      <c r="I41" s="94"/>
    </row>
    <row r="42" spans="1:9">
      <c r="A42" s="97">
        <v>45777</v>
      </c>
      <c r="B42" s="97" t="s">
        <v>5629</v>
      </c>
      <c r="C42" t="s">
        <v>5630</v>
      </c>
      <c r="E42" s="601"/>
      <c r="F42" s="1012">
        <v>7.91</v>
      </c>
      <c r="H42" s="1013">
        <v>768.93</v>
      </c>
      <c r="I42" s="94"/>
    </row>
    <row r="43" spans="1:9">
      <c r="A43" s="97">
        <v>45808</v>
      </c>
      <c r="B43" s="97" t="s">
        <v>5631</v>
      </c>
      <c r="C43" t="s">
        <v>5632</v>
      </c>
      <c r="E43" s="601"/>
      <c r="F43" s="1012">
        <v>8.51</v>
      </c>
      <c r="H43" s="1013">
        <v>777.44</v>
      </c>
      <c r="I43" s="94"/>
    </row>
    <row r="44" spans="1:9">
      <c r="A44" s="97">
        <v>45838</v>
      </c>
      <c r="B44" s="97" t="s">
        <v>5633</v>
      </c>
      <c r="C44" t="s">
        <v>5634</v>
      </c>
      <c r="E44" s="601"/>
      <c r="F44" s="1012">
        <v>8.2100000000000009</v>
      </c>
      <c r="H44" s="1013">
        <v>785.65</v>
      </c>
      <c r="I44" s="94"/>
    </row>
    <row r="45" spans="1:9">
      <c r="A45" s="97">
        <v>45869</v>
      </c>
      <c r="B45" s="97" t="s">
        <v>5635</v>
      </c>
      <c r="C45" t="s">
        <v>5636</v>
      </c>
      <c r="E45" s="601"/>
      <c r="F45" s="1012">
        <v>9.5500000000000007</v>
      </c>
      <c r="H45" s="1013">
        <v>795.2</v>
      </c>
      <c r="I45" s="94"/>
    </row>
    <row r="46" spans="1:9">
      <c r="A46" s="97">
        <v>45900</v>
      </c>
      <c r="B46" s="97" t="s">
        <v>5637</v>
      </c>
      <c r="C46" t="s">
        <v>5638</v>
      </c>
      <c r="E46" s="601"/>
      <c r="F46" s="1012">
        <v>8.66</v>
      </c>
      <c r="H46" s="1013">
        <v>803.86</v>
      </c>
      <c r="I46" s="94"/>
    </row>
    <row r="47" spans="1:9">
      <c r="A47" s="97">
        <v>45930</v>
      </c>
      <c r="B47" s="97" t="s">
        <v>5639</v>
      </c>
      <c r="C47" t="s">
        <v>5640</v>
      </c>
      <c r="E47" s="601"/>
      <c r="F47" s="1012">
        <v>9.11</v>
      </c>
      <c r="H47" s="1013">
        <v>812.97</v>
      </c>
      <c r="I47" s="94"/>
    </row>
    <row r="48" spans="1:9">
      <c r="A48" s="97">
        <v>45961</v>
      </c>
      <c r="B48" s="97" t="s">
        <v>5641</v>
      </c>
      <c r="C48" t="s">
        <v>5642</v>
      </c>
      <c r="E48" s="601"/>
      <c r="F48" s="1012">
        <v>9.5500000000000007</v>
      </c>
      <c r="H48" s="1013">
        <v>822.52</v>
      </c>
      <c r="I48" s="94"/>
    </row>
    <row r="49" spans="1:9">
      <c r="A49" s="97">
        <v>44148</v>
      </c>
      <c r="B49" s="97" t="s">
        <v>5657</v>
      </c>
      <c r="C49" t="s">
        <v>5658</v>
      </c>
      <c r="E49" s="601"/>
      <c r="G49" s="613">
        <v>-829.98</v>
      </c>
      <c r="H49" s="1013">
        <v>-7.46</v>
      </c>
      <c r="I49" s="94"/>
    </row>
    <row r="50" spans="1:9">
      <c r="A50" s="97">
        <v>45991</v>
      </c>
      <c r="B50" s="97" t="s">
        <v>5643</v>
      </c>
      <c r="C50" t="s">
        <v>5644</v>
      </c>
      <c r="E50" s="601"/>
      <c r="F50" s="1012">
        <v>7.46</v>
      </c>
      <c r="H50" s="613">
        <v>0</v>
      </c>
      <c r="I50" s="94"/>
    </row>
    <row r="51" spans="1:9">
      <c r="A51" s="97"/>
      <c r="B51" s="97"/>
      <c r="E51" s="601"/>
      <c r="I51" s="94"/>
    </row>
    <row r="52" spans="1:9">
      <c r="A52" t="s">
        <v>1375</v>
      </c>
      <c r="B52" s="97" t="s">
        <v>5659</v>
      </c>
      <c r="C52">
        <v>112340</v>
      </c>
      <c r="D52" t="s">
        <v>1449</v>
      </c>
      <c r="E52" s="601" t="s">
        <v>1376</v>
      </c>
      <c r="F52" s="1012">
        <v>0</v>
      </c>
      <c r="I52" s="94"/>
    </row>
    <row r="53" spans="1:9">
      <c r="B53" s="97"/>
      <c r="E53" s="601"/>
      <c r="I53" s="94"/>
    </row>
    <row r="54" spans="1:9">
      <c r="A54" t="s">
        <v>473</v>
      </c>
      <c r="B54" s="97" t="s">
        <v>1377</v>
      </c>
      <c r="C54" t="s">
        <v>1378</v>
      </c>
      <c r="D54" t="s">
        <v>1379</v>
      </c>
      <c r="E54" s="601" t="s">
        <v>5434</v>
      </c>
      <c r="F54" s="1012" t="s">
        <v>555</v>
      </c>
      <c r="G54" s="613" t="s">
        <v>556</v>
      </c>
      <c r="H54" s="613" t="s">
        <v>558</v>
      </c>
      <c r="I54" s="94"/>
    </row>
    <row r="55" spans="1:9">
      <c r="A55" s="97">
        <v>45688</v>
      </c>
      <c r="B55" s="97" t="s">
        <v>5645</v>
      </c>
      <c r="C55" t="s">
        <v>5624</v>
      </c>
      <c r="E55" s="601" t="s">
        <v>5660</v>
      </c>
      <c r="F55" s="1012">
        <v>568834.89</v>
      </c>
      <c r="H55" s="1013">
        <v>568834.89</v>
      </c>
      <c r="I55" s="94"/>
    </row>
    <row r="56" spans="1:9">
      <c r="A56" s="97">
        <v>45688</v>
      </c>
      <c r="B56" t="s">
        <v>5623</v>
      </c>
      <c r="C56" t="s">
        <v>5624</v>
      </c>
      <c r="E56">
        <v>33116</v>
      </c>
      <c r="F56" s="1012">
        <v>5745.23</v>
      </c>
      <c r="H56" s="1013">
        <v>574580.12</v>
      </c>
    </row>
    <row r="57" spans="1:9">
      <c r="A57" s="97">
        <v>45716</v>
      </c>
      <c r="B57" t="s">
        <v>5626</v>
      </c>
      <c r="C57" t="s">
        <v>1424</v>
      </c>
      <c r="E57">
        <v>33116</v>
      </c>
      <c r="F57" s="1012">
        <v>5631.47</v>
      </c>
      <c r="H57" s="1013">
        <v>580211.59</v>
      </c>
    </row>
    <row r="58" spans="1:9">
      <c r="A58" s="97">
        <v>45747</v>
      </c>
      <c r="B58" t="s">
        <v>5627</v>
      </c>
      <c r="C58" t="s">
        <v>5628</v>
      </c>
      <c r="E58">
        <v>33116</v>
      </c>
      <c r="F58" s="1012">
        <v>5460.81</v>
      </c>
      <c r="H58" s="1013">
        <v>585672.4</v>
      </c>
    </row>
    <row r="59" spans="1:9">
      <c r="A59" s="97">
        <v>45777</v>
      </c>
      <c r="B59" t="s">
        <v>5629</v>
      </c>
      <c r="C59" t="s">
        <v>5630</v>
      </c>
      <c r="F59" s="1012">
        <v>6029.65</v>
      </c>
      <c r="H59" s="1013">
        <v>591702.05000000005</v>
      </c>
    </row>
    <row r="60" spans="1:9">
      <c r="A60" s="97">
        <v>45808</v>
      </c>
      <c r="B60" t="s">
        <v>5631</v>
      </c>
      <c r="C60" t="s">
        <v>5632</v>
      </c>
      <c r="F60" s="1012">
        <v>6484.72</v>
      </c>
      <c r="H60" s="1013">
        <v>598186.77</v>
      </c>
    </row>
    <row r="61" spans="1:9">
      <c r="A61" s="97">
        <v>45838</v>
      </c>
      <c r="B61" t="s">
        <v>5633</v>
      </c>
      <c r="C61" t="s">
        <v>5634</v>
      </c>
      <c r="F61" s="1012">
        <v>6257.18</v>
      </c>
      <c r="H61" s="1013">
        <v>604443.94999999995</v>
      </c>
    </row>
    <row r="62" spans="1:9">
      <c r="A62" s="97">
        <v>45869</v>
      </c>
      <c r="B62" t="s">
        <v>5635</v>
      </c>
      <c r="C62" t="s">
        <v>5636</v>
      </c>
      <c r="F62" s="1012">
        <v>7281.09</v>
      </c>
      <c r="H62" s="1013">
        <v>611725.04</v>
      </c>
    </row>
    <row r="63" spans="1:9">
      <c r="A63" s="97">
        <v>45900</v>
      </c>
      <c r="B63" t="s">
        <v>5637</v>
      </c>
      <c r="C63" t="s">
        <v>5638</v>
      </c>
      <c r="F63" s="1012">
        <v>6598.48</v>
      </c>
      <c r="G63" s="1013"/>
      <c r="H63" s="1013">
        <v>618323.52</v>
      </c>
    </row>
    <row r="64" spans="1:9">
      <c r="A64" s="97">
        <v>45930</v>
      </c>
      <c r="B64" t="s">
        <v>5639</v>
      </c>
      <c r="C64" t="s">
        <v>5640</v>
      </c>
      <c r="F64" s="1012">
        <v>6939.79</v>
      </c>
      <c r="G64" s="1013"/>
      <c r="H64" s="1013">
        <v>625263.31000000006</v>
      </c>
    </row>
    <row r="65" spans="1:8">
      <c r="A65" s="97">
        <v>45961</v>
      </c>
      <c r="B65" t="s">
        <v>5641</v>
      </c>
      <c r="C65" t="s">
        <v>5642</v>
      </c>
      <c r="F65" s="1012">
        <v>7281.09</v>
      </c>
      <c r="G65" s="1013"/>
      <c r="H65" s="1013">
        <v>632544.4</v>
      </c>
    </row>
    <row r="66" spans="1:8">
      <c r="A66" s="97">
        <v>45991</v>
      </c>
      <c r="B66" t="s">
        <v>5643</v>
      </c>
      <c r="C66" t="s">
        <v>5644</v>
      </c>
      <c r="F66" s="1012">
        <v>5972.77</v>
      </c>
      <c r="G66" s="1013"/>
      <c r="H66" s="1013">
        <v>638517.17000000004</v>
      </c>
    </row>
    <row r="67" spans="1:8">
      <c r="A67" s="97"/>
      <c r="G67" s="1013"/>
      <c r="H67" s="1013"/>
    </row>
    <row r="68" spans="1:8">
      <c r="A68" t="s">
        <v>1375</v>
      </c>
      <c r="B68" t="s">
        <v>5661</v>
      </c>
      <c r="C68">
        <v>112341</v>
      </c>
      <c r="D68" t="s">
        <v>1452</v>
      </c>
      <c r="E68" t="s">
        <v>1376</v>
      </c>
      <c r="F68" s="1012">
        <v>0</v>
      </c>
    </row>
    <row r="70" spans="1:8" ht="16.5" customHeight="1">
      <c r="A70" t="s">
        <v>473</v>
      </c>
      <c r="B70" s="97" t="s">
        <v>1377</v>
      </c>
      <c r="C70" t="s">
        <v>1378</v>
      </c>
      <c r="D70" t="s">
        <v>1379</v>
      </c>
      <c r="E70" t="s">
        <v>5434</v>
      </c>
      <c r="F70" s="1012" t="s">
        <v>555</v>
      </c>
      <c r="G70" s="1013" t="s">
        <v>556</v>
      </c>
      <c r="H70" s="1013" t="s">
        <v>558</v>
      </c>
    </row>
    <row r="71" spans="1:8">
      <c r="A71" s="97">
        <v>45688</v>
      </c>
      <c r="B71" t="s">
        <v>5650</v>
      </c>
      <c r="C71" t="s">
        <v>5624</v>
      </c>
      <c r="E71">
        <v>112317</v>
      </c>
      <c r="F71" s="1012">
        <v>192699.08</v>
      </c>
      <c r="H71" s="1013">
        <v>192699.08</v>
      </c>
    </row>
    <row r="72" spans="1:8">
      <c r="A72" s="97">
        <v>45688</v>
      </c>
      <c r="B72" t="s">
        <v>5623</v>
      </c>
      <c r="C72" t="s">
        <v>5624</v>
      </c>
      <c r="E72">
        <v>33116</v>
      </c>
      <c r="F72" s="1012">
        <v>1946.26</v>
      </c>
      <c r="G72" s="1013"/>
      <c r="H72" s="1013">
        <v>194645.34</v>
      </c>
    </row>
    <row r="73" spans="1:8">
      <c r="A73" s="97">
        <v>45716</v>
      </c>
      <c r="B73" t="s">
        <v>5626</v>
      </c>
      <c r="C73" t="s">
        <v>1424</v>
      </c>
      <c r="E73">
        <v>33116</v>
      </c>
      <c r="F73" s="1012">
        <v>1907.72</v>
      </c>
      <c r="G73" s="1013"/>
      <c r="H73" s="1013">
        <v>196553.06</v>
      </c>
    </row>
    <row r="74" spans="1:8">
      <c r="A74" s="97">
        <v>45747</v>
      </c>
      <c r="B74" t="s">
        <v>5627</v>
      </c>
      <c r="C74" t="s">
        <v>5628</v>
      </c>
      <c r="E74">
        <v>33116</v>
      </c>
      <c r="F74" s="1012">
        <v>1849.91</v>
      </c>
      <c r="G74" s="1013"/>
      <c r="H74" s="1013">
        <v>198402.97</v>
      </c>
    </row>
    <row r="75" spans="1:8">
      <c r="A75" s="97">
        <v>45777</v>
      </c>
      <c r="B75" t="s">
        <v>5629</v>
      </c>
      <c r="C75" t="s">
        <v>5630</v>
      </c>
      <c r="F75" s="1012">
        <v>2042.61</v>
      </c>
      <c r="G75" s="1013"/>
      <c r="H75" s="1013">
        <v>200445.58</v>
      </c>
    </row>
    <row r="76" spans="1:8">
      <c r="A76" s="97">
        <v>45808</v>
      </c>
      <c r="B76" t="s">
        <v>5631</v>
      </c>
      <c r="C76" t="s">
        <v>5632</v>
      </c>
      <c r="F76" s="1012">
        <v>2196.77</v>
      </c>
      <c r="G76" s="1013"/>
      <c r="H76" s="1013">
        <v>202642.35</v>
      </c>
    </row>
    <row r="77" spans="1:8">
      <c r="A77" s="97">
        <v>45838</v>
      </c>
      <c r="B77" t="s">
        <v>5633</v>
      </c>
      <c r="C77" t="s">
        <v>5634</v>
      </c>
      <c r="F77" s="1012">
        <v>2119.69</v>
      </c>
      <c r="G77" s="1013"/>
      <c r="H77" s="1013">
        <v>204762.04</v>
      </c>
    </row>
    <row r="78" spans="1:8">
      <c r="A78" s="97">
        <v>45869</v>
      </c>
      <c r="B78" t="s">
        <v>5635</v>
      </c>
      <c r="C78" t="s">
        <v>5636</v>
      </c>
      <c r="F78" s="1012">
        <v>2466.5500000000002</v>
      </c>
      <c r="G78" s="1013"/>
      <c r="H78" s="1013">
        <v>207228.59</v>
      </c>
    </row>
    <row r="79" spans="1:8">
      <c r="A79" s="97">
        <v>45900</v>
      </c>
      <c r="B79" t="s">
        <v>5637</v>
      </c>
      <c r="C79" t="s">
        <v>5638</v>
      </c>
      <c r="F79" s="1012">
        <v>2235.31</v>
      </c>
      <c r="G79" s="1013"/>
      <c r="H79" s="1013">
        <v>209463.9</v>
      </c>
    </row>
    <row r="80" spans="1:8">
      <c r="A80" s="97">
        <v>45930</v>
      </c>
      <c r="B80" t="s">
        <v>5639</v>
      </c>
      <c r="C80" t="s">
        <v>5640</v>
      </c>
      <c r="F80" s="1012">
        <v>2350.9299999999998</v>
      </c>
      <c r="G80" s="1013"/>
      <c r="H80" s="1013">
        <v>211814.83</v>
      </c>
    </row>
    <row r="81" spans="1:8">
      <c r="A81" s="97">
        <v>45961</v>
      </c>
      <c r="B81" t="s">
        <v>5641</v>
      </c>
      <c r="C81" t="s">
        <v>5642</v>
      </c>
      <c r="F81" s="1012">
        <v>2466.5500000000002</v>
      </c>
      <c r="G81" s="1013"/>
      <c r="H81" s="1013">
        <v>214281.38</v>
      </c>
    </row>
    <row r="82" spans="1:8">
      <c r="A82" s="97">
        <v>45991</v>
      </c>
      <c r="B82" t="s">
        <v>5643</v>
      </c>
      <c r="C82" t="s">
        <v>5644</v>
      </c>
      <c r="F82" s="1012">
        <v>2023.34</v>
      </c>
      <c r="G82" s="1013"/>
      <c r="H82" s="1013">
        <v>216304.72</v>
      </c>
    </row>
    <row r="84" spans="1:8">
      <c r="A84" t="s">
        <v>1375</v>
      </c>
      <c r="B84" t="s">
        <v>626</v>
      </c>
      <c r="C84">
        <v>12131</v>
      </c>
      <c r="D84" t="s">
        <v>627</v>
      </c>
      <c r="E84" t="s">
        <v>1376</v>
      </c>
      <c r="F84" s="1012">
        <v>25246.79</v>
      </c>
    </row>
    <row r="85" spans="1:8">
      <c r="B85" s="97"/>
      <c r="H85" s="1013"/>
    </row>
    <row r="86" spans="1:8">
      <c r="A86" t="s">
        <v>473</v>
      </c>
      <c r="B86" t="s">
        <v>1377</v>
      </c>
      <c r="C86" t="s">
        <v>1378</v>
      </c>
      <c r="D86" t="s">
        <v>1379</v>
      </c>
      <c r="E86" t="s">
        <v>5434</v>
      </c>
      <c r="F86" s="1012" t="s">
        <v>555</v>
      </c>
      <c r="G86" s="613" t="s">
        <v>556</v>
      </c>
      <c r="H86" s="613" t="s">
        <v>558</v>
      </c>
    </row>
    <row r="87" spans="1:8">
      <c r="A87" s="97">
        <v>45688</v>
      </c>
      <c r="B87" t="s">
        <v>5623</v>
      </c>
      <c r="C87" t="s">
        <v>5624</v>
      </c>
      <c r="E87">
        <v>33116</v>
      </c>
      <c r="F87" s="1012">
        <v>174.78</v>
      </c>
      <c r="G87" s="1013"/>
      <c r="H87" s="1013">
        <v>25421.57</v>
      </c>
    </row>
    <row r="88" spans="1:8">
      <c r="A88" s="97">
        <v>45716</v>
      </c>
      <c r="B88" t="s">
        <v>5626</v>
      </c>
      <c r="C88" t="s">
        <v>1424</v>
      </c>
      <c r="E88">
        <v>33116</v>
      </c>
      <c r="F88" s="1012">
        <v>171.33</v>
      </c>
      <c r="G88" s="1013"/>
      <c r="H88" s="1013">
        <v>25592.9</v>
      </c>
    </row>
    <row r="89" spans="1:8">
      <c r="A89" s="97">
        <v>45747</v>
      </c>
      <c r="B89" t="s">
        <v>5627</v>
      </c>
      <c r="C89" t="s">
        <v>5628</v>
      </c>
      <c r="E89">
        <v>33116</v>
      </c>
      <c r="F89" s="1012">
        <v>166.13</v>
      </c>
      <c r="G89" s="1013"/>
      <c r="H89" s="1013">
        <v>25759.03</v>
      </c>
    </row>
    <row r="90" spans="1:8">
      <c r="A90" s="97">
        <v>45777</v>
      </c>
      <c r="B90" t="s">
        <v>5629</v>
      </c>
      <c r="C90" t="s">
        <v>5630</v>
      </c>
      <c r="F90" s="1012">
        <v>183.44</v>
      </c>
      <c r="G90" s="1013"/>
      <c r="H90" s="1013">
        <v>25942.47</v>
      </c>
    </row>
    <row r="91" spans="1:8">
      <c r="A91" s="97">
        <v>45808</v>
      </c>
      <c r="B91" t="s">
        <v>5631</v>
      </c>
      <c r="C91" t="s">
        <v>5632</v>
      </c>
      <c r="F91" s="1012">
        <v>197.28</v>
      </c>
      <c r="G91" s="1013"/>
      <c r="H91" s="1013">
        <v>26139.75</v>
      </c>
    </row>
    <row r="92" spans="1:8">
      <c r="A92" s="97">
        <v>45838</v>
      </c>
      <c r="B92" t="s">
        <v>5633</v>
      </c>
      <c r="C92" t="s">
        <v>5634</v>
      </c>
      <c r="F92" s="1012">
        <v>190.36</v>
      </c>
      <c r="G92" s="1013"/>
      <c r="H92" s="1013">
        <v>26330.11</v>
      </c>
    </row>
    <row r="93" spans="1:8">
      <c r="A93" s="97">
        <v>45869</v>
      </c>
      <c r="B93" t="s">
        <v>5635</v>
      </c>
      <c r="C93" t="s">
        <v>5636</v>
      </c>
      <c r="F93" s="1012">
        <v>221.51</v>
      </c>
      <c r="G93" s="1012"/>
      <c r="H93" s="1013">
        <v>26551.62</v>
      </c>
    </row>
    <row r="94" spans="1:8">
      <c r="A94" s="97">
        <v>45900</v>
      </c>
      <c r="B94" t="s">
        <v>5637</v>
      </c>
      <c r="C94" t="s">
        <v>5638</v>
      </c>
      <c r="F94" s="1012">
        <v>200.74</v>
      </c>
      <c r="G94" s="1012"/>
      <c r="H94" s="1013">
        <v>26752.36</v>
      </c>
    </row>
    <row r="95" spans="1:8">
      <c r="A95" s="97">
        <v>45930</v>
      </c>
      <c r="B95" t="s">
        <v>5639</v>
      </c>
      <c r="C95" t="s">
        <v>5640</v>
      </c>
      <c r="F95" s="1012">
        <v>211.13</v>
      </c>
      <c r="G95" s="1012"/>
      <c r="H95" s="1013">
        <v>26963.49</v>
      </c>
    </row>
    <row r="96" spans="1:8">
      <c r="A96" s="97">
        <v>45961</v>
      </c>
      <c r="B96" t="s">
        <v>5641</v>
      </c>
      <c r="C96" t="s">
        <v>5642</v>
      </c>
      <c r="F96" s="1012">
        <v>221.51</v>
      </c>
      <c r="G96" s="1012"/>
      <c r="H96" s="1013">
        <v>27185</v>
      </c>
    </row>
    <row r="97" spans="1:9">
      <c r="A97" s="97">
        <v>45991</v>
      </c>
      <c r="B97" t="s">
        <v>5643</v>
      </c>
      <c r="C97" t="s">
        <v>5644</v>
      </c>
      <c r="F97" s="1012">
        <v>181.71</v>
      </c>
      <c r="G97" s="1012"/>
      <c r="H97" s="1013">
        <v>27366.71</v>
      </c>
    </row>
    <row r="99" spans="1:9">
      <c r="A99" t="s">
        <v>1375</v>
      </c>
      <c r="B99" t="s">
        <v>628</v>
      </c>
      <c r="C99">
        <v>12134</v>
      </c>
      <c r="D99" t="s">
        <v>231</v>
      </c>
      <c r="E99" t="s">
        <v>1376</v>
      </c>
      <c r="F99" s="1012">
        <v>4640.58</v>
      </c>
    </row>
    <row r="101" spans="1:9">
      <c r="A101" t="s">
        <v>473</v>
      </c>
      <c r="B101" t="s">
        <v>1377</v>
      </c>
      <c r="C101" t="s">
        <v>1378</v>
      </c>
      <c r="D101" t="s">
        <v>1379</v>
      </c>
      <c r="E101" t="s">
        <v>5434</v>
      </c>
      <c r="F101" s="1012" t="s">
        <v>555</v>
      </c>
      <c r="G101" s="1013" t="s">
        <v>556</v>
      </c>
      <c r="H101" s="613" t="s">
        <v>558</v>
      </c>
    </row>
    <row r="102" spans="1:9">
      <c r="C102" t="s">
        <v>1425</v>
      </c>
    </row>
    <row r="103" spans="1:9">
      <c r="A103" t="s">
        <v>1375</v>
      </c>
      <c r="B103" t="s">
        <v>629</v>
      </c>
      <c r="C103">
        <v>12135</v>
      </c>
      <c r="D103" t="s">
        <v>630</v>
      </c>
      <c r="E103" t="s">
        <v>1376</v>
      </c>
      <c r="F103" s="1012">
        <v>164504.67000000001</v>
      </c>
    </row>
    <row r="104" spans="1:9">
      <c r="B104" s="97"/>
      <c r="G104" s="1013"/>
      <c r="I104" s="94"/>
    </row>
    <row r="105" spans="1:9">
      <c r="A105" t="s">
        <v>473</v>
      </c>
      <c r="B105" s="97" t="s">
        <v>1377</v>
      </c>
      <c r="C105" t="s">
        <v>1378</v>
      </c>
      <c r="D105" t="s">
        <v>1379</v>
      </c>
      <c r="E105" t="s">
        <v>5434</v>
      </c>
      <c r="F105" s="1012" t="s">
        <v>555</v>
      </c>
      <c r="G105" s="1013" t="s">
        <v>556</v>
      </c>
      <c r="H105" s="613" t="s">
        <v>558</v>
      </c>
      <c r="I105" s="94"/>
    </row>
    <row r="106" spans="1:9">
      <c r="A106" s="97">
        <v>45688</v>
      </c>
      <c r="B106" s="97" t="s">
        <v>5623</v>
      </c>
      <c r="C106" t="s">
        <v>5624</v>
      </c>
      <c r="E106">
        <v>33116</v>
      </c>
      <c r="F106" s="1012">
        <v>1189.8</v>
      </c>
      <c r="G106" s="1013"/>
      <c r="H106" s="1013">
        <v>165694.47</v>
      </c>
      <c r="I106" s="94"/>
    </row>
    <row r="107" spans="1:9">
      <c r="A107" s="97">
        <v>45716</v>
      </c>
      <c r="B107" s="97" t="s">
        <v>5626</v>
      </c>
      <c r="C107" t="s">
        <v>1424</v>
      </c>
      <c r="E107">
        <v>33116</v>
      </c>
      <c r="F107" s="1012">
        <v>1166.24</v>
      </c>
      <c r="G107" s="1013"/>
      <c r="H107" s="1013">
        <v>166860.71</v>
      </c>
      <c r="I107" s="94"/>
    </row>
    <row r="108" spans="1:9">
      <c r="A108" s="97">
        <v>45747</v>
      </c>
      <c r="B108" s="97" t="s">
        <v>5627</v>
      </c>
      <c r="C108" t="s">
        <v>5628</v>
      </c>
      <c r="E108">
        <v>33116</v>
      </c>
      <c r="F108" s="1012">
        <v>1130.9000000000001</v>
      </c>
      <c r="G108" s="1013"/>
      <c r="H108" s="1013">
        <v>167991.61</v>
      </c>
      <c r="I108" s="94"/>
    </row>
    <row r="109" spans="1:9">
      <c r="A109" s="97">
        <v>45777</v>
      </c>
      <c r="B109" s="97" t="s">
        <v>5629</v>
      </c>
      <c r="C109" t="s">
        <v>5630</v>
      </c>
      <c r="F109" s="1012">
        <v>1248.7</v>
      </c>
      <c r="G109" s="1013"/>
      <c r="H109" s="1013">
        <v>169240.31</v>
      </c>
      <c r="I109" s="94"/>
    </row>
    <row r="110" spans="1:9">
      <c r="A110" s="97">
        <v>45808</v>
      </c>
      <c r="B110" s="97" t="s">
        <v>5631</v>
      </c>
      <c r="C110" t="s">
        <v>5632</v>
      </c>
      <c r="F110" s="1012">
        <v>1342.94</v>
      </c>
      <c r="G110" s="1013"/>
      <c r="H110" s="1013">
        <v>170583.25</v>
      </c>
      <c r="I110" s="94"/>
    </row>
    <row r="111" spans="1:9" ht="13.9" customHeight="1">
      <c r="A111" s="97">
        <v>45838</v>
      </c>
      <c r="B111" s="97" t="s">
        <v>5633</v>
      </c>
      <c r="C111" t="s">
        <v>5634</v>
      </c>
      <c r="F111" s="1012">
        <v>1295.82</v>
      </c>
      <c r="G111" s="1013"/>
      <c r="H111" s="1013">
        <v>171879.07</v>
      </c>
      <c r="I111" s="94"/>
    </row>
    <row r="112" spans="1:9" ht="13.9" customHeight="1">
      <c r="A112" s="97">
        <v>45869</v>
      </c>
      <c r="B112" s="97" t="s">
        <v>5635</v>
      </c>
      <c r="C112" t="s">
        <v>5636</v>
      </c>
      <c r="F112" s="1013">
        <v>1507.87</v>
      </c>
      <c r="G112" s="1012"/>
      <c r="H112" s="1013">
        <v>173386.94</v>
      </c>
      <c r="I112" s="94"/>
    </row>
    <row r="113" spans="1:9" ht="13.9" customHeight="1">
      <c r="A113" s="97">
        <v>45900</v>
      </c>
      <c r="B113" s="97" t="s">
        <v>5637</v>
      </c>
      <c r="C113" t="s">
        <v>5638</v>
      </c>
      <c r="F113" s="1013">
        <v>1366.5</v>
      </c>
      <c r="G113" s="1012"/>
      <c r="H113" s="1013">
        <v>174753.44</v>
      </c>
      <c r="I113" s="94"/>
    </row>
    <row r="114" spans="1:9" ht="13.9" customHeight="1">
      <c r="A114" s="97">
        <v>45930</v>
      </c>
      <c r="B114" s="97" t="s">
        <v>5639</v>
      </c>
      <c r="C114" t="s">
        <v>5640</v>
      </c>
      <c r="F114" s="1013">
        <v>1437.19</v>
      </c>
      <c r="G114" s="1012"/>
      <c r="H114" s="1013">
        <v>176190.63</v>
      </c>
      <c r="I114" s="94"/>
    </row>
    <row r="115" spans="1:9" ht="13.9" customHeight="1">
      <c r="A115" s="97">
        <v>45961</v>
      </c>
      <c r="B115" s="97" t="s">
        <v>5641</v>
      </c>
      <c r="C115" t="s">
        <v>5642</v>
      </c>
      <c r="F115" s="1013">
        <v>1507.87</v>
      </c>
      <c r="G115" s="1012"/>
      <c r="H115" s="1013">
        <v>177698.5</v>
      </c>
      <c r="I115" s="94"/>
    </row>
    <row r="116" spans="1:9" ht="13.9" customHeight="1">
      <c r="A116" s="97">
        <v>45991</v>
      </c>
      <c r="B116" s="97" t="s">
        <v>5643</v>
      </c>
      <c r="C116" t="s">
        <v>5644</v>
      </c>
      <c r="F116" s="1013">
        <v>1236.92</v>
      </c>
      <c r="G116" s="1012"/>
      <c r="H116" s="1013">
        <v>178935.42</v>
      </c>
      <c r="I116" s="94"/>
    </row>
    <row r="117" spans="1:9">
      <c r="B117" s="97"/>
      <c r="F117" s="1014"/>
      <c r="G117" s="1013"/>
      <c r="I117" s="94"/>
    </row>
    <row r="118" spans="1:9">
      <c r="A118" t="s">
        <v>1375</v>
      </c>
      <c r="B118" s="97" t="s">
        <v>1426</v>
      </c>
      <c r="C118">
        <v>12139</v>
      </c>
      <c r="D118" t="s">
        <v>217</v>
      </c>
      <c r="E118" t="s">
        <v>1376</v>
      </c>
      <c r="F118" s="1012">
        <v>1758.33</v>
      </c>
      <c r="G118" s="1013"/>
      <c r="I118" s="94"/>
    </row>
    <row r="119" spans="1:9">
      <c r="B119" s="97"/>
      <c r="G119" s="1013"/>
      <c r="I119" s="94"/>
    </row>
    <row r="120" spans="1:9">
      <c r="A120" t="s">
        <v>473</v>
      </c>
      <c r="B120" s="97" t="s">
        <v>1377</v>
      </c>
      <c r="C120" t="s">
        <v>1378</v>
      </c>
      <c r="D120" t="s">
        <v>1379</v>
      </c>
      <c r="E120" t="s">
        <v>5434</v>
      </c>
      <c r="F120" s="1012" t="s">
        <v>555</v>
      </c>
      <c r="G120" s="1013" t="s">
        <v>556</v>
      </c>
      <c r="H120" s="613" t="s">
        <v>558</v>
      </c>
      <c r="I120" s="94"/>
    </row>
    <row r="121" spans="1:9">
      <c r="A121" s="97">
        <v>45688</v>
      </c>
      <c r="B121" s="97" t="s">
        <v>5623</v>
      </c>
      <c r="C121" t="s">
        <v>5624</v>
      </c>
      <c r="E121">
        <v>33116</v>
      </c>
      <c r="F121" s="1012">
        <v>12.79</v>
      </c>
      <c r="G121" s="1013"/>
      <c r="H121" s="1013">
        <v>1771.12</v>
      </c>
      <c r="I121" s="94"/>
    </row>
    <row r="122" spans="1:9">
      <c r="A122" s="97">
        <v>45716</v>
      </c>
      <c r="B122" s="97" t="s">
        <v>5626</v>
      </c>
      <c r="C122" t="s">
        <v>1424</v>
      </c>
      <c r="E122">
        <v>33116</v>
      </c>
      <c r="F122" s="1012">
        <v>12.54</v>
      </c>
      <c r="G122" s="1013"/>
      <c r="H122" s="1013">
        <v>1783.66</v>
      </c>
      <c r="I122" s="94"/>
    </row>
    <row r="123" spans="1:9" ht="13.15" customHeight="1">
      <c r="A123" s="97">
        <v>45747</v>
      </c>
      <c r="B123" s="97" t="s">
        <v>5627</v>
      </c>
      <c r="C123" t="s">
        <v>5628</v>
      </c>
      <c r="E123">
        <v>33116</v>
      </c>
      <c r="F123" s="1012">
        <v>12.16</v>
      </c>
      <c r="G123" s="1013"/>
      <c r="H123" s="1013">
        <v>1795.82</v>
      </c>
      <c r="I123" s="94"/>
    </row>
    <row r="124" spans="1:9" ht="13.15" customHeight="1">
      <c r="A124" s="97">
        <v>45777</v>
      </c>
      <c r="B124" s="97" t="s">
        <v>5629</v>
      </c>
      <c r="C124" t="s">
        <v>5630</v>
      </c>
      <c r="F124" s="1012">
        <v>13.43</v>
      </c>
      <c r="G124" s="1013"/>
      <c r="H124" s="1013">
        <v>1809.25</v>
      </c>
      <c r="I124" s="94"/>
    </row>
    <row r="125" spans="1:9" ht="13.15" customHeight="1">
      <c r="A125" s="97">
        <v>45808</v>
      </c>
      <c r="B125" s="97" t="s">
        <v>5631</v>
      </c>
      <c r="C125" t="s">
        <v>5632</v>
      </c>
      <c r="F125" s="1012">
        <v>14.44</v>
      </c>
      <c r="G125" s="1013"/>
      <c r="H125" s="1013">
        <v>1823.69</v>
      </c>
      <c r="I125" s="94"/>
    </row>
    <row r="126" spans="1:9" ht="13.15" customHeight="1">
      <c r="A126" s="97">
        <v>45838</v>
      </c>
      <c r="B126" s="97" t="s">
        <v>5633</v>
      </c>
      <c r="C126" t="s">
        <v>5634</v>
      </c>
      <c r="F126" s="1012">
        <v>13.93</v>
      </c>
      <c r="G126" s="1013"/>
      <c r="H126" s="1013">
        <v>1837.62</v>
      </c>
      <c r="I126" s="94"/>
    </row>
    <row r="127" spans="1:9" ht="13.15" customHeight="1">
      <c r="A127" s="97">
        <v>45869</v>
      </c>
      <c r="B127" s="97" t="s">
        <v>5635</v>
      </c>
      <c r="C127" t="s">
        <v>5636</v>
      </c>
      <c r="F127" s="1012">
        <v>16.21</v>
      </c>
      <c r="G127" s="1013"/>
      <c r="H127" s="1013">
        <v>1853.83</v>
      </c>
      <c r="I127" s="94"/>
    </row>
    <row r="128" spans="1:9">
      <c r="A128" s="97">
        <v>45900</v>
      </c>
      <c r="B128" s="97" t="s">
        <v>5637</v>
      </c>
      <c r="C128" t="s">
        <v>5638</v>
      </c>
      <c r="F128" s="1012">
        <v>14.69</v>
      </c>
      <c r="G128" s="1013"/>
      <c r="H128" s="1013">
        <v>1868.52</v>
      </c>
      <c r="I128" s="94"/>
    </row>
    <row r="129" spans="1:9">
      <c r="A129" s="97">
        <v>45930</v>
      </c>
      <c r="B129" s="97" t="s">
        <v>5639</v>
      </c>
      <c r="C129" t="s">
        <v>5640</v>
      </c>
      <c r="F129" s="1012">
        <v>15.45</v>
      </c>
      <c r="G129" s="1013"/>
      <c r="H129" s="1013">
        <v>1883.97</v>
      </c>
      <c r="I129" s="94"/>
    </row>
    <row r="130" spans="1:9">
      <c r="A130" s="97">
        <v>45961</v>
      </c>
      <c r="B130" s="97" t="s">
        <v>5641</v>
      </c>
      <c r="C130" t="s">
        <v>5642</v>
      </c>
      <c r="F130" s="1012">
        <v>16.21</v>
      </c>
      <c r="G130" s="1013"/>
      <c r="H130" s="1013">
        <v>1900.18</v>
      </c>
      <c r="I130" s="94"/>
    </row>
    <row r="131" spans="1:9">
      <c r="A131" s="97">
        <v>45991</v>
      </c>
      <c r="B131" s="97" t="s">
        <v>5643</v>
      </c>
      <c r="C131" t="s">
        <v>5644</v>
      </c>
      <c r="F131" s="1012">
        <v>13.3</v>
      </c>
      <c r="G131" s="1013"/>
      <c r="H131" s="1013">
        <v>1913.48</v>
      </c>
      <c r="I131" s="94"/>
    </row>
    <row r="132" spans="1:9">
      <c r="A132" s="97"/>
      <c r="B132" s="97"/>
      <c r="G132" s="1013"/>
      <c r="H132" s="1013"/>
      <c r="I132" s="94"/>
    </row>
    <row r="133" spans="1:9">
      <c r="A133" t="s">
        <v>1375</v>
      </c>
      <c r="B133" s="97" t="s">
        <v>1427</v>
      </c>
      <c r="C133">
        <v>121311</v>
      </c>
      <c r="D133" t="s">
        <v>229</v>
      </c>
      <c r="E133" t="s">
        <v>1376</v>
      </c>
      <c r="F133" s="1012">
        <v>4125.82</v>
      </c>
      <c r="G133" s="1013"/>
      <c r="I133" s="94"/>
    </row>
    <row r="134" spans="1:9">
      <c r="B134" s="97"/>
      <c r="G134" s="1013"/>
      <c r="I134" s="94"/>
    </row>
    <row r="135" spans="1:9">
      <c r="A135" t="s">
        <v>473</v>
      </c>
      <c r="B135" s="97" t="s">
        <v>1377</v>
      </c>
      <c r="C135" t="s">
        <v>1378</v>
      </c>
      <c r="D135" t="s">
        <v>1379</v>
      </c>
      <c r="E135" t="s">
        <v>5434</v>
      </c>
      <c r="F135" s="1012" t="s">
        <v>555</v>
      </c>
      <c r="G135" s="1013" t="s">
        <v>556</v>
      </c>
      <c r="H135" s="613" t="s">
        <v>558</v>
      </c>
      <c r="I135" s="94"/>
    </row>
    <row r="136" spans="1:9">
      <c r="A136" s="97">
        <v>45688</v>
      </c>
      <c r="B136" s="97" t="s">
        <v>5623</v>
      </c>
      <c r="C136" t="s">
        <v>5624</v>
      </c>
      <c r="E136">
        <v>33116</v>
      </c>
      <c r="F136" s="1012">
        <v>34.36</v>
      </c>
      <c r="G136" s="1013"/>
      <c r="H136" s="1013">
        <v>4160.18</v>
      </c>
      <c r="I136" s="94"/>
    </row>
    <row r="137" spans="1:9">
      <c r="A137" s="97">
        <v>45716</v>
      </c>
      <c r="B137" s="97" t="s">
        <v>5626</v>
      </c>
      <c r="C137" t="s">
        <v>1424</v>
      </c>
      <c r="E137">
        <v>33116</v>
      </c>
      <c r="F137" s="1012">
        <v>33.68</v>
      </c>
      <c r="G137" s="1013"/>
      <c r="H137" s="1013">
        <v>4193.8599999999997</v>
      </c>
      <c r="I137" s="94"/>
    </row>
    <row r="138" spans="1:9">
      <c r="A138" s="97">
        <v>45747</v>
      </c>
      <c r="B138" s="97" t="s">
        <v>5627</v>
      </c>
      <c r="C138" t="s">
        <v>5628</v>
      </c>
      <c r="E138">
        <v>33116</v>
      </c>
      <c r="F138" s="1012">
        <v>32.65</v>
      </c>
      <c r="G138" s="1013"/>
      <c r="H138" s="1013">
        <v>4226.51</v>
      </c>
      <c r="I138" s="94"/>
    </row>
    <row r="139" spans="1:9">
      <c r="A139" s="97">
        <v>45777</v>
      </c>
      <c r="B139" s="97" t="s">
        <v>5629</v>
      </c>
      <c r="C139" t="s">
        <v>5630</v>
      </c>
      <c r="F139" s="1012">
        <v>36.06</v>
      </c>
      <c r="G139" s="1013"/>
      <c r="H139" s="1013">
        <v>4262.57</v>
      </c>
      <c r="I139" s="94"/>
    </row>
    <row r="140" spans="1:9">
      <c r="A140" s="97">
        <v>45808</v>
      </c>
      <c r="B140" s="97" t="s">
        <v>5631</v>
      </c>
      <c r="C140" t="s">
        <v>5632</v>
      </c>
      <c r="F140" s="1012">
        <v>38.78</v>
      </c>
      <c r="G140" s="1013"/>
      <c r="H140" s="1013">
        <v>4301.3500000000004</v>
      </c>
      <c r="I140" s="94"/>
    </row>
    <row r="141" spans="1:9">
      <c r="A141" s="97">
        <v>45838</v>
      </c>
      <c r="B141" s="97" t="s">
        <v>5633</v>
      </c>
      <c r="C141" t="s">
        <v>5634</v>
      </c>
      <c r="F141" s="1012">
        <v>37.42</v>
      </c>
      <c r="G141" s="1013"/>
      <c r="H141" s="1013">
        <v>4338.7700000000004</v>
      </c>
      <c r="I141" s="94"/>
    </row>
    <row r="142" spans="1:9">
      <c r="A142" s="97">
        <v>45869</v>
      </c>
      <c r="B142" s="97" t="s">
        <v>5635</v>
      </c>
      <c r="C142" t="s">
        <v>5636</v>
      </c>
      <c r="F142" s="1012">
        <v>43.54</v>
      </c>
      <c r="G142" s="1013"/>
      <c r="H142" s="1013">
        <v>4382.3100000000004</v>
      </c>
      <c r="I142" s="94"/>
    </row>
    <row r="143" spans="1:9">
      <c r="A143" s="97">
        <v>45900</v>
      </c>
      <c r="B143" s="97" t="s">
        <v>5637</v>
      </c>
      <c r="C143" t="s">
        <v>5638</v>
      </c>
      <c r="F143" s="1012">
        <v>39.46</v>
      </c>
      <c r="G143" s="1013"/>
      <c r="H143" s="1013">
        <v>4421.7700000000004</v>
      </c>
      <c r="I143" s="94"/>
    </row>
    <row r="144" spans="1:9">
      <c r="A144" s="97">
        <v>45930</v>
      </c>
      <c r="B144" s="97" t="s">
        <v>5639</v>
      </c>
      <c r="C144" t="s">
        <v>5640</v>
      </c>
      <c r="F144" s="1012">
        <v>41.5</v>
      </c>
      <c r="G144" s="1013"/>
      <c r="H144" s="1013">
        <f>F144+H143</f>
        <v>4463.2700000000004</v>
      </c>
      <c r="I144" s="94"/>
    </row>
    <row r="145" spans="1:9">
      <c r="A145" s="97">
        <v>45961</v>
      </c>
      <c r="B145" s="97" t="s">
        <v>5641</v>
      </c>
      <c r="C145" t="s">
        <v>5642</v>
      </c>
      <c r="F145" s="1012">
        <v>43.54</v>
      </c>
      <c r="G145" s="1013"/>
      <c r="H145" s="1013">
        <v>4506.8100000000004</v>
      </c>
      <c r="I145" s="94"/>
    </row>
    <row r="146" spans="1:9">
      <c r="A146" s="97">
        <v>45991</v>
      </c>
      <c r="B146" s="97" t="s">
        <v>5643</v>
      </c>
      <c r="C146" t="s">
        <v>5644</v>
      </c>
      <c r="F146" s="1012">
        <v>35.72</v>
      </c>
      <c r="G146" s="1013"/>
      <c r="H146" s="1013">
        <v>4542.53</v>
      </c>
      <c r="I146" s="94"/>
    </row>
    <row r="147" spans="1:9" ht="13.9" customHeight="1">
      <c r="B147" s="97"/>
      <c r="G147" s="1013"/>
      <c r="I147" s="94"/>
    </row>
    <row r="148" spans="1:9">
      <c r="A148" t="s">
        <v>1375</v>
      </c>
      <c r="B148" t="s">
        <v>1428</v>
      </c>
      <c r="C148">
        <v>121312</v>
      </c>
      <c r="D148" t="s">
        <v>582</v>
      </c>
      <c r="E148" t="s">
        <v>1376</v>
      </c>
      <c r="F148" s="1012">
        <v>285.73</v>
      </c>
    </row>
    <row r="150" spans="1:9">
      <c r="A150" t="s">
        <v>473</v>
      </c>
      <c r="B150" t="s">
        <v>1377</v>
      </c>
      <c r="C150" t="s">
        <v>1378</v>
      </c>
      <c r="D150" t="s">
        <v>1379</v>
      </c>
      <c r="E150" t="s">
        <v>5434</v>
      </c>
      <c r="F150" s="1012" t="s">
        <v>555</v>
      </c>
      <c r="G150" s="613" t="s">
        <v>556</v>
      </c>
      <c r="H150" s="613" t="s">
        <v>558</v>
      </c>
    </row>
    <row r="151" spans="1:9">
      <c r="A151" s="97">
        <v>45688</v>
      </c>
      <c r="B151" t="s">
        <v>5623</v>
      </c>
      <c r="C151" t="s">
        <v>5624</v>
      </c>
      <c r="E151">
        <v>33116</v>
      </c>
      <c r="F151" s="1012">
        <v>2.08</v>
      </c>
      <c r="H151" s="613">
        <v>287.81</v>
      </c>
    </row>
    <row r="152" spans="1:9">
      <c r="A152" s="97">
        <v>45716</v>
      </c>
      <c r="B152" t="s">
        <v>5626</v>
      </c>
      <c r="C152" t="s">
        <v>1424</v>
      </c>
      <c r="E152">
        <v>33116</v>
      </c>
      <c r="F152" s="1012">
        <v>2.04</v>
      </c>
      <c r="H152" s="613">
        <v>289.85000000000002</v>
      </c>
    </row>
    <row r="153" spans="1:9">
      <c r="A153" s="97">
        <v>45747</v>
      </c>
      <c r="B153" t="s">
        <v>5627</v>
      </c>
      <c r="C153" t="s">
        <v>5628</v>
      </c>
      <c r="E153">
        <v>33116</v>
      </c>
      <c r="F153" s="1012">
        <v>1.97</v>
      </c>
      <c r="H153" s="613">
        <v>291.82</v>
      </c>
    </row>
    <row r="154" spans="1:9">
      <c r="A154" s="97">
        <v>45777</v>
      </c>
      <c r="B154" t="s">
        <v>5629</v>
      </c>
      <c r="C154" t="s">
        <v>5630</v>
      </c>
      <c r="F154" s="1012">
        <v>2.1800000000000002</v>
      </c>
      <c r="H154" s="613">
        <v>294</v>
      </c>
    </row>
    <row r="155" spans="1:9">
      <c r="A155" s="97">
        <v>45808</v>
      </c>
      <c r="B155" t="s">
        <v>5631</v>
      </c>
      <c r="C155" t="s">
        <v>5632</v>
      </c>
      <c r="F155" s="1012">
        <v>2.35</v>
      </c>
      <c r="H155" s="613">
        <v>296.35000000000002</v>
      </c>
    </row>
    <row r="156" spans="1:9">
      <c r="A156" s="97">
        <v>45838</v>
      </c>
      <c r="B156" t="s">
        <v>5633</v>
      </c>
      <c r="C156" t="s">
        <v>5634</v>
      </c>
      <c r="F156" s="1012">
        <v>2.2599999999999998</v>
      </c>
      <c r="H156" s="613">
        <v>298.61</v>
      </c>
    </row>
    <row r="157" spans="1:9">
      <c r="A157" s="97">
        <v>45869</v>
      </c>
      <c r="B157" s="97" t="s">
        <v>5635</v>
      </c>
      <c r="C157" t="s">
        <v>5636</v>
      </c>
      <c r="F157" s="1012">
        <v>2.63</v>
      </c>
      <c r="H157" s="613">
        <v>301.24</v>
      </c>
      <c r="I157" s="94"/>
    </row>
    <row r="158" spans="1:9">
      <c r="A158" s="97">
        <v>45900</v>
      </c>
      <c r="B158" s="97" t="s">
        <v>5637</v>
      </c>
      <c r="C158" t="s">
        <v>5638</v>
      </c>
      <c r="F158" s="1012">
        <v>2.39</v>
      </c>
      <c r="H158" s="613">
        <v>303.63</v>
      </c>
      <c r="I158" s="94"/>
    </row>
    <row r="159" spans="1:9">
      <c r="A159" s="97">
        <v>45930</v>
      </c>
      <c r="B159" s="97" t="s">
        <v>5639</v>
      </c>
      <c r="C159" t="s">
        <v>5640</v>
      </c>
      <c r="F159" s="1012">
        <v>2.5099999999999998</v>
      </c>
      <c r="H159" s="613">
        <v>306.14</v>
      </c>
      <c r="I159" s="94"/>
    </row>
    <row r="160" spans="1:9">
      <c r="A160" s="97">
        <v>45961</v>
      </c>
      <c r="B160" s="97" t="s">
        <v>5641</v>
      </c>
      <c r="C160" t="s">
        <v>5642</v>
      </c>
      <c r="F160" s="1012">
        <v>2.63</v>
      </c>
      <c r="H160" s="613">
        <v>308.77</v>
      </c>
      <c r="I160" s="94"/>
    </row>
    <row r="161" spans="1:9">
      <c r="A161" s="97">
        <v>45991</v>
      </c>
      <c r="B161" s="97" t="s">
        <v>5643</v>
      </c>
      <c r="C161" t="s">
        <v>5644</v>
      </c>
      <c r="F161" s="1012">
        <v>2.16</v>
      </c>
      <c r="H161" s="613">
        <v>310.93</v>
      </c>
      <c r="I161" s="94"/>
    </row>
    <row r="162" spans="1:9">
      <c r="A162" s="97"/>
      <c r="B162" s="97"/>
      <c r="I162" s="94"/>
    </row>
    <row r="163" spans="1:9">
      <c r="A163" t="s">
        <v>1375</v>
      </c>
      <c r="B163" s="97" t="s">
        <v>1429</v>
      </c>
      <c r="C163">
        <v>121313</v>
      </c>
      <c r="D163" t="s">
        <v>584</v>
      </c>
      <c r="E163" t="s">
        <v>1376</v>
      </c>
      <c r="F163" s="1012">
        <v>210054.53</v>
      </c>
      <c r="I163" s="94"/>
    </row>
    <row r="164" spans="1:9">
      <c r="B164" s="97"/>
      <c r="I164" s="94"/>
    </row>
    <row r="165" spans="1:9">
      <c r="A165" t="s">
        <v>473</v>
      </c>
      <c r="B165" s="97" t="s">
        <v>1377</v>
      </c>
      <c r="C165" t="s">
        <v>1378</v>
      </c>
      <c r="D165" t="s">
        <v>1379</v>
      </c>
      <c r="E165" t="s">
        <v>5434</v>
      </c>
      <c r="F165" s="1012" t="s">
        <v>555</v>
      </c>
      <c r="G165" s="613" t="s">
        <v>556</v>
      </c>
      <c r="H165" s="613" t="s">
        <v>558</v>
      </c>
      <c r="I165" s="94"/>
    </row>
    <row r="166" spans="1:9">
      <c r="A166" s="97">
        <v>45688</v>
      </c>
      <c r="B166" s="97" t="s">
        <v>5623</v>
      </c>
      <c r="C166" t="s">
        <v>5624</v>
      </c>
      <c r="E166">
        <v>33116</v>
      </c>
      <c r="F166" s="1012">
        <v>1578.3</v>
      </c>
      <c r="H166" s="1013">
        <v>211632.83</v>
      </c>
      <c r="I166" s="94"/>
    </row>
    <row r="167" spans="1:9">
      <c r="A167" s="97">
        <v>45716</v>
      </c>
      <c r="B167" s="97" t="s">
        <v>5626</v>
      </c>
      <c r="C167" t="s">
        <v>1424</v>
      </c>
      <c r="E167">
        <v>33116</v>
      </c>
      <c r="F167" s="1012">
        <v>1547.05</v>
      </c>
      <c r="H167" s="1013">
        <v>213179.88</v>
      </c>
      <c r="I167" s="94"/>
    </row>
    <row r="168" spans="1:9">
      <c r="A168" s="97">
        <v>45747</v>
      </c>
      <c r="B168" s="97" t="s">
        <v>5627</v>
      </c>
      <c r="C168" t="s">
        <v>5628</v>
      </c>
      <c r="E168">
        <v>33116</v>
      </c>
      <c r="F168" s="1012">
        <v>1500.16</v>
      </c>
      <c r="H168" s="1013">
        <v>214680.04</v>
      </c>
      <c r="I168" s="94"/>
    </row>
    <row r="169" spans="1:9">
      <c r="A169" s="97">
        <v>45777</v>
      </c>
      <c r="B169" s="97" t="s">
        <v>5629</v>
      </c>
      <c r="C169" t="s">
        <v>5630</v>
      </c>
      <c r="F169" s="1012">
        <v>1656.43</v>
      </c>
      <c r="H169" s="1013">
        <v>216336.47</v>
      </c>
      <c r="I169" s="94"/>
    </row>
    <row r="170" spans="1:9">
      <c r="A170" s="97">
        <v>45808</v>
      </c>
      <c r="B170" s="97" t="s">
        <v>5631</v>
      </c>
      <c r="C170" t="s">
        <v>5632</v>
      </c>
      <c r="F170" s="1012">
        <v>1781.45</v>
      </c>
      <c r="H170" s="1013">
        <v>218117.92</v>
      </c>
      <c r="I170" s="94"/>
    </row>
    <row r="171" spans="1:9" ht="13.9" customHeight="1">
      <c r="A171" s="97">
        <v>45838</v>
      </c>
      <c r="B171" s="97" t="s">
        <v>5633</v>
      </c>
      <c r="C171" t="s">
        <v>5634</v>
      </c>
      <c r="F171" s="1012">
        <v>1718.94</v>
      </c>
      <c r="H171" s="1013">
        <v>219836.86</v>
      </c>
      <c r="I171" s="94"/>
    </row>
    <row r="172" spans="1:9" ht="13.9" customHeight="1">
      <c r="A172" s="97">
        <v>45869</v>
      </c>
      <c r="B172" s="97" t="s">
        <v>5635</v>
      </c>
      <c r="C172" t="s">
        <v>5636</v>
      </c>
      <c r="F172" s="1012">
        <v>2000.22</v>
      </c>
      <c r="H172" s="1013">
        <v>221837.08</v>
      </c>
      <c r="I172" s="94"/>
    </row>
    <row r="173" spans="1:9" ht="13.9" customHeight="1">
      <c r="A173" s="97">
        <v>45900</v>
      </c>
      <c r="B173" s="97" t="s">
        <v>5637</v>
      </c>
      <c r="C173" t="s">
        <v>5638</v>
      </c>
      <c r="F173" s="1012">
        <v>1812.7</v>
      </c>
      <c r="H173" s="1013">
        <v>223649.78</v>
      </c>
      <c r="I173" s="94"/>
    </row>
    <row r="174" spans="1:9" ht="13.9" customHeight="1">
      <c r="A174" s="97">
        <v>45930</v>
      </c>
      <c r="B174" s="97" t="s">
        <v>5639</v>
      </c>
      <c r="C174" t="s">
        <v>5640</v>
      </c>
      <c r="F174" s="1012">
        <v>1906.46</v>
      </c>
      <c r="H174" s="1013">
        <v>225556.24</v>
      </c>
      <c r="I174" s="94"/>
    </row>
    <row r="175" spans="1:9" ht="13.9" customHeight="1">
      <c r="A175" s="97">
        <v>45961</v>
      </c>
      <c r="B175" s="97" t="s">
        <v>5641</v>
      </c>
      <c r="C175" t="s">
        <v>5642</v>
      </c>
      <c r="F175" s="94">
        <v>2000.22</v>
      </c>
      <c r="G175" s="1012"/>
      <c r="H175" s="1013">
        <v>227556.46</v>
      </c>
      <c r="I175" s="94"/>
    </row>
    <row r="176" spans="1:9" ht="13.9" customHeight="1">
      <c r="A176" s="97">
        <v>45991</v>
      </c>
      <c r="B176" s="97" t="s">
        <v>5643</v>
      </c>
      <c r="C176" t="s">
        <v>5644</v>
      </c>
      <c r="F176" s="94">
        <v>1640.81</v>
      </c>
      <c r="G176" s="1012"/>
      <c r="H176" s="1013">
        <v>229197.27</v>
      </c>
      <c r="I176" s="94"/>
    </row>
    <row r="177" spans="1:9">
      <c r="B177" s="97"/>
      <c r="I177" s="94"/>
    </row>
    <row r="178" spans="1:9">
      <c r="A178" t="s">
        <v>1375</v>
      </c>
      <c r="B178" s="97" t="s">
        <v>1430</v>
      </c>
      <c r="C178">
        <v>121315</v>
      </c>
      <c r="D178" t="s">
        <v>589</v>
      </c>
      <c r="E178" t="s">
        <v>1376</v>
      </c>
      <c r="F178" s="1012">
        <v>143132.23000000001</v>
      </c>
      <c r="I178" s="94"/>
    </row>
    <row r="179" spans="1:9">
      <c r="B179" s="97"/>
      <c r="I179" s="94"/>
    </row>
    <row r="180" spans="1:9">
      <c r="A180" t="s">
        <v>473</v>
      </c>
      <c r="B180" s="97" t="s">
        <v>1377</v>
      </c>
      <c r="C180" t="s">
        <v>1378</v>
      </c>
      <c r="D180" t="s">
        <v>1379</v>
      </c>
      <c r="E180" t="s">
        <v>5434</v>
      </c>
      <c r="F180" s="1012" t="s">
        <v>555</v>
      </c>
      <c r="G180" s="613" t="s">
        <v>556</v>
      </c>
      <c r="H180" s="613" t="s">
        <v>558</v>
      </c>
      <c r="I180" s="94"/>
    </row>
    <row r="181" spans="1:9">
      <c r="A181" s="97">
        <v>45688</v>
      </c>
      <c r="B181" s="97" t="s">
        <v>5623</v>
      </c>
      <c r="C181" t="s">
        <v>5624</v>
      </c>
      <c r="E181">
        <v>33116</v>
      </c>
      <c r="F181" s="1012">
        <v>1168.76</v>
      </c>
      <c r="H181" s="1013">
        <v>144300.99</v>
      </c>
      <c r="I181" s="94"/>
    </row>
    <row r="182" spans="1:9">
      <c r="A182" s="97">
        <v>45716</v>
      </c>
      <c r="B182" s="97" t="s">
        <v>5626</v>
      </c>
      <c r="C182" t="s">
        <v>1424</v>
      </c>
      <c r="E182">
        <v>33116</v>
      </c>
      <c r="F182" s="1012">
        <v>1145.6099999999999</v>
      </c>
      <c r="H182" s="1013">
        <v>145446.6</v>
      </c>
      <c r="I182" s="94"/>
    </row>
    <row r="183" spans="1:9">
      <c r="A183" s="97">
        <v>45747</v>
      </c>
      <c r="B183" s="97" t="s">
        <v>5627</v>
      </c>
      <c r="C183" t="s">
        <v>5628</v>
      </c>
      <c r="E183">
        <v>33116</v>
      </c>
      <c r="F183" s="1012">
        <v>1110.9000000000001</v>
      </c>
      <c r="H183" s="1013">
        <v>146557.5</v>
      </c>
      <c r="I183" s="94"/>
    </row>
    <row r="184" spans="1:9">
      <c r="A184" s="97">
        <v>45777</v>
      </c>
      <c r="B184" s="97" t="s">
        <v>5629</v>
      </c>
      <c r="C184" t="s">
        <v>5630</v>
      </c>
      <c r="F184" s="1012">
        <v>1226.6199999999999</v>
      </c>
      <c r="H184" s="1013">
        <v>147784.12</v>
      </c>
      <c r="I184" s="94"/>
    </row>
    <row r="185" spans="1:9">
      <c r="A185" s="97">
        <v>45808</v>
      </c>
      <c r="B185" s="97" t="s">
        <v>5631</v>
      </c>
      <c r="C185" t="s">
        <v>5632</v>
      </c>
      <c r="F185" s="1012">
        <v>1319.19</v>
      </c>
      <c r="H185" s="1013">
        <v>149103.31</v>
      </c>
      <c r="I185" s="94"/>
    </row>
    <row r="186" spans="1:9">
      <c r="A186" s="97">
        <v>45838</v>
      </c>
      <c r="B186" s="97" t="s">
        <v>5633</v>
      </c>
      <c r="C186" t="s">
        <v>5634</v>
      </c>
      <c r="F186" s="1012">
        <v>1272.9000000000001</v>
      </c>
      <c r="H186" s="1013">
        <v>150376.21</v>
      </c>
      <c r="I186" s="94"/>
    </row>
    <row r="187" spans="1:9">
      <c r="A187" s="97">
        <v>45869</v>
      </c>
      <c r="B187" s="97" t="s">
        <v>5635</v>
      </c>
      <c r="C187" t="s">
        <v>5636</v>
      </c>
      <c r="F187" s="1012">
        <v>1481.2</v>
      </c>
      <c r="H187" s="1013">
        <v>151857.41</v>
      </c>
      <c r="I187" s="94"/>
    </row>
    <row r="188" spans="1:9">
      <c r="A188" s="97">
        <v>45900</v>
      </c>
      <c r="B188" s="97" t="s">
        <v>5637</v>
      </c>
      <c r="C188" t="s">
        <v>5638</v>
      </c>
      <c r="F188" s="1012">
        <v>1342.33</v>
      </c>
      <c r="H188" s="1013">
        <v>153199.74</v>
      </c>
      <c r="I188" s="94"/>
    </row>
    <row r="189" spans="1:9">
      <c r="A189" s="97">
        <v>45930</v>
      </c>
      <c r="B189" s="97" t="s">
        <v>5639</v>
      </c>
      <c r="C189" t="s">
        <v>5640</v>
      </c>
      <c r="F189" s="1012">
        <v>1411.77</v>
      </c>
      <c r="H189" s="1013">
        <v>154611.51</v>
      </c>
      <c r="I189" s="94"/>
    </row>
    <row r="190" spans="1:9">
      <c r="A190" s="97">
        <v>45961</v>
      </c>
      <c r="B190" s="97" t="s">
        <v>5641</v>
      </c>
      <c r="C190" t="s">
        <v>5642</v>
      </c>
      <c r="F190" s="1012">
        <v>1481.2</v>
      </c>
      <c r="H190" s="1013">
        <v>156092.71</v>
      </c>
      <c r="I190" s="94"/>
    </row>
    <row r="191" spans="1:9">
      <c r="A191" s="97">
        <v>45991</v>
      </c>
      <c r="B191" s="97" t="s">
        <v>5643</v>
      </c>
      <c r="C191" t="s">
        <v>5644</v>
      </c>
      <c r="F191" s="1012">
        <v>1215.04</v>
      </c>
      <c r="H191" s="1013">
        <v>157307.75</v>
      </c>
      <c r="I191" s="94"/>
    </row>
    <row r="192" spans="1:9">
      <c r="A192" s="97"/>
      <c r="B192" s="97"/>
      <c r="H192" s="1013"/>
      <c r="I192" s="94"/>
    </row>
    <row r="193" spans="1:9">
      <c r="B193" s="97"/>
      <c r="I193" s="94"/>
    </row>
    <row r="194" spans="1:9">
      <c r="A194" t="s">
        <v>1375</v>
      </c>
      <c r="B194" s="97" t="s">
        <v>1434</v>
      </c>
      <c r="C194">
        <v>121316</v>
      </c>
      <c r="D194" t="s">
        <v>239</v>
      </c>
      <c r="E194" t="s">
        <v>1376</v>
      </c>
      <c r="F194" s="1012">
        <v>997657.2</v>
      </c>
      <c r="I194" s="94"/>
    </row>
    <row r="195" spans="1:9" ht="13.9" customHeight="1"/>
    <row r="196" spans="1:9">
      <c r="A196" t="s">
        <v>473</v>
      </c>
      <c r="B196" t="s">
        <v>1377</v>
      </c>
      <c r="C196" t="s">
        <v>1378</v>
      </c>
      <c r="D196" t="s">
        <v>1379</v>
      </c>
      <c r="E196" t="s">
        <v>5434</v>
      </c>
      <c r="F196" s="1012" t="s">
        <v>555</v>
      </c>
      <c r="G196" s="613" t="s">
        <v>556</v>
      </c>
      <c r="H196" s="613" t="s">
        <v>558</v>
      </c>
    </row>
    <row r="197" spans="1:9">
      <c r="A197" s="97">
        <v>45688</v>
      </c>
      <c r="B197" t="s">
        <v>5623</v>
      </c>
      <c r="C197" t="s">
        <v>5624</v>
      </c>
      <c r="E197">
        <v>33116</v>
      </c>
      <c r="F197" s="1012">
        <v>8482.7999999999993</v>
      </c>
      <c r="H197" s="1013">
        <v>1006140</v>
      </c>
    </row>
    <row r="198" spans="1:9">
      <c r="A198" s="97">
        <v>45716</v>
      </c>
      <c r="B198" t="s">
        <v>5626</v>
      </c>
      <c r="C198" t="s">
        <v>1424</v>
      </c>
      <c r="E198">
        <v>33116</v>
      </c>
      <c r="F198" s="1012">
        <v>8314.83</v>
      </c>
      <c r="H198" s="1013">
        <v>1014454.83</v>
      </c>
    </row>
    <row r="199" spans="1:9">
      <c r="A199" s="97">
        <v>45747</v>
      </c>
      <c r="B199" t="s">
        <v>5627</v>
      </c>
      <c r="C199" t="s">
        <v>5628</v>
      </c>
      <c r="E199">
        <v>33116</v>
      </c>
      <c r="F199" s="1012">
        <v>8062.86</v>
      </c>
      <c r="H199" s="1013">
        <v>1022517.69</v>
      </c>
    </row>
    <row r="200" spans="1:9">
      <c r="A200" s="97">
        <v>45777</v>
      </c>
      <c r="B200" t="s">
        <v>5629</v>
      </c>
      <c r="C200" t="s">
        <v>5630</v>
      </c>
      <c r="F200" s="1012">
        <v>8902.74</v>
      </c>
      <c r="H200" s="1013">
        <v>1031420.43</v>
      </c>
    </row>
    <row r="201" spans="1:9">
      <c r="A201" s="97">
        <v>45808</v>
      </c>
      <c r="B201" t="s">
        <v>5631</v>
      </c>
      <c r="C201" t="s">
        <v>5632</v>
      </c>
      <c r="F201" s="1012">
        <v>9574.65</v>
      </c>
      <c r="H201" s="1013">
        <v>1040995.08</v>
      </c>
    </row>
    <row r="202" spans="1:9">
      <c r="A202" s="97">
        <v>45838</v>
      </c>
      <c r="B202" t="s">
        <v>5633</v>
      </c>
      <c r="C202" t="s">
        <v>5634</v>
      </c>
      <c r="F202" s="1012">
        <v>9238.7000000000007</v>
      </c>
      <c r="H202" s="1013">
        <v>1050233.78</v>
      </c>
    </row>
    <row r="203" spans="1:9">
      <c r="A203" s="97">
        <v>45869</v>
      </c>
      <c r="B203" t="s">
        <v>5635</v>
      </c>
      <c r="C203" t="s">
        <v>5636</v>
      </c>
      <c r="F203" s="1012">
        <v>10750.48</v>
      </c>
      <c r="H203" s="1013">
        <v>1060984.26</v>
      </c>
    </row>
    <row r="204" spans="1:9">
      <c r="A204" s="97">
        <v>45900</v>
      </c>
      <c r="B204" t="s">
        <v>5637</v>
      </c>
      <c r="C204" t="s">
        <v>5638</v>
      </c>
      <c r="F204" s="1012">
        <v>9742.6200000000008</v>
      </c>
      <c r="H204" s="1013">
        <v>1070726.8799999999</v>
      </c>
    </row>
    <row r="205" spans="1:9">
      <c r="A205" s="97">
        <v>45930</v>
      </c>
      <c r="B205" t="s">
        <v>5639</v>
      </c>
      <c r="C205" t="s">
        <v>5640</v>
      </c>
      <c r="F205" s="1012">
        <v>10246.549999999999</v>
      </c>
      <c r="H205" s="1013">
        <v>1080973.43</v>
      </c>
    </row>
    <row r="206" spans="1:9">
      <c r="A206" s="97">
        <v>45961</v>
      </c>
      <c r="B206" t="s">
        <v>5641</v>
      </c>
      <c r="C206" t="s">
        <v>5642</v>
      </c>
      <c r="F206" s="1012">
        <v>10750.48</v>
      </c>
      <c r="H206" s="1013">
        <v>1091723.9099999999</v>
      </c>
    </row>
    <row r="207" spans="1:9">
      <c r="A207" s="97">
        <v>45991</v>
      </c>
      <c r="B207" t="s">
        <v>5643</v>
      </c>
      <c r="C207" t="s">
        <v>5644</v>
      </c>
      <c r="F207" s="1012">
        <v>8818.75</v>
      </c>
      <c r="H207" s="1013">
        <v>1100542.6599999999</v>
      </c>
    </row>
    <row r="208" spans="1:9">
      <c r="A208" s="97"/>
      <c r="H208" s="1013"/>
    </row>
    <row r="209" spans="1:8">
      <c r="A209" t="s">
        <v>1375</v>
      </c>
      <c r="B209" s="97" t="s">
        <v>1435</v>
      </c>
      <c r="C209">
        <v>121317</v>
      </c>
      <c r="D209" t="s">
        <v>392</v>
      </c>
      <c r="E209" t="s">
        <v>1376</v>
      </c>
      <c r="F209" s="1012">
        <v>2076.71</v>
      </c>
    </row>
    <row r="210" spans="1:8">
      <c r="B210" s="97"/>
    </row>
    <row r="211" spans="1:8">
      <c r="A211" t="s">
        <v>473</v>
      </c>
      <c r="B211" s="97" t="s">
        <v>1377</v>
      </c>
      <c r="C211" t="s">
        <v>1378</v>
      </c>
      <c r="D211" t="s">
        <v>1379</v>
      </c>
      <c r="E211" t="s">
        <v>5434</v>
      </c>
      <c r="F211" s="1012" t="s">
        <v>555</v>
      </c>
      <c r="G211" s="613" t="s">
        <v>556</v>
      </c>
      <c r="H211" s="613" t="s">
        <v>558</v>
      </c>
    </row>
    <row r="212" spans="1:8">
      <c r="A212" s="97">
        <v>45688</v>
      </c>
      <c r="B212" s="97" t="s">
        <v>5623</v>
      </c>
      <c r="C212" t="s">
        <v>5624</v>
      </c>
      <c r="E212">
        <v>33116</v>
      </c>
      <c r="F212" s="1012">
        <v>16.8</v>
      </c>
      <c r="H212" s="1013">
        <v>2093.5100000000002</v>
      </c>
    </row>
    <row r="213" spans="1:8">
      <c r="A213" s="97">
        <v>45716</v>
      </c>
      <c r="B213" s="97" t="s">
        <v>5626</v>
      </c>
      <c r="C213" t="s">
        <v>1424</v>
      </c>
      <c r="E213">
        <v>33116</v>
      </c>
      <c r="F213" s="1012">
        <v>16.47</v>
      </c>
      <c r="H213" s="1013">
        <v>2109.98</v>
      </c>
    </row>
    <row r="214" spans="1:8">
      <c r="A214" s="97">
        <v>45747</v>
      </c>
      <c r="B214" s="97" t="s">
        <v>5627</v>
      </c>
      <c r="C214" t="s">
        <v>5628</v>
      </c>
      <c r="E214">
        <v>33116</v>
      </c>
      <c r="F214" s="1012">
        <v>15.97</v>
      </c>
      <c r="H214" s="1013">
        <v>2125.9499999999998</v>
      </c>
    </row>
    <row r="215" spans="1:8">
      <c r="A215" s="97">
        <v>45777</v>
      </c>
      <c r="B215" s="97" t="s">
        <v>5629</v>
      </c>
      <c r="C215" t="s">
        <v>5630</v>
      </c>
      <c r="F215" s="1012">
        <v>17.63</v>
      </c>
      <c r="H215" s="1013">
        <v>2143.58</v>
      </c>
    </row>
    <row r="216" spans="1:8">
      <c r="A216" s="97">
        <v>45808</v>
      </c>
      <c r="B216" s="97" t="s">
        <v>5631</v>
      </c>
      <c r="C216" t="s">
        <v>5632</v>
      </c>
      <c r="F216" s="1012">
        <v>18.97</v>
      </c>
      <c r="H216" s="1013">
        <v>2162.5500000000002</v>
      </c>
    </row>
    <row r="217" spans="1:8">
      <c r="A217" s="97">
        <v>45838</v>
      </c>
      <c r="B217" s="97" t="s">
        <v>5633</v>
      </c>
      <c r="C217" t="s">
        <v>5634</v>
      </c>
      <c r="F217" s="1012">
        <v>18.3</v>
      </c>
      <c r="H217" s="1013">
        <v>2180.85</v>
      </c>
    </row>
    <row r="218" spans="1:8">
      <c r="A218" s="97">
        <v>45869</v>
      </c>
      <c r="B218" s="97" t="s">
        <v>5635</v>
      </c>
      <c r="C218" t="s">
        <v>5636</v>
      </c>
      <c r="F218" s="1012">
        <v>21.29</v>
      </c>
      <c r="H218" s="1013">
        <v>2202.14</v>
      </c>
    </row>
    <row r="219" spans="1:8">
      <c r="A219" s="97">
        <v>45900</v>
      </c>
      <c r="B219" s="97" t="s">
        <v>5637</v>
      </c>
      <c r="C219" t="s">
        <v>5638</v>
      </c>
      <c r="F219" s="1012">
        <v>19.3</v>
      </c>
      <c r="H219" s="1013">
        <v>2221.44</v>
      </c>
    </row>
    <row r="220" spans="1:8">
      <c r="A220" s="97">
        <v>45930</v>
      </c>
      <c r="B220" s="97" t="s">
        <v>5639</v>
      </c>
      <c r="C220" t="s">
        <v>5640</v>
      </c>
      <c r="F220" s="1012">
        <v>20.3</v>
      </c>
      <c r="H220" s="1013">
        <v>2241.7399999999998</v>
      </c>
    </row>
    <row r="221" spans="1:8">
      <c r="A221" s="97">
        <v>45961</v>
      </c>
      <c r="B221" s="97" t="s">
        <v>5641</v>
      </c>
      <c r="C221" t="s">
        <v>5642</v>
      </c>
      <c r="F221" s="1012">
        <v>21.29</v>
      </c>
      <c r="H221" s="1013">
        <v>2263.0300000000002</v>
      </c>
    </row>
    <row r="222" spans="1:8">
      <c r="A222" s="97">
        <v>45991</v>
      </c>
      <c r="B222" s="97" t="s">
        <v>5643</v>
      </c>
      <c r="C222" t="s">
        <v>5644</v>
      </c>
      <c r="F222" s="1012">
        <v>17.47</v>
      </c>
      <c r="H222" s="1013">
        <v>2280.5</v>
      </c>
    </row>
    <row r="223" spans="1:8">
      <c r="B223" s="97"/>
    </row>
    <row r="224" spans="1:8">
      <c r="A224" t="s">
        <v>1375</v>
      </c>
      <c r="B224" s="97" t="s">
        <v>1436</v>
      </c>
      <c r="C224">
        <v>121318</v>
      </c>
      <c r="D224" t="s">
        <v>1437</v>
      </c>
      <c r="E224" t="s">
        <v>1376</v>
      </c>
      <c r="F224" s="1012">
        <v>0</v>
      </c>
    </row>
    <row r="225" spans="1:8">
      <c r="B225" s="97"/>
    </row>
    <row r="226" spans="1:8">
      <c r="A226" t="s">
        <v>473</v>
      </c>
      <c r="B226" s="97" t="s">
        <v>1377</v>
      </c>
      <c r="C226" t="s">
        <v>1378</v>
      </c>
      <c r="D226" t="s">
        <v>1379</v>
      </c>
      <c r="E226" t="s">
        <v>5434</v>
      </c>
      <c r="F226" s="1012" t="s">
        <v>555</v>
      </c>
      <c r="G226" s="613" t="s">
        <v>556</v>
      </c>
      <c r="H226" s="613" t="s">
        <v>558</v>
      </c>
    </row>
    <row r="227" spans="1:8">
      <c r="A227" s="97">
        <v>45688</v>
      </c>
      <c r="B227" s="97" t="s">
        <v>5662</v>
      </c>
      <c r="C227" t="s">
        <v>5624</v>
      </c>
      <c r="E227">
        <v>112338</v>
      </c>
      <c r="F227" s="1012">
        <v>793756.15</v>
      </c>
      <c r="H227" s="1013">
        <v>793756.15</v>
      </c>
    </row>
    <row r="228" spans="1:8">
      <c r="A228" s="97">
        <v>45688</v>
      </c>
      <c r="B228" s="97" t="s">
        <v>5623</v>
      </c>
      <c r="C228" t="s">
        <v>5624</v>
      </c>
      <c r="E228">
        <v>33116</v>
      </c>
      <c r="F228" s="1012">
        <v>7186.83</v>
      </c>
      <c r="H228" s="1013">
        <v>800942.98</v>
      </c>
    </row>
    <row r="229" spans="1:8">
      <c r="A229" s="97">
        <v>45716</v>
      </c>
      <c r="B229" s="97" t="s">
        <v>5626</v>
      </c>
      <c r="C229" t="s">
        <v>1424</v>
      </c>
      <c r="E229">
        <v>33116</v>
      </c>
      <c r="F229" s="1012">
        <v>7044.51</v>
      </c>
      <c r="H229" s="1013">
        <v>807987.49</v>
      </c>
    </row>
    <row r="230" spans="1:8">
      <c r="A230" s="97">
        <v>45747</v>
      </c>
      <c r="B230" s="97" t="s">
        <v>5627</v>
      </c>
      <c r="C230" t="s">
        <v>5628</v>
      </c>
      <c r="E230">
        <v>33116</v>
      </c>
      <c r="F230" s="1012">
        <v>6831.04</v>
      </c>
      <c r="H230" s="1013">
        <v>814818.53</v>
      </c>
    </row>
    <row r="231" spans="1:8">
      <c r="A231" s="97">
        <v>45777</v>
      </c>
      <c r="B231" s="97" t="s">
        <v>5629</v>
      </c>
      <c r="C231" t="s">
        <v>5630</v>
      </c>
      <c r="F231" s="1012">
        <v>7542.61</v>
      </c>
      <c r="H231" s="1013">
        <v>822361.14</v>
      </c>
    </row>
    <row r="232" spans="1:8">
      <c r="A232" s="97">
        <v>45808</v>
      </c>
      <c r="B232" s="97" t="s">
        <v>5631</v>
      </c>
      <c r="C232" t="s">
        <v>5632</v>
      </c>
      <c r="F232" s="1012">
        <v>8111.86</v>
      </c>
      <c r="H232" s="1013">
        <v>830473</v>
      </c>
    </row>
    <row r="233" spans="1:8">
      <c r="A233" s="97">
        <v>45838</v>
      </c>
      <c r="B233" s="97" t="s">
        <v>5633</v>
      </c>
      <c r="C233" t="s">
        <v>5634</v>
      </c>
      <c r="F233" s="1012">
        <v>7827.23</v>
      </c>
      <c r="H233" s="1013">
        <v>838300.23</v>
      </c>
    </row>
    <row r="234" spans="1:8">
      <c r="A234" s="97">
        <v>45869</v>
      </c>
      <c r="B234" s="97" t="s">
        <v>5635</v>
      </c>
      <c r="C234" t="s">
        <v>5636</v>
      </c>
      <c r="F234" s="1012">
        <v>9108.0499999999993</v>
      </c>
      <c r="H234" s="1013">
        <v>847408.28</v>
      </c>
    </row>
    <row r="235" spans="1:8">
      <c r="A235" s="97">
        <v>45900</v>
      </c>
      <c r="B235" s="97" t="s">
        <v>5637</v>
      </c>
      <c r="C235" t="s">
        <v>5638</v>
      </c>
      <c r="F235" s="1012">
        <v>8254.17</v>
      </c>
      <c r="H235" s="1013">
        <v>855662.45</v>
      </c>
    </row>
    <row r="236" spans="1:8">
      <c r="A236" s="97">
        <v>45930</v>
      </c>
      <c r="B236" s="97" t="s">
        <v>5639</v>
      </c>
      <c r="C236" t="s">
        <v>5640</v>
      </c>
      <c r="F236" s="1012">
        <v>8681.11</v>
      </c>
      <c r="H236" s="1013">
        <v>864343.56</v>
      </c>
    </row>
    <row r="237" spans="1:8">
      <c r="A237" s="97">
        <v>45961</v>
      </c>
      <c r="B237" s="97" t="s">
        <v>5641</v>
      </c>
      <c r="C237" t="s">
        <v>5642</v>
      </c>
      <c r="F237" s="1012">
        <v>9108.0499999999993</v>
      </c>
      <c r="H237" s="1013">
        <v>873451.61</v>
      </c>
    </row>
    <row r="238" spans="1:8">
      <c r="A238" s="97">
        <v>45991</v>
      </c>
      <c r="B238" s="97" t="s">
        <v>5643</v>
      </c>
      <c r="C238" t="s">
        <v>5644</v>
      </c>
      <c r="F238" s="1012">
        <v>7471.45</v>
      </c>
      <c r="H238" s="1013">
        <v>880923.06</v>
      </c>
    </row>
    <row r="239" spans="1:8">
      <c r="B239" s="97"/>
    </row>
    <row r="240" spans="1:8">
      <c r="A240" t="s">
        <v>1375</v>
      </c>
      <c r="B240" s="97" t="s">
        <v>1446</v>
      </c>
      <c r="C240">
        <v>121319</v>
      </c>
      <c r="D240" t="s">
        <v>1447</v>
      </c>
      <c r="E240" t="s">
        <v>1376</v>
      </c>
      <c r="F240" s="1012">
        <v>0</v>
      </c>
    </row>
    <row r="242" spans="1:9">
      <c r="A242" t="s">
        <v>473</v>
      </c>
      <c r="B242" t="s">
        <v>1377</v>
      </c>
      <c r="C242" t="s">
        <v>1378</v>
      </c>
      <c r="D242" t="s">
        <v>1379</v>
      </c>
      <c r="E242" t="s">
        <v>5434</v>
      </c>
      <c r="F242" s="1012" t="s">
        <v>555</v>
      </c>
      <c r="G242" s="1013" t="s">
        <v>556</v>
      </c>
      <c r="H242" s="613" t="s">
        <v>558</v>
      </c>
    </row>
    <row r="243" spans="1:9">
      <c r="A243" s="97">
        <v>45688</v>
      </c>
      <c r="B243" t="s">
        <v>5663</v>
      </c>
      <c r="C243" t="s">
        <v>5624</v>
      </c>
      <c r="E243">
        <v>112339</v>
      </c>
      <c r="F243" s="1012">
        <v>370075.95</v>
      </c>
      <c r="H243" s="1013">
        <v>370075.95</v>
      </c>
    </row>
    <row r="244" spans="1:9">
      <c r="A244" s="97">
        <v>45688</v>
      </c>
      <c r="B244" t="s">
        <v>5623</v>
      </c>
      <c r="C244" t="s">
        <v>5624</v>
      </c>
      <c r="E244">
        <v>33116</v>
      </c>
      <c r="F244" s="1012">
        <v>3386.27</v>
      </c>
      <c r="H244" s="1013">
        <v>373462.22</v>
      </c>
    </row>
    <row r="245" spans="1:9">
      <c r="A245" s="97">
        <v>45716</v>
      </c>
      <c r="B245" s="97" t="s">
        <v>5626</v>
      </c>
      <c r="C245" t="s">
        <v>1424</v>
      </c>
      <c r="E245">
        <v>33116</v>
      </c>
      <c r="F245" s="1012">
        <v>3319.22</v>
      </c>
      <c r="G245" s="1013"/>
      <c r="H245" s="1013">
        <v>376781.44</v>
      </c>
      <c r="I245" s="94"/>
    </row>
    <row r="246" spans="1:9">
      <c r="A246" s="97">
        <v>45747</v>
      </c>
      <c r="B246" s="97" t="s">
        <v>5627</v>
      </c>
      <c r="C246" t="s">
        <v>5628</v>
      </c>
      <c r="E246">
        <v>33116</v>
      </c>
      <c r="F246" s="1012">
        <v>3218.63</v>
      </c>
      <c r="G246" s="1013"/>
      <c r="H246" s="1013">
        <v>380000.07</v>
      </c>
      <c r="I246" s="94"/>
    </row>
    <row r="247" spans="1:9">
      <c r="A247" s="97">
        <v>45777</v>
      </c>
      <c r="B247" s="97" t="s">
        <v>5629</v>
      </c>
      <c r="C247" t="s">
        <v>5630</v>
      </c>
      <c r="F247" s="1012">
        <v>3553.91</v>
      </c>
      <c r="G247" s="1013"/>
      <c r="H247" s="1013">
        <v>383553.98</v>
      </c>
      <c r="I247" s="94"/>
    </row>
    <row r="248" spans="1:9">
      <c r="A248" s="97">
        <v>45808</v>
      </c>
      <c r="B248" s="97" t="s">
        <v>5631</v>
      </c>
      <c r="C248" t="s">
        <v>5632</v>
      </c>
      <c r="F248" s="1012">
        <v>3822.13</v>
      </c>
      <c r="G248" s="1013"/>
      <c r="H248" s="1013">
        <v>387376.11</v>
      </c>
      <c r="I248" s="94"/>
    </row>
    <row r="249" spans="1:9" ht="15" customHeight="1">
      <c r="A249" s="97">
        <v>45838</v>
      </c>
      <c r="B249" s="97" t="s">
        <v>5633</v>
      </c>
      <c r="C249" t="s">
        <v>5634</v>
      </c>
      <c r="F249" s="1012">
        <v>3688.02</v>
      </c>
      <c r="G249" s="1013"/>
      <c r="H249" s="1013">
        <v>391064.13</v>
      </c>
      <c r="I249" s="94"/>
    </row>
    <row r="250" spans="1:9">
      <c r="A250" s="97">
        <v>45869</v>
      </c>
      <c r="B250" s="97" t="s">
        <v>5635</v>
      </c>
      <c r="C250" t="s">
        <v>5636</v>
      </c>
      <c r="F250" s="1012">
        <v>4291.51</v>
      </c>
      <c r="G250" s="1013"/>
      <c r="H250" s="1013">
        <v>395355.64</v>
      </c>
      <c r="I250" s="94"/>
    </row>
    <row r="251" spans="1:9">
      <c r="A251" s="97">
        <v>45900</v>
      </c>
      <c r="B251" s="97" t="s">
        <v>5637</v>
      </c>
      <c r="C251" t="s">
        <v>5638</v>
      </c>
      <c r="F251" s="1012">
        <v>3889.18</v>
      </c>
      <c r="G251" s="1013"/>
      <c r="H251" s="1013">
        <v>399244.82</v>
      </c>
      <c r="I251" s="94"/>
    </row>
    <row r="252" spans="1:9">
      <c r="A252" s="97">
        <v>45930</v>
      </c>
      <c r="B252" s="97" t="s">
        <v>5639</v>
      </c>
      <c r="C252" t="s">
        <v>5640</v>
      </c>
      <c r="F252" s="1012">
        <v>4090.35</v>
      </c>
      <c r="G252" s="1013"/>
      <c r="H252" s="1013">
        <v>403335.17</v>
      </c>
      <c r="I252" s="94"/>
    </row>
    <row r="253" spans="1:9">
      <c r="A253" s="97">
        <v>45961</v>
      </c>
      <c r="B253" s="97" t="s">
        <v>5641</v>
      </c>
      <c r="C253" t="s">
        <v>5642</v>
      </c>
      <c r="F253" s="1012">
        <v>4291.51</v>
      </c>
      <c r="G253" s="1013"/>
      <c r="H253" s="1013">
        <v>407626.68</v>
      </c>
      <c r="I253" s="94"/>
    </row>
    <row r="254" spans="1:9">
      <c r="A254" s="97">
        <v>45991</v>
      </c>
      <c r="B254" s="97" t="s">
        <v>5643</v>
      </c>
      <c r="C254" t="s">
        <v>5644</v>
      </c>
      <c r="F254" s="1012">
        <v>3520.38</v>
      </c>
      <c r="G254" s="1013"/>
      <c r="H254" s="1013">
        <v>411147.06</v>
      </c>
      <c r="I254" s="94"/>
    </row>
    <row r="255" spans="1:9">
      <c r="A255" s="97"/>
      <c r="B255" s="97"/>
      <c r="G255" s="1013"/>
      <c r="H255" s="1013"/>
      <c r="I255" s="94"/>
    </row>
    <row r="256" spans="1:9">
      <c r="B256" s="97"/>
      <c r="E256" t="s">
        <v>1454</v>
      </c>
      <c r="F256" s="1012">
        <f>SUM(F10,F56,F72,F87,F106,F121,F136,F151,F166,F181,F197,F212,F228,F244,F11,F40,F57,F73,F88,F107,F122,F137,F152,F167,F182,F198,F213,F229,F245,F12,F41,F58,F74,F89,F108,F123,F138,F153,F168,F183,F199,F214,F230,F246,F13,F14,F15,F42,F43,F44,F59,F60,F61,F75,F76,F77,F90,F91,F92,F109,F110,F111,F124,F125,F126,F139,F140,F141,F154,F155,F156,F169,F170,F171,F184,F185,F186,F200,F201,F202,F215,F216,F217,F231,F232,F233,F247,F248,F249,F250,F234,F16,F45,F62,F78,F93,F112,F127,F142,F157,F172,F187,F203,F218,F17,F46,F63,F79,F94,F113,F128,F143,F158,F173,F188,F204,F219,F235,F251,F18,F47,F64,F80,F95,F114,F129,F144,F159,F174,F189,F205,F220,F236,F252,F19,F48,F65,F81,F96,F115,F130,F145,F160,F175,F190,F206,F221,F237,F253,F20,F50,F66,F82,F97,F116,F131,F146,F161,F176,F191,F207,F222,F238,F254)</f>
        <v>375227.35999999981</v>
      </c>
      <c r="G256" s="1013">
        <f>F256/1000</f>
        <v>375.22735999999981</v>
      </c>
      <c r="H256" s="1013">
        <f>ROUND(G256,0)</f>
        <v>375</v>
      </c>
      <c r="I256" s="94"/>
    </row>
    <row r="257" spans="2:9">
      <c r="B257" s="97"/>
      <c r="E257" t="s">
        <v>5664</v>
      </c>
      <c r="F257" s="1012">
        <f>SUM(F26,F33,F27,F34,G49)</f>
        <v>244425.46</v>
      </c>
      <c r="G257" s="1013">
        <f>F257/1000</f>
        <v>244.42545999999999</v>
      </c>
      <c r="H257" s="1013">
        <f>ROUND(G257,0)</f>
        <v>244</v>
      </c>
      <c r="I257" s="94"/>
    </row>
    <row r="258" spans="2:9">
      <c r="B258" s="97"/>
      <c r="G258" s="1013"/>
      <c r="H258" s="1013"/>
      <c r="I258" s="94"/>
    </row>
    <row r="259" spans="2:9">
      <c r="B259" s="97"/>
      <c r="G259" s="1013"/>
      <c r="H259" s="1013"/>
      <c r="I259" s="94"/>
    </row>
    <row r="260" spans="2:9">
      <c r="B260" s="97"/>
      <c r="G260" s="1013"/>
      <c r="H260" s="1013"/>
      <c r="I260" s="94"/>
    </row>
    <row r="261" spans="2:9">
      <c r="B261" s="97"/>
      <c r="G261" s="1013"/>
      <c r="H261" s="1013"/>
      <c r="I261" s="94"/>
    </row>
    <row r="262" spans="2:9">
      <c r="B262" s="97"/>
      <c r="G262" s="1013"/>
      <c r="H262" s="1013"/>
      <c r="I262" s="94"/>
    </row>
    <row r="263" spans="2:9">
      <c r="B263" s="97"/>
      <c r="G263" s="1013"/>
      <c r="H263" s="1013"/>
      <c r="I263" s="94"/>
    </row>
    <row r="264" spans="2:9">
      <c r="B264" s="97"/>
      <c r="G264" s="1013"/>
      <c r="H264" s="1013"/>
      <c r="I264" s="94"/>
    </row>
    <row r="265" spans="2:9">
      <c r="B265" s="97"/>
      <c r="G265" s="1013"/>
      <c r="H265" s="1013"/>
      <c r="I265" s="94"/>
    </row>
    <row r="266" spans="2:9">
      <c r="B266" s="97"/>
      <c r="G266" s="1013"/>
      <c r="H266" s="1013"/>
      <c r="I266" s="94"/>
    </row>
    <row r="267" spans="2:9">
      <c r="B267" s="97"/>
      <c r="G267" s="1013"/>
      <c r="H267" s="1013"/>
      <c r="I267" s="94"/>
    </row>
    <row r="269" spans="2:9">
      <c r="G269" s="1013"/>
    </row>
    <row r="272" spans="2:9">
      <c r="B272" s="97"/>
      <c r="G272" s="1013"/>
      <c r="H272" s="1013"/>
      <c r="I272" s="94"/>
    </row>
    <row r="273" spans="2:9">
      <c r="B273" s="97"/>
      <c r="G273" s="1013"/>
      <c r="H273" s="1013"/>
      <c r="I273" s="94"/>
    </row>
    <row r="274" spans="2:9">
      <c r="B274" s="97"/>
      <c r="G274" s="1013"/>
      <c r="H274" s="1013"/>
      <c r="I274" s="94"/>
    </row>
    <row r="275" spans="2:9">
      <c r="B275" s="97"/>
      <c r="G275" s="1013"/>
      <c r="H275" s="1013"/>
      <c r="I275" s="94"/>
    </row>
    <row r="277" spans="2:9">
      <c r="G277" s="1013"/>
    </row>
    <row r="280" spans="2:9">
      <c r="B280" s="97"/>
      <c r="I280" s="94"/>
    </row>
    <row r="281" spans="2:9">
      <c r="B281" s="97"/>
      <c r="I281" s="94"/>
    </row>
    <row r="282" spans="2:9">
      <c r="B282" s="97"/>
      <c r="I282" s="94"/>
    </row>
    <row r="283" spans="2:9">
      <c r="B283" s="97"/>
      <c r="I283" s="94"/>
    </row>
    <row r="284" spans="2:9">
      <c r="B284" s="97"/>
      <c r="I284" s="94"/>
    </row>
    <row r="285" spans="2:9">
      <c r="B285" s="97"/>
      <c r="I285" s="94"/>
    </row>
    <row r="286" spans="2:9">
      <c r="B286" s="97"/>
      <c r="I286" s="94"/>
    </row>
    <row r="287" spans="2:9">
      <c r="B287" s="97"/>
      <c r="I287" s="94"/>
    </row>
    <row r="288" spans="2:9">
      <c r="B288" s="97"/>
      <c r="I288" s="94"/>
    </row>
    <row r="289" spans="2:9">
      <c r="B289" s="97"/>
      <c r="I289" s="94"/>
    </row>
    <row r="290" spans="2:9">
      <c r="B290" s="97"/>
      <c r="I290" s="94"/>
    </row>
    <row r="291" spans="2:9">
      <c r="B291" s="97"/>
      <c r="I291" s="94"/>
    </row>
    <row r="292" spans="2:9">
      <c r="B292" s="97"/>
      <c r="I292" s="94"/>
    </row>
    <row r="297" spans="2:9">
      <c r="B297" s="97"/>
      <c r="G297" s="1013"/>
      <c r="I297" s="94"/>
    </row>
    <row r="298" spans="2:9">
      <c r="B298" s="97"/>
      <c r="G298" s="1013"/>
      <c r="I298" s="94"/>
    </row>
    <row r="299" spans="2:9">
      <c r="B299" s="97"/>
      <c r="G299" s="1013"/>
      <c r="H299" s="1013"/>
      <c r="I299" s="94"/>
    </row>
    <row r="300" spans="2:9">
      <c r="B300" s="97"/>
      <c r="G300" s="1013"/>
      <c r="H300" s="1013"/>
      <c r="I300" s="94"/>
    </row>
    <row r="301" spans="2:9">
      <c r="B301" s="97"/>
      <c r="G301" s="1013"/>
      <c r="I301" s="94"/>
    </row>
    <row r="302" spans="2:9">
      <c r="B302" s="97"/>
      <c r="G302" s="1013"/>
      <c r="I302" s="94"/>
    </row>
    <row r="303" spans="2:9">
      <c r="B303" s="97"/>
      <c r="G303" s="1013"/>
      <c r="I303" s="94"/>
    </row>
    <row r="304" spans="2:9">
      <c r="B304" s="97"/>
      <c r="G304" s="1013"/>
      <c r="I304" s="94"/>
    </row>
    <row r="305" spans="2:9">
      <c r="B305" s="97"/>
      <c r="G305" s="1013"/>
      <c r="I305" s="94"/>
    </row>
    <row r="306" spans="2:9">
      <c r="B306" s="97"/>
      <c r="G306" s="1013"/>
      <c r="I306" s="94"/>
    </row>
    <row r="307" spans="2:9">
      <c r="B307" s="97"/>
      <c r="G307" s="1013"/>
      <c r="I307" s="94"/>
    </row>
    <row r="308" spans="2:9">
      <c r="B308" s="97"/>
      <c r="G308" s="1013"/>
      <c r="I308" s="94"/>
    </row>
    <row r="309" spans="2:9">
      <c r="B309" s="97"/>
      <c r="G309" s="1013"/>
      <c r="I309" s="94"/>
    </row>
    <row r="310" spans="2:9">
      <c r="B310" s="97"/>
      <c r="G310" s="1013"/>
      <c r="I310" s="94"/>
    </row>
    <row r="311" spans="2:9">
      <c r="B311" s="97"/>
      <c r="G311" s="1013"/>
      <c r="I311" s="94"/>
    </row>
    <row r="316" spans="2:9">
      <c r="B316" s="97"/>
      <c r="G316" s="1013"/>
      <c r="I316" s="94"/>
    </row>
    <row r="317" spans="2:9">
      <c r="B317" s="97"/>
      <c r="G317" s="1013"/>
      <c r="I317" s="94"/>
    </row>
    <row r="318" spans="2:9">
      <c r="B318" s="97"/>
      <c r="G318" s="1013"/>
      <c r="I318" s="94"/>
    </row>
    <row r="319" spans="2:9">
      <c r="B319" s="97"/>
      <c r="G319" s="1013"/>
      <c r="I319" s="94"/>
    </row>
    <row r="320" spans="2:9">
      <c r="B320" s="97"/>
      <c r="G320" s="1013"/>
      <c r="I320" s="94"/>
    </row>
    <row r="321" spans="2:9">
      <c r="B321" s="97"/>
      <c r="G321" s="1013"/>
      <c r="H321" s="1013"/>
      <c r="I321" s="94"/>
    </row>
    <row r="322" spans="2:9">
      <c r="B322" s="97"/>
      <c r="G322" s="1013"/>
      <c r="H322" s="1013"/>
      <c r="I322" s="94"/>
    </row>
    <row r="323" spans="2:9">
      <c r="B323" s="97"/>
      <c r="G323" s="1013"/>
      <c r="H323" s="1013"/>
      <c r="I323" s="94"/>
    </row>
    <row r="324" spans="2:9">
      <c r="B324" s="97"/>
      <c r="G324" s="1013"/>
      <c r="H324" s="1013"/>
      <c r="I324" s="94"/>
    </row>
    <row r="325" spans="2:9">
      <c r="B325" s="97"/>
      <c r="G325" s="1013"/>
      <c r="H325" s="1013"/>
      <c r="I325" s="94"/>
    </row>
    <row r="326" spans="2:9">
      <c r="B326" s="97"/>
      <c r="G326" s="1013"/>
      <c r="H326" s="1013"/>
      <c r="I326" s="94"/>
    </row>
    <row r="327" spans="2:9">
      <c r="B327" s="97"/>
      <c r="G327" s="1013"/>
      <c r="H327" s="1013"/>
      <c r="I327" s="94"/>
    </row>
    <row r="328" spans="2:9">
      <c r="B328" s="97"/>
      <c r="G328" s="1013"/>
      <c r="H328" s="1013"/>
      <c r="I328" s="94"/>
    </row>
    <row r="329" spans="2:9">
      <c r="B329" s="97"/>
      <c r="G329" s="1013"/>
      <c r="H329" s="1013"/>
      <c r="I329" s="94"/>
    </row>
    <row r="330" spans="2:9">
      <c r="G330" s="1013"/>
    </row>
    <row r="333" spans="2:9">
      <c r="B333" s="97"/>
      <c r="G333" s="1013"/>
      <c r="I333" s="94"/>
    </row>
    <row r="334" spans="2:9">
      <c r="B334" s="97"/>
      <c r="G334" s="1013"/>
      <c r="I334" s="94"/>
    </row>
    <row r="335" spans="2:9">
      <c r="B335" s="97"/>
      <c r="G335" s="1013"/>
      <c r="I335" s="94"/>
    </row>
    <row r="336" spans="2:9">
      <c r="B336" s="97"/>
      <c r="G336" s="1013"/>
      <c r="I336" s="94"/>
    </row>
    <row r="337" spans="2:9">
      <c r="B337" s="97"/>
      <c r="G337" s="1013"/>
      <c r="I337" s="94"/>
    </row>
    <row r="338" spans="2:9">
      <c r="B338" s="97"/>
      <c r="G338" s="1013"/>
      <c r="I338" s="94"/>
    </row>
    <row r="339" spans="2:9">
      <c r="B339" s="97"/>
      <c r="G339" s="1013"/>
      <c r="I339" s="94"/>
    </row>
    <row r="340" spans="2:9">
      <c r="B340" s="97"/>
      <c r="G340" s="1013"/>
      <c r="I340" s="94"/>
    </row>
    <row r="341" spans="2:9">
      <c r="B341" s="97"/>
      <c r="G341" s="1013"/>
      <c r="I341" s="94"/>
    </row>
    <row r="342" spans="2:9">
      <c r="B342" s="97"/>
      <c r="G342" s="1013"/>
      <c r="I342" s="94"/>
    </row>
    <row r="343" spans="2:9">
      <c r="B343" s="97"/>
      <c r="G343" s="1013"/>
      <c r="I343" s="94"/>
    </row>
    <row r="344" spans="2:9">
      <c r="B344" s="97"/>
      <c r="G344" s="1013"/>
      <c r="I344" s="94"/>
    </row>
    <row r="345" spans="2:9">
      <c r="B345" s="97"/>
      <c r="G345" s="1013"/>
      <c r="H345" s="1013"/>
      <c r="I345" s="94"/>
    </row>
    <row r="346" spans="2:9">
      <c r="B346" s="97"/>
      <c r="G346" s="1013"/>
      <c r="H346" s="1013"/>
      <c r="I346" s="94"/>
    </row>
    <row r="347" spans="2:9">
      <c r="B347" s="97"/>
      <c r="G347" s="1013"/>
      <c r="I347" s="94"/>
    </row>
    <row r="348" spans="2:9">
      <c r="B348" s="97"/>
      <c r="G348" s="1013"/>
      <c r="I348" s="94"/>
    </row>
    <row r="349" spans="2:9">
      <c r="B349" s="97"/>
      <c r="G349" s="1013"/>
      <c r="I349" s="94"/>
    </row>
    <row r="350" spans="2:9">
      <c r="I350" s="94"/>
    </row>
    <row r="351" spans="2:9">
      <c r="B351" s="97"/>
      <c r="G351" s="1013"/>
      <c r="I351" s="94"/>
    </row>
    <row r="353" spans="2:9">
      <c r="B353" s="97"/>
      <c r="G353" s="1013"/>
      <c r="I353" s="94"/>
    </row>
    <row r="354" spans="2:9">
      <c r="B354" s="97"/>
      <c r="G354" s="1013"/>
      <c r="I354" s="94"/>
    </row>
    <row r="355" spans="2:9">
      <c r="B355" s="97"/>
      <c r="G355" s="1013"/>
      <c r="I355" s="94"/>
    </row>
    <row r="356" spans="2:9">
      <c r="B356" s="97"/>
      <c r="G356" s="1013"/>
      <c r="I356" s="94"/>
    </row>
    <row r="357" spans="2:9">
      <c r="B357" s="97"/>
      <c r="G357" s="1013"/>
      <c r="I357" s="94"/>
    </row>
    <row r="358" spans="2:9">
      <c r="B358" s="97"/>
      <c r="G358" s="1013"/>
      <c r="I358" s="94"/>
    </row>
    <row r="359" spans="2:9">
      <c r="B359" s="97"/>
      <c r="G359" s="1013"/>
      <c r="I359" s="94"/>
    </row>
    <row r="360" spans="2:9">
      <c r="B360" s="97"/>
      <c r="G360" s="1013"/>
      <c r="I360" s="94"/>
    </row>
    <row r="361" spans="2:9">
      <c r="B361" s="97"/>
      <c r="G361" s="1013"/>
      <c r="I361" s="94"/>
    </row>
    <row r="362" spans="2:9">
      <c r="B362" s="97"/>
      <c r="G362" s="1013"/>
      <c r="I362" s="94"/>
    </row>
    <row r="363" spans="2:9">
      <c r="B363" s="97"/>
      <c r="G363" s="1013"/>
      <c r="I363" s="94"/>
    </row>
    <row r="364" spans="2:9">
      <c r="B364" s="97"/>
      <c r="G364" s="1013"/>
      <c r="I364" s="94"/>
    </row>
    <row r="365" spans="2:9">
      <c r="B365" s="97"/>
      <c r="G365" s="1013"/>
      <c r="I365" s="94"/>
    </row>
    <row r="366" spans="2:9">
      <c r="B366" s="97"/>
      <c r="G366" s="1013"/>
      <c r="I366" s="94"/>
    </row>
    <row r="368" spans="2:9">
      <c r="G368" s="1013"/>
    </row>
    <row r="371" spans="2:9">
      <c r="B371" s="97"/>
      <c r="I371" s="94"/>
    </row>
    <row r="372" spans="2:9">
      <c r="B372" s="97"/>
      <c r="I372" s="94"/>
    </row>
    <row r="373" spans="2:9">
      <c r="B373" s="97"/>
      <c r="I373" s="94"/>
    </row>
    <row r="374" spans="2:9">
      <c r="B374" s="97"/>
      <c r="I374" s="94"/>
    </row>
    <row r="375" spans="2:9">
      <c r="B375" s="97"/>
      <c r="I375" s="94"/>
    </row>
    <row r="376" spans="2:9">
      <c r="B376" s="97"/>
      <c r="I376" s="94"/>
    </row>
    <row r="377" spans="2:9">
      <c r="B377" s="97"/>
      <c r="I377" s="94"/>
    </row>
    <row r="378" spans="2:9">
      <c r="B378" s="97"/>
      <c r="I378" s="94"/>
    </row>
    <row r="379" spans="2:9">
      <c r="B379" s="97"/>
      <c r="I379" s="94"/>
    </row>
    <row r="380" spans="2:9">
      <c r="B380" s="97"/>
      <c r="I380" s="94"/>
    </row>
    <row r="381" spans="2:9">
      <c r="B381" s="97"/>
      <c r="I381" s="94"/>
    </row>
    <row r="382" spans="2:9">
      <c r="B382" s="97"/>
      <c r="I382" s="94"/>
    </row>
    <row r="385" spans="2:9">
      <c r="G385" s="1013"/>
    </row>
    <row r="388" spans="2:9">
      <c r="B388" s="97"/>
      <c r="G388" s="1013"/>
      <c r="I388" s="94"/>
    </row>
    <row r="389" spans="2:9">
      <c r="B389" s="97"/>
      <c r="G389" s="1013"/>
      <c r="I389" s="94"/>
    </row>
    <row r="390" spans="2:9">
      <c r="B390" s="97"/>
      <c r="G390" s="1013"/>
      <c r="I390" s="94"/>
    </row>
    <row r="391" spans="2:9">
      <c r="B391" s="97"/>
      <c r="G391" s="1013"/>
      <c r="I391" s="94"/>
    </row>
    <row r="392" spans="2:9">
      <c r="B392" s="97"/>
      <c r="G392" s="1013"/>
      <c r="I392" s="94"/>
    </row>
    <row r="393" spans="2:9">
      <c r="B393" s="97"/>
      <c r="G393" s="1013"/>
      <c r="I393" s="94"/>
    </row>
    <row r="394" spans="2:9">
      <c r="B394" s="97"/>
      <c r="G394" s="1013"/>
      <c r="I394" s="94"/>
    </row>
    <row r="395" spans="2:9">
      <c r="B395" s="97"/>
      <c r="G395" s="1013"/>
      <c r="I395" s="94"/>
    </row>
    <row r="396" spans="2:9">
      <c r="B396" s="97"/>
      <c r="G396" s="1013"/>
      <c r="I396" s="94"/>
    </row>
    <row r="397" spans="2:9">
      <c r="B397" s="97"/>
      <c r="G397" s="1013"/>
      <c r="I397" s="94"/>
    </row>
    <row r="398" spans="2:9">
      <c r="B398" s="97"/>
      <c r="G398" s="1013"/>
      <c r="I398" s="94"/>
    </row>
    <row r="399" spans="2:9">
      <c r="B399" s="97"/>
      <c r="G399" s="1013"/>
      <c r="I399" s="94"/>
    </row>
    <row r="400" spans="2:9">
      <c r="B400" s="97"/>
      <c r="G400" s="1013"/>
      <c r="I400" s="94"/>
    </row>
    <row r="401" spans="2:9">
      <c r="B401" s="97"/>
      <c r="G401" s="1013"/>
      <c r="I401" s="94"/>
    </row>
    <row r="402" spans="2:9">
      <c r="B402" s="97"/>
      <c r="G402" s="1013"/>
      <c r="I402" s="94"/>
    </row>
    <row r="403" spans="2:9">
      <c r="B403" s="97"/>
      <c r="G403" s="1013"/>
      <c r="I403" s="94"/>
    </row>
    <row r="404" spans="2:9">
      <c r="B404" s="97"/>
      <c r="G404" s="1013"/>
      <c r="I404" s="94"/>
    </row>
    <row r="405" spans="2:9">
      <c r="B405" s="97"/>
      <c r="G405" s="1013"/>
      <c r="I405" s="94"/>
    </row>
    <row r="406" spans="2:9">
      <c r="B406" s="97"/>
      <c r="G406" s="1013"/>
      <c r="I406" s="94"/>
    </row>
    <row r="407" spans="2:9">
      <c r="B407" s="97"/>
      <c r="G407" s="1013"/>
      <c r="I407" s="94"/>
    </row>
    <row r="408" spans="2:9">
      <c r="B408" s="97"/>
      <c r="G408" s="1013"/>
      <c r="I408" s="94"/>
    </row>
    <row r="410" spans="2:9">
      <c r="G410" s="1015"/>
      <c r="H410" s="1015"/>
      <c r="I410" s="112"/>
    </row>
    <row r="411" spans="2:9">
      <c r="G411" s="1013"/>
    </row>
    <row r="413" spans="2:9">
      <c r="G413" s="1013"/>
    </row>
    <row r="415" spans="2:9">
      <c r="G415" s="1013"/>
    </row>
    <row r="417" spans="7:7">
      <c r="G417" s="101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92"/>
  <sheetViews>
    <sheetView topLeftCell="A69" zoomScaleNormal="100" workbookViewId="0">
      <selection activeCell="G80" sqref="G80"/>
    </sheetView>
  </sheetViews>
  <sheetFormatPr defaultRowHeight="14.45"/>
  <cols>
    <col min="1" max="1" width="2" bestFit="1" customWidth="1"/>
    <col min="2" max="2" width="10.7109375" bestFit="1" customWidth="1"/>
    <col min="3" max="3" width="29.28515625" customWidth="1"/>
    <col min="4" max="4" width="18.85546875" customWidth="1"/>
    <col min="5" max="5" width="10.7109375" customWidth="1"/>
    <col min="6" max="6" width="10.7109375" bestFit="1" customWidth="1"/>
    <col min="7" max="7" width="13.28515625" bestFit="1" customWidth="1"/>
    <col min="8" max="8" width="10.7109375" bestFit="1" customWidth="1"/>
    <col min="9" max="9" width="11.7109375" bestFit="1" customWidth="1"/>
    <col min="10" max="10" width="9.5703125" bestFit="1" customWidth="1"/>
  </cols>
  <sheetData>
    <row r="1" spans="1:9" s="84" customFormat="1">
      <c r="A1" s="84">
        <v>1</v>
      </c>
      <c r="B1" s="84" t="s">
        <v>1375</v>
      </c>
      <c r="C1" s="84" t="s">
        <v>636</v>
      </c>
      <c r="D1" s="84">
        <v>12181</v>
      </c>
      <c r="E1" s="84" t="s">
        <v>637</v>
      </c>
      <c r="F1" s="106" t="s">
        <v>1376</v>
      </c>
      <c r="G1" s="106">
        <v>3928358.17</v>
      </c>
    </row>
    <row r="2" spans="1:9">
      <c r="A2">
        <v>1</v>
      </c>
    </row>
    <row r="3" spans="1:9">
      <c r="A3">
        <v>1</v>
      </c>
      <c r="B3" t="s">
        <v>473</v>
      </c>
      <c r="C3" t="s">
        <v>5546</v>
      </c>
      <c r="D3" t="s">
        <v>1377</v>
      </c>
      <c r="E3" t="s">
        <v>1378</v>
      </c>
      <c r="F3" t="s">
        <v>1379</v>
      </c>
      <c r="G3" t="s">
        <v>555</v>
      </c>
      <c r="H3" t="s">
        <v>556</v>
      </c>
      <c r="I3" t="s">
        <v>558</v>
      </c>
    </row>
    <row r="4" spans="1:9">
      <c r="B4" s="97">
        <v>45688</v>
      </c>
      <c r="C4" t="s">
        <v>5665</v>
      </c>
      <c r="D4" t="s">
        <v>5624</v>
      </c>
      <c r="F4">
        <v>33115</v>
      </c>
      <c r="G4" s="94">
        <v>21319.59</v>
      </c>
      <c r="I4" s="94">
        <v>4328534.1399999997</v>
      </c>
    </row>
    <row r="5" spans="1:9">
      <c r="B5" s="97">
        <v>45716</v>
      </c>
      <c r="C5" t="s">
        <v>5666</v>
      </c>
      <c r="D5" t="s">
        <v>1424</v>
      </c>
      <c r="F5">
        <v>33115</v>
      </c>
      <c r="G5" s="94">
        <v>21319.59</v>
      </c>
      <c r="I5" s="94">
        <v>4349853.7300000004</v>
      </c>
    </row>
    <row r="6" spans="1:9">
      <c r="B6" s="97">
        <v>45747</v>
      </c>
      <c r="C6" t="s">
        <v>1380</v>
      </c>
      <c r="D6" t="s">
        <v>5628</v>
      </c>
      <c r="F6">
        <v>33115</v>
      </c>
      <c r="G6" s="94">
        <v>43071.75</v>
      </c>
      <c r="I6" s="94">
        <v>4392925.4800000004</v>
      </c>
    </row>
    <row r="7" spans="1:9">
      <c r="B7" s="97">
        <v>45777</v>
      </c>
      <c r="C7" t="s">
        <v>1380</v>
      </c>
      <c r="D7" t="s">
        <v>5630</v>
      </c>
      <c r="G7" s="94">
        <v>28570.31</v>
      </c>
      <c r="I7" s="94">
        <v>4421495.79</v>
      </c>
    </row>
    <row r="8" spans="1:9">
      <c r="B8" s="97">
        <v>45808</v>
      </c>
      <c r="C8" t="s">
        <v>1380</v>
      </c>
      <c r="D8" t="s">
        <v>5632</v>
      </c>
      <c r="G8" s="94">
        <v>28570.31</v>
      </c>
      <c r="I8" s="94">
        <v>4450066.0999999996</v>
      </c>
    </row>
    <row r="9" spans="1:9">
      <c r="B9" s="97">
        <v>45838</v>
      </c>
      <c r="C9" t="s">
        <v>1380</v>
      </c>
      <c r="D9" t="s">
        <v>5634</v>
      </c>
      <c r="G9" s="94"/>
      <c r="H9" s="94">
        <v>-10856.52</v>
      </c>
      <c r="I9" s="94">
        <v>4439209.58</v>
      </c>
    </row>
    <row r="10" spans="1:9">
      <c r="B10" s="97">
        <v>45869</v>
      </c>
      <c r="C10" t="s">
        <v>1380</v>
      </c>
      <c r="D10" t="s">
        <v>5636</v>
      </c>
      <c r="G10" s="94">
        <v>15428.03</v>
      </c>
      <c r="I10" s="94">
        <v>4454637.6100000003</v>
      </c>
    </row>
    <row r="11" spans="1:9">
      <c r="B11" s="97">
        <v>45900</v>
      </c>
      <c r="C11" t="s">
        <v>1380</v>
      </c>
      <c r="D11" t="s">
        <v>5638</v>
      </c>
      <c r="G11" s="94">
        <v>15428.03</v>
      </c>
      <c r="I11" s="94">
        <v>4470065.6399999997</v>
      </c>
    </row>
    <row r="12" spans="1:9">
      <c r="B12" s="97">
        <v>45930</v>
      </c>
      <c r="C12" t="s">
        <v>1380</v>
      </c>
      <c r="D12" t="s">
        <v>5640</v>
      </c>
      <c r="H12" s="94">
        <v>-1093.44</v>
      </c>
      <c r="I12" s="94">
        <v>4468972.2</v>
      </c>
    </row>
    <row r="13" spans="1:9">
      <c r="B13" s="97">
        <v>45961</v>
      </c>
      <c r="C13" t="s">
        <v>1380</v>
      </c>
      <c r="D13" t="s">
        <v>5642</v>
      </c>
      <c r="F13" s="94"/>
      <c r="G13" s="94">
        <v>9920.8700000000008</v>
      </c>
      <c r="H13" s="94"/>
      <c r="I13" s="94">
        <v>4478893.07</v>
      </c>
    </row>
    <row r="14" spans="1:9">
      <c r="B14" s="97">
        <v>44165</v>
      </c>
      <c r="C14" t="s">
        <v>1380</v>
      </c>
      <c r="D14" t="s">
        <v>5644</v>
      </c>
      <c r="G14" s="94">
        <v>9920.8700000000008</v>
      </c>
      <c r="H14" s="94"/>
      <c r="I14" s="94">
        <v>4488813.9400000004</v>
      </c>
    </row>
    <row r="15" spans="1:9">
      <c r="B15" s="97"/>
      <c r="F15" s="94"/>
      <c r="G15" s="94"/>
      <c r="H15" s="94"/>
      <c r="I15" s="94"/>
    </row>
    <row r="16" spans="1:9" s="84" customFormat="1">
      <c r="A16" s="84">
        <v>1</v>
      </c>
      <c r="B16" s="84" t="s">
        <v>1375</v>
      </c>
      <c r="C16" s="84" t="s">
        <v>638</v>
      </c>
      <c r="D16" s="84">
        <v>12182</v>
      </c>
      <c r="E16" s="84" t="s">
        <v>639</v>
      </c>
      <c r="F16" s="106" t="s">
        <v>1376</v>
      </c>
      <c r="G16" s="106"/>
    </row>
    <row r="17" spans="1:9">
      <c r="A17">
        <v>1</v>
      </c>
    </row>
    <row r="18" spans="1:9">
      <c r="A18">
        <v>1</v>
      </c>
      <c r="B18" t="s">
        <v>473</v>
      </c>
      <c r="C18" t="s">
        <v>5546</v>
      </c>
      <c r="D18" t="s">
        <v>1377</v>
      </c>
      <c r="E18" t="s">
        <v>1378</v>
      </c>
      <c r="F18" t="s">
        <v>1379</v>
      </c>
      <c r="G18" t="s">
        <v>555</v>
      </c>
      <c r="H18" t="s">
        <v>556</v>
      </c>
      <c r="I18" t="s">
        <v>558</v>
      </c>
    </row>
    <row r="19" spans="1:9">
      <c r="B19" s="97">
        <v>45688</v>
      </c>
      <c r="C19" t="s">
        <v>5589</v>
      </c>
      <c r="D19" t="s">
        <v>5624</v>
      </c>
      <c r="F19">
        <v>33115</v>
      </c>
      <c r="G19" s="94">
        <v>13833.87</v>
      </c>
      <c r="I19" s="94">
        <v>2287764.0099999998</v>
      </c>
    </row>
    <row r="20" spans="1:9">
      <c r="B20" s="97">
        <v>45716</v>
      </c>
      <c r="C20" t="s">
        <v>1389</v>
      </c>
      <c r="D20" t="s">
        <v>1424</v>
      </c>
      <c r="F20">
        <v>33115</v>
      </c>
      <c r="G20" s="94">
        <v>15303.29</v>
      </c>
      <c r="I20" s="94">
        <v>2303067.2999999998</v>
      </c>
    </row>
    <row r="21" spans="1:9">
      <c r="B21" s="97">
        <v>45728</v>
      </c>
      <c r="C21" t="s">
        <v>5667</v>
      </c>
      <c r="D21" t="s">
        <v>5668</v>
      </c>
      <c r="F21" t="s">
        <v>568</v>
      </c>
      <c r="G21" s="94">
        <v>52743.53</v>
      </c>
      <c r="I21" s="94">
        <v>2355810.83</v>
      </c>
    </row>
    <row r="22" spans="1:9">
      <c r="B22" s="97">
        <v>45747</v>
      </c>
      <c r="C22" t="s">
        <v>1389</v>
      </c>
      <c r="D22" t="s">
        <v>5628</v>
      </c>
      <c r="F22">
        <v>33115</v>
      </c>
      <c r="G22" s="94">
        <v>13264.64</v>
      </c>
      <c r="I22" s="94">
        <v>2369075.4700000002</v>
      </c>
    </row>
    <row r="23" spans="1:9">
      <c r="B23" s="97">
        <v>45764</v>
      </c>
      <c r="C23" t="s">
        <v>5669</v>
      </c>
      <c r="D23" t="s">
        <v>5670</v>
      </c>
      <c r="G23" s="94">
        <v>138.94999999999999</v>
      </c>
      <c r="I23" s="94">
        <v>1243348.56</v>
      </c>
    </row>
    <row r="24" spans="1:9">
      <c r="B24" s="97">
        <v>45777</v>
      </c>
      <c r="C24" t="s">
        <v>1389</v>
      </c>
      <c r="D24" t="s">
        <v>5630</v>
      </c>
      <c r="G24" s="94">
        <v>15922.45</v>
      </c>
      <c r="I24" s="94">
        <v>1259271.01</v>
      </c>
    </row>
    <row r="25" spans="1:9">
      <c r="B25" s="97">
        <v>45777</v>
      </c>
      <c r="C25" t="s">
        <v>5671</v>
      </c>
      <c r="D25" t="s">
        <v>5630</v>
      </c>
      <c r="G25" s="94"/>
      <c r="H25" s="94">
        <v>-12724.53</v>
      </c>
      <c r="I25" s="94">
        <v>1246546.48</v>
      </c>
    </row>
    <row r="26" spans="1:9">
      <c r="B26" s="97">
        <v>45778</v>
      </c>
      <c r="C26" t="s">
        <v>5669</v>
      </c>
      <c r="D26" t="s">
        <v>5670</v>
      </c>
      <c r="G26" s="94"/>
      <c r="H26">
        <v>-138.94999999999999</v>
      </c>
      <c r="I26" s="94">
        <v>1246407.53</v>
      </c>
    </row>
    <row r="27" spans="1:9">
      <c r="B27" s="978">
        <v>45804</v>
      </c>
      <c r="C27" s="378" t="s">
        <v>5672</v>
      </c>
      <c r="D27" s="378" t="s">
        <v>5673</v>
      </c>
      <c r="E27" s="378"/>
      <c r="F27" s="378"/>
      <c r="G27" s="979">
        <v>903.58</v>
      </c>
      <c r="H27" s="378"/>
      <c r="I27" s="979">
        <v>1247311.1100000001</v>
      </c>
    </row>
    <row r="28" spans="1:9">
      <c r="B28" s="97">
        <v>45808</v>
      </c>
      <c r="C28" t="s">
        <v>1389</v>
      </c>
      <c r="D28" t="s">
        <v>5632</v>
      </c>
      <c r="G28" s="94">
        <v>8197.06</v>
      </c>
      <c r="I28" s="94">
        <v>1255508.17</v>
      </c>
    </row>
    <row r="29" spans="1:9">
      <c r="B29" s="978">
        <v>45824</v>
      </c>
      <c r="C29" s="378" t="s">
        <v>5674</v>
      </c>
      <c r="D29" s="378" t="s">
        <v>5675</v>
      </c>
      <c r="E29" s="378"/>
      <c r="F29" s="378"/>
      <c r="G29" s="979">
        <v>3500</v>
      </c>
      <c r="H29" s="378"/>
      <c r="I29" s="979">
        <v>1259008.17</v>
      </c>
    </row>
    <row r="30" spans="1:9">
      <c r="B30" s="97">
        <v>45838</v>
      </c>
      <c r="C30" t="s">
        <v>1389</v>
      </c>
      <c r="D30" t="s">
        <v>5634</v>
      </c>
      <c r="G30" s="94">
        <v>8447.2000000000007</v>
      </c>
      <c r="I30" s="94">
        <v>1267455.3700000001</v>
      </c>
    </row>
    <row r="31" spans="1:9">
      <c r="B31" s="97">
        <v>45869</v>
      </c>
      <c r="C31" t="s">
        <v>1389</v>
      </c>
      <c r="D31" t="s">
        <v>5636</v>
      </c>
      <c r="G31" s="94">
        <v>8510.11</v>
      </c>
      <c r="I31" s="94">
        <v>1275965.48</v>
      </c>
    </row>
    <row r="32" spans="1:9">
      <c r="B32" s="97">
        <v>45900</v>
      </c>
      <c r="C32" t="s">
        <v>1389</v>
      </c>
      <c r="D32" t="s">
        <v>5638</v>
      </c>
      <c r="G32" s="94">
        <v>8624.7999999999993</v>
      </c>
      <c r="I32" s="94">
        <v>1284590.28</v>
      </c>
    </row>
    <row r="33" spans="2:9">
      <c r="B33" s="97">
        <v>45925</v>
      </c>
      <c r="C33" t="s">
        <v>5676</v>
      </c>
      <c r="D33" t="s">
        <v>5677</v>
      </c>
      <c r="G33" s="94"/>
      <c r="H33" s="94">
        <v>-195681.68</v>
      </c>
      <c r="I33" s="94">
        <v>1088908.6000000001</v>
      </c>
    </row>
    <row r="34" spans="2:9">
      <c r="B34" s="97">
        <v>45930</v>
      </c>
      <c r="C34" t="s">
        <v>5678</v>
      </c>
      <c r="D34" t="s">
        <v>5640</v>
      </c>
      <c r="G34" s="94"/>
      <c r="H34" s="94">
        <v>-1166.93</v>
      </c>
      <c r="I34" s="94">
        <v>1087741.67</v>
      </c>
    </row>
    <row r="35" spans="2:9">
      <c r="B35" s="97">
        <v>45930</v>
      </c>
      <c r="C35" t="s">
        <v>5679</v>
      </c>
      <c r="D35" t="s">
        <v>5640</v>
      </c>
      <c r="G35" s="94"/>
      <c r="H35" s="94">
        <v>-1999.03</v>
      </c>
      <c r="I35" s="94">
        <v>1085742.6399999999</v>
      </c>
    </row>
    <row r="36" spans="2:9">
      <c r="B36" s="97">
        <v>45930</v>
      </c>
      <c r="C36" t="s">
        <v>5680</v>
      </c>
      <c r="D36" t="s">
        <v>5640</v>
      </c>
      <c r="G36" s="94"/>
      <c r="H36" s="94">
        <v>-6668.5</v>
      </c>
      <c r="I36" s="94">
        <v>1079074.1399999999</v>
      </c>
    </row>
    <row r="37" spans="2:9">
      <c r="B37" s="97">
        <v>45930</v>
      </c>
      <c r="C37" t="s">
        <v>1389</v>
      </c>
      <c r="D37" t="s">
        <v>5640</v>
      </c>
      <c r="G37" s="94">
        <v>8660.82</v>
      </c>
      <c r="I37" s="94">
        <v>1087734.96</v>
      </c>
    </row>
    <row r="38" spans="2:9">
      <c r="B38" s="97">
        <v>45930</v>
      </c>
      <c r="C38" t="s">
        <v>5678</v>
      </c>
      <c r="D38" t="s">
        <v>5640</v>
      </c>
      <c r="G38" s="94"/>
      <c r="H38" s="94">
        <v>-14246.51</v>
      </c>
      <c r="I38" s="94">
        <v>1073488.45</v>
      </c>
    </row>
    <row r="39" spans="2:9">
      <c r="B39" s="97">
        <v>45930</v>
      </c>
      <c r="C39" t="s">
        <v>5678</v>
      </c>
      <c r="D39" t="s">
        <v>5640</v>
      </c>
      <c r="G39" s="94"/>
      <c r="H39" s="94">
        <v>-20506.18</v>
      </c>
      <c r="I39" s="94">
        <v>1052982.27</v>
      </c>
    </row>
    <row r="40" spans="2:9">
      <c r="B40" s="97">
        <v>45930</v>
      </c>
      <c r="C40" t="s">
        <v>5681</v>
      </c>
      <c r="D40" t="s">
        <v>5640</v>
      </c>
      <c r="G40" s="94"/>
      <c r="H40" s="94">
        <v>-23468.53</v>
      </c>
      <c r="I40" s="94">
        <v>1029513.74</v>
      </c>
    </row>
    <row r="41" spans="2:9">
      <c r="B41" s="97">
        <v>45930</v>
      </c>
      <c r="C41" t="s">
        <v>5682</v>
      </c>
      <c r="D41" t="s">
        <v>5640</v>
      </c>
      <c r="G41" s="94"/>
      <c r="H41" s="94">
        <v>-44256.69</v>
      </c>
      <c r="I41" s="94">
        <v>985257.05</v>
      </c>
    </row>
    <row r="42" spans="2:9">
      <c r="B42" s="97">
        <v>45930</v>
      </c>
      <c r="C42" t="s">
        <v>5683</v>
      </c>
      <c r="D42" t="s">
        <v>5640</v>
      </c>
      <c r="G42" s="94"/>
      <c r="H42" s="94">
        <v>-49971.94</v>
      </c>
      <c r="I42" s="94">
        <v>935285.11</v>
      </c>
    </row>
    <row r="43" spans="2:9">
      <c r="B43" s="97">
        <v>45930</v>
      </c>
      <c r="C43" t="s">
        <v>5684</v>
      </c>
      <c r="D43" t="s">
        <v>5640</v>
      </c>
      <c r="G43" s="94"/>
      <c r="H43" s="94">
        <v>-54279.54</v>
      </c>
      <c r="I43" s="94">
        <v>881005.57</v>
      </c>
    </row>
    <row r="44" spans="2:9">
      <c r="B44" s="97">
        <v>45930</v>
      </c>
      <c r="C44" t="s">
        <v>5682</v>
      </c>
      <c r="D44" t="s">
        <v>5640</v>
      </c>
      <c r="G44" s="94"/>
      <c r="H44" s="94">
        <v>-124781.54</v>
      </c>
      <c r="I44" s="94">
        <v>756224.03</v>
      </c>
    </row>
    <row r="45" spans="2:9">
      <c r="B45" s="97">
        <v>45930</v>
      </c>
      <c r="C45" t="s">
        <v>5682</v>
      </c>
      <c r="D45" t="s">
        <v>5640</v>
      </c>
      <c r="G45" s="94"/>
      <c r="H45" s="94">
        <v>-169574.26</v>
      </c>
      <c r="I45" s="94">
        <v>586649.77</v>
      </c>
    </row>
    <row r="46" spans="2:9">
      <c r="B46" s="97">
        <v>45931</v>
      </c>
      <c r="C46" t="s">
        <v>5685</v>
      </c>
      <c r="D46" t="s">
        <v>5686</v>
      </c>
      <c r="G46" s="94"/>
      <c r="H46" s="94">
        <v>-6901.01</v>
      </c>
      <c r="I46" s="94">
        <v>579748.76</v>
      </c>
    </row>
    <row r="47" spans="2:9">
      <c r="B47" s="97">
        <v>45961</v>
      </c>
      <c r="C47" t="s">
        <v>5687</v>
      </c>
      <c r="D47" t="s">
        <v>5642</v>
      </c>
      <c r="G47" s="94"/>
      <c r="H47" s="94">
        <v>-1249.8399999999999</v>
      </c>
      <c r="I47" s="94">
        <v>578498.92000000004</v>
      </c>
    </row>
    <row r="48" spans="2:9">
      <c r="B48" s="97">
        <v>45961</v>
      </c>
      <c r="C48" t="s">
        <v>1389</v>
      </c>
      <c r="D48" t="s">
        <v>5642</v>
      </c>
      <c r="G48" s="94">
        <v>4080.87</v>
      </c>
      <c r="I48" s="94">
        <v>582579.79</v>
      </c>
    </row>
    <row r="49" spans="1:9">
      <c r="B49" s="97">
        <v>44165</v>
      </c>
      <c r="C49" t="s">
        <v>1389</v>
      </c>
      <c r="D49" t="s">
        <v>5644</v>
      </c>
      <c r="G49" s="94">
        <v>3932.31</v>
      </c>
      <c r="I49" s="94">
        <v>586512.1</v>
      </c>
    </row>
    <row r="50" spans="1:9">
      <c r="B50" s="97"/>
      <c r="G50" s="94"/>
      <c r="I50" s="94"/>
    </row>
    <row r="51" spans="1:9" s="84" customFormat="1">
      <c r="A51" s="84">
        <v>1</v>
      </c>
      <c r="B51" s="84" t="s">
        <v>1375</v>
      </c>
      <c r="C51" s="84" t="s">
        <v>640</v>
      </c>
      <c r="D51" s="84">
        <v>12183</v>
      </c>
      <c r="E51" s="84" t="s">
        <v>641</v>
      </c>
      <c r="F51" s="106" t="s">
        <v>1376</v>
      </c>
      <c r="G51" s="106"/>
    </row>
    <row r="52" spans="1:9">
      <c r="A52">
        <v>1</v>
      </c>
    </row>
    <row r="53" spans="1:9">
      <c r="A53">
        <v>1</v>
      </c>
      <c r="B53" t="s">
        <v>473</v>
      </c>
      <c r="C53" t="s">
        <v>5546</v>
      </c>
      <c r="D53" t="s">
        <v>1377</v>
      </c>
      <c r="E53" t="s">
        <v>1378</v>
      </c>
      <c r="F53" t="s">
        <v>1379</v>
      </c>
      <c r="G53" t="s">
        <v>555</v>
      </c>
      <c r="H53" t="s">
        <v>556</v>
      </c>
      <c r="I53" t="s">
        <v>558</v>
      </c>
    </row>
    <row r="54" spans="1:9">
      <c r="B54" s="97">
        <v>45688</v>
      </c>
      <c r="C54" t="s">
        <v>5617</v>
      </c>
      <c r="D54" t="s">
        <v>5564</v>
      </c>
      <c r="F54">
        <v>33115</v>
      </c>
      <c r="G54">
        <v>313.60000000000002</v>
      </c>
      <c r="I54" s="94">
        <v>176776.59</v>
      </c>
    </row>
    <row r="55" spans="1:9">
      <c r="B55" s="97">
        <v>45688</v>
      </c>
      <c r="C55" t="s">
        <v>5607</v>
      </c>
      <c r="D55" t="s">
        <v>5624</v>
      </c>
      <c r="F55">
        <v>33115</v>
      </c>
      <c r="G55">
        <v>955.65</v>
      </c>
      <c r="I55" s="94">
        <v>177732.24</v>
      </c>
    </row>
    <row r="56" spans="1:9">
      <c r="B56" s="97">
        <v>45716</v>
      </c>
      <c r="C56" t="s">
        <v>1404</v>
      </c>
      <c r="D56" t="s">
        <v>5624</v>
      </c>
      <c r="F56">
        <v>33115</v>
      </c>
      <c r="H56">
        <v>-672.81</v>
      </c>
      <c r="I56" s="94">
        <v>177059.43</v>
      </c>
    </row>
    <row r="57" spans="1:9">
      <c r="B57" s="97">
        <v>45716</v>
      </c>
      <c r="C57" t="s">
        <v>1394</v>
      </c>
      <c r="D57" t="s">
        <v>1424</v>
      </c>
      <c r="F57">
        <v>33115</v>
      </c>
      <c r="G57">
        <v>282.83999999999997</v>
      </c>
      <c r="I57" s="94">
        <v>177342.27</v>
      </c>
    </row>
    <row r="58" spans="1:9">
      <c r="B58" s="97">
        <v>45747</v>
      </c>
      <c r="C58" t="s">
        <v>1394</v>
      </c>
      <c r="D58" t="s">
        <v>5628</v>
      </c>
      <c r="F58">
        <v>33115</v>
      </c>
      <c r="G58" s="94">
        <v>2319.48</v>
      </c>
      <c r="I58" s="94">
        <v>179661.75</v>
      </c>
    </row>
    <row r="59" spans="1:9">
      <c r="B59" s="97">
        <v>45747</v>
      </c>
      <c r="C59" t="s">
        <v>5688</v>
      </c>
      <c r="D59" t="s">
        <v>1424</v>
      </c>
      <c r="F59">
        <v>33115</v>
      </c>
      <c r="G59" s="94">
        <v>2036.64</v>
      </c>
      <c r="I59" s="94">
        <v>181698.39</v>
      </c>
    </row>
    <row r="60" spans="1:9">
      <c r="B60" s="97">
        <v>45777</v>
      </c>
      <c r="C60" t="s">
        <v>1394</v>
      </c>
      <c r="D60" t="s">
        <v>5630</v>
      </c>
      <c r="G60" s="94">
        <v>1004.52</v>
      </c>
      <c r="I60" s="94">
        <v>182702.91</v>
      </c>
    </row>
    <row r="61" spans="1:9">
      <c r="B61" s="97">
        <v>45777</v>
      </c>
      <c r="C61" t="s">
        <v>5688</v>
      </c>
      <c r="D61" t="s">
        <v>5630</v>
      </c>
      <c r="G61" s="94"/>
      <c r="H61" s="94">
        <v>-1314.96</v>
      </c>
      <c r="I61" s="94">
        <v>181387.95</v>
      </c>
    </row>
    <row r="62" spans="1:9">
      <c r="B62" s="97">
        <v>45808</v>
      </c>
      <c r="C62" t="s">
        <v>1395</v>
      </c>
      <c r="D62" t="s">
        <v>5630</v>
      </c>
      <c r="G62" s="94"/>
      <c r="H62">
        <v>-228.86</v>
      </c>
      <c r="I62" s="94">
        <v>181159.09</v>
      </c>
    </row>
    <row r="63" spans="1:9">
      <c r="B63" s="97">
        <v>45808</v>
      </c>
      <c r="C63" t="s">
        <v>1394</v>
      </c>
      <c r="D63" t="s">
        <v>5632</v>
      </c>
      <c r="G63" s="94">
        <v>775.66</v>
      </c>
      <c r="I63" s="94">
        <v>181934.75</v>
      </c>
    </row>
    <row r="64" spans="1:9">
      <c r="B64" s="97">
        <v>45838</v>
      </c>
      <c r="C64" t="s">
        <v>1394</v>
      </c>
      <c r="D64" t="s">
        <v>5632</v>
      </c>
      <c r="G64" s="94"/>
      <c r="H64">
        <v>-304.64999999999998</v>
      </c>
      <c r="I64" s="94">
        <v>181630.1</v>
      </c>
    </row>
    <row r="65" spans="2:10">
      <c r="B65" s="97">
        <v>45838</v>
      </c>
      <c r="C65" t="s">
        <v>1394</v>
      </c>
      <c r="D65" t="s">
        <v>5634</v>
      </c>
      <c r="G65" s="94">
        <v>471.01</v>
      </c>
      <c r="I65" s="94">
        <v>182101.11</v>
      </c>
    </row>
    <row r="66" spans="2:10">
      <c r="B66" s="97">
        <v>45869</v>
      </c>
      <c r="C66" t="s">
        <v>1394</v>
      </c>
      <c r="D66" t="s">
        <v>5634</v>
      </c>
      <c r="G66" s="94"/>
      <c r="H66">
        <v>-35.1</v>
      </c>
      <c r="I66" s="94">
        <v>182066.01</v>
      </c>
    </row>
    <row r="67" spans="2:10">
      <c r="B67" s="97">
        <v>45869</v>
      </c>
      <c r="C67" t="s">
        <v>1394</v>
      </c>
      <c r="D67" t="s">
        <v>5636</v>
      </c>
      <c r="G67" s="94">
        <v>435.91</v>
      </c>
      <c r="I67" s="94">
        <v>182501.92</v>
      </c>
    </row>
    <row r="68" spans="2:10">
      <c r="B68" s="97">
        <v>45900</v>
      </c>
      <c r="C68" t="s">
        <v>1394</v>
      </c>
      <c r="D68" t="s">
        <v>5636</v>
      </c>
      <c r="G68" s="94">
        <v>37.47</v>
      </c>
      <c r="I68" s="94">
        <v>182539.39</v>
      </c>
    </row>
    <row r="69" spans="2:10">
      <c r="B69" s="97">
        <v>45900</v>
      </c>
      <c r="C69" t="s">
        <v>1394</v>
      </c>
      <c r="D69" t="s">
        <v>5638</v>
      </c>
      <c r="G69" s="94">
        <v>37.47</v>
      </c>
      <c r="I69" s="94">
        <v>182576.86</v>
      </c>
    </row>
    <row r="70" spans="2:10">
      <c r="B70" s="97">
        <v>45930</v>
      </c>
      <c r="C70" t="s">
        <v>1394</v>
      </c>
      <c r="D70" t="s">
        <v>5638</v>
      </c>
      <c r="G70" s="94"/>
      <c r="H70">
        <v>-238.27</v>
      </c>
      <c r="I70" s="94">
        <v>182338.59</v>
      </c>
    </row>
    <row r="71" spans="2:10">
      <c r="B71" s="97">
        <v>45930</v>
      </c>
      <c r="C71" t="s">
        <v>1394</v>
      </c>
      <c r="D71" t="s">
        <v>5640</v>
      </c>
      <c r="G71" s="94">
        <v>37.47</v>
      </c>
      <c r="I71" s="94">
        <v>182376.06</v>
      </c>
    </row>
    <row r="72" spans="2:10">
      <c r="B72" s="97">
        <v>45961</v>
      </c>
      <c r="C72" t="s">
        <v>1394</v>
      </c>
      <c r="D72" t="s">
        <v>5640</v>
      </c>
      <c r="G72" s="94">
        <v>837.76</v>
      </c>
      <c r="I72" s="94">
        <v>183213.82</v>
      </c>
    </row>
    <row r="73" spans="2:10">
      <c r="B73" s="97">
        <v>45961</v>
      </c>
      <c r="C73" t="s">
        <v>1394</v>
      </c>
      <c r="D73" t="s">
        <v>5642</v>
      </c>
      <c r="G73" s="94">
        <v>837.76</v>
      </c>
      <c r="I73" s="94">
        <v>184051.58</v>
      </c>
    </row>
    <row r="74" spans="2:10">
      <c r="B74" s="97">
        <v>44165</v>
      </c>
      <c r="C74" t="s">
        <v>5689</v>
      </c>
      <c r="D74" t="s">
        <v>5642</v>
      </c>
      <c r="G74" s="94"/>
      <c r="H74">
        <v>-672.87</v>
      </c>
      <c r="I74" s="94">
        <v>183378.71</v>
      </c>
    </row>
    <row r="75" spans="2:10">
      <c r="B75" s="97">
        <v>44165</v>
      </c>
      <c r="C75" t="s">
        <v>1394</v>
      </c>
      <c r="D75" t="s">
        <v>5644</v>
      </c>
      <c r="G75" s="94">
        <v>164.89</v>
      </c>
      <c r="I75" s="94">
        <v>183543.6</v>
      </c>
    </row>
    <row r="77" spans="2:10">
      <c r="G77" s="70">
        <f>SUBTOTAL(9,G4:H76)</f>
        <v>-372872.18000000017</v>
      </c>
      <c r="I77" s="112">
        <f>G77/1000</f>
        <v>-372.87218000000018</v>
      </c>
      <c r="J77" s="112">
        <f>ROUND(I77,0)</f>
        <v>-373</v>
      </c>
    </row>
    <row r="78" spans="2:10">
      <c r="G78" s="70"/>
      <c r="I78" s="112"/>
      <c r="J78" s="112"/>
    </row>
    <row r="79" spans="2:10">
      <c r="D79" s="95" t="s">
        <v>1454</v>
      </c>
      <c r="G79" s="304">
        <f>G4+G5+G6+G7+G8+H9+G10+G11+H12+G13+G19+G20+G22+G23+G24+H25+H26+G28+G30+G31+G32+H35+H36+G37+H40+H42+H47+G48+G54+G55+H56+G57+G58+G59+G60+H61+H62+G63+H64+G65+H66+G67+G68+G69+H70+G71+G72+G73+H33+H34+H38+H39+H41+H43+H44+H45+H46+G14+G49+H74+G75</f>
        <v>-430019.28999999986</v>
      </c>
      <c r="I79" s="112">
        <f>G79/1000</f>
        <v>-430.01928999999984</v>
      </c>
      <c r="J79" s="308">
        <f>ROUND(I79,0)</f>
        <v>-430</v>
      </c>
    </row>
    <row r="80" spans="2:10">
      <c r="D80" s="117" t="s">
        <v>5618</v>
      </c>
      <c r="G80" s="309">
        <f>G21+G27+G29</f>
        <v>57147.11</v>
      </c>
      <c r="I80" s="112">
        <f>G80/1000</f>
        <v>57.147109999999998</v>
      </c>
      <c r="J80" s="310">
        <f>ROUND(I80,0)</f>
        <v>57</v>
      </c>
    </row>
    <row r="81" spans="4:10">
      <c r="G81" s="70">
        <f>SUBTOTAL(9,G79:G80)</f>
        <v>-372872.17999999988</v>
      </c>
    </row>
    <row r="83" spans="4:10">
      <c r="G83" s="112"/>
    </row>
    <row r="84" spans="4:10">
      <c r="D84" t="s">
        <v>302</v>
      </c>
    </row>
    <row r="85" spans="4:10">
      <c r="D85" t="s">
        <v>304</v>
      </c>
      <c r="G85" s="94">
        <f>G4</f>
        <v>21319.59</v>
      </c>
      <c r="I85">
        <f>G85/1000</f>
        <v>21.319590000000002</v>
      </c>
      <c r="J85">
        <f>ROUND(I85,0)</f>
        <v>21</v>
      </c>
    </row>
    <row r="86" spans="4:10">
      <c r="D86" t="s">
        <v>305</v>
      </c>
      <c r="G86" s="94">
        <f>G19</f>
        <v>13833.87</v>
      </c>
      <c r="I86">
        <f>G86/1000</f>
        <v>13.833870000000001</v>
      </c>
      <c r="J86">
        <f>ROUND(I86,0)</f>
        <v>14</v>
      </c>
    </row>
    <row r="87" spans="4:10">
      <c r="D87" t="s">
        <v>463</v>
      </c>
      <c r="G87" s="94">
        <f>G54+G55</f>
        <v>1269.25</v>
      </c>
      <c r="I87">
        <f>G87/1000</f>
        <v>1.26925</v>
      </c>
      <c r="J87">
        <f>ROUND(I87,0)</f>
        <v>1</v>
      </c>
    </row>
    <row r="89" spans="4:10">
      <c r="D89" t="s">
        <v>5620</v>
      </c>
    </row>
    <row r="90" spans="4:10">
      <c r="D90" t="s">
        <v>304</v>
      </c>
    </row>
    <row r="91" spans="4:10">
      <c r="D91" t="s">
        <v>305</v>
      </c>
    </row>
    <row r="92" spans="4:10">
      <c r="D92" t="s">
        <v>463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2060"/>
  </sheetPr>
  <dimension ref="A1:R144"/>
  <sheetViews>
    <sheetView showGridLines="0" zoomScale="84" zoomScaleNormal="84" workbookViewId="0">
      <pane xSplit="3" ySplit="6" topLeftCell="D37" activePane="bottomRight" state="frozen"/>
      <selection pane="bottomRight" activeCell="F48" activeCellId="1" sqref="F107 F48"/>
      <selection pane="bottomLeft"/>
      <selection pane="topRight"/>
    </sheetView>
  </sheetViews>
  <sheetFormatPr defaultColWidth="9.140625" defaultRowHeight="16.899999999999999"/>
  <cols>
    <col min="1" max="1" width="50.85546875" style="125" customWidth="1"/>
    <col min="2" max="2" width="38.85546875" style="125" customWidth="1"/>
    <col min="3" max="3" width="43.5703125" style="125" bestFit="1" customWidth="1"/>
    <col min="4" max="4" width="18.28515625" style="127" customWidth="1"/>
    <col min="5" max="5" width="20.28515625" style="127" customWidth="1"/>
    <col min="6" max="6" width="18.28515625" style="125" customWidth="1"/>
    <col min="7" max="8" width="19.5703125" style="125" hidden="1" customWidth="1"/>
    <col min="9" max="9" width="21.7109375" style="125" hidden="1" customWidth="1"/>
    <col min="10" max="11" width="18.28515625" style="125" hidden="1" customWidth="1"/>
    <col min="12" max="12" width="19.5703125" style="125" hidden="1" customWidth="1"/>
    <col min="13" max="13" width="20.7109375" style="125" hidden="1" customWidth="1"/>
    <col min="14" max="14" width="19.42578125" style="125" hidden="1" customWidth="1"/>
    <col min="15" max="15" width="18.42578125" style="125" hidden="1" customWidth="1"/>
    <col min="16" max="16" width="17.42578125" style="126" customWidth="1"/>
    <col min="17" max="17" width="17" style="125" bestFit="1" customWidth="1"/>
    <col min="18" max="18" width="18.140625" style="125" bestFit="1" customWidth="1"/>
    <col min="19" max="16384" width="9.140625" style="125"/>
  </cols>
  <sheetData>
    <row r="1" spans="1:18" s="275" customFormat="1">
      <c r="D1" s="280"/>
      <c r="E1" s="280"/>
      <c r="P1" s="276"/>
    </row>
    <row r="2" spans="1:18" s="275" customFormat="1" ht="20.45">
      <c r="B2" s="279" t="s">
        <v>5690</v>
      </c>
      <c r="D2" s="279"/>
      <c r="E2" s="278"/>
      <c r="P2" s="276"/>
    </row>
    <row r="3" spans="1:18" s="275" customFormat="1" ht="20.45">
      <c r="B3" s="277" t="s">
        <v>5691</v>
      </c>
      <c r="D3" s="277"/>
      <c r="E3" s="277"/>
      <c r="P3" s="276"/>
    </row>
    <row r="4" spans="1:18" ht="20.45">
      <c r="B4" s="274" t="s">
        <v>5692</v>
      </c>
      <c r="D4" s="274"/>
      <c r="E4" s="274"/>
    </row>
    <row r="5" spans="1:18" ht="20.45">
      <c r="B5" s="274"/>
      <c r="D5" s="274">
        <v>1</v>
      </c>
      <c r="E5" s="274">
        <v>2</v>
      </c>
      <c r="F5" s="125">
        <v>3</v>
      </c>
      <c r="G5" s="274">
        <v>4</v>
      </c>
      <c r="H5" s="274">
        <v>5</v>
      </c>
      <c r="I5" s="125">
        <v>6</v>
      </c>
      <c r="J5" s="274">
        <v>7</v>
      </c>
      <c r="K5" s="274">
        <v>8</v>
      </c>
      <c r="L5" s="125">
        <v>9</v>
      </c>
      <c r="M5" s="274">
        <v>10</v>
      </c>
      <c r="N5" s="274">
        <v>11</v>
      </c>
      <c r="O5" s="125">
        <v>12</v>
      </c>
    </row>
    <row r="6" spans="1:18" s="272" customFormat="1" ht="33" customHeight="1">
      <c r="A6" s="1146" t="s">
        <v>5693</v>
      </c>
      <c r="B6" s="233" t="s">
        <v>5694</v>
      </c>
      <c r="C6" s="232" t="s">
        <v>213</v>
      </c>
      <c r="D6" s="231" t="s">
        <v>5695</v>
      </c>
      <c r="E6" s="231" t="s">
        <v>5696</v>
      </c>
      <c r="F6" s="231" t="s">
        <v>5697</v>
      </c>
      <c r="G6" s="231" t="s">
        <v>5698</v>
      </c>
      <c r="H6" s="231" t="s">
        <v>5699</v>
      </c>
      <c r="I6" s="231" t="s">
        <v>5700</v>
      </c>
      <c r="J6" s="231" t="s">
        <v>5701</v>
      </c>
      <c r="K6" s="231" t="s">
        <v>5702</v>
      </c>
      <c r="L6" s="231" t="s">
        <v>5703</v>
      </c>
      <c r="M6" s="231" t="s">
        <v>5704</v>
      </c>
      <c r="N6" s="231" t="s">
        <v>5705</v>
      </c>
      <c r="O6" s="231" t="s">
        <v>5706</v>
      </c>
      <c r="P6" s="273"/>
    </row>
    <row r="7" spans="1:18">
      <c r="A7" s="1147"/>
      <c r="B7" s="230">
        <v>3</v>
      </c>
      <c r="C7" s="161" t="s">
        <v>184</v>
      </c>
      <c r="D7" s="229">
        <v>16579068.48</v>
      </c>
      <c r="E7" s="229">
        <v>29928833.899999999</v>
      </c>
      <c r="F7" s="174">
        <v>43581347.619999997</v>
      </c>
      <c r="G7" s="174">
        <v>57962616.009999998</v>
      </c>
      <c r="H7" s="174">
        <v>71114198.730000004</v>
      </c>
      <c r="I7" s="174">
        <v>86783237.25</v>
      </c>
      <c r="J7" s="174">
        <v>99742675.319999993</v>
      </c>
      <c r="K7" s="174">
        <v>112808286.84</v>
      </c>
      <c r="L7" s="174">
        <v>126423162.04000001</v>
      </c>
      <c r="M7" s="1018">
        <v>140935926.84</v>
      </c>
      <c r="N7" s="150">
        <v>160188305.08000001</v>
      </c>
      <c r="O7" s="174"/>
      <c r="P7" s="183">
        <f>F7/1000</f>
        <v>43581.34762</v>
      </c>
      <c r="Q7" s="265">
        <f>F7*34%</f>
        <v>14817658.1908</v>
      </c>
      <c r="R7" s="265">
        <f>ROUND(Q7,0)</f>
        <v>14817658</v>
      </c>
    </row>
    <row r="8" spans="1:18" ht="34.15" thickBot="1">
      <c r="A8" s="221" t="s">
        <v>5707</v>
      </c>
      <c r="B8" s="227">
        <v>4</v>
      </c>
      <c r="C8" s="181" t="s">
        <v>970</v>
      </c>
      <c r="D8" s="229">
        <v>15780549.77</v>
      </c>
      <c r="E8" s="229">
        <v>29187085.640000001</v>
      </c>
      <c r="F8" s="229">
        <v>44207494.840000004</v>
      </c>
      <c r="G8" s="174">
        <v>58759830.399999999</v>
      </c>
      <c r="H8" s="174">
        <v>72807603.049999997</v>
      </c>
      <c r="I8" s="174">
        <v>87459835.200000003</v>
      </c>
      <c r="J8" s="174">
        <v>101687876.65000001</v>
      </c>
      <c r="K8" s="174">
        <v>115475952.87</v>
      </c>
      <c r="L8" s="174">
        <v>131088639.83</v>
      </c>
      <c r="M8" s="1018">
        <v>146415663.66999999</v>
      </c>
      <c r="N8" s="150">
        <v>161583468.99000001</v>
      </c>
      <c r="O8" s="174"/>
      <c r="P8" s="183">
        <f t="shared" ref="P8:P40" si="0">F8/1000</f>
        <v>44207.494840000007</v>
      </c>
      <c r="Q8" s="265">
        <f t="shared" ref="Q8:Q40" si="1">F8*34%</f>
        <v>15030548.245600002</v>
      </c>
      <c r="R8" s="265">
        <f t="shared" ref="R8:R40" si="2">ROUND(Q8,0)</f>
        <v>15030548</v>
      </c>
    </row>
    <row r="9" spans="1:18" ht="17.45" thickBot="1">
      <c r="A9" s="1165" t="s">
        <v>5708</v>
      </c>
      <c r="B9" s="1166"/>
      <c r="C9" s="1167"/>
      <c r="D9" s="184">
        <f t="shared" ref="D9:O9" si="3">D7-D8</f>
        <v>798518.71000000089</v>
      </c>
      <c r="E9" s="270">
        <f t="shared" si="3"/>
        <v>741748.25999999791</v>
      </c>
      <c r="F9" s="269">
        <f t="shared" si="3"/>
        <v>-626147.22000000626</v>
      </c>
      <c r="G9" s="185">
        <f t="shared" si="3"/>
        <v>-797214.3900000006</v>
      </c>
      <c r="H9" s="185">
        <f t="shared" si="3"/>
        <v>-1693404.3199999928</v>
      </c>
      <c r="I9" s="185">
        <f t="shared" si="3"/>
        <v>-676597.95000000298</v>
      </c>
      <c r="J9" s="184">
        <f t="shared" si="3"/>
        <v>-1945201.3300000131</v>
      </c>
      <c r="K9" s="184">
        <f t="shared" si="3"/>
        <v>-2667666.0300000012</v>
      </c>
      <c r="L9" s="905">
        <f t="shared" si="3"/>
        <v>-4665477.7899999917</v>
      </c>
      <c r="M9" s="905">
        <f t="shared" si="3"/>
        <v>-5479736.8299999833</v>
      </c>
      <c r="N9" s="184">
        <f t="shared" si="3"/>
        <v>-1395163.9099999964</v>
      </c>
      <c r="O9" s="185">
        <f t="shared" si="3"/>
        <v>0</v>
      </c>
      <c r="P9" s="183">
        <f t="shared" si="0"/>
        <v>-626.14722000000631</v>
      </c>
      <c r="Q9" s="265">
        <f t="shared" si="1"/>
        <v>-212890.05480000214</v>
      </c>
      <c r="R9" s="265">
        <f t="shared" si="2"/>
        <v>-212890</v>
      </c>
    </row>
    <row r="10" spans="1:18" ht="17.45" thickBot="1">
      <c r="A10" s="268"/>
      <c r="B10" s="267" t="s">
        <v>5709</v>
      </c>
      <c r="C10" s="179" t="s">
        <v>5710</v>
      </c>
      <c r="D10" s="210">
        <v>246728.38</v>
      </c>
      <c r="E10" s="210">
        <v>245255.44</v>
      </c>
      <c r="F10" s="174">
        <v>0</v>
      </c>
      <c r="G10" s="174">
        <v>0</v>
      </c>
      <c r="H10" s="174"/>
      <c r="I10" s="174"/>
      <c r="J10" s="174"/>
      <c r="K10" s="174"/>
      <c r="L10" s="174"/>
      <c r="M10" s="174"/>
      <c r="N10" s="174"/>
      <c r="O10" s="174"/>
      <c r="P10" s="183">
        <f t="shared" si="0"/>
        <v>0</v>
      </c>
      <c r="Q10" s="265">
        <f t="shared" si="1"/>
        <v>0</v>
      </c>
      <c r="R10" s="265">
        <f t="shared" si="2"/>
        <v>0</v>
      </c>
    </row>
    <row r="11" spans="1:18" ht="17.45" thickBot="1">
      <c r="A11" s="1151" t="s">
        <v>5711</v>
      </c>
      <c r="B11" s="1152"/>
      <c r="C11" s="1153"/>
      <c r="D11" s="215">
        <f t="shared" ref="D11:O11" si="4">D9+D10</f>
        <v>1045247.0900000009</v>
      </c>
      <c r="E11" s="215">
        <f t="shared" si="4"/>
        <v>987003.69999999786</v>
      </c>
      <c r="F11" s="266">
        <f t="shared" si="4"/>
        <v>-626147.22000000626</v>
      </c>
      <c r="G11" s="217">
        <f t="shared" si="4"/>
        <v>-797214.3900000006</v>
      </c>
      <c r="H11" s="217">
        <f t="shared" si="4"/>
        <v>-1693404.3199999928</v>
      </c>
      <c r="I11" s="217">
        <f t="shared" si="4"/>
        <v>-676597.95000000298</v>
      </c>
      <c r="J11" s="215">
        <f t="shared" si="4"/>
        <v>-1945201.3300000131</v>
      </c>
      <c r="K11" s="215">
        <f t="shared" si="4"/>
        <v>-2667666.0300000012</v>
      </c>
      <c r="L11" s="216">
        <f t="shared" si="4"/>
        <v>-4665477.7899999917</v>
      </c>
      <c r="M11" s="216">
        <f t="shared" si="4"/>
        <v>-5479736.8299999833</v>
      </c>
      <c r="N11" s="215">
        <f t="shared" si="4"/>
        <v>-1395163.9099999964</v>
      </c>
      <c r="O11" s="217">
        <f t="shared" si="4"/>
        <v>0</v>
      </c>
      <c r="P11" s="183">
        <f t="shared" si="0"/>
        <v>-626.14722000000631</v>
      </c>
      <c r="Q11" s="265">
        <f t="shared" si="1"/>
        <v>-212890.05480000214</v>
      </c>
      <c r="R11" s="265">
        <f t="shared" si="2"/>
        <v>-212890</v>
      </c>
    </row>
    <row r="12" spans="1:18" s="172" customFormat="1" ht="17.45" thickBot="1">
      <c r="A12" s="1154" t="s">
        <v>5712</v>
      </c>
      <c r="B12" s="1155"/>
      <c r="C12" s="1156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183">
        <f t="shared" si="0"/>
        <v>0</v>
      </c>
      <c r="Q12" s="265">
        <f t="shared" si="1"/>
        <v>0</v>
      </c>
      <c r="R12" s="265">
        <f t="shared" si="2"/>
        <v>0</v>
      </c>
    </row>
    <row r="13" spans="1:18" s="172" customFormat="1">
      <c r="A13" s="1168" t="s">
        <v>5713</v>
      </c>
      <c r="B13" s="176">
        <v>411111</v>
      </c>
      <c r="C13" s="175" t="s">
        <v>5714</v>
      </c>
      <c r="D13" s="210">
        <v>0</v>
      </c>
      <c r="E13" s="174">
        <v>0</v>
      </c>
      <c r="F13" s="174">
        <v>14208.45</v>
      </c>
      <c r="G13" s="174">
        <v>45537.56</v>
      </c>
      <c r="H13" s="174">
        <v>70254.03</v>
      </c>
      <c r="I13" s="174">
        <v>85929.88</v>
      </c>
      <c r="J13" s="174">
        <v>115269.95</v>
      </c>
      <c r="K13" s="174">
        <v>145084.01999999999</v>
      </c>
      <c r="L13" s="174">
        <v>173936.35</v>
      </c>
      <c r="M13" s="174">
        <v>214941.03</v>
      </c>
      <c r="N13" s="174">
        <v>243793.36</v>
      </c>
      <c r="O13" s="174"/>
      <c r="P13" s="183">
        <f t="shared" si="0"/>
        <v>14.208450000000001</v>
      </c>
      <c r="Q13" s="265">
        <f t="shared" si="1"/>
        <v>4830.8730000000005</v>
      </c>
      <c r="R13" s="265">
        <f t="shared" si="2"/>
        <v>4831</v>
      </c>
    </row>
    <row r="14" spans="1:18" s="172" customFormat="1">
      <c r="A14" s="1157"/>
      <c r="B14" s="176">
        <v>411113</v>
      </c>
      <c r="C14" s="175" t="s">
        <v>988</v>
      </c>
      <c r="D14" s="210">
        <v>0</v>
      </c>
      <c r="E14" s="174">
        <v>0</v>
      </c>
      <c r="F14" s="174">
        <v>0</v>
      </c>
      <c r="G14" s="174">
        <v>0</v>
      </c>
      <c r="H14" s="174">
        <v>8832.86</v>
      </c>
      <c r="I14" s="174">
        <v>17919.93</v>
      </c>
      <c r="J14" s="174">
        <v>17919.93</v>
      </c>
      <c r="K14" s="174">
        <v>17919.93</v>
      </c>
      <c r="L14" s="174">
        <v>17919.93</v>
      </c>
      <c r="M14" s="174">
        <v>27115.23</v>
      </c>
      <c r="N14" s="174">
        <v>27115.23</v>
      </c>
      <c r="O14" s="174"/>
      <c r="P14" s="183">
        <f t="shared" si="0"/>
        <v>0</v>
      </c>
      <c r="Q14" s="265">
        <f t="shared" si="1"/>
        <v>0</v>
      </c>
      <c r="R14" s="265">
        <f t="shared" si="2"/>
        <v>0</v>
      </c>
    </row>
    <row r="15" spans="1:18" s="172" customFormat="1">
      <c r="A15" s="1157"/>
      <c r="B15" s="176">
        <v>411310</v>
      </c>
      <c r="C15" s="175" t="s">
        <v>1013</v>
      </c>
      <c r="D15" s="210">
        <v>3881.94</v>
      </c>
      <c r="E15" s="174">
        <v>5899.54</v>
      </c>
      <c r="F15" s="174">
        <v>7886.41</v>
      </c>
      <c r="G15" s="174">
        <v>9835.0499999999993</v>
      </c>
      <c r="H15" s="174">
        <v>11788.69</v>
      </c>
      <c r="I15" s="174">
        <v>13487.55</v>
      </c>
      <c r="J15" s="174">
        <v>15459.05</v>
      </c>
      <c r="K15" s="174">
        <v>17320.919999999998</v>
      </c>
      <c r="L15" s="174">
        <v>19171.29</v>
      </c>
      <c r="M15" s="174">
        <v>20937.43</v>
      </c>
      <c r="N15" s="174">
        <v>22881.89</v>
      </c>
      <c r="O15" s="174"/>
      <c r="P15" s="183">
        <f t="shared" si="0"/>
        <v>7.8864099999999997</v>
      </c>
      <c r="Q15" s="265">
        <f t="shared" si="1"/>
        <v>2681.3794000000003</v>
      </c>
      <c r="R15" s="265">
        <f t="shared" si="2"/>
        <v>2681</v>
      </c>
    </row>
    <row r="16" spans="1:18" s="172" customFormat="1">
      <c r="A16" s="1157"/>
      <c r="B16" s="176">
        <v>416211</v>
      </c>
      <c r="C16" s="175" t="s">
        <v>5715</v>
      </c>
      <c r="D16" s="210">
        <v>0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0</v>
      </c>
      <c r="K16" s="174">
        <v>0</v>
      </c>
      <c r="L16" s="174">
        <v>0</v>
      </c>
      <c r="M16" s="174">
        <v>0</v>
      </c>
      <c r="N16" s="174">
        <v>0</v>
      </c>
      <c r="O16" s="174"/>
      <c r="P16" s="183">
        <f t="shared" si="0"/>
        <v>0</v>
      </c>
      <c r="Q16" s="265">
        <f t="shared" si="1"/>
        <v>0</v>
      </c>
      <c r="R16" s="265">
        <f t="shared" si="2"/>
        <v>0</v>
      </c>
    </row>
    <row r="17" spans="1:18">
      <c r="A17" s="1157"/>
      <c r="B17" s="176">
        <v>421110</v>
      </c>
      <c r="C17" s="175" t="s">
        <v>5714</v>
      </c>
      <c r="D17" s="210">
        <v>0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0</v>
      </c>
      <c r="K17" s="174">
        <v>0</v>
      </c>
      <c r="L17" s="174">
        <v>0</v>
      </c>
      <c r="M17" s="174">
        <v>0</v>
      </c>
      <c r="N17" s="174">
        <v>0</v>
      </c>
      <c r="O17" s="174"/>
      <c r="P17" s="183">
        <f t="shared" si="0"/>
        <v>0</v>
      </c>
      <c r="Q17" s="265">
        <f t="shared" si="1"/>
        <v>0</v>
      </c>
      <c r="R17" s="265">
        <f t="shared" si="2"/>
        <v>0</v>
      </c>
    </row>
    <row r="18" spans="1:18">
      <c r="A18" s="1157"/>
      <c r="B18" s="176">
        <v>421112</v>
      </c>
      <c r="C18" s="175" t="s">
        <v>988</v>
      </c>
      <c r="D18" s="210">
        <v>0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0</v>
      </c>
      <c r="K18" s="174">
        <v>0</v>
      </c>
      <c r="L18" s="174">
        <v>0</v>
      </c>
      <c r="M18" s="174">
        <v>6909.73</v>
      </c>
      <c r="N18" s="174">
        <v>6909.73</v>
      </c>
      <c r="O18" s="174"/>
      <c r="P18" s="183">
        <f t="shared" si="0"/>
        <v>0</v>
      </c>
      <c r="Q18" s="265">
        <f t="shared" si="1"/>
        <v>0</v>
      </c>
      <c r="R18" s="265">
        <f t="shared" si="2"/>
        <v>0</v>
      </c>
    </row>
    <row r="19" spans="1:18">
      <c r="A19" s="1157"/>
      <c r="B19" s="176">
        <v>421310</v>
      </c>
      <c r="C19" s="175" t="s">
        <v>1013</v>
      </c>
      <c r="D19" s="210">
        <v>1382.56</v>
      </c>
      <c r="E19" s="174">
        <v>2020.46</v>
      </c>
      <c r="F19" s="174">
        <v>2574.1</v>
      </c>
      <c r="G19" s="174">
        <v>3123.97</v>
      </c>
      <c r="H19" s="174">
        <v>3675.84</v>
      </c>
      <c r="I19" s="174">
        <v>4281.47</v>
      </c>
      <c r="J19" s="174">
        <v>4978.47</v>
      </c>
      <c r="K19" s="174">
        <v>5643.61</v>
      </c>
      <c r="L19" s="174">
        <v>6273.75</v>
      </c>
      <c r="M19" s="174">
        <v>6874.62</v>
      </c>
      <c r="N19" s="174">
        <v>7576.16</v>
      </c>
      <c r="O19" s="174"/>
      <c r="P19" s="183">
        <f t="shared" si="0"/>
        <v>2.5741000000000001</v>
      </c>
      <c r="Q19" s="265">
        <f t="shared" si="1"/>
        <v>875.19400000000007</v>
      </c>
      <c r="R19" s="265">
        <f t="shared" si="2"/>
        <v>875</v>
      </c>
    </row>
    <row r="20" spans="1:18">
      <c r="A20" s="1157"/>
      <c r="B20" s="176">
        <v>42541</v>
      </c>
      <c r="C20" s="161" t="s">
        <v>5716</v>
      </c>
      <c r="D20" s="210">
        <v>0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0</v>
      </c>
      <c r="K20" s="174">
        <v>0</v>
      </c>
      <c r="L20" s="174">
        <v>374532.11</v>
      </c>
      <c r="M20" s="174">
        <v>374532.11</v>
      </c>
      <c r="N20" s="174">
        <v>374532.11</v>
      </c>
      <c r="O20" s="174"/>
      <c r="P20" s="183">
        <f t="shared" si="0"/>
        <v>0</v>
      </c>
      <c r="Q20" s="265">
        <f t="shared" si="1"/>
        <v>0</v>
      </c>
      <c r="R20" s="265">
        <f t="shared" si="2"/>
        <v>0</v>
      </c>
    </row>
    <row r="21" spans="1:18">
      <c r="A21" s="1157"/>
      <c r="B21" s="176">
        <v>42542</v>
      </c>
      <c r="C21" s="175" t="s">
        <v>5717</v>
      </c>
      <c r="D21" s="210">
        <v>0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0</v>
      </c>
      <c r="K21" s="174">
        <v>0</v>
      </c>
      <c r="L21" s="174">
        <v>0</v>
      </c>
      <c r="M21" s="174">
        <v>0</v>
      </c>
      <c r="N21" s="174">
        <v>0</v>
      </c>
      <c r="O21" s="174"/>
      <c r="P21" s="183">
        <f t="shared" si="0"/>
        <v>0</v>
      </c>
      <c r="Q21" s="265">
        <f t="shared" si="1"/>
        <v>0</v>
      </c>
      <c r="R21" s="265">
        <f t="shared" si="2"/>
        <v>0</v>
      </c>
    </row>
    <row r="22" spans="1:18">
      <c r="A22" s="1157"/>
      <c r="B22" s="176">
        <v>42543</v>
      </c>
      <c r="C22" s="161" t="s">
        <v>5156</v>
      </c>
      <c r="D22" s="210">
        <v>0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0</v>
      </c>
      <c r="K22" s="174">
        <v>0</v>
      </c>
      <c r="L22" s="174">
        <v>0</v>
      </c>
      <c r="M22" s="174">
        <v>0</v>
      </c>
      <c r="N22" s="174">
        <v>0</v>
      </c>
      <c r="O22" s="174"/>
      <c r="P22" s="183">
        <f t="shared" si="0"/>
        <v>0</v>
      </c>
      <c r="Q22" s="265">
        <f t="shared" si="1"/>
        <v>0</v>
      </c>
      <c r="R22" s="265">
        <f t="shared" si="2"/>
        <v>0</v>
      </c>
    </row>
    <row r="23" spans="1:18">
      <c r="A23" s="1157"/>
      <c r="B23" s="176">
        <v>42811</v>
      </c>
      <c r="C23" s="161" t="s">
        <v>205</v>
      </c>
      <c r="D23" s="210">
        <v>0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0</v>
      </c>
      <c r="K23" s="174">
        <v>0</v>
      </c>
      <c r="L23" s="174">
        <v>0</v>
      </c>
      <c r="M23" s="174">
        <v>0</v>
      </c>
      <c r="N23" s="174">
        <v>0</v>
      </c>
      <c r="O23" s="174"/>
      <c r="P23" s="183">
        <f t="shared" si="0"/>
        <v>0</v>
      </c>
      <c r="Q23" s="265">
        <f t="shared" si="1"/>
        <v>0</v>
      </c>
      <c r="R23" s="265">
        <f t="shared" si="2"/>
        <v>0</v>
      </c>
    </row>
    <row r="24" spans="1:18">
      <c r="A24" s="1157"/>
      <c r="B24" s="176">
        <v>42720</v>
      </c>
      <c r="C24" s="161" t="s">
        <v>5718</v>
      </c>
      <c r="D24" s="210">
        <v>0</v>
      </c>
      <c r="E24" s="174">
        <v>0</v>
      </c>
      <c r="F24" s="174">
        <v>291693.21000000002</v>
      </c>
      <c r="G24" s="174">
        <v>291693.21000000002</v>
      </c>
      <c r="H24" s="174">
        <v>291693.21000000002</v>
      </c>
      <c r="I24" s="174">
        <v>400073.16</v>
      </c>
      <c r="J24" s="174">
        <v>400073.16</v>
      </c>
      <c r="K24" s="174">
        <v>400073.16</v>
      </c>
      <c r="L24" s="174">
        <v>507025.56</v>
      </c>
      <c r="M24" s="174">
        <v>507025.56</v>
      </c>
      <c r="N24" s="174">
        <v>507025.56</v>
      </c>
      <c r="O24" s="174"/>
      <c r="P24" s="183">
        <f t="shared" si="0"/>
        <v>291.69321000000002</v>
      </c>
      <c r="Q24" s="265">
        <f t="shared" si="1"/>
        <v>99175.691400000011</v>
      </c>
      <c r="R24" s="265">
        <f t="shared" si="2"/>
        <v>99176</v>
      </c>
    </row>
    <row r="25" spans="1:18">
      <c r="A25" s="1157"/>
      <c r="B25" s="176">
        <v>426213</v>
      </c>
      <c r="C25" s="175" t="s">
        <v>5715</v>
      </c>
      <c r="D25" s="210">
        <v>0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0</v>
      </c>
      <c r="K25" s="174">
        <v>0</v>
      </c>
      <c r="L25" s="174">
        <v>0</v>
      </c>
      <c r="M25" s="174">
        <v>0</v>
      </c>
      <c r="N25" s="174">
        <v>0</v>
      </c>
      <c r="O25" s="174"/>
      <c r="P25" s="183">
        <f t="shared" si="0"/>
        <v>0</v>
      </c>
      <c r="Q25" s="265">
        <f t="shared" si="1"/>
        <v>0</v>
      </c>
      <c r="R25" s="265">
        <f t="shared" si="2"/>
        <v>0</v>
      </c>
    </row>
    <row r="26" spans="1:18">
      <c r="A26" s="1157"/>
      <c r="B26" s="176">
        <v>424110</v>
      </c>
      <c r="C26" s="175" t="s">
        <v>5719</v>
      </c>
      <c r="D26" s="210">
        <v>0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0</v>
      </c>
      <c r="K26" s="174">
        <v>0</v>
      </c>
      <c r="L26" s="174">
        <v>0</v>
      </c>
      <c r="M26" s="174">
        <v>0</v>
      </c>
      <c r="N26" s="174">
        <v>0</v>
      </c>
      <c r="O26" s="174"/>
      <c r="P26" s="183">
        <f t="shared" si="0"/>
        <v>0</v>
      </c>
      <c r="Q26" s="265">
        <f t="shared" si="1"/>
        <v>0</v>
      </c>
      <c r="R26" s="265">
        <f t="shared" si="2"/>
        <v>0</v>
      </c>
    </row>
    <row r="27" spans="1:18">
      <c r="A27" s="1157"/>
      <c r="B27" s="176">
        <v>427122</v>
      </c>
      <c r="C27" s="161" t="s">
        <v>5720</v>
      </c>
      <c r="D27" s="210">
        <v>69467.78</v>
      </c>
      <c r="E27" s="174">
        <v>138016.06</v>
      </c>
      <c r="F27" s="174">
        <v>205641.1</v>
      </c>
      <c r="G27" s="174">
        <v>272339.13</v>
      </c>
      <c r="H27" s="174">
        <v>338106.38</v>
      </c>
      <c r="I27" s="174">
        <v>402939.06</v>
      </c>
      <c r="J27" s="174">
        <v>470143.5</v>
      </c>
      <c r="K27" s="174">
        <v>536356.92000000004</v>
      </c>
      <c r="L27" s="174">
        <v>601575.29</v>
      </c>
      <c r="M27" s="174">
        <v>665794.55000000005</v>
      </c>
      <c r="N27" s="174">
        <v>729010.63</v>
      </c>
      <c r="O27" s="174"/>
      <c r="P27" s="183">
        <f t="shared" si="0"/>
        <v>205.64109999999999</v>
      </c>
      <c r="Q27" s="265">
        <f t="shared" si="1"/>
        <v>69917.974000000002</v>
      </c>
      <c r="R27" s="265">
        <f t="shared" si="2"/>
        <v>69918</v>
      </c>
    </row>
    <row r="28" spans="1:18" ht="17.45" thickBot="1">
      <c r="A28" s="209"/>
      <c r="B28" s="176">
        <v>426118</v>
      </c>
      <c r="C28" s="161" t="s">
        <v>513</v>
      </c>
      <c r="D28" s="210">
        <v>232732.66</v>
      </c>
      <c r="E28" s="174">
        <v>465465.32</v>
      </c>
      <c r="F28" s="174">
        <v>698197.98</v>
      </c>
      <c r="G28" s="174">
        <v>930930.64</v>
      </c>
      <c r="H28" s="174">
        <v>1163663.3</v>
      </c>
      <c r="I28" s="174">
        <v>1396395.96</v>
      </c>
      <c r="J28" s="174">
        <v>1642670.01</v>
      </c>
      <c r="K28" s="174">
        <v>1888944.06</v>
      </c>
      <c r="L28" s="174">
        <v>2135218.11</v>
      </c>
      <c r="M28" s="174">
        <v>2381492.16</v>
      </c>
      <c r="N28" s="174">
        <v>2627766.21</v>
      </c>
      <c r="O28" s="174"/>
      <c r="P28" s="183">
        <f t="shared" si="0"/>
        <v>698.19798000000003</v>
      </c>
      <c r="Q28" s="265">
        <f t="shared" si="1"/>
        <v>237387.3132</v>
      </c>
      <c r="R28" s="265">
        <f t="shared" si="2"/>
        <v>237387</v>
      </c>
    </row>
    <row r="29" spans="1:18" s="172" customFormat="1" ht="17.45" thickBot="1">
      <c r="A29" s="1154" t="s">
        <v>5721</v>
      </c>
      <c r="B29" s="1155"/>
      <c r="C29" s="1156"/>
      <c r="D29" s="264">
        <f t="shared" ref="D29:O29" si="5">SUM(D13:D28)</f>
        <v>307464.94</v>
      </c>
      <c r="E29" s="264">
        <f t="shared" si="5"/>
        <v>611401.38</v>
      </c>
      <c r="F29" s="264">
        <f t="shared" si="5"/>
        <v>1220201.25</v>
      </c>
      <c r="G29" s="264">
        <f t="shared" si="5"/>
        <v>1553459.56</v>
      </c>
      <c r="H29" s="264">
        <f t="shared" si="5"/>
        <v>1888014.31</v>
      </c>
      <c r="I29" s="264">
        <f t="shared" si="5"/>
        <v>2321027.0099999998</v>
      </c>
      <c r="J29" s="264">
        <f t="shared" si="5"/>
        <v>2666514.0699999998</v>
      </c>
      <c r="K29" s="264">
        <f t="shared" si="5"/>
        <v>3011342.62</v>
      </c>
      <c r="L29" s="264">
        <f t="shared" si="5"/>
        <v>3835652.3899999997</v>
      </c>
      <c r="M29" s="264">
        <f t="shared" si="5"/>
        <v>4205622.42</v>
      </c>
      <c r="N29" s="264">
        <f t="shared" si="5"/>
        <v>4546610.88</v>
      </c>
      <c r="O29" s="264">
        <f t="shared" si="5"/>
        <v>0</v>
      </c>
      <c r="P29" s="183">
        <f t="shared" si="0"/>
        <v>1220.2012500000001</v>
      </c>
      <c r="Q29" s="265">
        <f t="shared" si="1"/>
        <v>414868.42500000005</v>
      </c>
      <c r="R29" s="265">
        <f t="shared" si="2"/>
        <v>414868</v>
      </c>
    </row>
    <row r="30" spans="1:18" s="172" customFormat="1" ht="17.45" thickBot="1">
      <c r="A30" s="1158" t="s">
        <v>5722</v>
      </c>
      <c r="B30" s="1159"/>
      <c r="C30" s="1160"/>
      <c r="D30" s="201"/>
      <c r="E30" s="201"/>
      <c r="F30" s="201"/>
      <c r="G30" s="262"/>
      <c r="H30" s="262"/>
      <c r="I30" s="201"/>
      <c r="J30" s="201"/>
      <c r="K30" s="201"/>
      <c r="L30" s="201"/>
      <c r="M30" s="201"/>
      <c r="N30" s="201"/>
      <c r="O30" s="201"/>
      <c r="P30" s="183">
        <f t="shared" si="0"/>
        <v>0</v>
      </c>
      <c r="Q30" s="265">
        <f t="shared" si="1"/>
        <v>0</v>
      </c>
      <c r="R30" s="265">
        <f t="shared" si="2"/>
        <v>0</v>
      </c>
    </row>
    <row r="31" spans="1:18" s="256" customFormat="1" ht="18" customHeight="1">
      <c r="A31" s="258"/>
      <c r="B31" s="196">
        <v>211161</v>
      </c>
      <c r="C31" s="181" t="s">
        <v>5723</v>
      </c>
      <c r="D31" s="257">
        <v>295160.96999999997</v>
      </c>
      <c r="E31" s="174">
        <v>590321.93999999994</v>
      </c>
      <c r="F31" s="257">
        <v>885482.91</v>
      </c>
      <c r="G31" s="174">
        <v>1180643.8799999999</v>
      </c>
      <c r="H31" s="167">
        <v>1475804.85</v>
      </c>
      <c r="I31" s="167">
        <v>1770965.82</v>
      </c>
      <c r="J31" s="167">
        <v>2081418.04</v>
      </c>
      <c r="K31" s="167">
        <v>2391870.2599999998</v>
      </c>
      <c r="L31" s="167">
        <v>2702322.48</v>
      </c>
      <c r="M31" s="174">
        <v>3012774.7</v>
      </c>
      <c r="N31" s="174">
        <v>3323226.92</v>
      </c>
      <c r="O31" s="174"/>
      <c r="P31" s="183">
        <f t="shared" si="0"/>
        <v>885.48291000000006</v>
      </c>
      <c r="Q31" s="265">
        <f t="shared" si="1"/>
        <v>301064.18940000003</v>
      </c>
      <c r="R31" s="265">
        <f t="shared" si="2"/>
        <v>301064</v>
      </c>
    </row>
    <row r="32" spans="1:18" s="256" customFormat="1" ht="18" customHeight="1">
      <c r="A32" s="258" t="s">
        <v>5724</v>
      </c>
      <c r="B32" s="196">
        <v>33611</v>
      </c>
      <c r="C32" s="181" t="s">
        <v>4994</v>
      </c>
      <c r="D32" s="210">
        <v>0</v>
      </c>
      <c r="E32" s="257"/>
      <c r="F32" s="257">
        <v>471625.52</v>
      </c>
      <c r="G32" s="174">
        <v>471625.52</v>
      </c>
      <c r="H32" s="174">
        <v>471625.52</v>
      </c>
      <c r="I32" s="167">
        <v>473042.01</v>
      </c>
      <c r="J32" s="174">
        <v>473042.01</v>
      </c>
      <c r="K32" s="174">
        <v>473042.01</v>
      </c>
      <c r="L32" s="167">
        <v>624080.55000000005</v>
      </c>
      <c r="M32" s="174">
        <v>624080.55000000005</v>
      </c>
      <c r="N32" s="174">
        <v>624080.55000000005</v>
      </c>
      <c r="O32" s="174"/>
      <c r="P32" s="183">
        <f t="shared" si="0"/>
        <v>471.62551999999999</v>
      </c>
      <c r="Q32" s="265">
        <f t="shared" si="1"/>
        <v>160352.67680000002</v>
      </c>
      <c r="R32" s="265">
        <f t="shared" si="2"/>
        <v>160353</v>
      </c>
    </row>
    <row r="33" spans="1:18" s="256" customFormat="1" ht="18" customHeight="1">
      <c r="A33" s="258"/>
      <c r="B33" s="196">
        <v>33612</v>
      </c>
      <c r="C33" s="181" t="s">
        <v>4996</v>
      </c>
      <c r="D33" s="210">
        <v>0</v>
      </c>
      <c r="E33" s="257"/>
      <c r="F33" s="257">
        <v>0</v>
      </c>
      <c r="G33" s="174">
        <v>0</v>
      </c>
      <c r="H33" s="174">
        <v>0</v>
      </c>
      <c r="I33" s="167">
        <v>0</v>
      </c>
      <c r="J33" s="174">
        <v>0</v>
      </c>
      <c r="K33" s="174">
        <v>0</v>
      </c>
      <c r="L33" s="167">
        <v>0</v>
      </c>
      <c r="M33" s="174"/>
      <c r="N33" s="174"/>
      <c r="O33" s="174"/>
      <c r="P33" s="183">
        <f t="shared" si="0"/>
        <v>0</v>
      </c>
      <c r="Q33" s="265">
        <f t="shared" si="1"/>
        <v>0</v>
      </c>
      <c r="R33" s="265">
        <f t="shared" si="2"/>
        <v>0</v>
      </c>
    </row>
    <row r="34" spans="1:18" s="256" customFormat="1" ht="18" customHeight="1">
      <c r="A34" s="258"/>
      <c r="B34" s="196">
        <v>33613</v>
      </c>
      <c r="C34" s="181" t="s">
        <v>4998</v>
      </c>
      <c r="D34" s="210">
        <v>0</v>
      </c>
      <c r="E34" s="257"/>
      <c r="F34" s="257">
        <v>0</v>
      </c>
      <c r="G34" s="174">
        <v>0</v>
      </c>
      <c r="H34" s="174">
        <v>0</v>
      </c>
      <c r="I34" s="167">
        <v>0</v>
      </c>
      <c r="J34" s="174">
        <v>0</v>
      </c>
      <c r="K34" s="174">
        <v>0</v>
      </c>
      <c r="L34" s="167">
        <v>0</v>
      </c>
      <c r="M34" s="174"/>
      <c r="N34" s="174"/>
      <c r="O34" s="174"/>
      <c r="P34" s="183">
        <f t="shared" si="0"/>
        <v>0</v>
      </c>
      <c r="Q34" s="265">
        <f t="shared" si="1"/>
        <v>0</v>
      </c>
      <c r="R34" s="265">
        <f t="shared" si="2"/>
        <v>0</v>
      </c>
    </row>
    <row r="35" spans="1:18" s="256" customFormat="1" ht="18" customHeight="1" thickBot="1">
      <c r="A35" s="258"/>
      <c r="B35" s="196">
        <v>33614</v>
      </c>
      <c r="C35" s="181" t="s">
        <v>5725</v>
      </c>
      <c r="D35" s="210">
        <v>0</v>
      </c>
      <c r="E35" s="257"/>
      <c r="F35" s="257">
        <v>0</v>
      </c>
      <c r="G35" s="174">
        <v>0</v>
      </c>
      <c r="H35" s="174">
        <v>0</v>
      </c>
      <c r="I35" s="167">
        <v>0</v>
      </c>
      <c r="J35" s="174">
        <v>0</v>
      </c>
      <c r="K35" s="174">
        <v>0</v>
      </c>
      <c r="L35" s="167">
        <v>0</v>
      </c>
      <c r="M35" s="174"/>
      <c r="N35" s="174"/>
      <c r="O35" s="174"/>
      <c r="P35" s="183">
        <f t="shared" si="0"/>
        <v>0</v>
      </c>
      <c r="Q35" s="265">
        <f t="shared" si="1"/>
        <v>0</v>
      </c>
      <c r="R35" s="265">
        <f t="shared" si="2"/>
        <v>0</v>
      </c>
    </row>
    <row r="36" spans="1:18" s="172" customFormat="1" ht="17.45" thickBot="1">
      <c r="A36" s="1162" t="s">
        <v>5726</v>
      </c>
      <c r="B36" s="1163"/>
      <c r="C36" s="1164"/>
      <c r="D36" s="194">
        <f t="shared" ref="D36:N36" si="6">SUM(D31:D35)</f>
        <v>295160.96999999997</v>
      </c>
      <c r="E36" s="194">
        <f t="shared" si="6"/>
        <v>590321.93999999994</v>
      </c>
      <c r="F36" s="194">
        <f t="shared" si="6"/>
        <v>1357108.4300000002</v>
      </c>
      <c r="G36" s="194">
        <f t="shared" si="6"/>
        <v>1652269.4</v>
      </c>
      <c r="H36" s="194">
        <f t="shared" si="6"/>
        <v>1947430.37</v>
      </c>
      <c r="I36" s="194">
        <f t="shared" si="6"/>
        <v>2244007.83</v>
      </c>
      <c r="J36" s="194">
        <f t="shared" si="6"/>
        <v>2554460.0499999998</v>
      </c>
      <c r="K36" s="194">
        <f t="shared" si="6"/>
        <v>2864912.2699999996</v>
      </c>
      <c r="L36" s="194">
        <f t="shared" si="6"/>
        <v>3326403.0300000003</v>
      </c>
      <c r="M36" s="194">
        <f t="shared" si="6"/>
        <v>3636855.25</v>
      </c>
      <c r="N36" s="194">
        <f t="shared" si="6"/>
        <v>3947307.4699999997</v>
      </c>
      <c r="O36" s="194">
        <f>SUM(O31:O34)</f>
        <v>0</v>
      </c>
      <c r="P36" s="183">
        <f t="shared" si="0"/>
        <v>1357.1084300000002</v>
      </c>
      <c r="Q36" s="265">
        <f t="shared" si="1"/>
        <v>461416.86620000011</v>
      </c>
      <c r="R36" s="265">
        <f t="shared" si="2"/>
        <v>461417</v>
      </c>
    </row>
    <row r="37" spans="1:18">
      <c r="A37" s="253" t="s">
        <v>5727</v>
      </c>
      <c r="B37" s="170"/>
      <c r="C37" s="170"/>
      <c r="D37" s="903">
        <f t="shared" ref="D37:O37" si="7">D11+D29-D36</f>
        <v>1057551.060000001</v>
      </c>
      <c r="E37" s="248">
        <f t="shared" si="7"/>
        <v>1008083.1399999978</v>
      </c>
      <c r="F37" s="904">
        <f t="shared" si="7"/>
        <v>-763054.40000000643</v>
      </c>
      <c r="G37" s="903">
        <f t="shared" si="7"/>
        <v>-896024.23000000045</v>
      </c>
      <c r="H37" s="903">
        <f t="shared" si="7"/>
        <v>-1752820.3799999929</v>
      </c>
      <c r="I37" s="903">
        <f t="shared" si="7"/>
        <v>-599578.77000000328</v>
      </c>
      <c r="J37" s="248">
        <f t="shared" si="7"/>
        <v>-1833147.3100000131</v>
      </c>
      <c r="K37" s="248">
        <f t="shared" si="7"/>
        <v>-2521235.6800000006</v>
      </c>
      <c r="L37" s="903">
        <f t="shared" si="7"/>
        <v>-4156228.4299999923</v>
      </c>
      <c r="M37" s="903">
        <f t="shared" si="7"/>
        <v>-4910969.6599999834</v>
      </c>
      <c r="N37" s="903">
        <f t="shared" si="7"/>
        <v>-795860.49999999627</v>
      </c>
      <c r="O37" s="903">
        <f t="shared" si="7"/>
        <v>0</v>
      </c>
      <c r="P37" s="183">
        <f t="shared" si="0"/>
        <v>-763.05440000000647</v>
      </c>
      <c r="Q37" s="265">
        <f t="shared" si="1"/>
        <v>-259438.4960000022</v>
      </c>
      <c r="R37" s="265">
        <f t="shared" si="2"/>
        <v>-259438</v>
      </c>
    </row>
    <row r="38" spans="1:18" ht="17.45" thickBot="1">
      <c r="A38" s="161" t="s">
        <v>5728</v>
      </c>
      <c r="B38" s="161"/>
      <c r="C38" s="161"/>
      <c r="D38" s="902">
        <f t="shared" ref="D38:O38" si="8">-D37*30%</f>
        <v>-317265.31800000026</v>
      </c>
      <c r="E38" s="902">
        <f t="shared" si="8"/>
        <v>-302424.94199999934</v>
      </c>
      <c r="F38" s="902">
        <v>0</v>
      </c>
      <c r="G38" s="902">
        <v>0</v>
      </c>
      <c r="H38" s="902">
        <v>0</v>
      </c>
      <c r="I38" s="902">
        <v>0</v>
      </c>
      <c r="J38" s="902">
        <v>0</v>
      </c>
      <c r="K38" s="902">
        <v>0</v>
      </c>
      <c r="L38" s="902">
        <v>0</v>
      </c>
      <c r="M38" s="902">
        <v>0</v>
      </c>
      <c r="N38" s="902">
        <f t="shared" si="8"/>
        <v>238758.14999999886</v>
      </c>
      <c r="O38" s="902">
        <f t="shared" si="8"/>
        <v>0</v>
      </c>
      <c r="P38" s="183">
        <f t="shared" si="0"/>
        <v>0</v>
      </c>
      <c r="Q38" s="265">
        <f t="shared" si="1"/>
        <v>0</v>
      </c>
      <c r="R38" s="265">
        <f t="shared" si="2"/>
        <v>0</v>
      </c>
    </row>
    <row r="39" spans="1:18" ht="17.45" thickBot="1">
      <c r="A39" s="1140" t="s">
        <v>5729</v>
      </c>
      <c r="B39" s="1141"/>
      <c r="C39" s="1142"/>
      <c r="D39" s="900">
        <f t="shared" ref="D39:O39" si="9">D37+D38</f>
        <v>740285.74200000078</v>
      </c>
      <c r="E39" s="245">
        <f t="shared" si="9"/>
        <v>705658.19799999846</v>
      </c>
      <c r="F39" s="901">
        <f t="shared" si="9"/>
        <v>-763054.40000000643</v>
      </c>
      <c r="G39" s="900">
        <f t="shared" si="9"/>
        <v>-896024.23000000045</v>
      </c>
      <c r="H39" s="900">
        <f t="shared" si="9"/>
        <v>-1752820.3799999929</v>
      </c>
      <c r="I39" s="900">
        <f t="shared" si="9"/>
        <v>-599578.77000000328</v>
      </c>
      <c r="J39" s="245">
        <f t="shared" si="9"/>
        <v>-1833147.3100000131</v>
      </c>
      <c r="K39" s="245">
        <f t="shared" si="9"/>
        <v>-2521235.6800000006</v>
      </c>
      <c r="L39" s="900">
        <f t="shared" si="9"/>
        <v>-4156228.4299999923</v>
      </c>
      <c r="M39" s="900">
        <f t="shared" si="9"/>
        <v>-4910969.6599999834</v>
      </c>
      <c r="N39" s="900">
        <f t="shared" si="9"/>
        <v>-557102.34999999742</v>
      </c>
      <c r="O39" s="900">
        <f t="shared" si="9"/>
        <v>0</v>
      </c>
      <c r="P39" s="183">
        <f t="shared" si="0"/>
        <v>-763.05440000000647</v>
      </c>
      <c r="Q39" s="265">
        <f t="shared" si="1"/>
        <v>-259438.4960000022</v>
      </c>
      <c r="R39" s="265">
        <f t="shared" si="2"/>
        <v>-259438</v>
      </c>
    </row>
    <row r="40" spans="1:18" ht="17.45" thickBot="1">
      <c r="A40" s="1151" t="s">
        <v>5730</v>
      </c>
      <c r="B40" s="1152"/>
      <c r="C40" s="1153">
        <f>IF(C38&gt;0,C38*9%,0)</f>
        <v>0</v>
      </c>
      <c r="D40" s="215">
        <f t="shared" ref="D40:O40" si="10">IF(D39&gt;0,D39*0.09,0)</f>
        <v>66625.716780000075</v>
      </c>
      <c r="E40" s="244">
        <f t="shared" si="10"/>
        <v>63509.237819999857</v>
      </c>
      <c r="F40" s="243">
        <f t="shared" si="10"/>
        <v>0</v>
      </c>
      <c r="G40" s="243">
        <f t="shared" si="10"/>
        <v>0</v>
      </c>
      <c r="H40" s="243">
        <f t="shared" si="10"/>
        <v>0</v>
      </c>
      <c r="I40" s="243">
        <f t="shared" si="10"/>
        <v>0</v>
      </c>
      <c r="J40" s="215">
        <f t="shared" si="10"/>
        <v>0</v>
      </c>
      <c r="K40" s="215">
        <f t="shared" si="10"/>
        <v>0</v>
      </c>
      <c r="L40" s="215">
        <f t="shared" si="10"/>
        <v>0</v>
      </c>
      <c r="M40" s="215">
        <f t="shared" si="10"/>
        <v>0</v>
      </c>
      <c r="N40" s="215">
        <f t="shared" si="10"/>
        <v>0</v>
      </c>
      <c r="O40" s="215">
        <f t="shared" si="10"/>
        <v>0</v>
      </c>
      <c r="P40" s="183">
        <f t="shared" si="0"/>
        <v>0</v>
      </c>
      <c r="Q40" s="265">
        <f t="shared" si="1"/>
        <v>0</v>
      </c>
      <c r="R40" s="265">
        <f t="shared" si="2"/>
        <v>0</v>
      </c>
    </row>
    <row r="41" spans="1:18">
      <c r="A41" s="161"/>
      <c r="B41" s="160"/>
      <c r="C41" s="160"/>
      <c r="D41" s="158"/>
      <c r="E41" s="158"/>
      <c r="F41" s="242"/>
      <c r="G41" s="158"/>
      <c r="H41" s="241"/>
      <c r="I41" s="158"/>
      <c r="J41" s="158"/>
      <c r="K41" s="158"/>
      <c r="L41" s="158"/>
      <c r="M41" s="158"/>
      <c r="N41" s="158"/>
      <c r="O41" s="158"/>
      <c r="R41" s="126"/>
    </row>
    <row r="42" spans="1:18">
      <c r="A42" s="1169" t="s">
        <v>5731</v>
      </c>
      <c r="B42" s="1170"/>
      <c r="C42" s="1171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R42" s="126"/>
    </row>
    <row r="43" spans="1:18">
      <c r="A43" s="161" t="s">
        <v>5732</v>
      </c>
      <c r="B43" s="160"/>
      <c r="C43" s="160">
        <v>0</v>
      </c>
      <c r="D43" s="165">
        <v>0</v>
      </c>
      <c r="E43" s="240">
        <f>D48</f>
        <v>66625.716780000075</v>
      </c>
      <c r="F43" s="240">
        <f>E43</f>
        <v>66625.716780000075</v>
      </c>
      <c r="G43" s="240">
        <f>F46</f>
        <v>66625.716780000075</v>
      </c>
      <c r="H43" s="240">
        <f>G46</f>
        <v>66625.716780000075</v>
      </c>
      <c r="I43" s="240">
        <f>H46</f>
        <v>66625.716780000075</v>
      </c>
      <c r="J43" s="240">
        <f>I43</f>
        <v>66625.716780000075</v>
      </c>
      <c r="K43" s="240">
        <v>66625.716780000075</v>
      </c>
      <c r="L43" s="240">
        <f>K46</f>
        <v>66625.716780000075</v>
      </c>
      <c r="M43" s="240">
        <f>L43</f>
        <v>66625.716780000075</v>
      </c>
      <c r="N43" s="240">
        <f>M43</f>
        <v>66625.716780000075</v>
      </c>
      <c r="O43" s="240">
        <f>N46+N48</f>
        <v>0</v>
      </c>
      <c r="R43" s="126"/>
    </row>
    <row r="44" spans="1:18">
      <c r="A44" s="161" t="s">
        <v>5733</v>
      </c>
      <c r="B44" s="165"/>
      <c r="C44" s="165">
        <v>0</v>
      </c>
      <c r="D44" s="165">
        <v>0</v>
      </c>
      <c r="E44" s="165">
        <v>0</v>
      </c>
      <c r="F44" s="165">
        <v>0</v>
      </c>
      <c r="G44" s="165">
        <v>0</v>
      </c>
      <c r="H44" s="165">
        <v>0</v>
      </c>
      <c r="I44" s="165">
        <v>0</v>
      </c>
      <c r="J44" s="165">
        <v>0</v>
      </c>
      <c r="K44" s="165">
        <v>0</v>
      </c>
      <c r="L44" s="165">
        <v>0</v>
      </c>
      <c r="M44" s="165">
        <v>0</v>
      </c>
      <c r="N44" s="165">
        <v>0</v>
      </c>
      <c r="O44" s="165">
        <v>0</v>
      </c>
      <c r="R44" s="126"/>
    </row>
    <row r="45" spans="1:18" ht="17.45" thickBot="1">
      <c r="A45" s="161"/>
      <c r="B45" s="160"/>
      <c r="C45" s="160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R45" s="126"/>
    </row>
    <row r="46" spans="1:18" ht="17.45" thickBot="1">
      <c r="A46" s="1151" t="s">
        <v>5734</v>
      </c>
      <c r="B46" s="1152">
        <v>0</v>
      </c>
      <c r="C46" s="1153">
        <f t="shared" ref="C46:O46" si="11">SUM(C43:C45)</f>
        <v>0</v>
      </c>
      <c r="D46" s="217">
        <f t="shared" si="11"/>
        <v>0</v>
      </c>
      <c r="E46" s="215">
        <f t="shared" si="11"/>
        <v>66625.716780000075</v>
      </c>
      <c r="F46" s="215">
        <f t="shared" si="11"/>
        <v>66625.716780000075</v>
      </c>
      <c r="G46" s="215">
        <f t="shared" si="11"/>
        <v>66625.716780000075</v>
      </c>
      <c r="H46" s="215">
        <f t="shared" si="11"/>
        <v>66625.716780000075</v>
      </c>
      <c r="I46" s="215">
        <f t="shared" si="11"/>
        <v>66625.716780000075</v>
      </c>
      <c r="J46" s="215">
        <f t="shared" si="11"/>
        <v>66625.716780000075</v>
      </c>
      <c r="K46" s="215">
        <f t="shared" si="11"/>
        <v>66625.716780000075</v>
      </c>
      <c r="L46" s="215">
        <f t="shared" si="11"/>
        <v>66625.716780000075</v>
      </c>
      <c r="M46" s="215">
        <f t="shared" si="11"/>
        <v>66625.716780000075</v>
      </c>
      <c r="N46" s="215">
        <f t="shared" si="11"/>
        <v>66625.716780000075</v>
      </c>
      <c r="O46" s="215">
        <f t="shared" si="11"/>
        <v>0</v>
      </c>
      <c r="P46" s="183"/>
      <c r="R46" s="183"/>
    </row>
    <row r="47" spans="1:18" ht="17.45" thickBot="1">
      <c r="A47" s="181"/>
      <c r="B47" s="180"/>
      <c r="C47" s="180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R47" s="126"/>
    </row>
    <row r="48" spans="1:18" ht="21" thickBot="1">
      <c r="A48" s="1143" t="s">
        <v>5735</v>
      </c>
      <c r="B48" s="1144"/>
      <c r="C48" s="1145"/>
      <c r="D48" s="215">
        <f t="shared" ref="D48:O48" si="12">D40-D46</f>
        <v>66625.716780000075</v>
      </c>
      <c r="E48" s="215">
        <f t="shared" si="12"/>
        <v>-3116.4789600002186</v>
      </c>
      <c r="F48" s="215">
        <f t="shared" si="12"/>
        <v>-66625.716780000075</v>
      </c>
      <c r="G48" s="215">
        <f t="shared" si="12"/>
        <v>-66625.716780000075</v>
      </c>
      <c r="H48" s="215">
        <f t="shared" si="12"/>
        <v>-66625.716780000075</v>
      </c>
      <c r="I48" s="215">
        <f t="shared" si="12"/>
        <v>-66625.716780000075</v>
      </c>
      <c r="J48" s="215">
        <f t="shared" si="12"/>
        <v>-66625.716780000075</v>
      </c>
      <c r="K48" s="215">
        <f t="shared" si="12"/>
        <v>-66625.716780000075</v>
      </c>
      <c r="L48" s="215">
        <f t="shared" si="12"/>
        <v>-66625.716780000075</v>
      </c>
      <c r="M48" s="215">
        <f t="shared" si="12"/>
        <v>-66625.716780000075</v>
      </c>
      <c r="N48" s="215">
        <f t="shared" si="12"/>
        <v>-66625.716780000075</v>
      </c>
      <c r="O48" s="215">
        <f t="shared" si="12"/>
        <v>0</v>
      </c>
      <c r="P48" s="899"/>
      <c r="R48" s="183"/>
    </row>
    <row r="49" spans="1:18">
      <c r="D49" s="125"/>
      <c r="E49" s="125"/>
      <c r="P49" s="183"/>
      <c r="R49" s="183"/>
    </row>
    <row r="50" spans="1:18">
      <c r="A50" s="239"/>
      <c r="B50" s="238"/>
      <c r="C50" s="238"/>
      <c r="D50" s="237"/>
      <c r="E50" s="237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183"/>
      <c r="R50" s="183"/>
    </row>
    <row r="51" spans="1:18">
      <c r="A51" s="236"/>
      <c r="B51" s="235"/>
      <c r="C51" s="235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4"/>
      <c r="P51" s="183"/>
      <c r="R51" s="183"/>
    </row>
    <row r="52" spans="1:18">
      <c r="D52" s="125"/>
      <c r="E52" s="125"/>
      <c r="P52" s="183"/>
      <c r="R52" s="183"/>
    </row>
    <row r="53" spans="1:18">
      <c r="A53" s="1146" t="s">
        <v>5736</v>
      </c>
      <c r="B53" s="233" t="s">
        <v>5694</v>
      </c>
      <c r="C53" s="232" t="s">
        <v>213</v>
      </c>
      <c r="D53" s="231" t="s">
        <v>5695</v>
      </c>
      <c r="E53" s="231" t="s">
        <v>5696</v>
      </c>
      <c r="F53" s="231" t="s">
        <v>5697</v>
      </c>
      <c r="G53" s="231" t="s">
        <v>5698</v>
      </c>
      <c r="H53" s="231" t="s">
        <v>5699</v>
      </c>
      <c r="I53" s="231" t="s">
        <v>5700</v>
      </c>
      <c r="J53" s="231" t="s">
        <v>5701</v>
      </c>
      <c r="K53" s="231" t="s">
        <v>5702</v>
      </c>
      <c r="L53" s="231" t="s">
        <v>5703</v>
      </c>
      <c r="M53" s="231" t="s">
        <v>5704</v>
      </c>
      <c r="N53" s="231" t="s">
        <v>5705</v>
      </c>
      <c r="O53" s="231" t="s">
        <v>5706</v>
      </c>
      <c r="R53" s="126"/>
    </row>
    <row r="54" spans="1:18">
      <c r="A54" s="1147"/>
      <c r="B54" s="230">
        <v>3</v>
      </c>
      <c r="C54" s="161" t="s">
        <v>184</v>
      </c>
      <c r="D54" s="150">
        <f t="shared" ref="D54:O54" si="13">D7</f>
        <v>16579068.48</v>
      </c>
      <c r="E54" s="229">
        <f t="shared" si="13"/>
        <v>29928833.899999999</v>
      </c>
      <c r="F54" s="150">
        <f t="shared" si="13"/>
        <v>43581347.619999997</v>
      </c>
      <c r="G54" s="174">
        <f t="shared" si="13"/>
        <v>57962616.009999998</v>
      </c>
      <c r="H54" s="174">
        <f t="shared" si="13"/>
        <v>71114198.730000004</v>
      </c>
      <c r="I54" s="174">
        <f t="shared" si="13"/>
        <v>86783237.25</v>
      </c>
      <c r="J54" s="150">
        <f t="shared" si="13"/>
        <v>99742675.319999993</v>
      </c>
      <c r="K54" s="174">
        <f t="shared" si="13"/>
        <v>112808286.84</v>
      </c>
      <c r="L54" s="150">
        <f t="shared" si="13"/>
        <v>126423162.04000001</v>
      </c>
      <c r="M54" s="150">
        <f t="shared" si="13"/>
        <v>140935926.84</v>
      </c>
      <c r="N54" s="150">
        <f t="shared" si="13"/>
        <v>160188305.08000001</v>
      </c>
      <c r="O54" s="174">
        <f t="shared" si="13"/>
        <v>0</v>
      </c>
      <c r="R54" s="126"/>
    </row>
    <row r="55" spans="1:18">
      <c r="A55" s="228"/>
      <c r="B55" s="227">
        <v>4</v>
      </c>
      <c r="C55" s="181" t="s">
        <v>970</v>
      </c>
      <c r="D55" s="226">
        <f t="shared" ref="D55:O55" si="14">D8</f>
        <v>15780549.77</v>
      </c>
      <c r="E55" s="225">
        <f t="shared" si="14"/>
        <v>29187085.640000001</v>
      </c>
      <c r="F55" s="150">
        <f t="shared" si="14"/>
        <v>44207494.840000004</v>
      </c>
      <c r="G55" s="174">
        <f t="shared" si="14"/>
        <v>58759830.399999999</v>
      </c>
      <c r="H55" s="174">
        <f t="shared" si="14"/>
        <v>72807603.049999997</v>
      </c>
      <c r="I55" s="174">
        <f t="shared" si="14"/>
        <v>87459835.200000003</v>
      </c>
      <c r="J55" s="150">
        <f t="shared" si="14"/>
        <v>101687876.65000001</v>
      </c>
      <c r="K55" s="174">
        <f t="shared" si="14"/>
        <v>115475952.87</v>
      </c>
      <c r="L55" s="150">
        <f t="shared" si="14"/>
        <v>131088639.83</v>
      </c>
      <c r="M55" s="150">
        <f t="shared" si="14"/>
        <v>146415663.66999999</v>
      </c>
      <c r="N55" s="150">
        <f t="shared" si="14"/>
        <v>161583468.99000001</v>
      </c>
      <c r="O55" s="174">
        <f t="shared" si="14"/>
        <v>0</v>
      </c>
      <c r="R55" s="126"/>
    </row>
    <row r="56" spans="1:18" ht="23.25" customHeight="1">
      <c r="A56" s="1148" t="s">
        <v>5737</v>
      </c>
      <c r="B56" s="1149"/>
      <c r="C56" s="1150"/>
      <c r="D56" s="223">
        <f t="shared" ref="D56:O56" si="15">D54-D55</f>
        <v>798518.71000000089</v>
      </c>
      <c r="E56" s="223">
        <f t="shared" si="15"/>
        <v>741748.25999999791</v>
      </c>
      <c r="F56" s="223">
        <f t="shared" si="15"/>
        <v>-626147.22000000626</v>
      </c>
      <c r="G56" s="222">
        <f t="shared" si="15"/>
        <v>-797214.3900000006</v>
      </c>
      <c r="H56" s="222">
        <f t="shared" si="15"/>
        <v>-1693404.3199999928</v>
      </c>
      <c r="I56" s="222">
        <f t="shared" si="15"/>
        <v>-676597.95000000298</v>
      </c>
      <c r="J56" s="223">
        <f t="shared" si="15"/>
        <v>-1945201.3300000131</v>
      </c>
      <c r="K56" s="222">
        <f t="shared" si="15"/>
        <v>-2667666.0300000012</v>
      </c>
      <c r="L56" s="223">
        <f t="shared" si="15"/>
        <v>-4665477.7899999917</v>
      </c>
      <c r="M56" s="224">
        <f t="shared" si="15"/>
        <v>-5479736.8299999833</v>
      </c>
      <c r="N56" s="223">
        <f t="shared" si="15"/>
        <v>-1395163.9099999964</v>
      </c>
      <c r="O56" s="222">
        <f t="shared" si="15"/>
        <v>0</v>
      </c>
      <c r="R56" s="126"/>
    </row>
    <row r="57" spans="1:18" ht="17.45" thickBot="1">
      <c r="A57" s="221" t="s">
        <v>5738</v>
      </c>
      <c r="B57" s="220" t="s">
        <v>5709</v>
      </c>
      <c r="C57" s="189" t="s">
        <v>5710</v>
      </c>
      <c r="D57" s="218">
        <f t="shared" ref="D57:O57" si="16">D10</f>
        <v>246728.38</v>
      </c>
      <c r="E57" s="218">
        <f t="shared" si="16"/>
        <v>245255.44</v>
      </c>
      <c r="F57" s="218">
        <f t="shared" si="16"/>
        <v>0</v>
      </c>
      <c r="G57" s="218">
        <f t="shared" si="16"/>
        <v>0</v>
      </c>
      <c r="H57" s="218">
        <f t="shared" si="16"/>
        <v>0</v>
      </c>
      <c r="I57" s="218">
        <f t="shared" si="16"/>
        <v>0</v>
      </c>
      <c r="J57" s="218">
        <f t="shared" si="16"/>
        <v>0</v>
      </c>
      <c r="K57" s="218">
        <f t="shared" si="16"/>
        <v>0</v>
      </c>
      <c r="L57" s="218">
        <f t="shared" si="16"/>
        <v>0</v>
      </c>
      <c r="M57" s="218">
        <f t="shared" si="16"/>
        <v>0</v>
      </c>
      <c r="N57" s="218">
        <f t="shared" si="16"/>
        <v>0</v>
      </c>
      <c r="O57" s="218">
        <f t="shared" si="16"/>
        <v>0</v>
      </c>
      <c r="P57" s="892"/>
      <c r="R57" s="126"/>
    </row>
    <row r="58" spans="1:18" ht="17.45" thickBot="1">
      <c r="A58" s="1151" t="s">
        <v>5739</v>
      </c>
      <c r="B58" s="1152"/>
      <c r="C58" s="1153"/>
      <c r="D58" s="215">
        <f t="shared" ref="D58:O58" si="17">D56+D57</f>
        <v>1045247.0900000009</v>
      </c>
      <c r="E58" s="215">
        <f t="shared" si="17"/>
        <v>987003.69999999786</v>
      </c>
      <c r="F58" s="215">
        <f t="shared" si="17"/>
        <v>-626147.22000000626</v>
      </c>
      <c r="G58" s="217">
        <f t="shared" si="17"/>
        <v>-797214.3900000006</v>
      </c>
      <c r="H58" s="217">
        <f t="shared" si="17"/>
        <v>-1693404.3199999928</v>
      </c>
      <c r="I58" s="217">
        <f t="shared" si="17"/>
        <v>-676597.95000000298</v>
      </c>
      <c r="J58" s="215">
        <f t="shared" si="17"/>
        <v>-1945201.3300000131</v>
      </c>
      <c r="K58" s="217">
        <f t="shared" si="17"/>
        <v>-2667666.0300000012</v>
      </c>
      <c r="L58" s="215">
        <f t="shared" si="17"/>
        <v>-4665477.7899999917</v>
      </c>
      <c r="M58" s="216">
        <f t="shared" si="17"/>
        <v>-5479736.8299999833</v>
      </c>
      <c r="N58" s="215">
        <f t="shared" si="17"/>
        <v>-1395163.9099999964</v>
      </c>
      <c r="O58" s="217">
        <f t="shared" si="17"/>
        <v>0</v>
      </c>
      <c r="P58" s="899">
        <f>J58-J11</f>
        <v>0</v>
      </c>
      <c r="Q58" s="203"/>
      <c r="R58" s="899"/>
    </row>
    <row r="59" spans="1:18" s="172" customFormat="1" ht="17.45" thickBot="1">
      <c r="A59" s="1154" t="s">
        <v>5712</v>
      </c>
      <c r="B59" s="1155"/>
      <c r="C59" s="1156"/>
      <c r="D59" s="214"/>
      <c r="E59" s="214"/>
      <c r="F59" s="214"/>
      <c r="G59" s="214"/>
      <c r="H59" s="214"/>
      <c r="I59" s="214"/>
      <c r="J59" s="214"/>
      <c r="K59" s="214"/>
      <c r="L59" s="214"/>
      <c r="M59" s="214"/>
      <c r="N59" s="214"/>
      <c r="O59" s="214"/>
      <c r="P59" s="173"/>
      <c r="R59" s="173"/>
    </row>
    <row r="60" spans="1:18">
      <c r="A60" s="1157" t="s">
        <v>5713</v>
      </c>
      <c r="B60" s="213">
        <v>411111</v>
      </c>
      <c r="C60" s="212" t="s">
        <v>5714</v>
      </c>
      <c r="D60" s="174">
        <f t="shared" ref="D60:O60" si="18">D13</f>
        <v>0</v>
      </c>
      <c r="E60" s="174">
        <f t="shared" si="18"/>
        <v>0</v>
      </c>
      <c r="F60" s="174">
        <f t="shared" si="18"/>
        <v>14208.45</v>
      </c>
      <c r="G60" s="174">
        <f t="shared" si="18"/>
        <v>45537.56</v>
      </c>
      <c r="H60" s="174">
        <f t="shared" si="18"/>
        <v>70254.03</v>
      </c>
      <c r="I60" s="174">
        <f t="shared" si="18"/>
        <v>85929.88</v>
      </c>
      <c r="J60" s="174">
        <f t="shared" si="18"/>
        <v>115269.95</v>
      </c>
      <c r="K60" s="174">
        <f t="shared" si="18"/>
        <v>145084.01999999999</v>
      </c>
      <c r="L60" s="174">
        <f t="shared" si="18"/>
        <v>173936.35</v>
      </c>
      <c r="M60" s="174">
        <f t="shared" si="18"/>
        <v>214941.03</v>
      </c>
      <c r="N60" s="174">
        <f t="shared" si="18"/>
        <v>243793.36</v>
      </c>
      <c r="O60" s="174">
        <f t="shared" si="18"/>
        <v>0</v>
      </c>
      <c r="P60" s="892"/>
      <c r="R60" s="126"/>
    </row>
    <row r="61" spans="1:18">
      <c r="A61" s="1157"/>
      <c r="B61" s="176">
        <v>411113</v>
      </c>
      <c r="C61" s="175" t="s">
        <v>988</v>
      </c>
      <c r="D61" s="174">
        <f t="shared" ref="D61:O61" si="19">D14</f>
        <v>0</v>
      </c>
      <c r="E61" s="174">
        <f t="shared" si="19"/>
        <v>0</v>
      </c>
      <c r="F61" s="174">
        <f t="shared" si="19"/>
        <v>0</v>
      </c>
      <c r="G61" s="174">
        <f t="shared" si="19"/>
        <v>0</v>
      </c>
      <c r="H61" s="174">
        <f t="shared" si="19"/>
        <v>8832.86</v>
      </c>
      <c r="I61" s="174">
        <f t="shared" si="19"/>
        <v>17919.93</v>
      </c>
      <c r="J61" s="174">
        <f t="shared" si="19"/>
        <v>17919.93</v>
      </c>
      <c r="K61" s="174">
        <f t="shared" si="19"/>
        <v>17919.93</v>
      </c>
      <c r="L61" s="174">
        <f t="shared" si="19"/>
        <v>17919.93</v>
      </c>
      <c r="M61" s="174">
        <f t="shared" si="19"/>
        <v>27115.23</v>
      </c>
      <c r="N61" s="174">
        <f t="shared" si="19"/>
        <v>27115.23</v>
      </c>
      <c r="O61" s="174">
        <f t="shared" si="19"/>
        <v>0</v>
      </c>
      <c r="P61" s="892"/>
      <c r="R61" s="126"/>
    </row>
    <row r="62" spans="1:18">
      <c r="A62" s="1157"/>
      <c r="B62" s="176">
        <v>411310</v>
      </c>
      <c r="C62" s="175" t="s">
        <v>1013</v>
      </c>
      <c r="D62" s="174">
        <f t="shared" ref="D62:O62" si="20">D15</f>
        <v>3881.94</v>
      </c>
      <c r="E62" s="174">
        <f t="shared" si="20"/>
        <v>5899.54</v>
      </c>
      <c r="F62" s="174">
        <f t="shared" si="20"/>
        <v>7886.41</v>
      </c>
      <c r="G62" s="174">
        <f t="shared" si="20"/>
        <v>9835.0499999999993</v>
      </c>
      <c r="H62" s="174">
        <f t="shared" si="20"/>
        <v>11788.69</v>
      </c>
      <c r="I62" s="174">
        <f t="shared" si="20"/>
        <v>13487.55</v>
      </c>
      <c r="J62" s="174">
        <f t="shared" si="20"/>
        <v>15459.05</v>
      </c>
      <c r="K62" s="174">
        <f t="shared" si="20"/>
        <v>17320.919999999998</v>
      </c>
      <c r="L62" s="174">
        <f t="shared" si="20"/>
        <v>19171.29</v>
      </c>
      <c r="M62" s="174">
        <f t="shared" si="20"/>
        <v>20937.43</v>
      </c>
      <c r="N62" s="174">
        <f t="shared" si="20"/>
        <v>22881.89</v>
      </c>
      <c r="O62" s="174">
        <f t="shared" si="20"/>
        <v>0</v>
      </c>
      <c r="R62" s="126"/>
    </row>
    <row r="63" spans="1:18">
      <c r="A63" s="1157"/>
      <c r="B63" s="176">
        <v>416211</v>
      </c>
      <c r="C63" s="175" t="s">
        <v>5715</v>
      </c>
      <c r="D63" s="174">
        <f t="shared" ref="D63:O63" si="21">D16</f>
        <v>0</v>
      </c>
      <c r="E63" s="174">
        <f t="shared" si="21"/>
        <v>0</v>
      </c>
      <c r="F63" s="174">
        <f t="shared" si="21"/>
        <v>0</v>
      </c>
      <c r="G63" s="174">
        <f t="shared" si="21"/>
        <v>0</v>
      </c>
      <c r="H63" s="174">
        <f t="shared" si="21"/>
        <v>0</v>
      </c>
      <c r="I63" s="174">
        <f t="shared" si="21"/>
        <v>0</v>
      </c>
      <c r="J63" s="174">
        <f t="shared" si="21"/>
        <v>0</v>
      </c>
      <c r="K63" s="174">
        <f t="shared" si="21"/>
        <v>0</v>
      </c>
      <c r="L63" s="174">
        <f t="shared" si="21"/>
        <v>0</v>
      </c>
      <c r="M63" s="174">
        <f t="shared" si="21"/>
        <v>0</v>
      </c>
      <c r="N63" s="174">
        <f t="shared" si="21"/>
        <v>0</v>
      </c>
      <c r="O63" s="174">
        <f t="shared" si="21"/>
        <v>0</v>
      </c>
      <c r="R63" s="126"/>
    </row>
    <row r="64" spans="1:18">
      <c r="A64" s="1157"/>
      <c r="B64" s="176">
        <v>421110</v>
      </c>
      <c r="C64" s="175" t="s">
        <v>5714</v>
      </c>
      <c r="D64" s="174">
        <f t="shared" ref="D64:O64" si="22">D17</f>
        <v>0</v>
      </c>
      <c r="E64" s="174">
        <f t="shared" si="22"/>
        <v>0</v>
      </c>
      <c r="F64" s="174">
        <f t="shared" si="22"/>
        <v>0</v>
      </c>
      <c r="G64" s="174">
        <f t="shared" si="22"/>
        <v>0</v>
      </c>
      <c r="H64" s="174">
        <f t="shared" si="22"/>
        <v>0</v>
      </c>
      <c r="I64" s="174">
        <f t="shared" si="22"/>
        <v>0</v>
      </c>
      <c r="J64" s="174">
        <f t="shared" si="22"/>
        <v>0</v>
      </c>
      <c r="K64" s="174">
        <f t="shared" si="22"/>
        <v>0</v>
      </c>
      <c r="L64" s="174">
        <f t="shared" si="22"/>
        <v>0</v>
      </c>
      <c r="M64" s="174">
        <f t="shared" si="22"/>
        <v>0</v>
      </c>
      <c r="N64" s="174">
        <f t="shared" si="22"/>
        <v>0</v>
      </c>
      <c r="O64" s="174">
        <f t="shared" si="22"/>
        <v>0</v>
      </c>
      <c r="R64" s="126"/>
    </row>
    <row r="65" spans="1:18">
      <c r="A65" s="1157"/>
      <c r="B65" s="176">
        <v>421112</v>
      </c>
      <c r="C65" s="175" t="s">
        <v>988</v>
      </c>
      <c r="D65" s="174">
        <f t="shared" ref="D65:O65" si="23">D18</f>
        <v>0</v>
      </c>
      <c r="E65" s="174">
        <f t="shared" si="23"/>
        <v>0</v>
      </c>
      <c r="F65" s="174">
        <f t="shared" si="23"/>
        <v>0</v>
      </c>
      <c r="G65" s="174">
        <f t="shared" si="23"/>
        <v>0</v>
      </c>
      <c r="H65" s="174">
        <f t="shared" si="23"/>
        <v>0</v>
      </c>
      <c r="I65" s="174">
        <f t="shared" si="23"/>
        <v>0</v>
      </c>
      <c r="J65" s="174">
        <f t="shared" si="23"/>
        <v>0</v>
      </c>
      <c r="K65" s="174">
        <f t="shared" si="23"/>
        <v>0</v>
      </c>
      <c r="L65" s="174">
        <f t="shared" si="23"/>
        <v>0</v>
      </c>
      <c r="M65" s="174">
        <f t="shared" si="23"/>
        <v>6909.73</v>
      </c>
      <c r="N65" s="174">
        <f t="shared" si="23"/>
        <v>6909.73</v>
      </c>
      <c r="O65" s="174">
        <f t="shared" si="23"/>
        <v>0</v>
      </c>
      <c r="R65" s="126"/>
    </row>
    <row r="66" spans="1:18">
      <c r="A66" s="1157"/>
      <c r="B66" s="176">
        <v>421310</v>
      </c>
      <c r="C66" s="175" t="s">
        <v>1013</v>
      </c>
      <c r="D66" s="174">
        <f t="shared" ref="D66:O66" si="24">D19</f>
        <v>1382.56</v>
      </c>
      <c r="E66" s="174">
        <f t="shared" si="24"/>
        <v>2020.46</v>
      </c>
      <c r="F66" s="174">
        <f t="shared" si="24"/>
        <v>2574.1</v>
      </c>
      <c r="G66" s="174">
        <f t="shared" si="24"/>
        <v>3123.97</v>
      </c>
      <c r="H66" s="174">
        <f t="shared" si="24"/>
        <v>3675.84</v>
      </c>
      <c r="I66" s="174">
        <f t="shared" si="24"/>
        <v>4281.47</v>
      </c>
      <c r="J66" s="174">
        <f t="shared" si="24"/>
        <v>4978.47</v>
      </c>
      <c r="K66" s="174">
        <f t="shared" si="24"/>
        <v>5643.61</v>
      </c>
      <c r="L66" s="174">
        <f t="shared" si="24"/>
        <v>6273.75</v>
      </c>
      <c r="M66" s="174">
        <f t="shared" si="24"/>
        <v>6874.62</v>
      </c>
      <c r="N66" s="174">
        <f t="shared" si="24"/>
        <v>7576.16</v>
      </c>
      <c r="O66" s="174">
        <f t="shared" si="24"/>
        <v>0</v>
      </c>
      <c r="R66" s="126"/>
    </row>
    <row r="67" spans="1:18">
      <c r="A67" s="1157"/>
      <c r="B67" s="176">
        <v>42541</v>
      </c>
      <c r="C67" s="161" t="s">
        <v>5716</v>
      </c>
      <c r="D67" s="174">
        <f t="shared" ref="D67:O67" si="25">D20</f>
        <v>0</v>
      </c>
      <c r="E67" s="174">
        <f t="shared" si="25"/>
        <v>0</v>
      </c>
      <c r="F67" s="174">
        <f t="shared" si="25"/>
        <v>0</v>
      </c>
      <c r="G67" s="174">
        <f t="shared" si="25"/>
        <v>0</v>
      </c>
      <c r="H67" s="174">
        <f t="shared" si="25"/>
        <v>0</v>
      </c>
      <c r="I67" s="174">
        <f t="shared" si="25"/>
        <v>0</v>
      </c>
      <c r="J67" s="174">
        <f t="shared" si="25"/>
        <v>0</v>
      </c>
      <c r="K67" s="174">
        <f t="shared" si="25"/>
        <v>0</v>
      </c>
      <c r="L67" s="174">
        <f t="shared" si="25"/>
        <v>374532.11</v>
      </c>
      <c r="M67" s="174">
        <f t="shared" si="25"/>
        <v>374532.11</v>
      </c>
      <c r="N67" s="174">
        <f t="shared" si="25"/>
        <v>374532.11</v>
      </c>
      <c r="O67" s="174">
        <f t="shared" si="25"/>
        <v>0</v>
      </c>
      <c r="R67" s="126"/>
    </row>
    <row r="68" spans="1:18">
      <c r="A68" s="1157"/>
      <c r="B68" s="176">
        <v>42542</v>
      </c>
      <c r="C68" s="175" t="s">
        <v>5717</v>
      </c>
      <c r="D68" s="174">
        <f t="shared" ref="D68:O68" si="26">D21</f>
        <v>0</v>
      </c>
      <c r="E68" s="174">
        <f t="shared" si="26"/>
        <v>0</v>
      </c>
      <c r="F68" s="174">
        <f t="shared" si="26"/>
        <v>0</v>
      </c>
      <c r="G68" s="174">
        <f t="shared" si="26"/>
        <v>0</v>
      </c>
      <c r="H68" s="174">
        <f t="shared" si="26"/>
        <v>0</v>
      </c>
      <c r="I68" s="174">
        <f t="shared" si="26"/>
        <v>0</v>
      </c>
      <c r="J68" s="174">
        <f t="shared" si="26"/>
        <v>0</v>
      </c>
      <c r="K68" s="174">
        <f t="shared" si="26"/>
        <v>0</v>
      </c>
      <c r="L68" s="174">
        <f t="shared" si="26"/>
        <v>0</v>
      </c>
      <c r="M68" s="174">
        <f t="shared" si="26"/>
        <v>0</v>
      </c>
      <c r="N68" s="174">
        <f t="shared" si="26"/>
        <v>0</v>
      </c>
      <c r="O68" s="174">
        <f t="shared" si="26"/>
        <v>0</v>
      </c>
      <c r="R68" s="126"/>
    </row>
    <row r="69" spans="1:18">
      <c r="A69" s="1157"/>
      <c r="B69" s="176">
        <v>42543</v>
      </c>
      <c r="C69" s="161" t="s">
        <v>5156</v>
      </c>
      <c r="D69" s="174">
        <f t="shared" ref="D69:O69" si="27">D22</f>
        <v>0</v>
      </c>
      <c r="E69" s="174">
        <f t="shared" si="27"/>
        <v>0</v>
      </c>
      <c r="F69" s="174">
        <f t="shared" si="27"/>
        <v>0</v>
      </c>
      <c r="G69" s="174">
        <f t="shared" si="27"/>
        <v>0</v>
      </c>
      <c r="H69" s="174">
        <f t="shared" si="27"/>
        <v>0</v>
      </c>
      <c r="I69" s="174">
        <f t="shared" si="27"/>
        <v>0</v>
      </c>
      <c r="J69" s="174">
        <f t="shared" si="27"/>
        <v>0</v>
      </c>
      <c r="K69" s="174">
        <f t="shared" si="27"/>
        <v>0</v>
      </c>
      <c r="L69" s="174">
        <f t="shared" si="27"/>
        <v>0</v>
      </c>
      <c r="M69" s="174">
        <f t="shared" si="27"/>
        <v>0</v>
      </c>
      <c r="N69" s="174">
        <f t="shared" si="27"/>
        <v>0</v>
      </c>
      <c r="O69" s="174">
        <f t="shared" si="27"/>
        <v>0</v>
      </c>
      <c r="R69" s="126"/>
    </row>
    <row r="70" spans="1:18">
      <c r="A70" s="1157"/>
      <c r="B70" s="176">
        <f>B23</f>
        <v>42811</v>
      </c>
      <c r="C70" s="161" t="str">
        <f>C23</f>
        <v>Indenizações trabalhistas</v>
      </c>
      <c r="D70" s="174">
        <f>D23</f>
        <v>0</v>
      </c>
      <c r="E70" s="174">
        <v>0</v>
      </c>
      <c r="F70" s="174">
        <f>F23</f>
        <v>0</v>
      </c>
      <c r="G70" s="174">
        <v>0</v>
      </c>
      <c r="H70" s="174">
        <v>0</v>
      </c>
      <c r="I70" s="174">
        <v>0</v>
      </c>
      <c r="J70" s="174">
        <v>0</v>
      </c>
      <c r="K70" s="174">
        <f t="shared" ref="K70:O71" si="28">K23</f>
        <v>0</v>
      </c>
      <c r="L70" s="174">
        <f t="shared" si="28"/>
        <v>0</v>
      </c>
      <c r="M70" s="174">
        <f t="shared" si="28"/>
        <v>0</v>
      </c>
      <c r="N70" s="174">
        <f t="shared" si="28"/>
        <v>0</v>
      </c>
      <c r="O70" s="174">
        <f t="shared" si="28"/>
        <v>0</v>
      </c>
      <c r="R70" s="126"/>
    </row>
    <row r="71" spans="1:18">
      <c r="A71" s="1157"/>
      <c r="B71" s="176">
        <v>42720</v>
      </c>
      <c r="C71" s="161" t="s">
        <v>5718</v>
      </c>
      <c r="D71" s="174">
        <f>D24</f>
        <v>0</v>
      </c>
      <c r="E71" s="174">
        <f>E24</f>
        <v>0</v>
      </c>
      <c r="F71" s="174">
        <f>F24</f>
        <v>291693.21000000002</v>
      </c>
      <c r="G71" s="174">
        <f t="shared" ref="G71:J72" si="29">G24</f>
        <v>291693.21000000002</v>
      </c>
      <c r="H71" s="174">
        <f t="shared" si="29"/>
        <v>291693.21000000002</v>
      </c>
      <c r="I71" s="174">
        <f t="shared" si="29"/>
        <v>400073.16</v>
      </c>
      <c r="J71" s="174">
        <f t="shared" si="29"/>
        <v>400073.16</v>
      </c>
      <c r="K71" s="174">
        <f t="shared" si="28"/>
        <v>400073.16</v>
      </c>
      <c r="L71" s="174">
        <f t="shared" si="28"/>
        <v>507025.56</v>
      </c>
      <c r="M71" s="174">
        <f t="shared" si="28"/>
        <v>507025.56</v>
      </c>
      <c r="N71" s="174">
        <f t="shared" si="28"/>
        <v>507025.56</v>
      </c>
      <c r="O71" s="174">
        <f t="shared" si="28"/>
        <v>0</v>
      </c>
      <c r="P71" s="892"/>
      <c r="R71" s="126"/>
    </row>
    <row r="72" spans="1:18">
      <c r="A72" s="1157"/>
      <c r="B72" s="176">
        <v>426213</v>
      </c>
      <c r="C72" s="175" t="s">
        <v>5715</v>
      </c>
      <c r="D72" s="174">
        <f>D25</f>
        <v>0</v>
      </c>
      <c r="E72" s="174">
        <f>E25</f>
        <v>0</v>
      </c>
      <c r="F72" s="174">
        <f>F25</f>
        <v>0</v>
      </c>
      <c r="G72" s="174">
        <f t="shared" si="29"/>
        <v>0</v>
      </c>
      <c r="H72" s="174">
        <f t="shared" si="29"/>
        <v>0</v>
      </c>
      <c r="I72" s="174">
        <f t="shared" si="29"/>
        <v>0</v>
      </c>
      <c r="J72" s="174">
        <f t="shared" si="29"/>
        <v>0</v>
      </c>
      <c r="K72" s="174">
        <v>0</v>
      </c>
      <c r="L72" s="174">
        <f t="shared" ref="L72:O75" si="30">L25</f>
        <v>0</v>
      </c>
      <c r="M72" s="174">
        <f t="shared" si="30"/>
        <v>0</v>
      </c>
      <c r="N72" s="174">
        <f t="shared" si="30"/>
        <v>0</v>
      </c>
      <c r="O72" s="174">
        <f t="shared" si="30"/>
        <v>0</v>
      </c>
      <c r="R72" s="126"/>
    </row>
    <row r="73" spans="1:18">
      <c r="A73" s="1157"/>
      <c r="B73" s="196">
        <f t="shared" ref="B73:C75" si="31">B26</f>
        <v>424110</v>
      </c>
      <c r="C73" s="622" t="str">
        <f t="shared" si="31"/>
        <v>Despesas com IRPJ - anos anteriores</v>
      </c>
      <c r="D73" s="174">
        <v>0</v>
      </c>
      <c r="E73" s="174">
        <v>0</v>
      </c>
      <c r="F73" s="174">
        <v>0</v>
      </c>
      <c r="G73" s="174">
        <v>0</v>
      </c>
      <c r="H73" s="174">
        <f t="shared" ref="H73:K75" si="32">H26</f>
        <v>0</v>
      </c>
      <c r="I73" s="174">
        <f t="shared" si="32"/>
        <v>0</v>
      </c>
      <c r="J73" s="174">
        <f t="shared" si="32"/>
        <v>0</v>
      </c>
      <c r="K73" s="174">
        <f t="shared" si="32"/>
        <v>0</v>
      </c>
      <c r="L73" s="174">
        <f t="shared" si="30"/>
        <v>0</v>
      </c>
      <c r="M73" s="174">
        <f t="shared" si="30"/>
        <v>0</v>
      </c>
      <c r="N73" s="174">
        <f t="shared" si="30"/>
        <v>0</v>
      </c>
      <c r="O73" s="174">
        <f t="shared" si="30"/>
        <v>0</v>
      </c>
      <c r="R73" s="126"/>
    </row>
    <row r="74" spans="1:18">
      <c r="A74" s="1157"/>
      <c r="B74" s="196">
        <f t="shared" si="31"/>
        <v>427122</v>
      </c>
      <c r="C74" s="181" t="str">
        <f t="shared" si="31"/>
        <v>Aprop. Juros Arrendamento mercantil</v>
      </c>
      <c r="D74" s="174">
        <f t="shared" ref="D74:G75" si="33">D27</f>
        <v>69467.78</v>
      </c>
      <c r="E74" s="174">
        <f t="shared" si="33"/>
        <v>138016.06</v>
      </c>
      <c r="F74" s="174">
        <f t="shared" si="33"/>
        <v>205641.1</v>
      </c>
      <c r="G74" s="174">
        <f t="shared" si="33"/>
        <v>272339.13</v>
      </c>
      <c r="H74" s="174">
        <f t="shared" si="32"/>
        <v>338106.38</v>
      </c>
      <c r="I74" s="174">
        <f t="shared" si="32"/>
        <v>402939.06</v>
      </c>
      <c r="J74" s="174">
        <f t="shared" si="32"/>
        <v>470143.5</v>
      </c>
      <c r="K74" s="174">
        <f t="shared" si="32"/>
        <v>536356.92000000004</v>
      </c>
      <c r="L74" s="174">
        <f t="shared" si="30"/>
        <v>601575.29</v>
      </c>
      <c r="M74" s="174">
        <f t="shared" si="30"/>
        <v>665794.55000000005</v>
      </c>
      <c r="N74" s="174">
        <f t="shared" si="30"/>
        <v>729010.63</v>
      </c>
      <c r="O74" s="174">
        <f t="shared" si="30"/>
        <v>0</v>
      </c>
      <c r="R74" s="126"/>
    </row>
    <row r="75" spans="1:18" ht="17.45" thickBot="1">
      <c r="A75" s="209"/>
      <c r="B75" s="208">
        <f t="shared" si="31"/>
        <v>426118</v>
      </c>
      <c r="C75" s="207" t="str">
        <f t="shared" si="31"/>
        <v>Amortização Arrend. Mercantil</v>
      </c>
      <c r="D75" s="174">
        <f t="shared" si="33"/>
        <v>232732.66</v>
      </c>
      <c r="E75" s="174">
        <f t="shared" si="33"/>
        <v>465465.32</v>
      </c>
      <c r="F75" s="174">
        <f t="shared" si="33"/>
        <v>698197.98</v>
      </c>
      <c r="G75" s="174">
        <f t="shared" si="33"/>
        <v>930930.64</v>
      </c>
      <c r="H75" s="174">
        <f t="shared" si="32"/>
        <v>1163663.3</v>
      </c>
      <c r="I75" s="174">
        <f t="shared" si="32"/>
        <v>1396395.96</v>
      </c>
      <c r="J75" s="174">
        <f t="shared" si="32"/>
        <v>1642670.01</v>
      </c>
      <c r="K75" s="174">
        <f t="shared" si="32"/>
        <v>1888944.06</v>
      </c>
      <c r="L75" s="174">
        <f t="shared" si="30"/>
        <v>2135218.11</v>
      </c>
      <c r="M75" s="174">
        <f t="shared" si="30"/>
        <v>2381492.16</v>
      </c>
      <c r="N75" s="174">
        <f t="shared" si="30"/>
        <v>2627766.21</v>
      </c>
      <c r="O75" s="174">
        <f t="shared" si="30"/>
        <v>0</v>
      </c>
      <c r="R75" s="126"/>
    </row>
    <row r="76" spans="1:18" s="172" customFormat="1" ht="17.45" thickBot="1">
      <c r="A76" s="1154" t="s">
        <v>5721</v>
      </c>
      <c r="B76" s="1155"/>
      <c r="C76" s="1156"/>
      <c r="D76" s="206">
        <f t="shared" ref="D76:O76" si="34">SUM(D60:D75)</f>
        <v>307464.94</v>
      </c>
      <c r="E76" s="206">
        <f t="shared" si="34"/>
        <v>611401.38</v>
      </c>
      <c r="F76" s="206">
        <f t="shared" si="34"/>
        <v>1220201.25</v>
      </c>
      <c r="G76" s="206">
        <f t="shared" si="34"/>
        <v>1553459.56</v>
      </c>
      <c r="H76" s="206">
        <f t="shared" si="34"/>
        <v>1888014.31</v>
      </c>
      <c r="I76" s="206">
        <f t="shared" si="34"/>
        <v>2321027.0099999998</v>
      </c>
      <c r="J76" s="206">
        <f t="shared" si="34"/>
        <v>2666514.0699999998</v>
      </c>
      <c r="K76" s="206">
        <f t="shared" si="34"/>
        <v>3011342.62</v>
      </c>
      <c r="L76" s="206">
        <f t="shared" si="34"/>
        <v>3835652.3899999997</v>
      </c>
      <c r="M76" s="206">
        <f t="shared" si="34"/>
        <v>4205622.42</v>
      </c>
      <c r="N76" s="206">
        <f t="shared" si="34"/>
        <v>4546610.88</v>
      </c>
      <c r="O76" s="206">
        <f t="shared" si="34"/>
        <v>0</v>
      </c>
      <c r="P76" s="203">
        <f>J76-J29</f>
        <v>0</v>
      </c>
      <c r="Q76" s="203"/>
      <c r="R76" s="173"/>
    </row>
    <row r="77" spans="1:18" s="172" customFormat="1" ht="17.45" thickBot="1">
      <c r="A77" s="1158" t="s">
        <v>5722</v>
      </c>
      <c r="B77" s="1159"/>
      <c r="C77" s="1160"/>
      <c r="D77" s="201"/>
      <c r="E77" s="201"/>
      <c r="F77" s="201"/>
      <c r="G77" s="202"/>
      <c r="H77" s="202"/>
      <c r="I77" s="201"/>
      <c r="J77" s="201"/>
      <c r="K77" s="201"/>
      <c r="L77" s="201"/>
      <c r="M77" s="201"/>
      <c r="N77" s="201"/>
      <c r="O77" s="201"/>
      <c r="P77" s="173"/>
      <c r="R77" s="173"/>
    </row>
    <row r="78" spans="1:18">
      <c r="A78" s="197"/>
      <c r="B78" s="196">
        <f t="shared" ref="B78:O78" si="35">B31</f>
        <v>211161</v>
      </c>
      <c r="C78" s="181" t="str">
        <f t="shared" si="35"/>
        <v>Arrendamento mercantil - Imóvel PIO X</v>
      </c>
      <c r="D78" s="174">
        <f t="shared" si="35"/>
        <v>295160.96999999997</v>
      </c>
      <c r="E78" s="174">
        <f t="shared" si="35"/>
        <v>590321.93999999994</v>
      </c>
      <c r="F78" s="174">
        <f t="shared" si="35"/>
        <v>885482.91</v>
      </c>
      <c r="G78" s="174">
        <f t="shared" si="35"/>
        <v>1180643.8799999999</v>
      </c>
      <c r="H78" s="174">
        <f t="shared" si="35"/>
        <v>1475804.85</v>
      </c>
      <c r="I78" s="174">
        <f t="shared" si="35"/>
        <v>1770965.82</v>
      </c>
      <c r="J78" s="174">
        <f t="shared" si="35"/>
        <v>2081418.04</v>
      </c>
      <c r="K78" s="174">
        <f t="shared" si="35"/>
        <v>2391870.2599999998</v>
      </c>
      <c r="L78" s="174">
        <f t="shared" si="35"/>
        <v>2702322.48</v>
      </c>
      <c r="M78" s="174">
        <f t="shared" si="35"/>
        <v>3012774.7</v>
      </c>
      <c r="N78" s="174">
        <f t="shared" si="35"/>
        <v>3323226.92</v>
      </c>
      <c r="O78" s="174">
        <f t="shared" si="35"/>
        <v>0</v>
      </c>
      <c r="R78" s="126"/>
    </row>
    <row r="79" spans="1:18">
      <c r="A79" s="1161" t="s">
        <v>5724</v>
      </c>
      <c r="B79" s="196">
        <v>33611</v>
      </c>
      <c r="C79" s="181" t="s">
        <v>4994</v>
      </c>
      <c r="D79" s="174">
        <f>D32</f>
        <v>0</v>
      </c>
      <c r="E79" s="174">
        <v>0</v>
      </c>
      <c r="F79" s="174">
        <f t="shared" ref="F79:O79" si="36">F32</f>
        <v>471625.52</v>
      </c>
      <c r="G79" s="174">
        <f t="shared" si="36"/>
        <v>471625.52</v>
      </c>
      <c r="H79" s="174">
        <f t="shared" si="36"/>
        <v>471625.52</v>
      </c>
      <c r="I79" s="174">
        <f t="shared" si="36"/>
        <v>473042.01</v>
      </c>
      <c r="J79" s="174">
        <f t="shared" si="36"/>
        <v>473042.01</v>
      </c>
      <c r="K79" s="174">
        <f t="shared" si="36"/>
        <v>473042.01</v>
      </c>
      <c r="L79" s="174">
        <f t="shared" si="36"/>
        <v>624080.55000000005</v>
      </c>
      <c r="M79" s="174">
        <f t="shared" si="36"/>
        <v>624080.55000000005</v>
      </c>
      <c r="N79" s="174">
        <f t="shared" si="36"/>
        <v>624080.55000000005</v>
      </c>
      <c r="O79" s="174">
        <f t="shared" si="36"/>
        <v>0</v>
      </c>
      <c r="P79" s="173"/>
      <c r="R79" s="126"/>
    </row>
    <row r="80" spans="1:18">
      <c r="A80" s="1161"/>
      <c r="B80" s="196">
        <v>33612</v>
      </c>
      <c r="C80" s="181" t="s">
        <v>4996</v>
      </c>
      <c r="D80" s="174">
        <f>D33</f>
        <v>0</v>
      </c>
      <c r="E80" s="174">
        <v>0</v>
      </c>
      <c r="F80" s="174">
        <f t="shared" ref="F80:O80" si="37">F33</f>
        <v>0</v>
      </c>
      <c r="G80" s="174">
        <f t="shared" si="37"/>
        <v>0</v>
      </c>
      <c r="H80" s="174">
        <f t="shared" si="37"/>
        <v>0</v>
      </c>
      <c r="I80" s="174">
        <f t="shared" si="37"/>
        <v>0</v>
      </c>
      <c r="J80" s="898">
        <f t="shared" si="37"/>
        <v>0</v>
      </c>
      <c r="K80" s="174">
        <f t="shared" si="37"/>
        <v>0</v>
      </c>
      <c r="L80" s="174">
        <f t="shared" si="37"/>
        <v>0</v>
      </c>
      <c r="M80" s="174">
        <f t="shared" si="37"/>
        <v>0</v>
      </c>
      <c r="N80" s="174">
        <f t="shared" si="37"/>
        <v>0</v>
      </c>
      <c r="O80" s="174">
        <f t="shared" si="37"/>
        <v>0</v>
      </c>
      <c r="R80" s="126"/>
    </row>
    <row r="81" spans="1:18">
      <c r="A81" s="197"/>
      <c r="B81" s="196">
        <v>33613</v>
      </c>
      <c r="C81" s="181" t="s">
        <v>4998</v>
      </c>
      <c r="D81" s="174">
        <f>D34</f>
        <v>0</v>
      </c>
      <c r="E81" s="174">
        <v>0</v>
      </c>
      <c r="F81" s="174">
        <f t="shared" ref="F81:I82" si="38">F34</f>
        <v>0</v>
      </c>
      <c r="G81" s="174">
        <f t="shared" si="38"/>
        <v>0</v>
      </c>
      <c r="H81" s="174">
        <f t="shared" si="38"/>
        <v>0</v>
      </c>
      <c r="I81" s="174">
        <f t="shared" si="38"/>
        <v>0</v>
      </c>
      <c r="J81" s="174">
        <v>0</v>
      </c>
      <c r="K81" s="174">
        <v>0</v>
      </c>
      <c r="L81" s="174">
        <v>0</v>
      </c>
      <c r="M81" s="174">
        <v>0</v>
      </c>
      <c r="N81" s="174">
        <v>0</v>
      </c>
      <c r="O81" s="174">
        <f>O34</f>
        <v>0</v>
      </c>
      <c r="R81" s="126"/>
    </row>
    <row r="82" spans="1:18" ht="17.45" thickBot="1">
      <c r="A82" s="197"/>
      <c r="B82" s="196">
        <v>33614</v>
      </c>
      <c r="C82" s="181" t="s">
        <v>5725</v>
      </c>
      <c r="D82" s="257">
        <v>0</v>
      </c>
      <c r="E82" s="257">
        <v>0</v>
      </c>
      <c r="F82" s="257">
        <f t="shared" si="38"/>
        <v>0</v>
      </c>
      <c r="G82" s="174">
        <f t="shared" si="38"/>
        <v>0</v>
      </c>
      <c r="H82" s="174">
        <f t="shared" si="38"/>
        <v>0</v>
      </c>
      <c r="I82" s="174">
        <f t="shared" si="38"/>
        <v>0</v>
      </c>
      <c r="J82" s="174">
        <v>0</v>
      </c>
      <c r="K82" s="174">
        <v>0</v>
      </c>
      <c r="L82" s="174">
        <v>0</v>
      </c>
      <c r="M82" s="174">
        <v>0</v>
      </c>
      <c r="N82" s="128">
        <v>0</v>
      </c>
      <c r="O82" s="174">
        <v>0</v>
      </c>
      <c r="R82" s="126"/>
    </row>
    <row r="83" spans="1:18" s="172" customFormat="1" ht="17.45" thickBot="1">
      <c r="A83" s="1162" t="s">
        <v>5726</v>
      </c>
      <c r="B83" s="1163"/>
      <c r="C83" s="1164"/>
      <c r="D83" s="195">
        <f t="shared" ref="D83:K83" si="39">SUM(D78:D82)</f>
        <v>295160.96999999997</v>
      </c>
      <c r="E83" s="195">
        <f t="shared" si="39"/>
        <v>590321.93999999994</v>
      </c>
      <c r="F83" s="195">
        <f t="shared" si="39"/>
        <v>1357108.4300000002</v>
      </c>
      <c r="G83" s="195">
        <f t="shared" si="39"/>
        <v>1652269.4</v>
      </c>
      <c r="H83" s="195">
        <f t="shared" si="39"/>
        <v>1947430.37</v>
      </c>
      <c r="I83" s="195">
        <f t="shared" si="39"/>
        <v>2244007.83</v>
      </c>
      <c r="J83" s="195">
        <f t="shared" si="39"/>
        <v>2554460.0499999998</v>
      </c>
      <c r="K83" s="195">
        <f t="shared" si="39"/>
        <v>2864912.2699999996</v>
      </c>
      <c r="L83" s="195">
        <f>SUM(L78:L81)</f>
        <v>3326403.0300000003</v>
      </c>
      <c r="M83" s="195">
        <f>SUM(M78:M81)</f>
        <v>3636855.25</v>
      </c>
      <c r="N83" s="195">
        <f>SUM(N78:N81)</f>
        <v>3947307.4699999997</v>
      </c>
      <c r="O83" s="195">
        <f>SUM(O78:O81)</f>
        <v>0</v>
      </c>
      <c r="P83" s="183">
        <f>J83-J36</f>
        <v>0</v>
      </c>
      <c r="Q83" s="203"/>
      <c r="R83" s="173"/>
    </row>
    <row r="84" spans="1:18" ht="17.45" thickBot="1">
      <c r="A84" s="189"/>
      <c r="B84" s="188"/>
      <c r="C84" s="188"/>
      <c r="D84" s="158"/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R84" s="126"/>
    </row>
    <row r="85" spans="1:18" s="182" customFormat="1" ht="17.45" thickBot="1">
      <c r="A85" s="1140" t="s">
        <v>5740</v>
      </c>
      <c r="B85" s="1141"/>
      <c r="C85" s="1142"/>
      <c r="D85" s="184">
        <f t="shared" ref="D85:O85" si="40">D58+D76-D83</f>
        <v>1057551.060000001</v>
      </c>
      <c r="E85" s="184">
        <f t="shared" si="40"/>
        <v>1008083.1399999978</v>
      </c>
      <c r="F85" s="184">
        <f t="shared" si="40"/>
        <v>-763054.40000000643</v>
      </c>
      <c r="G85" s="184">
        <f t="shared" si="40"/>
        <v>-896024.23000000045</v>
      </c>
      <c r="H85" s="184">
        <f t="shared" si="40"/>
        <v>-1752820.3799999929</v>
      </c>
      <c r="I85" s="184">
        <f t="shared" si="40"/>
        <v>-599578.77000000328</v>
      </c>
      <c r="J85" s="184">
        <f t="shared" si="40"/>
        <v>-1833147.3100000131</v>
      </c>
      <c r="K85" s="185">
        <f t="shared" si="40"/>
        <v>-2521235.6800000006</v>
      </c>
      <c r="L85" s="184">
        <f t="shared" si="40"/>
        <v>-4156228.4299999923</v>
      </c>
      <c r="M85" s="184">
        <f t="shared" si="40"/>
        <v>-4910969.6599999834</v>
      </c>
      <c r="N85" s="184">
        <f t="shared" si="40"/>
        <v>-795860.49999999627</v>
      </c>
      <c r="O85" s="184">
        <f t="shared" si="40"/>
        <v>0</v>
      </c>
      <c r="P85" s="896">
        <f>D85-D37</f>
        <v>0</v>
      </c>
      <c r="R85" s="897"/>
    </row>
    <row r="86" spans="1:18" ht="17.45" thickBot="1">
      <c r="A86" s="179" t="s">
        <v>5741</v>
      </c>
      <c r="B86" s="178"/>
      <c r="C86" s="187"/>
      <c r="D86" s="186">
        <f t="shared" ref="D86:O86" si="41">D85*30%</f>
        <v>317265.31800000026</v>
      </c>
      <c r="E86" s="186">
        <f t="shared" si="41"/>
        <v>302424.94199999934</v>
      </c>
      <c r="F86" s="186">
        <v>0</v>
      </c>
      <c r="G86" s="186">
        <v>0</v>
      </c>
      <c r="H86" s="186">
        <v>0</v>
      </c>
      <c r="I86" s="186">
        <v>0</v>
      </c>
      <c r="J86" s="186">
        <v>0</v>
      </c>
      <c r="K86" s="186">
        <v>0</v>
      </c>
      <c r="L86" s="186">
        <f t="shared" si="41"/>
        <v>-1246868.5289999975</v>
      </c>
      <c r="M86" s="186">
        <v>0</v>
      </c>
      <c r="N86" s="186">
        <f t="shared" si="41"/>
        <v>-238758.14999999886</v>
      </c>
      <c r="O86" s="186">
        <f t="shared" si="41"/>
        <v>0</v>
      </c>
      <c r="P86" s="896">
        <f>D86+D38</f>
        <v>0</v>
      </c>
      <c r="Q86" s="127"/>
      <c r="R86" s="126"/>
    </row>
    <row r="87" spans="1:18" s="182" customFormat="1" ht="17.45" thickBot="1">
      <c r="A87" s="1140" t="s">
        <v>5729</v>
      </c>
      <c r="B87" s="1141"/>
      <c r="C87" s="1142"/>
      <c r="D87" s="184">
        <f t="shared" ref="D87:O87" si="42">D85-D86</f>
        <v>740285.74200000078</v>
      </c>
      <c r="E87" s="184">
        <f t="shared" si="42"/>
        <v>705658.19799999846</v>
      </c>
      <c r="F87" s="184">
        <f t="shared" si="42"/>
        <v>-763054.40000000643</v>
      </c>
      <c r="G87" s="184">
        <f t="shared" si="42"/>
        <v>-896024.23000000045</v>
      </c>
      <c r="H87" s="184">
        <f t="shared" si="42"/>
        <v>-1752820.3799999929</v>
      </c>
      <c r="I87" s="184">
        <f t="shared" si="42"/>
        <v>-599578.77000000328</v>
      </c>
      <c r="J87" s="184">
        <f t="shared" si="42"/>
        <v>-1833147.3100000131</v>
      </c>
      <c r="K87" s="185">
        <f t="shared" si="42"/>
        <v>-2521235.6800000006</v>
      </c>
      <c r="L87" s="184">
        <f t="shared" si="42"/>
        <v>-2909359.9009999949</v>
      </c>
      <c r="M87" s="184">
        <f t="shared" si="42"/>
        <v>-4910969.6599999834</v>
      </c>
      <c r="N87" s="184">
        <f t="shared" si="42"/>
        <v>-557102.34999999742</v>
      </c>
      <c r="O87" s="184">
        <f t="shared" si="42"/>
        <v>0</v>
      </c>
      <c r="P87" s="896">
        <f>D87-D39</f>
        <v>0</v>
      </c>
      <c r="Q87" s="203"/>
      <c r="R87" s="896"/>
    </row>
    <row r="88" spans="1:18">
      <c r="A88" s="161" t="s">
        <v>5742</v>
      </c>
      <c r="B88" s="160"/>
      <c r="C88" s="160"/>
      <c r="D88" s="154">
        <f t="shared" ref="D88:O88" si="43">IF(D87&gt;0,D87*15%,0)</f>
        <v>111042.86130000012</v>
      </c>
      <c r="E88" s="150">
        <f t="shared" si="43"/>
        <v>105848.72969999976</v>
      </c>
      <c r="F88" s="150">
        <f t="shared" si="43"/>
        <v>0</v>
      </c>
      <c r="G88" s="150">
        <f t="shared" si="43"/>
        <v>0</v>
      </c>
      <c r="H88" s="150">
        <f t="shared" si="43"/>
        <v>0</v>
      </c>
      <c r="I88" s="150">
        <f t="shared" si="43"/>
        <v>0</v>
      </c>
      <c r="J88" s="150">
        <f t="shared" si="43"/>
        <v>0</v>
      </c>
      <c r="K88" s="150">
        <f t="shared" si="43"/>
        <v>0</v>
      </c>
      <c r="L88" s="150">
        <f t="shared" si="43"/>
        <v>0</v>
      </c>
      <c r="M88" s="150">
        <f t="shared" si="43"/>
        <v>0</v>
      </c>
      <c r="N88" s="150">
        <f t="shared" si="43"/>
        <v>0</v>
      </c>
      <c r="O88" s="174">
        <f t="shared" si="43"/>
        <v>0</v>
      </c>
      <c r="R88" s="126"/>
    </row>
    <row r="89" spans="1:18" ht="17.45" thickBot="1">
      <c r="A89" s="181" t="s">
        <v>5743</v>
      </c>
      <c r="B89" s="180"/>
      <c r="C89" s="180"/>
      <c r="D89" s="150">
        <f t="shared" ref="D89:O89" si="44">IF(D87&gt;D90,((D87-(D90*1))*0.1),0)</f>
        <v>72028.574200000076</v>
      </c>
      <c r="E89" s="150">
        <f t="shared" si="44"/>
        <v>66565.819799999852</v>
      </c>
      <c r="F89" s="150">
        <f t="shared" si="44"/>
        <v>0</v>
      </c>
      <c r="G89" s="150">
        <f t="shared" si="44"/>
        <v>0</v>
      </c>
      <c r="H89" s="150">
        <f t="shared" si="44"/>
        <v>0</v>
      </c>
      <c r="I89" s="150">
        <f t="shared" si="44"/>
        <v>0</v>
      </c>
      <c r="J89" s="150">
        <f t="shared" si="44"/>
        <v>0</v>
      </c>
      <c r="K89" s="150">
        <f t="shared" si="44"/>
        <v>0</v>
      </c>
      <c r="L89" s="150">
        <f t="shared" si="44"/>
        <v>0</v>
      </c>
      <c r="M89" s="150">
        <f t="shared" si="44"/>
        <v>0</v>
      </c>
      <c r="N89" s="150">
        <f t="shared" si="44"/>
        <v>0</v>
      </c>
      <c r="O89" s="174">
        <f t="shared" si="44"/>
        <v>0</v>
      </c>
      <c r="R89" s="126"/>
    </row>
    <row r="90" spans="1:18" ht="17.45" hidden="1" thickBot="1">
      <c r="B90" s="157"/>
      <c r="C90" s="157"/>
      <c r="D90" s="127">
        <f t="shared" ref="D90:O90" si="45">20000*D5</f>
        <v>20000</v>
      </c>
      <c r="E90" s="127">
        <f t="shared" si="45"/>
        <v>40000</v>
      </c>
      <c r="F90" s="127">
        <f t="shared" si="45"/>
        <v>60000</v>
      </c>
      <c r="G90" s="127">
        <f t="shared" si="45"/>
        <v>80000</v>
      </c>
      <c r="H90" s="127">
        <f t="shared" si="45"/>
        <v>100000</v>
      </c>
      <c r="I90" s="127">
        <f t="shared" si="45"/>
        <v>120000</v>
      </c>
      <c r="J90" s="127">
        <f t="shared" si="45"/>
        <v>140000</v>
      </c>
      <c r="K90" s="127">
        <f t="shared" si="45"/>
        <v>160000</v>
      </c>
      <c r="L90" s="127">
        <f t="shared" si="45"/>
        <v>180000</v>
      </c>
      <c r="M90" s="127">
        <f t="shared" si="45"/>
        <v>200000</v>
      </c>
      <c r="N90" s="127">
        <f t="shared" si="45"/>
        <v>220000</v>
      </c>
      <c r="O90" s="127">
        <f t="shared" si="45"/>
        <v>240000</v>
      </c>
      <c r="R90" s="126"/>
    </row>
    <row r="91" spans="1:18" ht="17.45" thickBot="1">
      <c r="A91" s="1137" t="s">
        <v>5744</v>
      </c>
      <c r="B91" s="1138"/>
      <c r="C91" s="1139"/>
      <c r="D91" s="156">
        <f t="shared" ref="D91:O91" si="46">D88+D89</f>
        <v>183071.4355000002</v>
      </c>
      <c r="E91" s="156">
        <f t="shared" si="46"/>
        <v>172414.54949999962</v>
      </c>
      <c r="F91" s="156">
        <f t="shared" si="46"/>
        <v>0</v>
      </c>
      <c r="G91" s="156">
        <f t="shared" si="46"/>
        <v>0</v>
      </c>
      <c r="H91" s="156">
        <f t="shared" si="46"/>
        <v>0</v>
      </c>
      <c r="I91" s="156">
        <f t="shared" si="46"/>
        <v>0</v>
      </c>
      <c r="J91" s="156">
        <f t="shared" si="46"/>
        <v>0</v>
      </c>
      <c r="K91" s="156">
        <f t="shared" si="46"/>
        <v>0</v>
      </c>
      <c r="L91" s="156">
        <f t="shared" si="46"/>
        <v>0</v>
      </c>
      <c r="M91" s="156">
        <f t="shared" si="46"/>
        <v>0</v>
      </c>
      <c r="N91" s="156">
        <f t="shared" si="46"/>
        <v>0</v>
      </c>
      <c r="O91" s="162">
        <f t="shared" si="46"/>
        <v>0</v>
      </c>
      <c r="P91" s="892"/>
      <c r="R91" s="126"/>
    </row>
    <row r="92" spans="1:18">
      <c r="A92" s="179"/>
      <c r="B92" s="178"/>
      <c r="C92" s="178"/>
      <c r="D92" s="158"/>
      <c r="E92" s="158"/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895"/>
      <c r="R92" s="126"/>
    </row>
    <row r="93" spans="1:18">
      <c r="A93" s="170" t="s">
        <v>5745</v>
      </c>
      <c r="B93" s="169"/>
      <c r="C93" s="160"/>
      <c r="D93" s="158"/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894"/>
      <c r="R93" s="126"/>
    </row>
    <row r="94" spans="1:18">
      <c r="A94" s="177" t="s">
        <v>5746</v>
      </c>
      <c r="B94" s="160"/>
      <c r="C94" s="160">
        <f>C88*4%</f>
        <v>0</v>
      </c>
      <c r="D94" s="163">
        <v>4441.7144520000047</v>
      </c>
      <c r="E94" s="174">
        <v>4233.9491879999905</v>
      </c>
      <c r="F94" s="174">
        <v>0</v>
      </c>
      <c r="G94" s="174">
        <v>0</v>
      </c>
      <c r="H94" s="174">
        <v>0</v>
      </c>
      <c r="I94" s="174">
        <v>0</v>
      </c>
      <c r="J94" s="174">
        <f t="shared" ref="J94:O94" si="47">IF(J120&gt;J118,J118*-1,J120*-1)*-1</f>
        <v>0</v>
      </c>
      <c r="K94" s="174">
        <f t="shared" si="47"/>
        <v>0</v>
      </c>
      <c r="L94" s="174">
        <f t="shared" si="47"/>
        <v>0</v>
      </c>
      <c r="M94" s="174">
        <f t="shared" si="47"/>
        <v>0</v>
      </c>
      <c r="N94" s="174">
        <f t="shared" si="47"/>
        <v>0</v>
      </c>
      <c r="O94" s="174">
        <f t="shared" si="47"/>
        <v>0</v>
      </c>
      <c r="P94" s="894"/>
      <c r="R94" s="126"/>
    </row>
    <row r="95" spans="1:18" s="172" customFormat="1">
      <c r="A95" s="175" t="s">
        <v>5714</v>
      </c>
      <c r="B95" s="176">
        <v>411111</v>
      </c>
      <c r="C95" s="175" t="str">
        <f>A95</f>
        <v>Salario Maternidade  - Prorrogação</v>
      </c>
      <c r="D95" s="163">
        <v>0</v>
      </c>
      <c r="E95" s="174">
        <v>0</v>
      </c>
      <c r="F95" s="174">
        <v>0</v>
      </c>
      <c r="G95" s="174">
        <v>45537.56</v>
      </c>
      <c r="H95" s="174">
        <v>70254.03</v>
      </c>
      <c r="I95" s="174">
        <v>85929.88</v>
      </c>
      <c r="J95" s="174">
        <v>115269.95</v>
      </c>
      <c r="K95" s="174">
        <v>61890.36</v>
      </c>
      <c r="L95" s="174">
        <f t="shared" ref="L95:O96" si="48">L60</f>
        <v>173936.35</v>
      </c>
      <c r="M95" s="174">
        <f t="shared" si="48"/>
        <v>214941.03</v>
      </c>
      <c r="N95" s="174">
        <f t="shared" si="48"/>
        <v>243793.36</v>
      </c>
      <c r="O95" s="174">
        <f t="shared" si="48"/>
        <v>0</v>
      </c>
      <c r="P95" s="173"/>
      <c r="R95" s="173"/>
    </row>
    <row r="96" spans="1:18" s="172" customFormat="1">
      <c r="A96" s="175" t="s">
        <v>988</v>
      </c>
      <c r="B96" s="176">
        <v>411113</v>
      </c>
      <c r="C96" s="175" t="str">
        <f>A96</f>
        <v>Licença Paternidade Prorrogação</v>
      </c>
      <c r="D96" s="163">
        <v>0</v>
      </c>
      <c r="E96" s="174">
        <v>0</v>
      </c>
      <c r="F96" s="174">
        <v>0</v>
      </c>
      <c r="G96" s="174">
        <v>0</v>
      </c>
      <c r="H96" s="174">
        <v>8832.86</v>
      </c>
      <c r="I96" s="174">
        <v>17919.93</v>
      </c>
      <c r="J96" s="174">
        <v>17919.93</v>
      </c>
      <c r="K96" s="174">
        <v>26594.34</v>
      </c>
      <c r="L96" s="174">
        <f t="shared" si="48"/>
        <v>17919.93</v>
      </c>
      <c r="M96" s="174">
        <f t="shared" si="48"/>
        <v>27115.23</v>
      </c>
      <c r="N96" s="174">
        <f t="shared" si="48"/>
        <v>27115.23</v>
      </c>
      <c r="O96" s="174">
        <f t="shared" si="48"/>
        <v>0</v>
      </c>
      <c r="P96" s="173"/>
      <c r="R96" s="173"/>
    </row>
    <row r="97" spans="1:18" s="172" customFormat="1">
      <c r="A97" s="175" t="s">
        <v>5714</v>
      </c>
      <c r="B97" s="176">
        <v>421110</v>
      </c>
      <c r="C97" s="175" t="str">
        <f>A97</f>
        <v>Salario Maternidade  - Prorrogação</v>
      </c>
      <c r="D97" s="163">
        <v>0</v>
      </c>
      <c r="E97" s="174">
        <v>0</v>
      </c>
      <c r="F97" s="174">
        <v>0</v>
      </c>
      <c r="G97" s="174">
        <v>0</v>
      </c>
      <c r="H97" s="174">
        <v>0</v>
      </c>
      <c r="I97" s="174">
        <v>0</v>
      </c>
      <c r="J97" s="174">
        <v>0</v>
      </c>
      <c r="K97" s="174">
        <v>0</v>
      </c>
      <c r="L97" s="174">
        <f t="shared" ref="L97:O97" si="49">L62</f>
        <v>19171.29</v>
      </c>
      <c r="M97" s="174">
        <f t="shared" si="49"/>
        <v>20937.43</v>
      </c>
      <c r="N97" s="174">
        <f t="shared" si="49"/>
        <v>22881.89</v>
      </c>
      <c r="O97" s="174">
        <f t="shared" si="49"/>
        <v>0</v>
      </c>
      <c r="P97" s="173"/>
      <c r="R97" s="173"/>
    </row>
    <row r="98" spans="1:18" s="172" customFormat="1" ht="17.45" thickBot="1">
      <c r="A98" s="175" t="s">
        <v>988</v>
      </c>
      <c r="B98" s="176">
        <v>421112</v>
      </c>
      <c r="C98" s="175" t="str">
        <f>A98</f>
        <v>Licença Paternidade Prorrogação</v>
      </c>
      <c r="D98" s="163">
        <v>0</v>
      </c>
      <c r="E98" s="174">
        <v>0</v>
      </c>
      <c r="F98" s="174">
        <v>0</v>
      </c>
      <c r="G98" s="174">
        <v>0</v>
      </c>
      <c r="H98" s="174">
        <v>0</v>
      </c>
      <c r="I98" s="174">
        <v>0</v>
      </c>
      <c r="J98" s="174">
        <f t="shared" ref="J98:O98" si="50">J63</f>
        <v>0</v>
      </c>
      <c r="K98" s="174">
        <f t="shared" si="50"/>
        <v>0</v>
      </c>
      <c r="L98" s="174">
        <f t="shared" si="50"/>
        <v>0</v>
      </c>
      <c r="M98" s="174">
        <f t="shared" si="50"/>
        <v>0</v>
      </c>
      <c r="N98" s="174">
        <f t="shared" si="50"/>
        <v>0</v>
      </c>
      <c r="O98" s="174">
        <f t="shared" si="50"/>
        <v>0</v>
      </c>
      <c r="P98" s="173"/>
      <c r="R98" s="173"/>
    </row>
    <row r="99" spans="1:18" ht="17.45" thickBot="1">
      <c r="A99" s="1137" t="s">
        <v>5747</v>
      </c>
      <c r="B99" s="1138"/>
      <c r="C99" s="1139">
        <f>SUM(C94:C97)</f>
        <v>0</v>
      </c>
      <c r="D99" s="171">
        <f t="shared" ref="D99:O99" si="51">SUM(D94:D98)</f>
        <v>4441.7144520000047</v>
      </c>
      <c r="E99" s="156">
        <f t="shared" si="51"/>
        <v>4233.9491879999905</v>
      </c>
      <c r="F99" s="171">
        <f t="shared" si="51"/>
        <v>0</v>
      </c>
      <c r="G99" s="171">
        <f t="shared" si="51"/>
        <v>45537.56</v>
      </c>
      <c r="H99" s="171">
        <f t="shared" si="51"/>
        <v>79086.89</v>
      </c>
      <c r="I99" s="171">
        <f t="shared" si="51"/>
        <v>103849.81</v>
      </c>
      <c r="J99" s="171">
        <f t="shared" si="51"/>
        <v>133189.88</v>
      </c>
      <c r="K99" s="171">
        <f t="shared" si="51"/>
        <v>88484.7</v>
      </c>
      <c r="L99" s="171">
        <f t="shared" si="51"/>
        <v>211027.57</v>
      </c>
      <c r="M99" s="171">
        <f t="shared" si="51"/>
        <v>262993.69</v>
      </c>
      <c r="N99" s="171">
        <f t="shared" si="51"/>
        <v>293790.48</v>
      </c>
      <c r="O99" s="171">
        <f t="shared" si="51"/>
        <v>0</v>
      </c>
      <c r="R99" s="126"/>
    </row>
    <row r="100" spans="1:18" ht="17.45" thickBot="1">
      <c r="A100" s="161"/>
      <c r="B100" s="160"/>
      <c r="C100" s="160"/>
      <c r="D100" s="158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R100" s="126"/>
    </row>
    <row r="101" spans="1:18" ht="17.45" thickBot="1">
      <c r="A101" s="1137" t="s">
        <v>5748</v>
      </c>
      <c r="B101" s="1138"/>
      <c r="C101" s="1139">
        <f>C91-C99</f>
        <v>0</v>
      </c>
      <c r="D101" s="156">
        <f>D91-D99</f>
        <v>178629.72104800018</v>
      </c>
      <c r="E101" s="156">
        <f>E91-E99</f>
        <v>168180.60031199962</v>
      </c>
      <c r="F101" s="156">
        <f>F91-F99</f>
        <v>0</v>
      </c>
      <c r="G101" s="156">
        <f t="shared" ref="G101:O101" si="52">IF(G91-G99&gt;0,G91-G99,0)</f>
        <v>0</v>
      </c>
      <c r="H101" s="156">
        <f t="shared" si="52"/>
        <v>0</v>
      </c>
      <c r="I101" s="156">
        <f t="shared" si="52"/>
        <v>0</v>
      </c>
      <c r="J101" s="156">
        <f t="shared" si="52"/>
        <v>0</v>
      </c>
      <c r="K101" s="156">
        <f t="shared" si="52"/>
        <v>0</v>
      </c>
      <c r="L101" s="156">
        <f t="shared" si="52"/>
        <v>0</v>
      </c>
      <c r="M101" s="156">
        <f t="shared" si="52"/>
        <v>0</v>
      </c>
      <c r="N101" s="156">
        <f t="shared" si="52"/>
        <v>0</v>
      </c>
      <c r="O101" s="156">
        <f t="shared" si="52"/>
        <v>0</v>
      </c>
      <c r="P101" s="893"/>
      <c r="R101" s="126"/>
    </row>
    <row r="102" spans="1:18">
      <c r="A102" s="170" t="s">
        <v>5749</v>
      </c>
      <c r="B102" s="169"/>
      <c r="C102" s="160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R102" s="126"/>
    </row>
    <row r="103" spans="1:18">
      <c r="A103" s="161" t="s">
        <v>5750</v>
      </c>
      <c r="B103" s="168"/>
      <c r="C103" s="167">
        <v>0</v>
      </c>
      <c r="D103" s="163">
        <f>C107</f>
        <v>0</v>
      </c>
      <c r="E103" s="163">
        <f>D107</f>
        <v>178629.72104800018</v>
      </c>
      <c r="F103" s="163">
        <f>E103</f>
        <v>178629.72104800018</v>
      </c>
      <c r="G103" s="163">
        <f>F105</f>
        <v>178629.72104800018</v>
      </c>
      <c r="H103" s="163">
        <f>G105</f>
        <v>178629.72104800018</v>
      </c>
      <c r="I103" s="163">
        <f>H105</f>
        <v>178629.72104800018</v>
      </c>
      <c r="J103" s="163">
        <f>I103</f>
        <v>178629.72104800018</v>
      </c>
      <c r="K103" s="163">
        <v>178629.72</v>
      </c>
      <c r="L103" s="163">
        <f>K105</f>
        <v>178629.72</v>
      </c>
      <c r="M103" s="163">
        <f>L105</f>
        <v>178629.72</v>
      </c>
      <c r="N103" s="163">
        <f>M103</f>
        <v>178629.72</v>
      </c>
      <c r="O103" s="163">
        <f>N103</f>
        <v>178629.72</v>
      </c>
      <c r="R103" s="126"/>
    </row>
    <row r="104" spans="1:18" ht="17.45" thickBot="1">
      <c r="A104" s="161" t="s">
        <v>5751</v>
      </c>
      <c r="B104" s="165"/>
      <c r="C104" s="164"/>
      <c r="D104" s="163">
        <v>0</v>
      </c>
      <c r="E104" s="163">
        <v>0</v>
      </c>
      <c r="F104" s="163">
        <v>0</v>
      </c>
      <c r="G104" s="163">
        <v>0</v>
      </c>
      <c r="H104" s="163">
        <v>0</v>
      </c>
      <c r="I104" s="163">
        <v>0</v>
      </c>
      <c r="J104" s="163">
        <v>0</v>
      </c>
      <c r="K104" s="163">
        <v>0</v>
      </c>
      <c r="L104" s="163">
        <v>0</v>
      </c>
      <c r="M104" s="163">
        <v>0</v>
      </c>
      <c r="N104" s="163">
        <v>0</v>
      </c>
      <c r="O104" s="163">
        <v>0</v>
      </c>
      <c r="Q104" s="127"/>
      <c r="R104" s="126"/>
    </row>
    <row r="105" spans="1:18" ht="17.45" thickBot="1">
      <c r="A105" s="1137" t="s">
        <v>5752</v>
      </c>
      <c r="B105" s="1138">
        <v>0</v>
      </c>
      <c r="C105" s="1139">
        <f t="shared" ref="C105:O105" si="53">SUM(C103:C104)</f>
        <v>0</v>
      </c>
      <c r="D105" s="156">
        <f t="shared" si="53"/>
        <v>0</v>
      </c>
      <c r="E105" s="156">
        <f t="shared" si="53"/>
        <v>178629.72104800018</v>
      </c>
      <c r="F105" s="156">
        <f t="shared" si="53"/>
        <v>178629.72104800018</v>
      </c>
      <c r="G105" s="171">
        <f t="shared" si="53"/>
        <v>178629.72104800018</v>
      </c>
      <c r="H105" s="162">
        <f t="shared" si="53"/>
        <v>178629.72104800018</v>
      </c>
      <c r="I105" s="162">
        <f t="shared" si="53"/>
        <v>178629.72104800018</v>
      </c>
      <c r="J105" s="156">
        <f t="shared" si="53"/>
        <v>178629.72104800018</v>
      </c>
      <c r="K105" s="156">
        <f t="shared" si="53"/>
        <v>178629.72</v>
      </c>
      <c r="L105" s="171">
        <f t="shared" si="53"/>
        <v>178629.72</v>
      </c>
      <c r="M105" s="156">
        <f t="shared" si="53"/>
        <v>178629.72</v>
      </c>
      <c r="N105" s="171">
        <f t="shared" si="53"/>
        <v>178629.72</v>
      </c>
      <c r="O105" s="156">
        <f t="shared" si="53"/>
        <v>178629.72</v>
      </c>
      <c r="Q105" s="127"/>
      <c r="R105" s="126"/>
    </row>
    <row r="106" spans="1:18" ht="17.45" thickBot="1">
      <c r="A106" s="161"/>
      <c r="B106" s="160"/>
      <c r="C106" s="160"/>
      <c r="D106" s="159"/>
      <c r="E106" s="158"/>
      <c r="F106" s="158"/>
      <c r="G106" s="158"/>
      <c r="H106" s="158"/>
      <c r="I106" s="158"/>
      <c r="J106" s="158"/>
      <c r="K106" s="158"/>
      <c r="L106" s="158"/>
      <c r="M106" s="158"/>
      <c r="N106" s="158"/>
      <c r="O106" s="158"/>
      <c r="P106" s="157"/>
      <c r="R106" s="157"/>
    </row>
    <row r="107" spans="1:18" ht="17.45" thickBot="1">
      <c r="A107" s="1137" t="s">
        <v>5753</v>
      </c>
      <c r="B107" s="1138"/>
      <c r="C107" s="1139">
        <f t="shared" ref="C107:O107" si="54">C101-C105</f>
        <v>0</v>
      </c>
      <c r="D107" s="156">
        <f t="shared" si="54"/>
        <v>178629.72104800018</v>
      </c>
      <c r="E107" s="156">
        <f t="shared" si="54"/>
        <v>-10449.120736000565</v>
      </c>
      <c r="F107" s="156">
        <f t="shared" si="54"/>
        <v>-178629.72104800018</v>
      </c>
      <c r="G107" s="156">
        <f t="shared" si="54"/>
        <v>-178629.72104800018</v>
      </c>
      <c r="H107" s="156">
        <f t="shared" si="54"/>
        <v>-178629.72104800018</v>
      </c>
      <c r="I107" s="156">
        <f t="shared" si="54"/>
        <v>-178629.72104800018</v>
      </c>
      <c r="J107" s="156">
        <f t="shared" si="54"/>
        <v>-178629.72104800018</v>
      </c>
      <c r="K107" s="156">
        <f t="shared" si="54"/>
        <v>-178629.72</v>
      </c>
      <c r="L107" s="156">
        <f t="shared" si="54"/>
        <v>-178629.72</v>
      </c>
      <c r="M107" s="156">
        <f t="shared" si="54"/>
        <v>-178629.72</v>
      </c>
      <c r="N107" s="156">
        <f t="shared" si="54"/>
        <v>-178629.72</v>
      </c>
      <c r="O107" s="156">
        <f t="shared" si="54"/>
        <v>-178629.72</v>
      </c>
      <c r="P107" s="892"/>
      <c r="R107" s="126"/>
    </row>
    <row r="108" spans="1:18" ht="17.45" thickBot="1">
      <c r="R108" s="126"/>
    </row>
    <row r="109" spans="1:18" ht="17.45" thickBot="1">
      <c r="A109" s="1137" t="s">
        <v>5754</v>
      </c>
      <c r="B109" s="1138"/>
      <c r="C109" s="1138"/>
      <c r="D109" s="155" t="s">
        <v>5695</v>
      </c>
      <c r="E109" s="155" t="s">
        <v>5696</v>
      </c>
      <c r="F109" s="155" t="s">
        <v>5697</v>
      </c>
      <c r="G109" s="155" t="s">
        <v>5698</v>
      </c>
      <c r="H109" s="155" t="s">
        <v>5699</v>
      </c>
      <c r="I109" s="155" t="s">
        <v>5700</v>
      </c>
      <c r="J109" s="155" t="s">
        <v>5701</v>
      </c>
      <c r="K109" s="155" t="s">
        <v>5702</v>
      </c>
      <c r="L109" s="155" t="s">
        <v>5703</v>
      </c>
      <c r="M109" s="155" t="s">
        <v>5704</v>
      </c>
      <c r="N109" s="155" t="s">
        <v>5705</v>
      </c>
      <c r="O109" s="155" t="s">
        <v>5706</v>
      </c>
      <c r="R109" s="126"/>
    </row>
    <row r="110" spans="1:18">
      <c r="A110" s="152" t="s">
        <v>5755</v>
      </c>
      <c r="B110" s="151"/>
      <c r="C110" s="151"/>
      <c r="D110" s="154">
        <f>[5]IRPJ_CSLL_2024!O112</f>
        <v>2028901.8850000021</v>
      </c>
      <c r="E110" s="154">
        <f>D110</f>
        <v>2028901.8850000021</v>
      </c>
      <c r="F110" s="154">
        <f>E110</f>
        <v>2028901.8850000021</v>
      </c>
      <c r="G110" s="154">
        <f>IF(G85&lt;0, F110+G85, F110)</f>
        <v>1132877.6550000017</v>
      </c>
      <c r="H110" s="154">
        <f>G112</f>
        <v>1132877.6550000017</v>
      </c>
      <c r="I110" s="154">
        <f t="shared" ref="I110:O110" si="55">H110</f>
        <v>1132877.6550000017</v>
      </c>
      <c r="J110" s="154">
        <f t="shared" si="55"/>
        <v>1132877.6550000017</v>
      </c>
      <c r="K110" s="154">
        <f t="shared" si="55"/>
        <v>1132877.6550000017</v>
      </c>
      <c r="L110" s="154">
        <f t="shared" si="55"/>
        <v>1132877.6550000017</v>
      </c>
      <c r="M110" s="154">
        <f t="shared" si="55"/>
        <v>1132877.6550000017</v>
      </c>
      <c r="N110" s="154">
        <f t="shared" si="55"/>
        <v>1132877.6550000017</v>
      </c>
      <c r="O110" s="154">
        <f t="shared" si="55"/>
        <v>1132877.6550000017</v>
      </c>
      <c r="R110" s="126"/>
    </row>
    <row r="111" spans="1:18">
      <c r="A111" s="152" t="s">
        <v>5756</v>
      </c>
      <c r="B111" s="151"/>
      <c r="C111" s="151"/>
      <c r="D111" s="153">
        <f>-D86</f>
        <v>-317265.31800000026</v>
      </c>
      <c r="E111" s="153">
        <f>-E86</f>
        <v>-302424.94199999934</v>
      </c>
      <c r="F111" s="153">
        <f>-F86</f>
        <v>0</v>
      </c>
      <c r="G111" s="153">
        <f t="shared" ref="G111:O111" si="56">G86</f>
        <v>0</v>
      </c>
      <c r="H111" s="153">
        <f t="shared" si="56"/>
        <v>0</v>
      </c>
      <c r="I111" s="153">
        <f t="shared" si="56"/>
        <v>0</v>
      </c>
      <c r="J111" s="153">
        <f t="shared" si="56"/>
        <v>0</v>
      </c>
      <c r="K111" s="153">
        <f t="shared" si="56"/>
        <v>0</v>
      </c>
      <c r="L111" s="153">
        <f t="shared" si="56"/>
        <v>-1246868.5289999975</v>
      </c>
      <c r="M111" s="153">
        <f t="shared" si="56"/>
        <v>0</v>
      </c>
      <c r="N111" s="153">
        <f t="shared" si="56"/>
        <v>-238758.14999999886</v>
      </c>
      <c r="O111" s="153">
        <f t="shared" si="56"/>
        <v>0</v>
      </c>
      <c r="R111" s="126"/>
    </row>
    <row r="112" spans="1:18">
      <c r="A112" s="152" t="s">
        <v>5757</v>
      </c>
      <c r="B112" s="151"/>
      <c r="C112" s="151"/>
      <c r="D112" s="150">
        <f>IF(D85&gt;0,D110+D111,SUM(D110-D10)+D85*-1)</f>
        <v>1711636.5670000019</v>
      </c>
      <c r="E112" s="150">
        <f>IF(E85&gt;0,E110+E111,SUM(E110-E10)+E85*-1)</f>
        <v>1726476.9430000028</v>
      </c>
      <c r="F112" s="150">
        <f>IF(F85&gt;0,F110+F111,SUM(F110-F10)+F85*-1)</f>
        <v>2791956.2850000085</v>
      </c>
      <c r="G112" s="150">
        <f t="shared" ref="G112:N112" si="57">G110-G111</f>
        <v>1132877.6550000017</v>
      </c>
      <c r="H112" s="150">
        <f t="shared" si="57"/>
        <v>1132877.6550000017</v>
      </c>
      <c r="I112" s="150">
        <f t="shared" si="57"/>
        <v>1132877.6550000017</v>
      </c>
      <c r="J112" s="150">
        <f t="shared" si="57"/>
        <v>1132877.6550000017</v>
      </c>
      <c r="K112" s="150">
        <f t="shared" si="57"/>
        <v>1132877.6550000017</v>
      </c>
      <c r="L112" s="150">
        <f t="shared" si="57"/>
        <v>2379746.1839999994</v>
      </c>
      <c r="M112" s="150">
        <f t="shared" si="57"/>
        <v>1132877.6550000017</v>
      </c>
      <c r="N112" s="150">
        <f t="shared" si="57"/>
        <v>1371635.8050000006</v>
      </c>
      <c r="O112" s="150">
        <f>N112</f>
        <v>1371635.8050000006</v>
      </c>
      <c r="R112" s="126"/>
    </row>
    <row r="113" spans="2:18">
      <c r="R113" s="126"/>
    </row>
    <row r="114" spans="2:18" ht="17.45" thickBot="1">
      <c r="C114" s="149"/>
      <c r="D114" s="148"/>
      <c r="E114" s="148"/>
      <c r="F114" s="148"/>
      <c r="G114" s="148"/>
      <c r="H114" s="148"/>
      <c r="I114" s="148"/>
      <c r="J114" s="148"/>
      <c r="K114" s="148"/>
      <c r="L114" s="148"/>
      <c r="M114" s="148"/>
      <c r="N114" s="148"/>
      <c r="O114" s="148"/>
      <c r="R114" s="126"/>
    </row>
    <row r="115" spans="2:18" ht="17.45" thickBot="1">
      <c r="B115" s="147" t="s">
        <v>5758</v>
      </c>
      <c r="C115" s="146"/>
      <c r="D115" s="145" t="s">
        <v>5695</v>
      </c>
      <c r="E115" s="145" t="s">
        <v>5696</v>
      </c>
      <c r="F115" s="145" t="s">
        <v>5697</v>
      </c>
      <c r="G115" s="145" t="s">
        <v>5698</v>
      </c>
      <c r="H115" s="145" t="s">
        <v>5699</v>
      </c>
      <c r="I115" s="145" t="s">
        <v>5700</v>
      </c>
      <c r="J115" s="145" t="s">
        <v>5701</v>
      </c>
      <c r="K115" s="145" t="s">
        <v>5702</v>
      </c>
      <c r="L115" s="145" t="s">
        <v>5703</v>
      </c>
      <c r="M115" s="145" t="s">
        <v>5704</v>
      </c>
      <c r="N115" s="145" t="s">
        <v>5705</v>
      </c>
      <c r="O115" s="145" t="s">
        <v>5706</v>
      </c>
      <c r="R115" s="126"/>
    </row>
    <row r="116" spans="2:18">
      <c r="B116" s="138" t="s">
        <v>5759</v>
      </c>
      <c r="C116" s="144">
        <v>41132</v>
      </c>
      <c r="D116" s="141">
        <v>388190.1</v>
      </c>
      <c r="E116" s="141">
        <v>678152.56</v>
      </c>
      <c r="F116" s="141">
        <v>966098.49</v>
      </c>
      <c r="G116" s="140">
        <v>1250290.2</v>
      </c>
      <c r="H116" s="140">
        <v>1536058.61</v>
      </c>
      <c r="I116" s="140">
        <v>1815522.6</v>
      </c>
      <c r="J116" s="140"/>
      <c r="K116" s="140"/>
      <c r="L116" s="140"/>
      <c r="M116" s="140"/>
      <c r="N116" s="140"/>
      <c r="O116" s="140"/>
      <c r="R116" s="126"/>
    </row>
    <row r="117" spans="2:18" ht="17.45" thickBot="1">
      <c r="B117" s="143" t="s">
        <v>5759</v>
      </c>
      <c r="C117" s="142">
        <v>42132</v>
      </c>
      <c r="D117" s="141">
        <v>178506.63</v>
      </c>
      <c r="E117" s="141">
        <v>311843.94</v>
      </c>
      <c r="F117" s="141">
        <v>443998.07</v>
      </c>
      <c r="G117" s="140">
        <v>575406.78</v>
      </c>
      <c r="H117" s="140">
        <v>706815.49</v>
      </c>
      <c r="I117" s="140">
        <v>835325.14</v>
      </c>
      <c r="J117" s="140"/>
      <c r="K117" s="140"/>
      <c r="L117" s="140"/>
      <c r="M117" s="140"/>
      <c r="N117" s="140"/>
      <c r="O117" s="140"/>
      <c r="R117" s="126"/>
    </row>
    <row r="118" spans="2:18" ht="17.45" thickBot="1">
      <c r="B118" s="1133" t="s">
        <v>5760</v>
      </c>
      <c r="C118" s="1134"/>
      <c r="D118" s="139">
        <f>SUM(D116:D117)</f>
        <v>566696.73</v>
      </c>
      <c r="E118" s="139">
        <f t="shared" ref="E118:O118" si="58">SUM(E116:E117)</f>
        <v>989996.5</v>
      </c>
      <c r="F118" s="139">
        <f t="shared" si="58"/>
        <v>1410096.56</v>
      </c>
      <c r="G118" s="139">
        <f t="shared" si="58"/>
        <v>1825696.98</v>
      </c>
      <c r="H118" s="139">
        <f t="shared" si="58"/>
        <v>2242874.1</v>
      </c>
      <c r="I118" s="139">
        <f t="shared" si="58"/>
        <v>2650847.7400000002</v>
      </c>
      <c r="J118" s="139">
        <f t="shared" si="58"/>
        <v>0</v>
      </c>
      <c r="K118" s="139">
        <f t="shared" si="58"/>
        <v>0</v>
      </c>
      <c r="L118" s="139">
        <f t="shared" si="58"/>
        <v>0</v>
      </c>
      <c r="M118" s="139">
        <f t="shared" si="58"/>
        <v>0</v>
      </c>
      <c r="N118" s="139">
        <f t="shared" si="58"/>
        <v>0</v>
      </c>
      <c r="O118" s="139">
        <f t="shared" si="58"/>
        <v>0</v>
      </c>
      <c r="R118" s="126"/>
    </row>
    <row r="119" spans="2:18">
      <c r="B119" s="1135" t="s">
        <v>5761</v>
      </c>
      <c r="C119" s="1136"/>
      <c r="D119" s="137">
        <f t="shared" ref="D119:O119" si="59">D118*0.15</f>
        <v>85004.5095</v>
      </c>
      <c r="E119" s="137">
        <f t="shared" si="59"/>
        <v>148499.47500000001</v>
      </c>
      <c r="F119" s="137">
        <f t="shared" si="59"/>
        <v>211514.484</v>
      </c>
      <c r="G119" s="137">
        <f t="shared" si="59"/>
        <v>273854.54699999996</v>
      </c>
      <c r="H119" s="137">
        <f t="shared" si="59"/>
        <v>336431.11499999999</v>
      </c>
      <c r="I119" s="137">
        <f t="shared" si="59"/>
        <v>397627.16100000002</v>
      </c>
      <c r="J119" s="137">
        <f t="shared" si="59"/>
        <v>0</v>
      </c>
      <c r="K119" s="137">
        <f t="shared" si="59"/>
        <v>0</v>
      </c>
      <c r="L119" s="137">
        <f t="shared" si="59"/>
        <v>0</v>
      </c>
      <c r="M119" s="137">
        <f t="shared" si="59"/>
        <v>0</v>
      </c>
      <c r="N119" s="137">
        <f t="shared" si="59"/>
        <v>0</v>
      </c>
      <c r="O119" s="137">
        <f t="shared" si="59"/>
        <v>0</v>
      </c>
      <c r="R119" s="126"/>
    </row>
    <row r="120" spans="2:18">
      <c r="B120" s="138" t="s">
        <v>5762</v>
      </c>
      <c r="C120" s="135"/>
      <c r="D120" s="137">
        <f t="shared" ref="D120:O120" si="60">D88*0.04</f>
        <v>4441.7144520000047</v>
      </c>
      <c r="E120" s="137">
        <f t="shared" si="60"/>
        <v>4233.9491879999905</v>
      </c>
      <c r="F120" s="137">
        <f t="shared" si="60"/>
        <v>0</v>
      </c>
      <c r="G120" s="137">
        <f t="shared" si="60"/>
        <v>0</v>
      </c>
      <c r="H120" s="137">
        <f t="shared" si="60"/>
        <v>0</v>
      </c>
      <c r="I120" s="137">
        <f t="shared" si="60"/>
        <v>0</v>
      </c>
      <c r="J120" s="137">
        <f t="shared" si="60"/>
        <v>0</v>
      </c>
      <c r="K120" s="137">
        <f t="shared" si="60"/>
        <v>0</v>
      </c>
      <c r="L120" s="137">
        <f t="shared" si="60"/>
        <v>0</v>
      </c>
      <c r="M120" s="137">
        <f t="shared" si="60"/>
        <v>0</v>
      </c>
      <c r="N120" s="137">
        <f t="shared" si="60"/>
        <v>0</v>
      </c>
      <c r="O120" s="137">
        <f t="shared" si="60"/>
        <v>0</v>
      </c>
      <c r="R120" s="126"/>
    </row>
    <row r="121" spans="2:18">
      <c r="B121" s="136" t="s">
        <v>5763</v>
      </c>
      <c r="C121" s="135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R121" s="126"/>
    </row>
    <row r="122" spans="2:18" ht="17.45" thickBot="1">
      <c r="B122" s="133" t="s">
        <v>5764</v>
      </c>
      <c r="C122" s="132"/>
      <c r="D122" s="131">
        <f t="shared" ref="D122:O122" si="61">IF(D120&gt;0,(D119-D120),0)</f>
        <v>80562.795048</v>
      </c>
      <c r="E122" s="131">
        <f t="shared" si="61"/>
        <v>144265.52581200001</v>
      </c>
      <c r="F122" s="131">
        <f t="shared" si="61"/>
        <v>0</v>
      </c>
      <c r="G122" s="131">
        <f t="shared" si="61"/>
        <v>0</v>
      </c>
      <c r="H122" s="131">
        <f t="shared" si="61"/>
        <v>0</v>
      </c>
      <c r="I122" s="131">
        <f t="shared" si="61"/>
        <v>0</v>
      </c>
      <c r="J122" s="131">
        <f t="shared" si="61"/>
        <v>0</v>
      </c>
      <c r="K122" s="131">
        <f t="shared" si="61"/>
        <v>0</v>
      </c>
      <c r="L122" s="131">
        <f t="shared" si="61"/>
        <v>0</v>
      </c>
      <c r="M122" s="131">
        <f t="shared" si="61"/>
        <v>0</v>
      </c>
      <c r="N122" s="131">
        <f t="shared" si="61"/>
        <v>0</v>
      </c>
      <c r="O122" s="131">
        <f t="shared" si="61"/>
        <v>0</v>
      </c>
      <c r="R122" s="126"/>
    </row>
    <row r="123" spans="2:18">
      <c r="B123" s="129"/>
      <c r="C123" s="130"/>
      <c r="D123" s="129"/>
      <c r="E123" s="129"/>
      <c r="R123" s="126"/>
    </row>
    <row r="124" spans="2:18">
      <c r="K124" s="128"/>
      <c r="R124" s="126"/>
    </row>
    <row r="125" spans="2:18">
      <c r="R125" s="126"/>
    </row>
    <row r="126" spans="2:18">
      <c r="K126" s="127"/>
      <c r="R126" s="126"/>
    </row>
    <row r="127" spans="2:18">
      <c r="R127" s="126"/>
    </row>
    <row r="128" spans="2:18">
      <c r="R128" s="126"/>
    </row>
    <row r="129" spans="1:18">
      <c r="R129" s="126"/>
    </row>
    <row r="130" spans="1:18">
      <c r="R130" s="126"/>
    </row>
    <row r="131" spans="1:18">
      <c r="A131" s="125" t="s">
        <v>5765</v>
      </c>
      <c r="B131" s="125" t="s">
        <v>5766</v>
      </c>
    </row>
    <row r="132" spans="1:18">
      <c r="A132" s="125" t="s">
        <v>329</v>
      </c>
      <c r="B132" s="125" t="s">
        <v>5767</v>
      </c>
      <c r="C132" s="126"/>
    </row>
    <row r="133" spans="1:18">
      <c r="A133" s="125" t="s">
        <v>5768</v>
      </c>
      <c r="B133" s="125" t="s">
        <v>5769</v>
      </c>
      <c r="C133" s="892">
        <v>396.9</v>
      </c>
    </row>
    <row r="134" spans="1:18">
      <c r="A134" s="125" t="s">
        <v>5770</v>
      </c>
      <c r="B134" s="125" t="s">
        <v>5771</v>
      </c>
      <c r="C134" s="126"/>
      <c r="F134" s="127"/>
    </row>
    <row r="135" spans="1:18">
      <c r="C135" s="126"/>
      <c r="F135" s="128"/>
    </row>
    <row r="136" spans="1:18">
      <c r="A136" s="125" t="s">
        <v>328</v>
      </c>
      <c r="B136" s="125" t="s">
        <v>328</v>
      </c>
      <c r="C136" s="126"/>
      <c r="F136" s="127"/>
    </row>
    <row r="137" spans="1:18">
      <c r="A137" s="125" t="s">
        <v>5772</v>
      </c>
      <c r="B137" s="125" t="s">
        <v>5773</v>
      </c>
      <c r="C137" s="892">
        <v>1076.04</v>
      </c>
    </row>
    <row r="138" spans="1:18">
      <c r="A138" s="125" t="s">
        <v>5774</v>
      </c>
      <c r="B138" s="125" t="s">
        <v>5775</v>
      </c>
      <c r="C138" s="126"/>
    </row>
    <row r="139" spans="1:18">
      <c r="C139" s="126"/>
    </row>
    <row r="140" spans="1:18">
      <c r="C140" s="892">
        <f>C133+C137</f>
        <v>1472.94</v>
      </c>
    </row>
    <row r="141" spans="1:18">
      <c r="C141" s="127"/>
    </row>
    <row r="142" spans="1:18">
      <c r="C142" s="126">
        <v>1051547.0900000001</v>
      </c>
    </row>
    <row r="143" spans="1:18">
      <c r="C143" s="127"/>
    </row>
    <row r="144" spans="1:18">
      <c r="C144" s="128">
        <f>C142-C140</f>
        <v>1050074.1500000001</v>
      </c>
    </row>
  </sheetData>
  <autoFilter ref="A6:I7" xr:uid="{00000000-0009-0000-0000-000019000000}"/>
  <mergeCells count="32">
    <mergeCell ref="A46:C46"/>
    <mergeCell ref="A6:A7"/>
    <mergeCell ref="A9:C9"/>
    <mergeCell ref="A11:C11"/>
    <mergeCell ref="A12:C12"/>
    <mergeCell ref="A13:A27"/>
    <mergeCell ref="A29:C29"/>
    <mergeCell ref="A30:C30"/>
    <mergeCell ref="A36:C36"/>
    <mergeCell ref="A39:C39"/>
    <mergeCell ref="A40:C40"/>
    <mergeCell ref="A42:C42"/>
    <mergeCell ref="A87:C87"/>
    <mergeCell ref="A48:C48"/>
    <mergeCell ref="A53:A54"/>
    <mergeCell ref="A56:C56"/>
    <mergeCell ref="A58:C58"/>
    <mergeCell ref="A59:C59"/>
    <mergeCell ref="A60:A74"/>
    <mergeCell ref="A76:C76"/>
    <mergeCell ref="A77:C77"/>
    <mergeCell ref="A79:A80"/>
    <mergeCell ref="A85:C85"/>
    <mergeCell ref="A83:C83"/>
    <mergeCell ref="B118:C118"/>
    <mergeCell ref="B119:C119"/>
    <mergeCell ref="A91:C91"/>
    <mergeCell ref="A99:C99"/>
    <mergeCell ref="A101:C101"/>
    <mergeCell ref="A105:C105"/>
    <mergeCell ref="A107:C107"/>
    <mergeCell ref="A109:C109"/>
  </mergeCells>
  <conditionalFormatting sqref="B103">
    <cfRule type="cellIs" dxfId="9" priority="4" operator="lessThan">
      <formula>0</formula>
    </cfRule>
  </conditionalFormatting>
  <conditionalFormatting sqref="D37:O37">
    <cfRule type="cellIs" dxfId="8" priority="1" operator="lessThan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scale="52" fitToHeight="0" orientation="landscape" r:id="rId1"/>
  <rowBreaks count="1" manualBreakCount="1">
    <brk id="51" max="14" man="1"/>
  </rowBreaks>
  <colBreaks count="1" manualBreakCount="1">
    <brk id="11" max="108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2060"/>
  </sheetPr>
  <dimension ref="A1:R142"/>
  <sheetViews>
    <sheetView showGridLines="0" zoomScale="85" zoomScaleNormal="85" workbookViewId="0">
      <pane xSplit="3" ySplit="6" topLeftCell="F7" activePane="bottomRight" state="frozen"/>
      <selection pane="bottomRight" activeCell="Q13" sqref="Q13"/>
      <selection pane="bottomLeft"/>
      <selection pane="topRight"/>
    </sheetView>
  </sheetViews>
  <sheetFormatPr defaultColWidth="9.140625" defaultRowHeight="16.899999999999999"/>
  <cols>
    <col min="1" max="1" width="50.85546875" style="125" customWidth="1"/>
    <col min="2" max="2" width="38.85546875" style="125" customWidth="1"/>
    <col min="3" max="3" width="43.5703125" style="125" bestFit="1" customWidth="1"/>
    <col min="4" max="4" width="18.28515625" style="127" hidden="1" customWidth="1"/>
    <col min="5" max="5" width="20.28515625" style="127" hidden="1" customWidth="1"/>
    <col min="6" max="6" width="18.28515625" style="125" customWidth="1"/>
    <col min="7" max="7" width="18.5703125" style="125" hidden="1" customWidth="1"/>
    <col min="8" max="8" width="18.140625" style="125" hidden="1" customWidth="1"/>
    <col min="9" max="9" width="18.140625" style="125" customWidth="1"/>
    <col min="10" max="10" width="17.28515625" style="125" hidden="1" customWidth="1"/>
    <col min="11" max="11" width="18.140625" style="125" hidden="1" customWidth="1"/>
    <col min="12" max="12" width="21.140625" style="125" hidden="1" customWidth="1"/>
    <col min="13" max="13" width="20.140625" style="125" hidden="1" customWidth="1"/>
    <col min="14" max="14" width="18.5703125" style="125" hidden="1" customWidth="1"/>
    <col min="15" max="15" width="17.28515625" style="125" hidden="1" customWidth="1"/>
    <col min="16" max="16" width="17.42578125" style="126" customWidth="1"/>
    <col min="17" max="17" width="15.140625" style="125" customWidth="1"/>
    <col min="18" max="18" width="18.140625" style="125" bestFit="1" customWidth="1"/>
    <col min="19" max="16384" width="9.140625" style="125"/>
  </cols>
  <sheetData>
    <row r="1" spans="1:18" s="275" customFormat="1">
      <c r="D1" s="280"/>
      <c r="E1" s="280"/>
      <c r="P1" s="276"/>
    </row>
    <row r="2" spans="1:18" s="275" customFormat="1" ht="20.45">
      <c r="B2" s="279" t="s">
        <v>5690</v>
      </c>
      <c r="D2" s="279"/>
      <c r="E2" s="278"/>
      <c r="P2" s="276"/>
    </row>
    <row r="3" spans="1:18" s="275" customFormat="1" ht="20.45">
      <c r="B3" s="277" t="s">
        <v>5776</v>
      </c>
      <c r="D3" s="277"/>
      <c r="E3" s="277"/>
      <c r="P3" s="276"/>
    </row>
    <row r="4" spans="1:18" ht="20.45">
      <c r="B4" s="274" t="s">
        <v>5777</v>
      </c>
      <c r="D4" s="274"/>
      <c r="E4" s="274"/>
    </row>
    <row r="5" spans="1:18" ht="20.45">
      <c r="B5" s="274"/>
      <c r="D5" s="274">
        <v>1</v>
      </c>
      <c r="E5" s="274">
        <v>2</v>
      </c>
      <c r="F5" s="125">
        <v>3</v>
      </c>
      <c r="G5" s="274">
        <v>4</v>
      </c>
      <c r="H5" s="274">
        <v>5</v>
      </c>
      <c r="I5" s="272">
        <v>6</v>
      </c>
      <c r="J5" s="274">
        <v>7</v>
      </c>
      <c r="K5" s="274">
        <v>8</v>
      </c>
      <c r="L5" s="125">
        <v>9</v>
      </c>
      <c r="M5" s="274">
        <v>10</v>
      </c>
      <c r="N5" s="274">
        <v>11</v>
      </c>
      <c r="O5" s="125">
        <v>12</v>
      </c>
    </row>
    <row r="6" spans="1:18" s="272" customFormat="1" ht="33" customHeight="1">
      <c r="A6" s="1146" t="s">
        <v>5693</v>
      </c>
      <c r="B6" s="233" t="s">
        <v>5694</v>
      </c>
      <c r="C6" s="232" t="s">
        <v>213</v>
      </c>
      <c r="D6" s="231" t="s">
        <v>5695</v>
      </c>
      <c r="E6" s="231" t="s">
        <v>5696</v>
      </c>
      <c r="F6" s="231" t="s">
        <v>5697</v>
      </c>
      <c r="G6" s="231" t="s">
        <v>5698</v>
      </c>
      <c r="H6" s="231" t="s">
        <v>5699</v>
      </c>
      <c r="I6" s="231" t="s">
        <v>5700</v>
      </c>
      <c r="J6" s="231" t="s">
        <v>5701</v>
      </c>
      <c r="K6" s="231" t="s">
        <v>5702</v>
      </c>
      <c r="L6" s="231" t="s">
        <v>5703</v>
      </c>
      <c r="M6" s="231" t="s">
        <v>5704</v>
      </c>
      <c r="N6" s="231" t="s">
        <v>5705</v>
      </c>
      <c r="O6" s="231" t="s">
        <v>5706</v>
      </c>
      <c r="P6" s="273"/>
    </row>
    <row r="7" spans="1:18">
      <c r="A7" s="1147"/>
      <c r="B7" s="230">
        <v>3</v>
      </c>
      <c r="C7" s="161" t="s">
        <v>184</v>
      </c>
      <c r="D7" s="229">
        <v>0</v>
      </c>
      <c r="E7" s="229">
        <v>0</v>
      </c>
      <c r="F7" s="174" t="e">
        <f>-SUMIF('[6]Março 2026'!B:B,IRPJ_CSLL_2026!B7,'[6]Março 2026'!G:G)</f>
        <v>#VALUE!</v>
      </c>
      <c r="G7" s="174">
        <v>0</v>
      </c>
      <c r="H7" s="174">
        <v>0</v>
      </c>
      <c r="I7" s="174">
        <v>36746201.619999997</v>
      </c>
      <c r="J7" s="174">
        <v>0</v>
      </c>
      <c r="K7" s="174">
        <v>0</v>
      </c>
      <c r="L7" s="174">
        <v>0</v>
      </c>
      <c r="M7" s="174">
        <v>0</v>
      </c>
      <c r="N7" s="174">
        <v>0</v>
      </c>
      <c r="O7" s="174">
        <v>0</v>
      </c>
      <c r="P7" s="183">
        <f>I7*34%</f>
        <v>12493708.550799999</v>
      </c>
    </row>
    <row r="8" spans="1:18" ht="34.15" thickBot="1">
      <c r="A8" s="221" t="s">
        <v>5707</v>
      </c>
      <c r="B8" s="227">
        <v>4</v>
      </c>
      <c r="C8" s="181" t="s">
        <v>970</v>
      </c>
      <c r="D8" s="229">
        <v>0</v>
      </c>
      <c r="E8" s="229">
        <v>0</v>
      </c>
      <c r="F8" s="174" t="e">
        <f>SUMIF('[6]Março 2026'!B:B,IRPJ_CSLL_2026!B8,'[6]Março 2026'!G:G)</f>
        <v>#VALUE!</v>
      </c>
      <c r="G8" s="174">
        <v>0</v>
      </c>
      <c r="H8" s="174">
        <v>0</v>
      </c>
      <c r="I8" s="174">
        <v>51286999.119999997</v>
      </c>
      <c r="J8" s="174">
        <v>0</v>
      </c>
      <c r="K8" s="174">
        <v>0</v>
      </c>
      <c r="L8" s="174">
        <v>0</v>
      </c>
      <c r="M8" s="174">
        <v>0</v>
      </c>
      <c r="N8" s="174">
        <v>0</v>
      </c>
      <c r="O8" s="174">
        <v>0</v>
      </c>
      <c r="P8" s="183">
        <f t="shared" ref="P8:P39" si="0">I8*34%</f>
        <v>17437579.700800002</v>
      </c>
    </row>
    <row r="9" spans="1:18" ht="17.45" thickBot="1">
      <c r="A9" s="1165" t="s">
        <v>5708</v>
      </c>
      <c r="B9" s="1166"/>
      <c r="C9" s="1167"/>
      <c r="D9" s="184">
        <f t="shared" ref="D9" si="1">D7-D8</f>
        <v>0</v>
      </c>
      <c r="E9" s="270">
        <f>E7-E8</f>
        <v>0</v>
      </c>
      <c r="F9" s="1028" t="e">
        <f>F7-F8</f>
        <v>#VALUE!</v>
      </c>
      <c r="G9" s="1028">
        <f>G7-G8</f>
        <v>0</v>
      </c>
      <c r="H9" s="1028">
        <f>H7-H8</f>
        <v>0</v>
      </c>
      <c r="I9" s="1028">
        <f>I7-I8</f>
        <v>-14540797.5</v>
      </c>
      <c r="J9" s="1028">
        <f t="shared" ref="J9" si="2">J7-J8</f>
        <v>0</v>
      </c>
      <c r="K9" s="1028">
        <f>K7-K8</f>
        <v>0</v>
      </c>
      <c r="L9" s="1028">
        <f>L7-L8</f>
        <v>0</v>
      </c>
      <c r="M9" s="1028">
        <f>M7-M8</f>
        <v>0</v>
      </c>
      <c r="N9" s="1028">
        <f>N7-N8</f>
        <v>0</v>
      </c>
      <c r="O9" s="1028">
        <f>O7-O8</f>
        <v>0</v>
      </c>
      <c r="P9" s="183">
        <f t="shared" si="0"/>
        <v>-4943871.1500000004</v>
      </c>
      <c r="R9" s="183"/>
    </row>
    <row r="10" spans="1:18" ht="17.45" thickBot="1">
      <c r="A10" s="268"/>
      <c r="B10" s="267" t="s">
        <v>5709</v>
      </c>
      <c r="C10" s="179" t="s">
        <v>5710</v>
      </c>
      <c r="D10" s="210">
        <v>0</v>
      </c>
      <c r="E10" s="210">
        <v>0</v>
      </c>
      <c r="F10" s="174">
        <f>'[6]Balancete 03.2025'!H310+'[6]Balancete 03.2025'!H312</f>
        <v>0</v>
      </c>
      <c r="G10" s="174">
        <v>0</v>
      </c>
      <c r="H10" s="174"/>
      <c r="I10" s="174">
        <v>0</v>
      </c>
      <c r="J10" s="174"/>
      <c r="K10" s="174"/>
      <c r="L10" s="174">
        <f>'[6]Balancete 03.2025'!N310+'[6]Balancete 03.2025'!N312</f>
        <v>0</v>
      </c>
      <c r="M10" s="174"/>
      <c r="N10" s="174"/>
      <c r="O10" s="174">
        <f>'[6]Balancete 03.2025'!Q310+'[6]Balancete 03.2025'!Q312</f>
        <v>0</v>
      </c>
      <c r="P10" s="183">
        <f t="shared" si="0"/>
        <v>0</v>
      </c>
      <c r="R10" s="183"/>
    </row>
    <row r="11" spans="1:18" ht="17.45" thickBot="1">
      <c r="A11" s="1151" t="s">
        <v>5711</v>
      </c>
      <c r="B11" s="1152"/>
      <c r="C11" s="1153"/>
      <c r="D11" s="215">
        <f t="shared" ref="D11:K11" si="3">D9+D10</f>
        <v>0</v>
      </c>
      <c r="E11" s="215">
        <f t="shared" si="3"/>
        <v>0</v>
      </c>
      <c r="F11" s="1029" t="e">
        <f t="shared" si="3"/>
        <v>#VALUE!</v>
      </c>
      <c r="G11" s="1029">
        <f>G9+G10</f>
        <v>0</v>
      </c>
      <c r="H11" s="1029">
        <f>H9+H10</f>
        <v>0</v>
      </c>
      <c r="I11" s="1029">
        <f t="shared" si="3"/>
        <v>-14540797.5</v>
      </c>
      <c r="J11" s="1029">
        <f>J9+J10</f>
        <v>0</v>
      </c>
      <c r="K11" s="1029">
        <f t="shared" si="3"/>
        <v>0</v>
      </c>
      <c r="L11" s="1029">
        <f>L9+L10</f>
        <v>0</v>
      </c>
      <c r="M11" s="1029">
        <f>M9+M10</f>
        <v>0</v>
      </c>
      <c r="N11" s="1029">
        <f>N9+N10</f>
        <v>0</v>
      </c>
      <c r="O11" s="1029">
        <f>O9+O10</f>
        <v>0</v>
      </c>
      <c r="P11" s="183">
        <f t="shared" si="0"/>
        <v>-4943871.1500000004</v>
      </c>
      <c r="Q11" s="128"/>
      <c r="R11" s="183"/>
    </row>
    <row r="12" spans="1:18" s="172" customFormat="1" ht="17.45" thickBot="1">
      <c r="A12" s="1154" t="s">
        <v>5712</v>
      </c>
      <c r="B12" s="1155"/>
      <c r="C12" s="1156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183">
        <f t="shared" si="0"/>
        <v>0</v>
      </c>
      <c r="R12" s="1030"/>
    </row>
    <row r="13" spans="1:18" s="172" customFormat="1">
      <c r="A13" s="1168" t="s">
        <v>5713</v>
      </c>
      <c r="B13" s="176">
        <v>411111</v>
      </c>
      <c r="C13" s="175" t="s">
        <v>5714</v>
      </c>
      <c r="D13" s="210">
        <v>0</v>
      </c>
      <c r="E13" s="210">
        <v>0</v>
      </c>
      <c r="F13" s="174" t="e">
        <f>SUMIF('[6]Março 2026'!B:B,IRPJ_CSLL_2026!B13,'[6]Março 2026'!G:G)</f>
        <v>#VALUE!</v>
      </c>
      <c r="G13" s="210">
        <v>0</v>
      </c>
      <c r="H13" s="210">
        <v>0</v>
      </c>
      <c r="I13" s="210">
        <v>0</v>
      </c>
      <c r="J13" s="210">
        <v>0</v>
      </c>
      <c r="K13" s="210">
        <v>0</v>
      </c>
      <c r="L13" s="210">
        <v>0</v>
      </c>
      <c r="M13" s="210">
        <v>0</v>
      </c>
      <c r="N13" s="210">
        <v>0</v>
      </c>
      <c r="O13" s="210">
        <v>0</v>
      </c>
      <c r="P13" s="183">
        <f t="shared" si="0"/>
        <v>0</v>
      </c>
    </row>
    <row r="14" spans="1:18" s="172" customFormat="1">
      <c r="A14" s="1157"/>
      <c r="B14" s="176">
        <v>411113</v>
      </c>
      <c r="C14" s="175" t="s">
        <v>988</v>
      </c>
      <c r="D14" s="210">
        <v>0</v>
      </c>
      <c r="E14" s="210">
        <v>0</v>
      </c>
      <c r="F14" s="174" t="e">
        <f>SUMIF('[6]Março 2026'!B:B,IRPJ_CSLL_2026!B14,'[6]Março 2026'!G:G)</f>
        <v>#VALUE!</v>
      </c>
      <c r="G14" s="210">
        <v>0</v>
      </c>
      <c r="H14" s="210">
        <v>0</v>
      </c>
      <c r="I14" s="210">
        <v>31626.27</v>
      </c>
      <c r="J14" s="210">
        <v>0</v>
      </c>
      <c r="K14" s="210">
        <v>0</v>
      </c>
      <c r="L14" s="210">
        <v>0</v>
      </c>
      <c r="M14" s="210">
        <v>0</v>
      </c>
      <c r="N14" s="210">
        <v>0</v>
      </c>
      <c r="O14" s="210">
        <v>0</v>
      </c>
      <c r="P14" s="183">
        <f t="shared" si="0"/>
        <v>10752.9318</v>
      </c>
    </row>
    <row r="15" spans="1:18" s="172" customFormat="1">
      <c r="A15" s="1157"/>
      <c r="B15" s="176">
        <v>411310</v>
      </c>
      <c r="C15" s="175" t="s">
        <v>1013</v>
      </c>
      <c r="D15" s="210">
        <v>0</v>
      </c>
      <c r="E15" s="210">
        <v>0</v>
      </c>
      <c r="F15" s="174" t="e">
        <f>SUMIF('[6]Março 2026'!B:B,IRPJ_CSLL_2026!B15,'[6]Março 2026'!G:G)</f>
        <v>#VALUE!</v>
      </c>
      <c r="G15" s="210">
        <v>0</v>
      </c>
      <c r="H15" s="210">
        <v>0</v>
      </c>
      <c r="I15" s="210">
        <v>9227.9</v>
      </c>
      <c r="J15" s="210">
        <v>0</v>
      </c>
      <c r="K15" s="210">
        <v>0</v>
      </c>
      <c r="L15" s="210">
        <v>0</v>
      </c>
      <c r="M15" s="210">
        <v>0</v>
      </c>
      <c r="N15" s="210">
        <v>0</v>
      </c>
      <c r="O15" s="210">
        <v>0</v>
      </c>
      <c r="P15" s="183">
        <f t="shared" si="0"/>
        <v>3137.4859999999999</v>
      </c>
    </row>
    <row r="16" spans="1:18" s="172" customFormat="1">
      <c r="A16" s="1157"/>
      <c r="B16" s="176">
        <v>416211</v>
      </c>
      <c r="C16" s="175" t="s">
        <v>5715</v>
      </c>
      <c r="D16" s="210">
        <v>0</v>
      </c>
      <c r="E16" s="210">
        <v>0</v>
      </c>
      <c r="F16" s="174" t="e">
        <f>SUMIF('[6]Março 2026'!B:B,IRPJ_CSLL_2026!B16,'[6]Março 2026'!G:G)</f>
        <v>#VALUE!</v>
      </c>
      <c r="G16" s="210">
        <v>0</v>
      </c>
      <c r="H16" s="210">
        <v>0</v>
      </c>
      <c r="I16" s="210">
        <v>0</v>
      </c>
      <c r="J16" s="210">
        <v>0</v>
      </c>
      <c r="K16" s="210">
        <v>0</v>
      </c>
      <c r="L16" s="210">
        <v>0</v>
      </c>
      <c r="M16" s="210">
        <v>0</v>
      </c>
      <c r="N16" s="210">
        <v>0</v>
      </c>
      <c r="O16" s="210">
        <v>0</v>
      </c>
      <c r="P16" s="183">
        <f t="shared" si="0"/>
        <v>0</v>
      </c>
    </row>
    <row r="17" spans="1:18">
      <c r="A17" s="1157"/>
      <c r="B17" s="176">
        <v>421110</v>
      </c>
      <c r="C17" s="175" t="s">
        <v>5714</v>
      </c>
      <c r="D17" s="210">
        <v>0</v>
      </c>
      <c r="E17" s="210">
        <v>0</v>
      </c>
      <c r="F17" s="174" t="e">
        <f>SUMIF('[6]Março 2026'!B:B,IRPJ_CSLL_2026!B17,'[6]Março 2026'!G:G)</f>
        <v>#VALUE!</v>
      </c>
      <c r="G17" s="210">
        <v>0</v>
      </c>
      <c r="H17" s="210">
        <v>0</v>
      </c>
      <c r="I17" s="210">
        <v>0</v>
      </c>
      <c r="J17" s="210">
        <v>0</v>
      </c>
      <c r="K17" s="210">
        <v>0</v>
      </c>
      <c r="L17" s="210">
        <v>0</v>
      </c>
      <c r="M17" s="210">
        <v>0</v>
      </c>
      <c r="N17" s="210">
        <v>0</v>
      </c>
      <c r="O17" s="210">
        <v>0</v>
      </c>
      <c r="P17" s="183">
        <f t="shared" si="0"/>
        <v>0</v>
      </c>
    </row>
    <row r="18" spans="1:18">
      <c r="A18" s="1157"/>
      <c r="B18" s="176">
        <v>421112</v>
      </c>
      <c r="C18" s="175" t="s">
        <v>988</v>
      </c>
      <c r="D18" s="210">
        <v>0</v>
      </c>
      <c r="E18" s="210">
        <v>0</v>
      </c>
      <c r="F18" s="174" t="e">
        <f>SUMIF('[6]Março 2026'!B:B,IRPJ_CSLL_2026!B18,'[6]Março 2026'!G:G)</f>
        <v>#VALUE!</v>
      </c>
      <c r="G18" s="210">
        <v>0</v>
      </c>
      <c r="H18" s="210">
        <v>0</v>
      </c>
      <c r="I18" s="210">
        <v>14973.46</v>
      </c>
      <c r="J18" s="210">
        <v>0</v>
      </c>
      <c r="K18" s="210">
        <v>0</v>
      </c>
      <c r="L18" s="210">
        <v>0</v>
      </c>
      <c r="M18" s="210">
        <v>0</v>
      </c>
      <c r="N18" s="210">
        <v>0</v>
      </c>
      <c r="O18" s="210">
        <v>0</v>
      </c>
      <c r="P18" s="183">
        <f t="shared" si="0"/>
        <v>5090.9764000000005</v>
      </c>
    </row>
    <row r="19" spans="1:18">
      <c r="A19" s="1157"/>
      <c r="B19" s="176">
        <v>421310</v>
      </c>
      <c r="C19" s="175" t="s">
        <v>1013</v>
      </c>
      <c r="D19" s="210">
        <v>0</v>
      </c>
      <c r="E19" s="210">
        <v>0</v>
      </c>
      <c r="F19" s="174" t="e">
        <f>SUMIF('[6]Março 2026'!B:B,IRPJ_CSLL_2026!B19,'[6]Março 2026'!G:G)</f>
        <v>#VALUE!</v>
      </c>
      <c r="G19" s="210">
        <v>0</v>
      </c>
      <c r="H19" s="210">
        <v>0</v>
      </c>
      <c r="I19" s="210">
        <v>3694.1</v>
      </c>
      <c r="J19" s="210">
        <v>0</v>
      </c>
      <c r="K19" s="210">
        <v>0</v>
      </c>
      <c r="L19" s="210">
        <v>0</v>
      </c>
      <c r="M19" s="210">
        <v>0</v>
      </c>
      <c r="N19" s="210">
        <v>0</v>
      </c>
      <c r="O19" s="210">
        <v>0</v>
      </c>
      <c r="P19" s="183">
        <f t="shared" si="0"/>
        <v>1255.9940000000001</v>
      </c>
    </row>
    <row r="20" spans="1:18">
      <c r="A20" s="1157"/>
      <c r="B20" s="176">
        <v>42541</v>
      </c>
      <c r="C20" s="161" t="s">
        <v>5716</v>
      </c>
      <c r="D20" s="210">
        <v>0</v>
      </c>
      <c r="E20" s="210">
        <v>0</v>
      </c>
      <c r="F20" s="174" t="e">
        <f>SUMIF('[6]Março 2026'!B:B,IRPJ_CSLL_2026!B20,'[6]Março 2026'!G:G)</f>
        <v>#VALUE!</v>
      </c>
      <c r="G20" s="210">
        <v>0</v>
      </c>
      <c r="H20" s="210">
        <v>0</v>
      </c>
      <c r="I20" s="210">
        <v>0</v>
      </c>
      <c r="J20" s="210">
        <v>0</v>
      </c>
      <c r="K20" s="210">
        <v>0</v>
      </c>
      <c r="L20" s="210">
        <v>0</v>
      </c>
      <c r="M20" s="210">
        <v>0</v>
      </c>
      <c r="N20" s="210">
        <v>0</v>
      </c>
      <c r="O20" s="210">
        <v>0</v>
      </c>
      <c r="P20" s="183">
        <f t="shared" si="0"/>
        <v>0</v>
      </c>
    </row>
    <row r="21" spans="1:18">
      <c r="A21" s="1157"/>
      <c r="B21" s="176">
        <v>42542</v>
      </c>
      <c r="C21" s="175" t="s">
        <v>5717</v>
      </c>
      <c r="D21" s="210">
        <v>0</v>
      </c>
      <c r="E21" s="210">
        <v>0</v>
      </c>
      <c r="F21" s="174" t="e">
        <f>SUMIF('[6]Março 2026'!B:B,IRPJ_CSLL_2026!B21,'[6]Março 2026'!G:G)</f>
        <v>#VALUE!</v>
      </c>
      <c r="G21" s="210">
        <v>0</v>
      </c>
      <c r="H21" s="210">
        <v>0</v>
      </c>
      <c r="I21" s="210">
        <v>108.38</v>
      </c>
      <c r="J21" s="210">
        <v>0</v>
      </c>
      <c r="K21" s="210">
        <v>0</v>
      </c>
      <c r="L21" s="210">
        <v>0</v>
      </c>
      <c r="M21" s="210">
        <v>0</v>
      </c>
      <c r="N21" s="210">
        <v>0</v>
      </c>
      <c r="O21" s="210">
        <v>0</v>
      </c>
      <c r="P21" s="183">
        <f t="shared" si="0"/>
        <v>36.849200000000003</v>
      </c>
    </row>
    <row r="22" spans="1:18">
      <c r="A22" s="1157"/>
      <c r="B22" s="176">
        <v>42543</v>
      </c>
      <c r="C22" s="161" t="s">
        <v>5156</v>
      </c>
      <c r="D22" s="210">
        <v>0</v>
      </c>
      <c r="E22" s="210">
        <v>0</v>
      </c>
      <c r="F22" s="174" t="e">
        <f>SUMIF('[6]Março 2026'!B:B,IRPJ_CSLL_2026!B22,'[6]Março 2026'!G:G)</f>
        <v>#VALUE!</v>
      </c>
      <c r="G22" s="210">
        <v>0</v>
      </c>
      <c r="H22" s="210">
        <v>0</v>
      </c>
      <c r="I22" s="210">
        <v>0</v>
      </c>
      <c r="J22" s="210">
        <v>0</v>
      </c>
      <c r="K22" s="210">
        <v>0</v>
      </c>
      <c r="L22" s="210">
        <v>0</v>
      </c>
      <c r="M22" s="210">
        <v>0</v>
      </c>
      <c r="N22" s="210">
        <v>0</v>
      </c>
      <c r="O22" s="210">
        <v>0</v>
      </c>
      <c r="P22" s="183">
        <f t="shared" si="0"/>
        <v>0</v>
      </c>
      <c r="R22" s="128"/>
    </row>
    <row r="23" spans="1:18">
      <c r="A23" s="1157"/>
      <c r="B23" s="176">
        <v>42811</v>
      </c>
      <c r="C23" s="161" t="s">
        <v>205</v>
      </c>
      <c r="D23" s="210">
        <v>0</v>
      </c>
      <c r="E23" s="210">
        <v>0</v>
      </c>
      <c r="F23" s="174" t="e">
        <f>SUMIF('[6]Março 2026'!B:B,IRPJ_CSLL_2026!B23,'[6]Março 2026'!G:G)</f>
        <v>#VALUE!</v>
      </c>
      <c r="G23" s="210">
        <v>0</v>
      </c>
      <c r="H23" s="210">
        <v>0</v>
      </c>
      <c r="I23" s="210">
        <v>0</v>
      </c>
      <c r="J23" s="210">
        <v>0</v>
      </c>
      <c r="K23" s="210">
        <v>0</v>
      </c>
      <c r="L23" s="210">
        <v>0</v>
      </c>
      <c r="M23" s="210">
        <v>0</v>
      </c>
      <c r="N23" s="210">
        <v>0</v>
      </c>
      <c r="O23" s="210">
        <v>0</v>
      </c>
      <c r="P23" s="183">
        <f t="shared" si="0"/>
        <v>0</v>
      </c>
    </row>
    <row r="24" spans="1:18">
      <c r="A24" s="1157"/>
      <c r="B24" s="176">
        <v>42720</v>
      </c>
      <c r="C24" s="161" t="s">
        <v>5718</v>
      </c>
      <c r="D24" s="210">
        <v>0</v>
      </c>
      <c r="E24" s="210">
        <v>0</v>
      </c>
      <c r="F24" s="174" t="e">
        <f>SUMIF('[6]Março 2026'!B:B,IRPJ_CSLL_2026!B24,'[6]Março 2026'!G:G)</f>
        <v>#VALUE!</v>
      </c>
      <c r="G24" s="210">
        <v>0</v>
      </c>
      <c r="H24" s="210">
        <v>0</v>
      </c>
      <c r="I24" s="210">
        <v>267889.17</v>
      </c>
      <c r="J24" s="210">
        <v>0</v>
      </c>
      <c r="K24" s="210">
        <v>0</v>
      </c>
      <c r="L24" s="210">
        <v>0</v>
      </c>
      <c r="M24" s="210">
        <v>0</v>
      </c>
      <c r="N24" s="210">
        <v>0</v>
      </c>
      <c r="O24" s="210">
        <v>0</v>
      </c>
      <c r="P24" s="183">
        <f t="shared" si="0"/>
        <v>91082.317800000004</v>
      </c>
      <c r="Q24" s="128"/>
    </row>
    <row r="25" spans="1:18">
      <c r="A25" s="1157"/>
      <c r="B25" s="176">
        <v>426213</v>
      </c>
      <c r="C25" s="175" t="s">
        <v>5715</v>
      </c>
      <c r="D25" s="210">
        <v>0</v>
      </c>
      <c r="E25" s="210">
        <v>0</v>
      </c>
      <c r="F25" s="174" t="e">
        <f>SUMIF('[6]Março 2026'!B:B,IRPJ_CSLL_2026!B25,'[6]Março 2026'!G:G)</f>
        <v>#VALUE!</v>
      </c>
      <c r="G25" s="210">
        <v>0</v>
      </c>
      <c r="H25" s="210">
        <v>0</v>
      </c>
      <c r="I25" s="210">
        <v>0</v>
      </c>
      <c r="J25" s="210">
        <v>0</v>
      </c>
      <c r="K25" s="210">
        <v>0</v>
      </c>
      <c r="L25" s="210">
        <v>0</v>
      </c>
      <c r="M25" s="210">
        <v>0</v>
      </c>
      <c r="N25" s="210">
        <v>0</v>
      </c>
      <c r="O25" s="210">
        <v>0</v>
      </c>
      <c r="P25" s="183">
        <f t="shared" si="0"/>
        <v>0</v>
      </c>
    </row>
    <row r="26" spans="1:18">
      <c r="A26" s="1157"/>
      <c r="B26" s="176">
        <v>427122</v>
      </c>
      <c r="C26" s="161" t="s">
        <v>5720</v>
      </c>
      <c r="D26" s="210">
        <v>0</v>
      </c>
      <c r="E26" s="210">
        <v>0</v>
      </c>
      <c r="F26" s="174" t="e">
        <f>SUMIF('[6]Março 2026'!B:B,IRPJ_CSLL_2026!B26,'[6]Março 2026'!G:G)</f>
        <v>#VALUE!</v>
      </c>
      <c r="G26" s="210">
        <v>0</v>
      </c>
      <c r="H26" s="210">
        <v>0</v>
      </c>
      <c r="I26" s="210">
        <v>171327.61</v>
      </c>
      <c r="J26" s="210">
        <v>0</v>
      </c>
      <c r="K26" s="210">
        <v>0</v>
      </c>
      <c r="L26" s="210">
        <v>0</v>
      </c>
      <c r="M26" s="210">
        <v>0</v>
      </c>
      <c r="N26" s="210">
        <v>0</v>
      </c>
      <c r="O26" s="210">
        <v>0</v>
      </c>
      <c r="P26" s="183">
        <f t="shared" si="0"/>
        <v>58251.3874</v>
      </c>
    </row>
    <row r="27" spans="1:18" ht="17.45" thickBot="1">
      <c r="A27" s="209"/>
      <c r="B27" s="176">
        <v>426118</v>
      </c>
      <c r="C27" s="161" t="s">
        <v>513</v>
      </c>
      <c r="D27" s="210">
        <v>0</v>
      </c>
      <c r="E27" s="210">
        <v>0</v>
      </c>
      <c r="F27" s="174" t="e">
        <f>SUMIF('[6]Março 2026'!B:B,IRPJ_CSLL_2026!B27,'[6]Março 2026'!G:G)</f>
        <v>#VALUE!</v>
      </c>
      <c r="G27" s="210">
        <v>0</v>
      </c>
      <c r="H27" s="210">
        <v>0</v>
      </c>
      <c r="I27" s="210">
        <v>738822.15</v>
      </c>
      <c r="J27" s="210">
        <v>0</v>
      </c>
      <c r="K27" s="210">
        <v>0</v>
      </c>
      <c r="L27" s="210">
        <v>0</v>
      </c>
      <c r="M27" s="210">
        <v>0</v>
      </c>
      <c r="N27" s="210">
        <v>0</v>
      </c>
      <c r="O27" s="210">
        <v>0</v>
      </c>
      <c r="P27" s="183">
        <f t="shared" si="0"/>
        <v>251199.53100000002</v>
      </c>
    </row>
    <row r="28" spans="1:18" s="172" customFormat="1" ht="17.45" thickBot="1">
      <c r="A28" s="1154" t="s">
        <v>5721</v>
      </c>
      <c r="B28" s="1155"/>
      <c r="C28" s="1156"/>
      <c r="D28" s="264">
        <f t="shared" ref="D28:O28" si="4">SUM(D13:D27)</f>
        <v>0</v>
      </c>
      <c r="E28" s="264">
        <f t="shared" si="4"/>
        <v>0</v>
      </c>
      <c r="F28" s="264" t="e">
        <f t="shared" si="4"/>
        <v>#VALUE!</v>
      </c>
      <c r="G28" s="264">
        <f t="shared" si="4"/>
        <v>0</v>
      </c>
      <c r="H28" s="264">
        <f t="shared" si="4"/>
        <v>0</v>
      </c>
      <c r="I28" s="264">
        <f t="shared" si="4"/>
        <v>1237669.04</v>
      </c>
      <c r="J28" s="264">
        <f t="shared" si="4"/>
        <v>0</v>
      </c>
      <c r="K28" s="264">
        <f t="shared" si="4"/>
        <v>0</v>
      </c>
      <c r="L28" s="264">
        <f t="shared" si="4"/>
        <v>0</v>
      </c>
      <c r="M28" s="264">
        <f t="shared" si="4"/>
        <v>0</v>
      </c>
      <c r="N28" s="264">
        <f t="shared" si="4"/>
        <v>0</v>
      </c>
      <c r="O28" s="264">
        <f t="shared" si="4"/>
        <v>0</v>
      </c>
      <c r="P28" s="183">
        <f t="shared" si="0"/>
        <v>420807.47360000003</v>
      </c>
      <c r="Q28" s="203"/>
      <c r="R28" s="263"/>
    </row>
    <row r="29" spans="1:18" s="172" customFormat="1" ht="17.45" thickBot="1">
      <c r="A29" s="1158" t="s">
        <v>5722</v>
      </c>
      <c r="B29" s="1159"/>
      <c r="C29" s="1160"/>
      <c r="D29" s="201"/>
      <c r="E29" s="201"/>
      <c r="F29" s="201"/>
      <c r="G29" s="262"/>
      <c r="H29" s="262"/>
      <c r="I29" s="201"/>
      <c r="J29" s="201"/>
      <c r="K29" s="201"/>
      <c r="L29" s="201"/>
      <c r="M29" s="201"/>
      <c r="N29" s="201"/>
      <c r="O29" s="201"/>
      <c r="P29" s="183">
        <f t="shared" si="0"/>
        <v>0</v>
      </c>
    </row>
    <row r="30" spans="1:18" s="256" customFormat="1" ht="18" customHeight="1">
      <c r="A30" s="258"/>
      <c r="B30" s="196">
        <v>211161</v>
      </c>
      <c r="C30" s="181" t="s">
        <v>5723</v>
      </c>
      <c r="D30" s="210">
        <v>0</v>
      </c>
      <c r="E30" s="210">
        <v>0</v>
      </c>
      <c r="F30" s="174">
        <v>931356.66</v>
      </c>
      <c r="G30" s="210">
        <v>0</v>
      </c>
      <c r="H30" s="210">
        <v>0</v>
      </c>
      <c r="I30" s="210">
        <v>931356.66</v>
      </c>
      <c r="J30" s="210">
        <v>0</v>
      </c>
      <c r="K30" s="210">
        <v>0</v>
      </c>
      <c r="L30" s="210">
        <v>0</v>
      </c>
      <c r="M30" s="210">
        <v>0</v>
      </c>
      <c r="N30" s="210">
        <v>0</v>
      </c>
      <c r="O30" s="210">
        <v>0</v>
      </c>
      <c r="P30" s="183">
        <f t="shared" si="0"/>
        <v>316661.26440000004</v>
      </c>
      <c r="Q30" s="1031"/>
    </row>
    <row r="31" spans="1:18" s="256" customFormat="1" ht="18" customHeight="1">
      <c r="A31" s="258" t="s">
        <v>5724</v>
      </c>
      <c r="B31" s="196">
        <v>33611</v>
      </c>
      <c r="C31" s="181" t="s">
        <v>4994</v>
      </c>
      <c r="D31" s="210">
        <v>0</v>
      </c>
      <c r="E31" s="210">
        <v>0</v>
      </c>
      <c r="F31" s="174" t="e">
        <f>SUMIF('[6]Março 2026'!B:B,IRPJ_CSLL_2026!B31,'[6]Março 2026'!G:G)</f>
        <v>#VALUE!</v>
      </c>
      <c r="G31" s="210">
        <v>0</v>
      </c>
      <c r="H31" s="210">
        <v>0</v>
      </c>
      <c r="I31" s="210">
        <v>76943.62</v>
      </c>
      <c r="J31" s="210">
        <v>0</v>
      </c>
      <c r="K31" s="210">
        <v>0</v>
      </c>
      <c r="L31" s="210">
        <v>0</v>
      </c>
      <c r="M31" s="210">
        <v>0</v>
      </c>
      <c r="N31" s="210">
        <v>0</v>
      </c>
      <c r="O31" s="210">
        <v>0</v>
      </c>
      <c r="P31" s="183">
        <f t="shared" si="0"/>
        <v>26160.8308</v>
      </c>
    </row>
    <row r="32" spans="1:18" s="256" customFormat="1" ht="18" customHeight="1">
      <c r="A32" s="258"/>
      <c r="B32" s="196">
        <v>33612</v>
      </c>
      <c r="C32" s="181" t="s">
        <v>4996</v>
      </c>
      <c r="D32" s="210">
        <v>0</v>
      </c>
      <c r="E32" s="210">
        <v>0</v>
      </c>
      <c r="F32" s="174" t="e">
        <f>SUMIF('[6]Março 2026'!B:B,IRPJ_CSLL_2026!B32,'[6]Março 2026'!G:G)</f>
        <v>#VALUE!</v>
      </c>
      <c r="G32" s="210">
        <v>0</v>
      </c>
      <c r="H32" s="210">
        <v>0</v>
      </c>
      <c r="I32" s="210">
        <v>0</v>
      </c>
      <c r="J32" s="210">
        <v>0</v>
      </c>
      <c r="K32" s="210">
        <v>0</v>
      </c>
      <c r="L32" s="210">
        <v>0</v>
      </c>
      <c r="M32" s="210">
        <v>0</v>
      </c>
      <c r="N32" s="210">
        <v>0</v>
      </c>
      <c r="O32" s="210">
        <v>0</v>
      </c>
      <c r="P32" s="183">
        <f t="shared" si="0"/>
        <v>0</v>
      </c>
    </row>
    <row r="33" spans="1:18" s="256" customFormat="1" ht="18" customHeight="1">
      <c r="A33" s="258"/>
      <c r="B33" s="196">
        <v>33613</v>
      </c>
      <c r="C33" s="181" t="s">
        <v>4998</v>
      </c>
      <c r="D33" s="210">
        <v>0</v>
      </c>
      <c r="E33" s="210">
        <v>0</v>
      </c>
      <c r="F33" s="174" t="e">
        <f>SUMIF('[6]Março 2026'!B:B,IRPJ_CSLL_2026!B33,'[6]Março 2026'!G:G)</f>
        <v>#VALUE!</v>
      </c>
      <c r="G33" s="210">
        <v>0</v>
      </c>
      <c r="H33" s="210">
        <v>0</v>
      </c>
      <c r="I33" s="210">
        <v>3034965.55</v>
      </c>
      <c r="J33" s="210">
        <v>0</v>
      </c>
      <c r="K33" s="210">
        <v>0</v>
      </c>
      <c r="L33" s="210">
        <v>0</v>
      </c>
      <c r="M33" s="210">
        <v>0</v>
      </c>
      <c r="N33" s="210">
        <v>0</v>
      </c>
      <c r="O33" s="210">
        <v>0</v>
      </c>
      <c r="P33" s="183">
        <f t="shared" si="0"/>
        <v>1031888.287</v>
      </c>
    </row>
    <row r="34" spans="1:18" s="256" customFormat="1" ht="18" customHeight="1" thickBot="1">
      <c r="A34" s="258"/>
      <c r="B34" s="196">
        <v>33614</v>
      </c>
      <c r="C34" s="181" t="s">
        <v>5725</v>
      </c>
      <c r="D34" s="210">
        <v>0</v>
      </c>
      <c r="E34" s="210">
        <v>0</v>
      </c>
      <c r="F34" s="174" t="e">
        <f>SUMIF('[6]Março 2026'!B:B,IRPJ_CSLL_2026!B34,'[6]Março 2026'!G:G)</f>
        <v>#VALUE!</v>
      </c>
      <c r="G34" s="210">
        <v>0</v>
      </c>
      <c r="H34" s="210">
        <v>0</v>
      </c>
      <c r="I34" s="210">
        <v>0</v>
      </c>
      <c r="J34" s="210">
        <v>0</v>
      </c>
      <c r="K34" s="210">
        <v>0</v>
      </c>
      <c r="L34" s="210">
        <v>0</v>
      </c>
      <c r="M34" s="210">
        <v>0</v>
      </c>
      <c r="N34" s="210">
        <v>0</v>
      </c>
      <c r="O34" s="210">
        <v>0</v>
      </c>
      <c r="P34" s="183">
        <f t="shared" si="0"/>
        <v>0</v>
      </c>
    </row>
    <row r="35" spans="1:18" s="172" customFormat="1" ht="17.45" thickBot="1">
      <c r="A35" s="1162" t="s">
        <v>5726</v>
      </c>
      <c r="B35" s="1163"/>
      <c r="C35" s="1164"/>
      <c r="D35" s="194">
        <f t="shared" ref="D35:K35" si="5">SUM(D30:D34)</f>
        <v>0</v>
      </c>
      <c r="E35" s="194">
        <f t="shared" si="5"/>
        <v>0</v>
      </c>
      <c r="F35" s="194" t="e">
        <f t="shared" si="5"/>
        <v>#VALUE!</v>
      </c>
      <c r="G35" s="194">
        <f>SUM(G30:G34)</f>
        <v>0</v>
      </c>
      <c r="H35" s="194">
        <f t="shared" si="5"/>
        <v>0</v>
      </c>
      <c r="I35" s="194">
        <f>SUM(I30:I34)</f>
        <v>4043265.83</v>
      </c>
      <c r="J35" s="194">
        <f t="shared" si="5"/>
        <v>0</v>
      </c>
      <c r="K35" s="194">
        <f t="shared" si="5"/>
        <v>0</v>
      </c>
      <c r="L35" s="194">
        <f>SUM(L30:L34)</f>
        <v>0</v>
      </c>
      <c r="M35" s="194">
        <f>SUM(M30:M34)</f>
        <v>0</v>
      </c>
      <c r="N35" s="194">
        <f>SUM(N30:N34)</f>
        <v>0</v>
      </c>
      <c r="O35" s="194">
        <f>SUM(O30:O34)</f>
        <v>0</v>
      </c>
      <c r="P35" s="183">
        <f t="shared" si="0"/>
        <v>1374710.3822000001</v>
      </c>
    </row>
    <row r="36" spans="1:18">
      <c r="A36" s="253" t="s">
        <v>5727</v>
      </c>
      <c r="B36" s="170"/>
      <c r="C36" s="170"/>
      <c r="D36" s="903">
        <f t="shared" ref="D36:O36" si="6">D11+D28-D35</f>
        <v>0</v>
      </c>
      <c r="E36" s="248">
        <f t="shared" si="6"/>
        <v>0</v>
      </c>
      <c r="F36" s="1032" t="e">
        <f t="shared" si="6"/>
        <v>#VALUE!</v>
      </c>
      <c r="G36" s="1032">
        <f t="shared" si="6"/>
        <v>0</v>
      </c>
      <c r="H36" s="1032">
        <f t="shared" si="6"/>
        <v>0</v>
      </c>
      <c r="I36" s="1032">
        <f t="shared" si="6"/>
        <v>-17346394.289999999</v>
      </c>
      <c r="J36" s="1032">
        <f t="shared" si="6"/>
        <v>0</v>
      </c>
      <c r="K36" s="1032">
        <f t="shared" si="6"/>
        <v>0</v>
      </c>
      <c r="L36" s="1032">
        <f t="shared" si="6"/>
        <v>0</v>
      </c>
      <c r="M36" s="1032">
        <f t="shared" si="6"/>
        <v>0</v>
      </c>
      <c r="N36" s="1032">
        <f t="shared" si="6"/>
        <v>0</v>
      </c>
      <c r="O36" s="1032">
        <f t="shared" si="6"/>
        <v>0</v>
      </c>
      <c r="P36" s="183">
        <f t="shared" si="0"/>
        <v>-5897774.0586000001</v>
      </c>
    </row>
    <row r="37" spans="1:18" ht="17.45" thickBot="1">
      <c r="A37" s="161" t="s">
        <v>5728</v>
      </c>
      <c r="B37" s="161"/>
      <c r="C37" s="161"/>
      <c r="D37" s="902">
        <f>-D36*30%</f>
        <v>0</v>
      </c>
      <c r="E37" s="902">
        <f>-E36*30%</f>
        <v>0</v>
      </c>
      <c r="F37" s="902" t="e">
        <f>-F36*30%</f>
        <v>#VALUE!</v>
      </c>
      <c r="G37" s="1032">
        <v>0</v>
      </c>
      <c r="H37" s="1032">
        <v>0</v>
      </c>
      <c r="I37" s="1032">
        <v>0</v>
      </c>
      <c r="J37" s="1032">
        <v>0</v>
      </c>
      <c r="K37" s="1032">
        <v>0</v>
      </c>
      <c r="L37" s="1032">
        <v>0</v>
      </c>
      <c r="M37" s="1032">
        <v>0</v>
      </c>
      <c r="N37" s="1032">
        <v>0</v>
      </c>
      <c r="O37" s="1032">
        <v>0</v>
      </c>
      <c r="P37" s="183">
        <f t="shared" si="0"/>
        <v>0</v>
      </c>
      <c r="R37" s="126"/>
    </row>
    <row r="38" spans="1:18" ht="17.45" thickBot="1">
      <c r="A38" s="1140" t="s">
        <v>5729</v>
      </c>
      <c r="B38" s="1141"/>
      <c r="C38" s="1142"/>
      <c r="D38" s="900">
        <f t="shared" ref="D38:I38" si="7">D36+D37</f>
        <v>0</v>
      </c>
      <c r="E38" s="245">
        <f t="shared" si="7"/>
        <v>0</v>
      </c>
      <c r="F38" s="1033" t="e">
        <f>F36+F37</f>
        <v>#VALUE!</v>
      </c>
      <c r="G38" s="1034">
        <f t="shared" si="7"/>
        <v>0</v>
      </c>
      <c r="H38" s="1034">
        <f t="shared" si="7"/>
        <v>0</v>
      </c>
      <c r="I38" s="1034">
        <f t="shared" si="7"/>
        <v>-17346394.289999999</v>
      </c>
      <c r="J38" s="1034">
        <f>J36+J37</f>
        <v>0</v>
      </c>
      <c r="K38" s="1034">
        <f t="shared" ref="K38:N38" si="8">K36+K37</f>
        <v>0</v>
      </c>
      <c r="L38" s="1034">
        <f t="shared" si="8"/>
        <v>0</v>
      </c>
      <c r="M38" s="1034">
        <f t="shared" si="8"/>
        <v>0</v>
      </c>
      <c r="N38" s="1034">
        <f t="shared" si="8"/>
        <v>0</v>
      </c>
      <c r="O38" s="1034">
        <f>O36+O37</f>
        <v>0</v>
      </c>
      <c r="P38" s="183">
        <f t="shared" si="0"/>
        <v>-5897774.0586000001</v>
      </c>
      <c r="R38" s="126"/>
    </row>
    <row r="39" spans="1:18" ht="17.45" thickBot="1">
      <c r="A39" s="1151" t="s">
        <v>5730</v>
      </c>
      <c r="B39" s="1152"/>
      <c r="C39" s="1153">
        <f t="shared" ref="C39" si="9">IF(C37&gt;0,C37*9%,0)</f>
        <v>0</v>
      </c>
      <c r="D39" s="215">
        <f t="shared" ref="D39:L39" si="10">IF(D38&gt;0,D38*0.09,0)</f>
        <v>0</v>
      </c>
      <c r="E39" s="244">
        <f t="shared" si="10"/>
        <v>0</v>
      </c>
      <c r="F39" s="1035" t="e">
        <f>IF(F38&gt;0,F38*0.09,0)</f>
        <v>#VALUE!</v>
      </c>
      <c r="G39" s="1036">
        <f t="shared" si="10"/>
        <v>0</v>
      </c>
      <c r="H39" s="1036">
        <f t="shared" si="10"/>
        <v>0</v>
      </c>
      <c r="I39" s="1036">
        <f t="shared" si="10"/>
        <v>0</v>
      </c>
      <c r="J39" s="1036">
        <f t="shared" si="10"/>
        <v>0</v>
      </c>
      <c r="K39" s="1036">
        <f t="shared" si="10"/>
        <v>0</v>
      </c>
      <c r="L39" s="1036">
        <f t="shared" si="10"/>
        <v>0</v>
      </c>
      <c r="M39" s="1036">
        <f>IF(M38&gt;0,M38*0.09,0)</f>
        <v>0</v>
      </c>
      <c r="N39" s="1036">
        <f>IF(N38&gt;0,N38*0.09,0)</f>
        <v>0</v>
      </c>
      <c r="O39" s="1036">
        <f>IF(O38&gt;0,O38*0.09,0)</f>
        <v>0</v>
      </c>
      <c r="P39" s="183">
        <f t="shared" si="0"/>
        <v>0</v>
      </c>
      <c r="Q39" s="127"/>
      <c r="R39" s="183"/>
    </row>
    <row r="40" spans="1:18">
      <c r="A40" s="161"/>
      <c r="B40" s="160"/>
      <c r="C40" s="160"/>
      <c r="D40" s="158"/>
      <c r="E40" s="158"/>
      <c r="F40" s="158"/>
      <c r="G40" s="158"/>
      <c r="H40" s="241"/>
      <c r="I40" s="158"/>
      <c r="J40" s="158"/>
      <c r="K40" s="158"/>
      <c r="L40" s="158"/>
      <c r="M40" s="158"/>
      <c r="N40" s="158"/>
      <c r="O40" s="158"/>
      <c r="R40" s="126"/>
    </row>
    <row r="41" spans="1:18">
      <c r="A41" s="1169" t="s">
        <v>5731</v>
      </c>
      <c r="B41" s="1170"/>
      <c r="C41" s="1171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R41" s="126"/>
    </row>
    <row r="42" spans="1:18">
      <c r="A42" s="161" t="s">
        <v>5732</v>
      </c>
      <c r="B42" s="160"/>
      <c r="C42" s="160">
        <v>0</v>
      </c>
      <c r="D42" s="165">
        <v>0</v>
      </c>
      <c r="E42" s="240">
        <f>D47</f>
        <v>0</v>
      </c>
      <c r="F42" s="165">
        <f>E42</f>
        <v>0</v>
      </c>
      <c r="G42" s="165">
        <f>F42</f>
        <v>0</v>
      </c>
      <c r="H42" s="165">
        <f>G42</f>
        <v>0</v>
      </c>
      <c r="I42" s="165">
        <f>H45</f>
        <v>0</v>
      </c>
      <c r="J42" s="165">
        <f>I45</f>
        <v>0</v>
      </c>
      <c r="K42" s="165">
        <f>J45</f>
        <v>0</v>
      </c>
      <c r="L42" s="165">
        <f>K45</f>
        <v>0</v>
      </c>
      <c r="M42" s="165">
        <f>L45</f>
        <v>0</v>
      </c>
      <c r="N42" s="165">
        <f>M42</f>
        <v>0</v>
      </c>
      <c r="O42" s="165">
        <f>N42</f>
        <v>0</v>
      </c>
      <c r="R42" s="126"/>
    </row>
    <row r="43" spans="1:18">
      <c r="A43" s="161" t="s">
        <v>5733</v>
      </c>
      <c r="B43" s="165"/>
      <c r="C43" s="165">
        <v>0</v>
      </c>
      <c r="D43" s="165">
        <v>0</v>
      </c>
      <c r="E43" s="165">
        <v>0</v>
      </c>
      <c r="F43" s="165">
        <v>0</v>
      </c>
      <c r="G43" s="165">
        <v>0</v>
      </c>
      <c r="H43" s="165">
        <v>0</v>
      </c>
      <c r="I43" s="165">
        <v>0</v>
      </c>
      <c r="J43" s="165">
        <v>0</v>
      </c>
      <c r="K43" s="165">
        <v>0</v>
      </c>
      <c r="L43" s="165">
        <v>0</v>
      </c>
      <c r="M43" s="165">
        <v>0</v>
      </c>
      <c r="N43" s="165">
        <v>0</v>
      </c>
      <c r="O43" s="165">
        <v>0</v>
      </c>
      <c r="R43" s="126"/>
    </row>
    <row r="44" spans="1:18" ht="17.45" thickBot="1">
      <c r="A44" s="161"/>
      <c r="B44" s="160"/>
      <c r="C44" s="160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R44" s="126"/>
    </row>
    <row r="45" spans="1:18" ht="17.45" thickBot="1">
      <c r="A45" s="1151" t="s">
        <v>5734</v>
      </c>
      <c r="B45" s="1152">
        <v>0</v>
      </c>
      <c r="C45" s="1153">
        <f t="shared" ref="C45" si="11">SUM(C42:C44)</f>
        <v>0</v>
      </c>
      <c r="D45" s="217">
        <f>SUM(D42:D44)</f>
        <v>0</v>
      </c>
      <c r="E45" s="215">
        <f t="shared" ref="E45:H45" si="12">SUM(E42:E44)</f>
        <v>0</v>
      </c>
      <c r="F45" s="1036">
        <f>SUM(F42:F44)</f>
        <v>0</v>
      </c>
      <c r="G45" s="1036">
        <f>SUM(G42:G44)</f>
        <v>0</v>
      </c>
      <c r="H45" s="1036">
        <f t="shared" si="12"/>
        <v>0</v>
      </c>
      <c r="I45" s="1036">
        <f>SUM(I42:I44)</f>
        <v>0</v>
      </c>
      <c r="J45" s="1036">
        <f>SUM(J42:J44)</f>
        <v>0</v>
      </c>
      <c r="K45" s="1036">
        <f>SUM(K42:K44)</f>
        <v>0</v>
      </c>
      <c r="L45" s="1036">
        <f t="shared" ref="L45:M45" si="13">SUM(L42:L44)</f>
        <v>0</v>
      </c>
      <c r="M45" s="1036">
        <f t="shared" si="13"/>
        <v>0</v>
      </c>
      <c r="N45" s="1036">
        <f>SUM(N42:N44)</f>
        <v>0</v>
      </c>
      <c r="O45" s="1036">
        <f>SUM(O42:O44)</f>
        <v>0</v>
      </c>
      <c r="P45" s="183"/>
      <c r="R45" s="183"/>
    </row>
    <row r="46" spans="1:18" ht="17.45" thickBot="1">
      <c r="A46" s="181"/>
      <c r="B46" s="180"/>
      <c r="C46" s="180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R46" s="126"/>
    </row>
    <row r="47" spans="1:18" ht="21" thickBot="1">
      <c r="A47" s="1143" t="s">
        <v>5778</v>
      </c>
      <c r="B47" s="1144"/>
      <c r="C47" s="1145"/>
      <c r="D47" s="215">
        <f t="shared" ref="D47:O47" si="14">D39-D45</f>
        <v>0</v>
      </c>
      <c r="E47" s="215">
        <f t="shared" si="14"/>
        <v>0</v>
      </c>
      <c r="F47" s="1036" t="e">
        <f t="shared" si="14"/>
        <v>#VALUE!</v>
      </c>
      <c r="G47" s="1036">
        <f t="shared" si="14"/>
        <v>0</v>
      </c>
      <c r="H47" s="1036">
        <f t="shared" si="14"/>
        <v>0</v>
      </c>
      <c r="I47" s="1036">
        <f t="shared" si="14"/>
        <v>0</v>
      </c>
      <c r="J47" s="1036">
        <f t="shared" si="14"/>
        <v>0</v>
      </c>
      <c r="K47" s="1036">
        <f t="shared" si="14"/>
        <v>0</v>
      </c>
      <c r="L47" s="1036">
        <f t="shared" si="14"/>
        <v>0</v>
      </c>
      <c r="M47" s="1036">
        <f t="shared" si="14"/>
        <v>0</v>
      </c>
      <c r="N47" s="1036">
        <f t="shared" si="14"/>
        <v>0</v>
      </c>
      <c r="O47" s="1036">
        <f t="shared" si="14"/>
        <v>0</v>
      </c>
      <c r="P47" s="899"/>
      <c r="R47" s="183"/>
    </row>
    <row r="48" spans="1:18">
      <c r="D48" s="125"/>
      <c r="E48" s="125"/>
      <c r="P48" s="183"/>
      <c r="R48" s="183"/>
    </row>
    <row r="49" spans="1:18">
      <c r="A49" s="239"/>
      <c r="B49" s="238"/>
      <c r="C49" s="238"/>
      <c r="D49" s="237"/>
      <c r="E49" s="237"/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183"/>
      <c r="R49" s="183"/>
    </row>
    <row r="50" spans="1:18">
      <c r="A50" s="236"/>
      <c r="B50" s="235"/>
      <c r="C50" s="235"/>
      <c r="D50" s="234"/>
      <c r="E50" s="234"/>
      <c r="F50" s="234"/>
      <c r="G50" s="234"/>
      <c r="H50" s="234"/>
      <c r="I50" s="234"/>
      <c r="J50" s="234"/>
      <c r="K50" s="234"/>
      <c r="L50" s="234"/>
      <c r="M50" s="234"/>
      <c r="N50" s="234"/>
      <c r="O50" s="234"/>
      <c r="P50" s="183"/>
      <c r="R50" s="183"/>
    </row>
    <row r="51" spans="1:18">
      <c r="D51" s="125"/>
      <c r="E51" s="125"/>
      <c r="P51" s="183"/>
      <c r="R51" s="183"/>
    </row>
    <row r="52" spans="1:18">
      <c r="A52" s="1146" t="s">
        <v>5736</v>
      </c>
      <c r="B52" s="233" t="s">
        <v>5694</v>
      </c>
      <c r="C52" s="232" t="s">
        <v>213</v>
      </c>
      <c r="D52" s="231" t="s">
        <v>5695</v>
      </c>
      <c r="E52" s="231" t="s">
        <v>5696</v>
      </c>
      <c r="F52" s="231" t="s">
        <v>5697</v>
      </c>
      <c r="G52" s="231" t="s">
        <v>5698</v>
      </c>
      <c r="H52" s="231" t="s">
        <v>5699</v>
      </c>
      <c r="I52" s="231" t="s">
        <v>5700</v>
      </c>
      <c r="J52" s="231" t="s">
        <v>5701</v>
      </c>
      <c r="K52" s="231" t="s">
        <v>5702</v>
      </c>
      <c r="L52" s="231" t="s">
        <v>5703</v>
      </c>
      <c r="M52" s="231" t="s">
        <v>5704</v>
      </c>
      <c r="N52" s="231" t="s">
        <v>5705</v>
      </c>
      <c r="O52" s="231" t="s">
        <v>5706</v>
      </c>
      <c r="R52" s="126"/>
    </row>
    <row r="53" spans="1:18">
      <c r="A53" s="1147"/>
      <c r="B53" s="230">
        <v>3</v>
      </c>
      <c r="C53" s="161" t="s">
        <v>184</v>
      </c>
      <c r="D53" s="150">
        <f t="shared" ref="D53:O54" si="15">D7</f>
        <v>0</v>
      </c>
      <c r="E53" s="229">
        <f t="shared" si="15"/>
        <v>0</v>
      </c>
      <c r="F53" s="174" t="e">
        <f t="shared" si="15"/>
        <v>#VALUE!</v>
      </c>
      <c r="G53" s="174">
        <f t="shared" si="15"/>
        <v>0</v>
      </c>
      <c r="H53" s="174">
        <f t="shared" si="15"/>
        <v>0</v>
      </c>
      <c r="I53" s="174">
        <f t="shared" si="15"/>
        <v>36746201.619999997</v>
      </c>
      <c r="J53" s="174">
        <f t="shared" si="15"/>
        <v>0</v>
      </c>
      <c r="K53" s="174">
        <f t="shared" si="15"/>
        <v>0</v>
      </c>
      <c r="L53" s="174">
        <f t="shared" si="15"/>
        <v>0</v>
      </c>
      <c r="M53" s="174">
        <f t="shared" si="15"/>
        <v>0</v>
      </c>
      <c r="N53" s="174">
        <f t="shared" si="15"/>
        <v>0</v>
      </c>
      <c r="O53" s="174">
        <f t="shared" si="15"/>
        <v>0</v>
      </c>
      <c r="R53" s="126"/>
    </row>
    <row r="54" spans="1:18">
      <c r="A54" s="228"/>
      <c r="B54" s="227">
        <v>4</v>
      </c>
      <c r="C54" s="181" t="s">
        <v>970</v>
      </c>
      <c r="D54" s="226">
        <f t="shared" si="15"/>
        <v>0</v>
      </c>
      <c r="E54" s="225">
        <f t="shared" si="15"/>
        <v>0</v>
      </c>
      <c r="F54" s="174" t="e">
        <f t="shared" si="15"/>
        <v>#VALUE!</v>
      </c>
      <c r="G54" s="174">
        <f t="shared" si="15"/>
        <v>0</v>
      </c>
      <c r="H54" s="174">
        <f t="shared" si="15"/>
        <v>0</v>
      </c>
      <c r="I54" s="174">
        <f t="shared" si="15"/>
        <v>51286999.119999997</v>
      </c>
      <c r="J54" s="174">
        <f t="shared" si="15"/>
        <v>0</v>
      </c>
      <c r="K54" s="174">
        <f t="shared" si="15"/>
        <v>0</v>
      </c>
      <c r="L54" s="174">
        <f t="shared" si="15"/>
        <v>0</v>
      </c>
      <c r="M54" s="174">
        <f t="shared" si="15"/>
        <v>0</v>
      </c>
      <c r="N54" s="174">
        <f t="shared" si="15"/>
        <v>0</v>
      </c>
      <c r="O54" s="174">
        <f t="shared" si="15"/>
        <v>0</v>
      </c>
      <c r="R54" s="126"/>
    </row>
    <row r="55" spans="1:18" ht="23.25" customHeight="1">
      <c r="A55" s="1148" t="s">
        <v>5737</v>
      </c>
      <c r="B55" s="1149"/>
      <c r="C55" s="1150"/>
      <c r="D55" s="223">
        <f>D53-D54</f>
        <v>0</v>
      </c>
      <c r="E55" s="223">
        <f t="shared" ref="E55" si="16">E53-E54</f>
        <v>0</v>
      </c>
      <c r="F55" s="1037" t="e">
        <f>F53-F54</f>
        <v>#VALUE!</v>
      </c>
      <c r="G55" s="1037">
        <f>G53-G54</f>
        <v>0</v>
      </c>
      <c r="H55" s="1037">
        <f>H53-H54</f>
        <v>0</v>
      </c>
      <c r="I55" s="1037">
        <f>I53-I54</f>
        <v>-14540797.5</v>
      </c>
      <c r="J55" s="1037">
        <f t="shared" ref="J55:N55" si="17">J53-J54</f>
        <v>0</v>
      </c>
      <c r="K55" s="1037">
        <f>K53-K54</f>
        <v>0</v>
      </c>
      <c r="L55" s="1037">
        <f>L53-L54</f>
        <v>0</v>
      </c>
      <c r="M55" s="1037">
        <f t="shared" si="17"/>
        <v>0</v>
      </c>
      <c r="N55" s="1037">
        <f t="shared" si="17"/>
        <v>0</v>
      </c>
      <c r="O55" s="1037">
        <f>O53-O54</f>
        <v>0</v>
      </c>
      <c r="P55" s="126" t="e">
        <f>F55-F9</f>
        <v>#VALUE!</v>
      </c>
      <c r="Q55" s="1038"/>
      <c r="R55" s="126"/>
    </row>
    <row r="56" spans="1:18" ht="17.45" thickBot="1">
      <c r="A56" s="221" t="s">
        <v>5738</v>
      </c>
      <c r="B56" s="220" t="s">
        <v>5709</v>
      </c>
      <c r="C56" s="189" t="s">
        <v>5710</v>
      </c>
      <c r="D56" s="218">
        <f t="shared" ref="D56:O56" si="18">D10</f>
        <v>0</v>
      </c>
      <c r="E56" s="218">
        <f t="shared" si="18"/>
        <v>0</v>
      </c>
      <c r="F56" s="218">
        <f t="shared" si="18"/>
        <v>0</v>
      </c>
      <c r="G56" s="218">
        <f t="shared" si="18"/>
        <v>0</v>
      </c>
      <c r="H56" s="218">
        <f t="shared" si="18"/>
        <v>0</v>
      </c>
      <c r="I56" s="218">
        <f t="shared" si="18"/>
        <v>0</v>
      </c>
      <c r="J56" s="218">
        <f t="shared" si="18"/>
        <v>0</v>
      </c>
      <c r="K56" s="218">
        <f t="shared" si="18"/>
        <v>0</v>
      </c>
      <c r="L56" s="218">
        <f t="shared" si="18"/>
        <v>0</v>
      </c>
      <c r="M56" s="218">
        <f t="shared" si="18"/>
        <v>0</v>
      </c>
      <c r="N56" s="218">
        <f t="shared" si="18"/>
        <v>0</v>
      </c>
      <c r="O56" s="218">
        <f t="shared" si="18"/>
        <v>0</v>
      </c>
      <c r="P56" s="892"/>
      <c r="R56" s="126"/>
    </row>
    <row r="57" spans="1:18" ht="17.45" thickBot="1">
      <c r="A57" s="1151" t="s">
        <v>5739</v>
      </c>
      <c r="B57" s="1152"/>
      <c r="C57" s="1153"/>
      <c r="D57" s="215">
        <f t="shared" ref="D57:J57" si="19">D55+D56</f>
        <v>0</v>
      </c>
      <c r="E57" s="215">
        <f t="shared" si="19"/>
        <v>0</v>
      </c>
      <c r="F57" s="1029" t="e">
        <f>F55+F56</f>
        <v>#VALUE!</v>
      </c>
      <c r="G57" s="1029">
        <f t="shared" si="19"/>
        <v>0</v>
      </c>
      <c r="H57" s="1029">
        <f>H55+H56</f>
        <v>0</v>
      </c>
      <c r="I57" s="1029">
        <f t="shared" si="19"/>
        <v>-14540797.5</v>
      </c>
      <c r="J57" s="1029">
        <f t="shared" si="19"/>
        <v>0</v>
      </c>
      <c r="K57" s="1029">
        <f>K55+K56</f>
        <v>0</v>
      </c>
      <c r="L57" s="1029">
        <f>L55+L56</f>
        <v>0</v>
      </c>
      <c r="M57" s="1029">
        <f>M55+M56</f>
        <v>0</v>
      </c>
      <c r="N57" s="1029">
        <f t="shared" ref="N57" si="20">N55+N56</f>
        <v>0</v>
      </c>
      <c r="O57" s="1029">
        <f>O55+O56</f>
        <v>0</v>
      </c>
      <c r="P57" s="183">
        <f>G57-G11</f>
        <v>0</v>
      </c>
      <c r="Q57" s="203"/>
      <c r="R57" s="899"/>
    </row>
    <row r="58" spans="1:18" s="172" customFormat="1" ht="17.45" thickBot="1">
      <c r="A58" s="1154" t="s">
        <v>5712</v>
      </c>
      <c r="B58" s="1155"/>
      <c r="C58" s="1156"/>
      <c r="D58" s="214"/>
      <c r="E58" s="214"/>
      <c r="F58" s="214"/>
      <c r="G58" s="214"/>
      <c r="H58" s="214"/>
      <c r="I58" s="214"/>
      <c r="J58" s="214"/>
      <c r="K58" s="214"/>
      <c r="L58" s="214"/>
      <c r="M58" s="214"/>
      <c r="N58" s="214"/>
      <c r="O58" s="214"/>
      <c r="P58" s="173"/>
      <c r="R58" s="173"/>
    </row>
    <row r="59" spans="1:18">
      <c r="A59" s="1157" t="s">
        <v>5713</v>
      </c>
      <c r="B59" s="213">
        <v>411111</v>
      </c>
      <c r="C59" s="212" t="s">
        <v>5714</v>
      </c>
      <c r="D59" s="174">
        <f t="shared" ref="D59:O73" si="21">D13</f>
        <v>0</v>
      </c>
      <c r="E59" s="174">
        <f t="shared" si="21"/>
        <v>0</v>
      </c>
      <c r="F59" s="174" t="e">
        <f t="shared" si="21"/>
        <v>#VALUE!</v>
      </c>
      <c r="G59" s="174">
        <f t="shared" si="21"/>
        <v>0</v>
      </c>
      <c r="H59" s="174">
        <f t="shared" si="21"/>
        <v>0</v>
      </c>
      <c r="I59" s="174">
        <f t="shared" si="21"/>
        <v>0</v>
      </c>
      <c r="J59" s="174">
        <f t="shared" si="21"/>
        <v>0</v>
      </c>
      <c r="K59" s="174">
        <f t="shared" si="21"/>
        <v>0</v>
      </c>
      <c r="L59" s="174">
        <f t="shared" si="21"/>
        <v>0</v>
      </c>
      <c r="M59" s="174">
        <f t="shared" si="21"/>
        <v>0</v>
      </c>
      <c r="N59" s="174">
        <f t="shared" si="21"/>
        <v>0</v>
      </c>
      <c r="O59" s="174">
        <f t="shared" si="21"/>
        <v>0</v>
      </c>
      <c r="P59" s="892"/>
      <c r="R59" s="126"/>
    </row>
    <row r="60" spans="1:18">
      <c r="A60" s="1157"/>
      <c r="B60" s="176">
        <v>411113</v>
      </c>
      <c r="C60" s="175" t="s">
        <v>988</v>
      </c>
      <c r="D60" s="174">
        <f t="shared" si="21"/>
        <v>0</v>
      </c>
      <c r="E60" s="174">
        <f t="shared" si="21"/>
        <v>0</v>
      </c>
      <c r="F60" s="174" t="e">
        <f t="shared" si="21"/>
        <v>#VALUE!</v>
      </c>
      <c r="G60" s="174">
        <f t="shared" si="21"/>
        <v>0</v>
      </c>
      <c r="H60" s="174">
        <f t="shared" si="21"/>
        <v>0</v>
      </c>
      <c r="I60" s="174">
        <f t="shared" si="21"/>
        <v>31626.27</v>
      </c>
      <c r="J60" s="174">
        <f t="shared" si="21"/>
        <v>0</v>
      </c>
      <c r="K60" s="174">
        <f t="shared" si="21"/>
        <v>0</v>
      </c>
      <c r="L60" s="174">
        <f t="shared" si="21"/>
        <v>0</v>
      </c>
      <c r="M60" s="174">
        <f t="shared" si="21"/>
        <v>0</v>
      </c>
      <c r="N60" s="174">
        <f t="shared" si="21"/>
        <v>0</v>
      </c>
      <c r="O60" s="174">
        <f t="shared" si="21"/>
        <v>0</v>
      </c>
      <c r="P60" s="892"/>
      <c r="R60" s="126"/>
    </row>
    <row r="61" spans="1:18">
      <c r="A61" s="1157"/>
      <c r="B61" s="176">
        <v>411310</v>
      </c>
      <c r="C61" s="175" t="s">
        <v>1013</v>
      </c>
      <c r="D61" s="174">
        <f t="shared" si="21"/>
        <v>0</v>
      </c>
      <c r="E61" s="174">
        <f t="shared" si="21"/>
        <v>0</v>
      </c>
      <c r="F61" s="174" t="e">
        <f t="shared" si="21"/>
        <v>#VALUE!</v>
      </c>
      <c r="G61" s="174">
        <f t="shared" si="21"/>
        <v>0</v>
      </c>
      <c r="H61" s="174">
        <f t="shared" si="21"/>
        <v>0</v>
      </c>
      <c r="I61" s="174">
        <f t="shared" si="21"/>
        <v>9227.9</v>
      </c>
      <c r="J61" s="174">
        <f t="shared" si="21"/>
        <v>0</v>
      </c>
      <c r="K61" s="174">
        <f t="shared" si="21"/>
        <v>0</v>
      </c>
      <c r="L61" s="174">
        <f t="shared" si="21"/>
        <v>0</v>
      </c>
      <c r="M61" s="174">
        <f t="shared" si="21"/>
        <v>0</v>
      </c>
      <c r="N61" s="174">
        <f t="shared" si="21"/>
        <v>0</v>
      </c>
      <c r="O61" s="174">
        <f t="shared" si="21"/>
        <v>0</v>
      </c>
      <c r="R61" s="126"/>
    </row>
    <row r="62" spans="1:18">
      <c r="A62" s="1157"/>
      <c r="B62" s="176">
        <v>416211</v>
      </c>
      <c r="C62" s="175" t="s">
        <v>5715</v>
      </c>
      <c r="D62" s="174">
        <f t="shared" si="21"/>
        <v>0</v>
      </c>
      <c r="E62" s="174">
        <f t="shared" si="21"/>
        <v>0</v>
      </c>
      <c r="F62" s="174" t="e">
        <f t="shared" si="21"/>
        <v>#VALUE!</v>
      </c>
      <c r="G62" s="174">
        <f t="shared" si="21"/>
        <v>0</v>
      </c>
      <c r="H62" s="174">
        <f t="shared" si="21"/>
        <v>0</v>
      </c>
      <c r="I62" s="174">
        <f t="shared" si="21"/>
        <v>0</v>
      </c>
      <c r="J62" s="174">
        <f t="shared" si="21"/>
        <v>0</v>
      </c>
      <c r="K62" s="174">
        <f t="shared" si="21"/>
        <v>0</v>
      </c>
      <c r="L62" s="174">
        <f t="shared" si="21"/>
        <v>0</v>
      </c>
      <c r="M62" s="174">
        <f t="shared" si="21"/>
        <v>0</v>
      </c>
      <c r="N62" s="174">
        <f t="shared" si="21"/>
        <v>0</v>
      </c>
      <c r="O62" s="174">
        <f t="shared" si="21"/>
        <v>0</v>
      </c>
      <c r="R62" s="126"/>
    </row>
    <row r="63" spans="1:18">
      <c r="A63" s="1157"/>
      <c r="B63" s="176">
        <v>421110</v>
      </c>
      <c r="C63" s="175" t="s">
        <v>5714</v>
      </c>
      <c r="D63" s="174">
        <f t="shared" si="21"/>
        <v>0</v>
      </c>
      <c r="E63" s="174">
        <f t="shared" si="21"/>
        <v>0</v>
      </c>
      <c r="F63" s="174" t="e">
        <f t="shared" si="21"/>
        <v>#VALUE!</v>
      </c>
      <c r="G63" s="174">
        <f t="shared" si="21"/>
        <v>0</v>
      </c>
      <c r="H63" s="174">
        <f t="shared" si="21"/>
        <v>0</v>
      </c>
      <c r="I63" s="174">
        <f t="shared" si="21"/>
        <v>0</v>
      </c>
      <c r="J63" s="174">
        <f t="shared" si="21"/>
        <v>0</v>
      </c>
      <c r="K63" s="174">
        <f t="shared" si="21"/>
        <v>0</v>
      </c>
      <c r="L63" s="174">
        <f t="shared" si="21"/>
        <v>0</v>
      </c>
      <c r="M63" s="174">
        <f t="shared" si="21"/>
        <v>0</v>
      </c>
      <c r="N63" s="174">
        <f t="shared" si="21"/>
        <v>0</v>
      </c>
      <c r="O63" s="174">
        <f t="shared" si="21"/>
        <v>0</v>
      </c>
      <c r="R63" s="126"/>
    </row>
    <row r="64" spans="1:18">
      <c r="A64" s="1157"/>
      <c r="B64" s="176">
        <v>421112</v>
      </c>
      <c r="C64" s="175" t="s">
        <v>988</v>
      </c>
      <c r="D64" s="174">
        <f t="shared" si="21"/>
        <v>0</v>
      </c>
      <c r="E64" s="174">
        <f t="shared" si="21"/>
        <v>0</v>
      </c>
      <c r="F64" s="174" t="e">
        <f t="shared" si="21"/>
        <v>#VALUE!</v>
      </c>
      <c r="G64" s="174">
        <f t="shared" si="21"/>
        <v>0</v>
      </c>
      <c r="H64" s="174">
        <f t="shared" si="21"/>
        <v>0</v>
      </c>
      <c r="I64" s="174">
        <f t="shared" si="21"/>
        <v>14973.46</v>
      </c>
      <c r="J64" s="174">
        <f t="shared" si="21"/>
        <v>0</v>
      </c>
      <c r="K64" s="174">
        <f t="shared" si="21"/>
        <v>0</v>
      </c>
      <c r="L64" s="174">
        <f t="shared" si="21"/>
        <v>0</v>
      </c>
      <c r="M64" s="174">
        <f t="shared" si="21"/>
        <v>0</v>
      </c>
      <c r="N64" s="174">
        <f t="shared" si="21"/>
        <v>0</v>
      </c>
      <c r="O64" s="174">
        <f t="shared" si="21"/>
        <v>0</v>
      </c>
      <c r="R64" s="126"/>
    </row>
    <row r="65" spans="1:18">
      <c r="A65" s="1157"/>
      <c r="B65" s="176">
        <v>421310</v>
      </c>
      <c r="C65" s="175" t="s">
        <v>1013</v>
      </c>
      <c r="D65" s="174">
        <f t="shared" si="21"/>
        <v>0</v>
      </c>
      <c r="E65" s="174">
        <f t="shared" si="21"/>
        <v>0</v>
      </c>
      <c r="F65" s="174" t="e">
        <f t="shared" si="21"/>
        <v>#VALUE!</v>
      </c>
      <c r="G65" s="174">
        <f t="shared" si="21"/>
        <v>0</v>
      </c>
      <c r="H65" s="174">
        <f t="shared" si="21"/>
        <v>0</v>
      </c>
      <c r="I65" s="174">
        <f t="shared" si="21"/>
        <v>3694.1</v>
      </c>
      <c r="J65" s="174">
        <f t="shared" si="21"/>
        <v>0</v>
      </c>
      <c r="K65" s="174">
        <f t="shared" si="21"/>
        <v>0</v>
      </c>
      <c r="L65" s="174">
        <f t="shared" si="21"/>
        <v>0</v>
      </c>
      <c r="M65" s="174">
        <f t="shared" si="21"/>
        <v>0</v>
      </c>
      <c r="N65" s="174">
        <f t="shared" si="21"/>
        <v>0</v>
      </c>
      <c r="O65" s="174">
        <f t="shared" si="21"/>
        <v>0</v>
      </c>
      <c r="R65" s="126"/>
    </row>
    <row r="66" spans="1:18">
      <c r="A66" s="1157"/>
      <c r="B66" s="176">
        <v>42541</v>
      </c>
      <c r="C66" s="161" t="s">
        <v>5716</v>
      </c>
      <c r="D66" s="174">
        <f t="shared" si="21"/>
        <v>0</v>
      </c>
      <c r="E66" s="174">
        <f t="shared" si="21"/>
        <v>0</v>
      </c>
      <c r="F66" s="174" t="e">
        <f t="shared" si="21"/>
        <v>#VALUE!</v>
      </c>
      <c r="G66" s="174">
        <f t="shared" si="21"/>
        <v>0</v>
      </c>
      <c r="H66" s="174">
        <f t="shared" si="21"/>
        <v>0</v>
      </c>
      <c r="I66" s="174">
        <f t="shared" si="21"/>
        <v>0</v>
      </c>
      <c r="J66" s="174">
        <f t="shared" si="21"/>
        <v>0</v>
      </c>
      <c r="K66" s="174">
        <f t="shared" si="21"/>
        <v>0</v>
      </c>
      <c r="L66" s="174">
        <f t="shared" si="21"/>
        <v>0</v>
      </c>
      <c r="M66" s="174">
        <f t="shared" si="21"/>
        <v>0</v>
      </c>
      <c r="N66" s="174">
        <f t="shared" si="21"/>
        <v>0</v>
      </c>
      <c r="O66" s="174">
        <f t="shared" si="21"/>
        <v>0</v>
      </c>
      <c r="R66" s="126"/>
    </row>
    <row r="67" spans="1:18">
      <c r="A67" s="1157"/>
      <c r="B67" s="176">
        <v>42542</v>
      </c>
      <c r="C67" s="175" t="s">
        <v>5717</v>
      </c>
      <c r="D67" s="174">
        <f t="shared" si="21"/>
        <v>0</v>
      </c>
      <c r="E67" s="174">
        <f t="shared" si="21"/>
        <v>0</v>
      </c>
      <c r="F67" s="174" t="e">
        <f t="shared" si="21"/>
        <v>#VALUE!</v>
      </c>
      <c r="G67" s="174">
        <f t="shared" si="21"/>
        <v>0</v>
      </c>
      <c r="H67" s="174">
        <f t="shared" si="21"/>
        <v>0</v>
      </c>
      <c r="I67" s="174">
        <f t="shared" si="21"/>
        <v>108.38</v>
      </c>
      <c r="J67" s="174">
        <f t="shared" si="21"/>
        <v>0</v>
      </c>
      <c r="K67" s="174">
        <f t="shared" si="21"/>
        <v>0</v>
      </c>
      <c r="L67" s="174">
        <f t="shared" si="21"/>
        <v>0</v>
      </c>
      <c r="M67" s="174">
        <f t="shared" si="21"/>
        <v>0</v>
      </c>
      <c r="N67" s="174">
        <f t="shared" si="21"/>
        <v>0</v>
      </c>
      <c r="O67" s="174">
        <f t="shared" si="21"/>
        <v>0</v>
      </c>
      <c r="R67" s="126"/>
    </row>
    <row r="68" spans="1:18">
      <c r="A68" s="1157"/>
      <c r="B68" s="176">
        <v>42543</v>
      </c>
      <c r="C68" s="161" t="s">
        <v>5156</v>
      </c>
      <c r="D68" s="174">
        <f t="shared" si="21"/>
        <v>0</v>
      </c>
      <c r="E68" s="174">
        <f t="shared" si="21"/>
        <v>0</v>
      </c>
      <c r="F68" s="174" t="e">
        <f t="shared" si="21"/>
        <v>#VALUE!</v>
      </c>
      <c r="G68" s="174">
        <f t="shared" si="21"/>
        <v>0</v>
      </c>
      <c r="H68" s="174">
        <f t="shared" si="21"/>
        <v>0</v>
      </c>
      <c r="I68" s="174">
        <f t="shared" si="21"/>
        <v>0</v>
      </c>
      <c r="J68" s="174">
        <f t="shared" si="21"/>
        <v>0</v>
      </c>
      <c r="K68" s="174">
        <f t="shared" si="21"/>
        <v>0</v>
      </c>
      <c r="L68" s="174">
        <f t="shared" si="21"/>
        <v>0</v>
      </c>
      <c r="M68" s="174">
        <f t="shared" si="21"/>
        <v>0</v>
      </c>
      <c r="N68" s="174">
        <f t="shared" si="21"/>
        <v>0</v>
      </c>
      <c r="O68" s="174">
        <f t="shared" si="21"/>
        <v>0</v>
      </c>
      <c r="R68" s="126"/>
    </row>
    <row r="69" spans="1:18">
      <c r="A69" s="1157"/>
      <c r="B69" s="176">
        <f>B23</f>
        <v>42811</v>
      </c>
      <c r="C69" s="161" t="str">
        <f>C23</f>
        <v>Indenizações trabalhistas</v>
      </c>
      <c r="D69" s="174">
        <f>D23</f>
        <v>0</v>
      </c>
      <c r="E69" s="174">
        <v>0</v>
      </c>
      <c r="F69" s="174" t="e">
        <f>F23</f>
        <v>#VALUE!</v>
      </c>
      <c r="G69" s="174">
        <v>0</v>
      </c>
      <c r="H69" s="174">
        <v>0</v>
      </c>
      <c r="I69" s="174">
        <v>0</v>
      </c>
      <c r="J69" s="174">
        <v>0</v>
      </c>
      <c r="K69" s="174">
        <f t="shared" si="21"/>
        <v>0</v>
      </c>
      <c r="L69" s="174">
        <f t="shared" si="21"/>
        <v>0</v>
      </c>
      <c r="M69" s="174">
        <f t="shared" si="21"/>
        <v>0</v>
      </c>
      <c r="N69" s="174">
        <f t="shared" si="21"/>
        <v>0</v>
      </c>
      <c r="O69" s="174">
        <f t="shared" si="21"/>
        <v>0</v>
      </c>
      <c r="R69" s="126"/>
    </row>
    <row r="70" spans="1:18">
      <c r="A70" s="1157"/>
      <c r="B70" s="176">
        <v>42720</v>
      </c>
      <c r="C70" s="161" t="s">
        <v>5718</v>
      </c>
      <c r="D70" s="174">
        <f t="shared" ref="D70:E73" si="22">D24</f>
        <v>0</v>
      </c>
      <c r="E70" s="174">
        <f t="shared" si="22"/>
        <v>0</v>
      </c>
      <c r="F70" s="174" t="e">
        <f>F24</f>
        <v>#VALUE!</v>
      </c>
      <c r="G70" s="174">
        <f t="shared" ref="G70:J73" si="23">G24</f>
        <v>0</v>
      </c>
      <c r="H70" s="174">
        <f t="shared" si="23"/>
        <v>0</v>
      </c>
      <c r="I70" s="174">
        <f t="shared" si="23"/>
        <v>267889.17</v>
      </c>
      <c r="J70" s="174">
        <f t="shared" si="23"/>
        <v>0</v>
      </c>
      <c r="K70" s="174">
        <f t="shared" si="21"/>
        <v>0</v>
      </c>
      <c r="L70" s="174">
        <f t="shared" si="21"/>
        <v>0</v>
      </c>
      <c r="M70" s="174">
        <f t="shared" si="21"/>
        <v>0</v>
      </c>
      <c r="N70" s="174">
        <f t="shared" si="21"/>
        <v>0</v>
      </c>
      <c r="O70" s="174">
        <f t="shared" si="21"/>
        <v>0</v>
      </c>
      <c r="P70" s="892"/>
      <c r="R70" s="126"/>
    </row>
    <row r="71" spans="1:18">
      <c r="A71" s="1157"/>
      <c r="B71" s="176">
        <v>426213</v>
      </c>
      <c r="C71" s="175" t="s">
        <v>5715</v>
      </c>
      <c r="D71" s="174">
        <f t="shared" si="22"/>
        <v>0</v>
      </c>
      <c r="E71" s="174">
        <f t="shared" si="22"/>
        <v>0</v>
      </c>
      <c r="F71" s="174" t="e">
        <f>F25</f>
        <v>#VALUE!</v>
      </c>
      <c r="G71" s="174">
        <f t="shared" si="23"/>
        <v>0</v>
      </c>
      <c r="H71" s="174">
        <f t="shared" si="23"/>
        <v>0</v>
      </c>
      <c r="I71" s="174">
        <f t="shared" si="23"/>
        <v>0</v>
      </c>
      <c r="J71" s="174">
        <f t="shared" si="23"/>
        <v>0</v>
      </c>
      <c r="K71" s="174">
        <v>0</v>
      </c>
      <c r="L71" s="174">
        <f t="shared" si="21"/>
        <v>0</v>
      </c>
      <c r="M71" s="174">
        <f t="shared" si="21"/>
        <v>0</v>
      </c>
      <c r="N71" s="174">
        <f t="shared" si="21"/>
        <v>0</v>
      </c>
      <c r="O71" s="174">
        <f t="shared" si="21"/>
        <v>0</v>
      </c>
      <c r="R71" s="126"/>
    </row>
    <row r="72" spans="1:18">
      <c r="A72" s="1157"/>
      <c r="B72" s="196">
        <f>B26</f>
        <v>427122</v>
      </c>
      <c r="C72" s="181" t="str">
        <f>C26</f>
        <v>Aprop. Juros Arrendamento mercantil</v>
      </c>
      <c r="D72" s="174">
        <f t="shared" si="22"/>
        <v>0</v>
      </c>
      <c r="E72" s="174">
        <f t="shared" si="22"/>
        <v>0</v>
      </c>
      <c r="F72" s="174" t="e">
        <f>F26</f>
        <v>#VALUE!</v>
      </c>
      <c r="G72" s="174">
        <f t="shared" si="23"/>
        <v>0</v>
      </c>
      <c r="H72" s="174">
        <f t="shared" si="23"/>
        <v>0</v>
      </c>
      <c r="I72" s="174">
        <f t="shared" si="23"/>
        <v>171327.61</v>
      </c>
      <c r="J72" s="174">
        <f t="shared" si="23"/>
        <v>0</v>
      </c>
      <c r="K72" s="174">
        <f>K26</f>
        <v>0</v>
      </c>
      <c r="L72" s="174">
        <f t="shared" si="21"/>
        <v>0</v>
      </c>
      <c r="M72" s="174">
        <f t="shared" si="21"/>
        <v>0</v>
      </c>
      <c r="N72" s="174">
        <f t="shared" si="21"/>
        <v>0</v>
      </c>
      <c r="O72" s="174">
        <f t="shared" si="21"/>
        <v>0</v>
      </c>
      <c r="R72" s="126"/>
    </row>
    <row r="73" spans="1:18" ht="17.45" thickBot="1">
      <c r="A73" s="209"/>
      <c r="B73" s="208">
        <f>B27</f>
        <v>426118</v>
      </c>
      <c r="C73" s="207" t="str">
        <f>C27</f>
        <v>Amortização Arrend. Mercantil</v>
      </c>
      <c r="D73" s="174">
        <f t="shared" si="22"/>
        <v>0</v>
      </c>
      <c r="E73" s="174">
        <f t="shared" si="22"/>
        <v>0</v>
      </c>
      <c r="F73" s="174" t="e">
        <f>F27</f>
        <v>#VALUE!</v>
      </c>
      <c r="G73" s="174">
        <f t="shared" si="23"/>
        <v>0</v>
      </c>
      <c r="H73" s="174">
        <f t="shared" si="23"/>
        <v>0</v>
      </c>
      <c r="I73" s="174">
        <f t="shared" si="23"/>
        <v>738822.15</v>
      </c>
      <c r="J73" s="174">
        <f t="shared" si="23"/>
        <v>0</v>
      </c>
      <c r="K73" s="174">
        <f>K27</f>
        <v>0</v>
      </c>
      <c r="L73" s="174">
        <f t="shared" si="21"/>
        <v>0</v>
      </c>
      <c r="M73" s="174">
        <f t="shared" si="21"/>
        <v>0</v>
      </c>
      <c r="N73" s="174">
        <f t="shared" si="21"/>
        <v>0</v>
      </c>
      <c r="O73" s="174">
        <f t="shared" si="21"/>
        <v>0</v>
      </c>
      <c r="R73" s="126"/>
    </row>
    <row r="74" spans="1:18" s="172" customFormat="1" ht="17.45" thickBot="1">
      <c r="A74" s="1154" t="s">
        <v>5721</v>
      </c>
      <c r="B74" s="1155"/>
      <c r="C74" s="1156"/>
      <c r="D74" s="206">
        <f t="shared" ref="D74:O74" si="24">SUM(D59:D73)</f>
        <v>0</v>
      </c>
      <c r="E74" s="206">
        <f t="shared" si="24"/>
        <v>0</v>
      </c>
      <c r="F74" s="206" t="e">
        <f t="shared" si="24"/>
        <v>#VALUE!</v>
      </c>
      <c r="G74" s="206">
        <f t="shared" si="24"/>
        <v>0</v>
      </c>
      <c r="H74" s="206">
        <f t="shared" si="24"/>
        <v>0</v>
      </c>
      <c r="I74" s="206">
        <f t="shared" si="24"/>
        <v>1237669.04</v>
      </c>
      <c r="J74" s="206">
        <f t="shared" si="24"/>
        <v>0</v>
      </c>
      <c r="K74" s="206">
        <f t="shared" si="24"/>
        <v>0</v>
      </c>
      <c r="L74" s="206">
        <f t="shared" si="24"/>
        <v>0</v>
      </c>
      <c r="M74" s="206">
        <f t="shared" si="24"/>
        <v>0</v>
      </c>
      <c r="N74" s="206">
        <f t="shared" si="24"/>
        <v>0</v>
      </c>
      <c r="O74" s="206">
        <f t="shared" si="24"/>
        <v>0</v>
      </c>
      <c r="P74" s="203" t="e">
        <f>F74-F28</f>
        <v>#VALUE!</v>
      </c>
      <c r="Q74" s="203"/>
      <c r="R74" s="173"/>
    </row>
    <row r="75" spans="1:18" s="172" customFormat="1" ht="17.45" thickBot="1">
      <c r="A75" s="1158" t="s">
        <v>5722</v>
      </c>
      <c r="B75" s="1159"/>
      <c r="C75" s="1160"/>
      <c r="D75" s="201"/>
      <c r="E75" s="201"/>
      <c r="F75" s="201"/>
      <c r="G75" s="202"/>
      <c r="H75" s="202"/>
      <c r="I75" s="201"/>
      <c r="J75" s="201"/>
      <c r="K75" s="201"/>
      <c r="L75" s="201"/>
      <c r="M75" s="201"/>
      <c r="N75" s="201"/>
      <c r="O75" s="201"/>
      <c r="P75" s="173"/>
      <c r="R75" s="173"/>
    </row>
    <row r="76" spans="1:18">
      <c r="A76" s="197"/>
      <c r="B76" s="196">
        <f t="shared" ref="B76:O80" si="25">B30</f>
        <v>211161</v>
      </c>
      <c r="C76" s="181" t="str">
        <f t="shared" si="25"/>
        <v>Arrendamento mercantil - Imóvel PIO X</v>
      </c>
      <c r="D76" s="174">
        <f t="shared" si="25"/>
        <v>0</v>
      </c>
      <c r="E76" s="174">
        <f t="shared" si="25"/>
        <v>0</v>
      </c>
      <c r="F76" s="174">
        <f t="shared" si="25"/>
        <v>931356.66</v>
      </c>
      <c r="G76" s="174">
        <f t="shared" si="25"/>
        <v>0</v>
      </c>
      <c r="H76" s="174">
        <f t="shared" si="25"/>
        <v>0</v>
      </c>
      <c r="I76" s="174">
        <f t="shared" si="25"/>
        <v>931356.66</v>
      </c>
      <c r="J76" s="174">
        <f t="shared" si="25"/>
        <v>0</v>
      </c>
      <c r="K76" s="174">
        <f t="shared" si="25"/>
        <v>0</v>
      </c>
      <c r="L76" s="174">
        <f t="shared" si="25"/>
        <v>0</v>
      </c>
      <c r="M76" s="174">
        <f t="shared" si="25"/>
        <v>0</v>
      </c>
      <c r="N76" s="174">
        <f t="shared" si="25"/>
        <v>0</v>
      </c>
      <c r="O76" s="174">
        <f t="shared" si="25"/>
        <v>0</v>
      </c>
      <c r="R76" s="126"/>
    </row>
    <row r="77" spans="1:18">
      <c r="A77" s="1161" t="s">
        <v>5724</v>
      </c>
      <c r="B77" s="196">
        <v>33611</v>
      </c>
      <c r="C77" s="181" t="s">
        <v>4994</v>
      </c>
      <c r="D77" s="174">
        <f>D31</f>
        <v>0</v>
      </c>
      <c r="E77" s="174">
        <v>0</v>
      </c>
      <c r="F77" s="174" t="e">
        <f t="shared" si="25"/>
        <v>#VALUE!</v>
      </c>
      <c r="G77" s="174">
        <f t="shared" si="25"/>
        <v>0</v>
      </c>
      <c r="H77" s="174">
        <f t="shared" si="25"/>
        <v>0</v>
      </c>
      <c r="I77" s="174">
        <f t="shared" si="25"/>
        <v>76943.62</v>
      </c>
      <c r="J77" s="174">
        <f t="shared" si="25"/>
        <v>0</v>
      </c>
      <c r="K77" s="174">
        <f t="shared" si="25"/>
        <v>0</v>
      </c>
      <c r="L77" s="174">
        <f t="shared" si="25"/>
        <v>0</v>
      </c>
      <c r="M77" s="174">
        <f t="shared" si="25"/>
        <v>0</v>
      </c>
      <c r="N77" s="174">
        <f t="shared" si="25"/>
        <v>0</v>
      </c>
      <c r="O77" s="174">
        <f t="shared" si="25"/>
        <v>0</v>
      </c>
      <c r="P77" s="173"/>
      <c r="R77" s="126"/>
    </row>
    <row r="78" spans="1:18">
      <c r="A78" s="1161"/>
      <c r="B78" s="196">
        <v>33612</v>
      </c>
      <c r="C78" s="181" t="s">
        <v>4996</v>
      </c>
      <c r="D78" s="174">
        <f>D32</f>
        <v>0</v>
      </c>
      <c r="E78" s="174">
        <v>0</v>
      </c>
      <c r="F78" s="174" t="e">
        <f t="shared" si="25"/>
        <v>#VALUE!</v>
      </c>
      <c r="G78" s="174">
        <f t="shared" si="25"/>
        <v>0</v>
      </c>
      <c r="H78" s="174">
        <f t="shared" si="25"/>
        <v>0</v>
      </c>
      <c r="I78" s="174">
        <f t="shared" si="25"/>
        <v>0</v>
      </c>
      <c r="J78" s="898">
        <f t="shared" si="25"/>
        <v>0</v>
      </c>
      <c r="K78" s="174">
        <f t="shared" si="25"/>
        <v>0</v>
      </c>
      <c r="L78" s="174">
        <f t="shared" si="25"/>
        <v>0</v>
      </c>
      <c r="M78" s="174">
        <f t="shared" si="25"/>
        <v>0</v>
      </c>
      <c r="N78" s="174">
        <f t="shared" si="25"/>
        <v>0</v>
      </c>
      <c r="O78" s="174">
        <f t="shared" si="25"/>
        <v>0</v>
      </c>
      <c r="R78" s="126"/>
    </row>
    <row r="79" spans="1:18">
      <c r="A79" s="197"/>
      <c r="B79" s="196">
        <v>33613</v>
      </c>
      <c r="C79" s="181" t="s">
        <v>4998</v>
      </c>
      <c r="D79" s="174">
        <f>D33</f>
        <v>0</v>
      </c>
      <c r="E79" s="174">
        <v>0</v>
      </c>
      <c r="F79" s="174" t="e">
        <f t="shared" si="25"/>
        <v>#VALUE!</v>
      </c>
      <c r="G79" s="174">
        <f t="shared" si="25"/>
        <v>0</v>
      </c>
      <c r="H79" s="174">
        <f t="shared" si="25"/>
        <v>0</v>
      </c>
      <c r="I79" s="174">
        <f t="shared" si="25"/>
        <v>3034965.55</v>
      </c>
      <c r="J79" s="174">
        <v>0</v>
      </c>
      <c r="K79" s="174">
        <v>0</v>
      </c>
      <c r="L79" s="174">
        <v>0</v>
      </c>
      <c r="M79" s="174">
        <v>0</v>
      </c>
      <c r="N79" s="174">
        <v>0</v>
      </c>
      <c r="O79" s="174">
        <f>O33</f>
        <v>0</v>
      </c>
      <c r="R79" s="126"/>
    </row>
    <row r="80" spans="1:18" ht="17.45" thickBot="1">
      <c r="A80" s="197"/>
      <c r="B80" s="196">
        <v>33614</v>
      </c>
      <c r="C80" s="181" t="s">
        <v>5725</v>
      </c>
      <c r="D80" s="257">
        <v>0</v>
      </c>
      <c r="E80" s="257">
        <v>0</v>
      </c>
      <c r="F80" s="257" t="e">
        <f t="shared" si="25"/>
        <v>#VALUE!</v>
      </c>
      <c r="G80" s="174">
        <f t="shared" si="25"/>
        <v>0</v>
      </c>
      <c r="H80" s="174">
        <f t="shared" si="25"/>
        <v>0</v>
      </c>
      <c r="I80" s="174">
        <f t="shared" si="25"/>
        <v>0</v>
      </c>
      <c r="J80" s="174">
        <v>0</v>
      </c>
      <c r="K80" s="174">
        <v>0</v>
      </c>
      <c r="L80" s="174">
        <v>0</v>
      </c>
      <c r="M80" s="174">
        <v>0</v>
      </c>
      <c r="N80" s="128">
        <v>0</v>
      </c>
      <c r="O80" s="174">
        <v>0</v>
      </c>
      <c r="R80" s="126"/>
    </row>
    <row r="81" spans="1:18" s="172" customFormat="1" ht="17.45" thickBot="1">
      <c r="A81" s="1162" t="s">
        <v>5726</v>
      </c>
      <c r="B81" s="1163"/>
      <c r="C81" s="1164"/>
      <c r="D81" s="195">
        <f t="shared" ref="D81:I81" si="26">SUM(D76:D80)</f>
        <v>0</v>
      </c>
      <c r="E81" s="195">
        <f t="shared" si="26"/>
        <v>0</v>
      </c>
      <c r="F81" s="195" t="e">
        <f t="shared" si="26"/>
        <v>#VALUE!</v>
      </c>
      <c r="G81" s="195">
        <f t="shared" si="26"/>
        <v>0</v>
      </c>
      <c r="H81" s="195">
        <f t="shared" si="26"/>
        <v>0</v>
      </c>
      <c r="I81" s="195">
        <f t="shared" si="26"/>
        <v>4043265.83</v>
      </c>
      <c r="J81" s="195">
        <f>SUM(J76:J80)</f>
        <v>0</v>
      </c>
      <c r="K81" s="195">
        <f>SUM(K76:K80)</f>
        <v>0</v>
      </c>
      <c r="L81" s="195">
        <f>SUM(L76:L79)</f>
        <v>0</v>
      </c>
      <c r="M81" s="195">
        <f t="shared" ref="M81:O81" si="27">SUM(M76:M79)</f>
        <v>0</v>
      </c>
      <c r="N81" s="195">
        <f t="shared" si="27"/>
        <v>0</v>
      </c>
      <c r="O81" s="195">
        <f t="shared" si="27"/>
        <v>0</v>
      </c>
      <c r="P81" s="183" t="e">
        <f>F81-F35</f>
        <v>#VALUE!</v>
      </c>
      <c r="Q81" s="203"/>
      <c r="R81" s="173"/>
    </row>
    <row r="82" spans="1:18" ht="17.45" thickBot="1">
      <c r="A82" s="189"/>
      <c r="B82" s="188"/>
      <c r="C82" s="18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R82" s="126"/>
    </row>
    <row r="83" spans="1:18" s="182" customFormat="1" ht="17.45" thickBot="1">
      <c r="A83" s="1140" t="s">
        <v>5740</v>
      </c>
      <c r="B83" s="1141"/>
      <c r="C83" s="1142"/>
      <c r="D83" s="184">
        <f t="shared" ref="D83:O83" si="28">D57+D74-D81</f>
        <v>0</v>
      </c>
      <c r="E83" s="184">
        <f t="shared" si="28"/>
        <v>0</v>
      </c>
      <c r="F83" s="1039" t="e">
        <f t="shared" si="28"/>
        <v>#VALUE!</v>
      </c>
      <c r="G83" s="1039">
        <f t="shared" si="28"/>
        <v>0</v>
      </c>
      <c r="H83" s="1039">
        <f t="shared" si="28"/>
        <v>0</v>
      </c>
      <c r="I83" s="1039">
        <f t="shared" si="28"/>
        <v>-17346394.289999999</v>
      </c>
      <c r="J83" s="1039">
        <f t="shared" si="28"/>
        <v>0</v>
      </c>
      <c r="K83" s="1039">
        <f t="shared" si="28"/>
        <v>0</v>
      </c>
      <c r="L83" s="1039">
        <f t="shared" si="28"/>
        <v>0</v>
      </c>
      <c r="M83" s="1039">
        <f t="shared" si="28"/>
        <v>0</v>
      </c>
      <c r="N83" s="1039">
        <f t="shared" si="28"/>
        <v>0</v>
      </c>
      <c r="O83" s="1039">
        <f t="shared" si="28"/>
        <v>0</v>
      </c>
      <c r="P83" s="897" t="e">
        <f>F83-F36</f>
        <v>#VALUE!</v>
      </c>
      <c r="R83" s="897"/>
    </row>
    <row r="84" spans="1:18" ht="17.45" thickBot="1">
      <c r="A84" s="179" t="s">
        <v>5741</v>
      </c>
      <c r="B84" s="178"/>
      <c r="C84" s="187"/>
      <c r="D84" s="186">
        <f>D83*30%</f>
        <v>0</v>
      </c>
      <c r="E84" s="186">
        <f>E83*30%</f>
        <v>0</v>
      </c>
      <c r="F84" s="1028" t="e">
        <f>-F83*30%</f>
        <v>#VALUE!</v>
      </c>
      <c r="G84" s="1028">
        <v>0</v>
      </c>
      <c r="H84" s="1028">
        <v>0</v>
      </c>
      <c r="I84" s="1028">
        <v>0</v>
      </c>
      <c r="J84" s="1028">
        <v>0</v>
      </c>
      <c r="K84" s="1028">
        <v>0</v>
      </c>
      <c r="L84" s="1028">
        <v>0</v>
      </c>
      <c r="M84" s="1028">
        <v>0</v>
      </c>
      <c r="N84" s="1028">
        <v>0</v>
      </c>
      <c r="O84" s="1028">
        <v>0</v>
      </c>
      <c r="P84" s="897" t="e">
        <f>F84-F37</f>
        <v>#VALUE!</v>
      </c>
      <c r="Q84" s="127"/>
      <c r="R84" s="126"/>
    </row>
    <row r="85" spans="1:18" s="182" customFormat="1" ht="17.45" thickBot="1">
      <c r="A85" s="1140" t="s">
        <v>5729</v>
      </c>
      <c r="B85" s="1141"/>
      <c r="C85" s="1142"/>
      <c r="D85" s="184">
        <f>D83-D84</f>
        <v>0</v>
      </c>
      <c r="E85" s="184">
        <f>E83-E84</f>
        <v>0</v>
      </c>
      <c r="F85" s="1039" t="e">
        <f>F83+F84</f>
        <v>#VALUE!</v>
      </c>
      <c r="G85" s="1039">
        <f>G83-G84</f>
        <v>0</v>
      </c>
      <c r="H85" s="1039">
        <f>H83-H84</f>
        <v>0</v>
      </c>
      <c r="I85" s="1039">
        <f t="shared" ref="I85:O85" si="29">I83-I84</f>
        <v>-17346394.289999999</v>
      </c>
      <c r="J85" s="1039">
        <f>J83-J84</f>
        <v>0</v>
      </c>
      <c r="K85" s="1039">
        <f t="shared" si="29"/>
        <v>0</v>
      </c>
      <c r="L85" s="1039">
        <f>L83-L84</f>
        <v>0</v>
      </c>
      <c r="M85" s="1039">
        <f>M83-M84</f>
        <v>0</v>
      </c>
      <c r="N85" s="1039">
        <f>N83-N84</f>
        <v>0</v>
      </c>
      <c r="O85" s="1039">
        <f t="shared" si="29"/>
        <v>0</v>
      </c>
      <c r="P85" s="897" t="e">
        <f>F85-F38</f>
        <v>#VALUE!</v>
      </c>
      <c r="Q85" s="203"/>
      <c r="R85" s="896"/>
    </row>
    <row r="86" spans="1:18">
      <c r="A86" s="161" t="s">
        <v>5742</v>
      </c>
      <c r="B86" s="160"/>
      <c r="C86" s="160"/>
      <c r="D86" s="154">
        <f>IF(D85&gt;0,D85*15%,0)</f>
        <v>0</v>
      </c>
      <c r="E86" s="150">
        <f>IF(E85&gt;0,E85*15%,0)</f>
        <v>0</v>
      </c>
      <c r="F86" s="174" t="e">
        <f>IF(F85&gt;0,F85*15%,0)</f>
        <v>#VALUE!</v>
      </c>
      <c r="G86" s="174">
        <f t="shared" ref="G86:O86" si="30">IF(G85&gt;0,G85*15%,0)</f>
        <v>0</v>
      </c>
      <c r="H86" s="174">
        <f>IF(H85&gt;0,H85*15%,0)</f>
        <v>0</v>
      </c>
      <c r="I86" s="174">
        <f>IF(I85&gt;0,I85*15%,0)</f>
        <v>0</v>
      </c>
      <c r="J86" s="174">
        <f>IF(J85&gt;0,J85*15%,0)</f>
        <v>0</v>
      </c>
      <c r="K86" s="174">
        <f t="shared" si="30"/>
        <v>0</v>
      </c>
      <c r="L86" s="174">
        <f t="shared" si="30"/>
        <v>0</v>
      </c>
      <c r="M86" s="150">
        <f t="shared" si="30"/>
        <v>0</v>
      </c>
      <c r="N86" s="150">
        <f t="shared" si="30"/>
        <v>0</v>
      </c>
      <c r="O86" s="174">
        <f t="shared" si="30"/>
        <v>0</v>
      </c>
      <c r="R86" s="126"/>
    </row>
    <row r="87" spans="1:18" ht="17.45" thickBot="1">
      <c r="A87" s="181" t="s">
        <v>5743</v>
      </c>
      <c r="B87" s="180"/>
      <c r="C87" s="180"/>
      <c r="D87" s="150">
        <f>IF(D85&gt;D88,((D85-(D88*1))*0.1),0)</f>
        <v>0</v>
      </c>
      <c r="E87" s="150">
        <f>IF(E85&gt;E88,((E85-(E88*1))*0.1),0)</f>
        <v>0</v>
      </c>
      <c r="F87" s="174" t="e">
        <f>IF(F85&gt;F88,((F85-(F88*1))*0.1),0)</f>
        <v>#VALUE!</v>
      </c>
      <c r="G87" s="174">
        <f t="shared" ref="G87:O87" si="31">IF(G85&gt;G88,((G85-(G88*1))*0.1),0)</f>
        <v>0</v>
      </c>
      <c r="H87" s="174">
        <f>IF(H85&gt;H88,((H85-(H88*1))*0.1),0)</f>
        <v>0</v>
      </c>
      <c r="I87" s="174">
        <f t="shared" si="31"/>
        <v>0</v>
      </c>
      <c r="J87" s="174">
        <f>IF(J85&gt;J88,((J85-(J88*1))*0.1),0)</f>
        <v>0</v>
      </c>
      <c r="K87" s="174">
        <f t="shared" si="31"/>
        <v>0</v>
      </c>
      <c r="L87" s="174">
        <f t="shared" si="31"/>
        <v>0</v>
      </c>
      <c r="M87" s="150">
        <f t="shared" si="31"/>
        <v>0</v>
      </c>
      <c r="N87" s="150">
        <f t="shared" si="31"/>
        <v>0</v>
      </c>
      <c r="O87" s="174">
        <f t="shared" si="31"/>
        <v>0</v>
      </c>
      <c r="R87" s="126"/>
    </row>
    <row r="88" spans="1:18" ht="17.45" hidden="1" thickBot="1">
      <c r="B88" s="157"/>
      <c r="C88" s="157"/>
      <c r="D88" s="127">
        <f t="shared" ref="D88:O88" si="32">20000*D5</f>
        <v>20000</v>
      </c>
      <c r="E88" s="127">
        <f t="shared" si="32"/>
        <v>40000</v>
      </c>
      <c r="F88" s="127">
        <f t="shared" si="32"/>
        <v>60000</v>
      </c>
      <c r="G88" s="127">
        <f t="shared" si="32"/>
        <v>80000</v>
      </c>
      <c r="H88" s="127">
        <f t="shared" si="32"/>
        <v>100000</v>
      </c>
      <c r="I88" s="127">
        <f t="shared" si="32"/>
        <v>120000</v>
      </c>
      <c r="J88" s="127">
        <f t="shared" si="32"/>
        <v>140000</v>
      </c>
      <c r="K88" s="127">
        <f t="shared" si="32"/>
        <v>160000</v>
      </c>
      <c r="L88" s="127">
        <f t="shared" si="32"/>
        <v>180000</v>
      </c>
      <c r="M88" s="127">
        <f t="shared" si="32"/>
        <v>200000</v>
      </c>
      <c r="N88" s="127">
        <f t="shared" si="32"/>
        <v>220000</v>
      </c>
      <c r="O88" s="127">
        <f t="shared" si="32"/>
        <v>240000</v>
      </c>
      <c r="R88" s="126"/>
    </row>
    <row r="89" spans="1:18" ht="17.45" thickBot="1">
      <c r="A89" s="1137" t="s">
        <v>5744</v>
      </c>
      <c r="B89" s="1138"/>
      <c r="C89" s="1139"/>
      <c r="D89" s="156">
        <f>D86+D87</f>
        <v>0</v>
      </c>
      <c r="E89" s="156">
        <f>E86+E87</f>
        <v>0</v>
      </c>
      <c r="F89" s="162" t="e">
        <f>F86+F87</f>
        <v>#VALUE!</v>
      </c>
      <c r="G89" s="162">
        <f>G86+G87</f>
        <v>0</v>
      </c>
      <c r="H89" s="162">
        <f>H86+H87</f>
        <v>0</v>
      </c>
      <c r="I89" s="162">
        <f t="shared" ref="I89:M89" si="33">I86+I87</f>
        <v>0</v>
      </c>
      <c r="J89" s="162">
        <f>J86+J87</f>
        <v>0</v>
      </c>
      <c r="K89" s="162">
        <f>K86+K87</f>
        <v>0</v>
      </c>
      <c r="L89" s="162">
        <f>L86+L87</f>
        <v>0</v>
      </c>
      <c r="M89" s="156">
        <f t="shared" si="33"/>
        <v>0</v>
      </c>
      <c r="N89" s="156">
        <f>N86+N87</f>
        <v>0</v>
      </c>
      <c r="O89" s="162">
        <f>O86+O87</f>
        <v>0</v>
      </c>
      <c r="P89" s="892"/>
      <c r="R89" s="126"/>
    </row>
    <row r="90" spans="1:18">
      <c r="A90" s="179"/>
      <c r="B90" s="178"/>
      <c r="C90" s="178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895"/>
      <c r="R90" s="126"/>
    </row>
    <row r="91" spans="1:18">
      <c r="A91" s="170" t="s">
        <v>5745</v>
      </c>
      <c r="B91" s="169"/>
      <c r="C91" s="160"/>
      <c r="D91" s="158"/>
      <c r="E91" s="158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894"/>
      <c r="R91" s="126"/>
    </row>
    <row r="92" spans="1:18">
      <c r="A92" s="177" t="s">
        <v>5746</v>
      </c>
      <c r="B92" s="160"/>
      <c r="C92" s="160">
        <f>C86*4%</f>
        <v>0</v>
      </c>
      <c r="D92" s="163" t="e">
        <f>IF(D118&gt;D116,D116*-1,D118*-1)*-1</f>
        <v>#VALUE!</v>
      </c>
      <c r="E92" s="174" t="e">
        <f>IF(E118&gt;E116,E116*-1,E118*-1)*-1</f>
        <v>#VALUE!</v>
      </c>
      <c r="F92" s="174" t="e">
        <f>IF(F118&gt;F116,F116*-1,F118*-1)*-1</f>
        <v>#VALUE!</v>
      </c>
      <c r="G92" s="174" t="e">
        <f>IF(G118&gt;G116,G116*-1,G118*-1)*-1</f>
        <v>#VALUE!</v>
      </c>
      <c r="H92" s="174" t="e">
        <f t="shared" ref="H92:J92" si="34">IF(H118&gt;H116,H116*-1,H118*-1)*-1</f>
        <v>#VALUE!</v>
      </c>
      <c r="I92" s="174" t="e">
        <f t="shared" si="34"/>
        <v>#VALUE!</v>
      </c>
      <c r="J92" s="174" t="e">
        <f t="shared" si="34"/>
        <v>#VALUE!</v>
      </c>
      <c r="K92" s="174" t="e">
        <f>IF(K118&gt;K116,K116*-1,K118*-1)*-1</f>
        <v>#VALUE!</v>
      </c>
      <c r="L92" s="174" t="e">
        <f t="shared" ref="L92:O92" si="35">IF(L118&gt;L116,L116*-1,L118*-1)*-1</f>
        <v>#VALUE!</v>
      </c>
      <c r="M92" s="174" t="e">
        <f t="shared" si="35"/>
        <v>#VALUE!</v>
      </c>
      <c r="N92" s="174" t="e">
        <f t="shared" si="35"/>
        <v>#VALUE!</v>
      </c>
      <c r="O92" s="174" t="e">
        <f t="shared" si="35"/>
        <v>#VALUE!</v>
      </c>
      <c r="P92" s="894"/>
      <c r="R92" s="126"/>
    </row>
    <row r="93" spans="1:18" s="172" customFormat="1">
      <c r="A93" s="175" t="s">
        <v>5714</v>
      </c>
      <c r="B93" s="176">
        <v>411111</v>
      </c>
      <c r="C93" s="175" t="str">
        <f>A93</f>
        <v>Salario Maternidade  - Prorrogação</v>
      </c>
      <c r="D93" s="163" t="e">
        <f>SUMIF('[6]Balancete 01.2025'!B:B,IRPJ_CSLL_2026!B93,'[6]Balancete 01.2025'!H:H)</f>
        <v>#VALUE!</v>
      </c>
      <c r="E93" s="174" t="e">
        <f>SUMIF('[6]Balancete 02.2025'!B:B,IRPJ_CSLL_2026!B93,'[6]Balancete 02.2025'!H:H)</f>
        <v>#VALUE!</v>
      </c>
      <c r="F93" s="174" t="e">
        <f>F59</f>
        <v>#VALUE!</v>
      </c>
      <c r="G93" s="174">
        <v>0</v>
      </c>
      <c r="H93" s="174">
        <f t="shared" ref="H93:O95" si="36">H59</f>
        <v>0</v>
      </c>
      <c r="I93" s="174">
        <f t="shared" si="36"/>
        <v>0</v>
      </c>
      <c r="J93" s="174">
        <f t="shared" si="36"/>
        <v>0</v>
      </c>
      <c r="K93" s="174">
        <f t="shared" si="36"/>
        <v>0</v>
      </c>
      <c r="L93" s="174">
        <f t="shared" si="36"/>
        <v>0</v>
      </c>
      <c r="M93" s="174">
        <f t="shared" si="36"/>
        <v>0</v>
      </c>
      <c r="N93" s="174">
        <f t="shared" si="36"/>
        <v>0</v>
      </c>
      <c r="O93" s="174">
        <f t="shared" si="36"/>
        <v>0</v>
      </c>
      <c r="P93" s="173"/>
      <c r="R93" s="173"/>
    </row>
    <row r="94" spans="1:18" s="172" customFormat="1">
      <c r="A94" s="175" t="s">
        <v>988</v>
      </c>
      <c r="B94" s="176">
        <v>411113</v>
      </c>
      <c r="C94" s="175" t="str">
        <f t="shared" ref="C94:C96" si="37">A94</f>
        <v>Licença Paternidade Prorrogação</v>
      </c>
      <c r="D94" s="163" t="e">
        <f>SUMIF('[6]Balancete 01.2025'!B:B,IRPJ_CSLL_2026!B94,'[6]Balancete 01.2025'!H:H)</f>
        <v>#VALUE!</v>
      </c>
      <c r="E94" s="174" t="e">
        <f>SUMIF('[6]Balancete 02.2025'!B:B,IRPJ_CSLL_2026!B94,'[6]Balancete 02.2025'!H:H)</f>
        <v>#VALUE!</v>
      </c>
      <c r="F94" s="174" t="e">
        <f>F60</f>
        <v>#VALUE!</v>
      </c>
      <c r="G94" s="174" t="e">
        <f>SUMIF('[6]Balancete 04.2025'!B:B,IRPJ_CSLL_2026!B94,'[6]Balancete 04.2025'!H:H)</f>
        <v>#VALUE!</v>
      </c>
      <c r="H94" s="174">
        <f t="shared" si="36"/>
        <v>0</v>
      </c>
      <c r="I94" s="174">
        <f t="shared" si="36"/>
        <v>31626.27</v>
      </c>
      <c r="J94" s="174">
        <f t="shared" si="36"/>
        <v>0</v>
      </c>
      <c r="K94" s="174">
        <f t="shared" si="36"/>
        <v>0</v>
      </c>
      <c r="L94" s="174">
        <f t="shared" si="36"/>
        <v>0</v>
      </c>
      <c r="M94" s="174">
        <f t="shared" si="36"/>
        <v>0</v>
      </c>
      <c r="N94" s="174">
        <f t="shared" si="36"/>
        <v>0</v>
      </c>
      <c r="O94" s="174">
        <f t="shared" si="36"/>
        <v>0</v>
      </c>
      <c r="P94" s="173"/>
      <c r="R94" s="173"/>
    </row>
    <row r="95" spans="1:18" s="172" customFormat="1">
      <c r="A95" s="175" t="s">
        <v>5714</v>
      </c>
      <c r="B95" s="176">
        <v>421110</v>
      </c>
      <c r="C95" s="175" t="str">
        <f t="shared" si="37"/>
        <v>Salario Maternidade  - Prorrogação</v>
      </c>
      <c r="D95" s="163" t="e">
        <f>SUMIF('[6]Balancete 01.2025'!B:B,IRPJ_CSLL_2026!B95,'[6]Balancete 01.2025'!H:H)</f>
        <v>#VALUE!</v>
      </c>
      <c r="E95" s="174" t="e">
        <f>SUMIF('[6]Balancete 02.2025'!B:B,IRPJ_CSLL_2026!B95,'[6]Balancete 02.2025'!H:H)</f>
        <v>#VALUE!</v>
      </c>
      <c r="F95" s="174" t="e">
        <f>F63</f>
        <v>#VALUE!</v>
      </c>
      <c r="G95" s="174" t="e">
        <f>SUMIF('[6]Balancete 04.2025'!B:B,IRPJ_CSLL_2026!B95,'[6]Balancete 04.2025'!H:H)</f>
        <v>#VALUE!</v>
      </c>
      <c r="H95" s="174">
        <f>H63</f>
        <v>0</v>
      </c>
      <c r="I95" s="174">
        <f>I63</f>
        <v>0</v>
      </c>
      <c r="J95" s="174">
        <f t="shared" si="36"/>
        <v>0</v>
      </c>
      <c r="K95" s="174">
        <f t="shared" si="36"/>
        <v>0</v>
      </c>
      <c r="L95" s="174">
        <f t="shared" si="36"/>
        <v>0</v>
      </c>
      <c r="M95" s="174">
        <f t="shared" si="36"/>
        <v>0</v>
      </c>
      <c r="N95" s="174">
        <f t="shared" si="36"/>
        <v>0</v>
      </c>
      <c r="O95" s="174">
        <f t="shared" si="36"/>
        <v>0</v>
      </c>
      <c r="P95" s="173"/>
      <c r="R95" s="173"/>
    </row>
    <row r="96" spans="1:18" s="172" customFormat="1" ht="17.45" thickBot="1">
      <c r="A96" s="175" t="s">
        <v>988</v>
      </c>
      <c r="B96" s="176">
        <v>421112</v>
      </c>
      <c r="C96" s="175" t="str">
        <f t="shared" si="37"/>
        <v>Licença Paternidade Prorrogação</v>
      </c>
      <c r="D96" s="163" t="e">
        <f>SUMIF('[6]Balancete 01.2025'!B:B,IRPJ_CSLL_2026!B96,'[6]Balancete 01.2025'!H:H)</f>
        <v>#VALUE!</v>
      </c>
      <c r="E96" s="174" t="e">
        <f>SUMIF('[6]Balancete 02.2025'!B:B,IRPJ_CSLL_2026!B96,'[6]Balancete 02.2025'!H:H)</f>
        <v>#VALUE!</v>
      </c>
      <c r="F96" s="174" t="e">
        <f>F64</f>
        <v>#VALUE!</v>
      </c>
      <c r="G96" s="174" t="e">
        <f>SUMIF('[6]Balancete 04.2025'!B:B,IRPJ_CSLL_2026!B96,'[6]Balancete 04.2025'!H:H)</f>
        <v>#VALUE!</v>
      </c>
      <c r="H96" s="174">
        <f>H64</f>
        <v>0</v>
      </c>
      <c r="I96" s="174">
        <f>I64</f>
        <v>14973.46</v>
      </c>
      <c r="J96" s="174">
        <f t="shared" ref="J96:O96" si="38">J64</f>
        <v>0</v>
      </c>
      <c r="K96" s="174">
        <f t="shared" si="38"/>
        <v>0</v>
      </c>
      <c r="L96" s="174">
        <f t="shared" si="38"/>
        <v>0</v>
      </c>
      <c r="M96" s="174">
        <f t="shared" si="38"/>
        <v>0</v>
      </c>
      <c r="N96" s="174">
        <f t="shared" si="38"/>
        <v>0</v>
      </c>
      <c r="O96" s="174">
        <f t="shared" si="38"/>
        <v>0</v>
      </c>
      <c r="P96" s="173"/>
      <c r="R96" s="173"/>
    </row>
    <row r="97" spans="1:18" ht="17.45" thickBot="1">
      <c r="A97" s="1137" t="s">
        <v>5747</v>
      </c>
      <c r="B97" s="1138"/>
      <c r="C97" s="1139">
        <f>SUM(C92:C95)</f>
        <v>0</v>
      </c>
      <c r="D97" s="171" t="e">
        <f>SUM(D92:D96)</f>
        <v>#VALUE!</v>
      </c>
      <c r="E97" s="156" t="e">
        <f t="shared" ref="E97:M97" si="39">SUM(E92:E96)</f>
        <v>#VALUE!</v>
      </c>
      <c r="F97" s="171" t="e">
        <f t="shared" si="39"/>
        <v>#VALUE!</v>
      </c>
      <c r="G97" s="171" t="e">
        <f t="shared" si="39"/>
        <v>#VALUE!</v>
      </c>
      <c r="H97" s="171" t="e">
        <f t="shared" si="39"/>
        <v>#VALUE!</v>
      </c>
      <c r="I97" s="171" t="e">
        <f t="shared" si="39"/>
        <v>#VALUE!</v>
      </c>
      <c r="J97" s="171" t="e">
        <f t="shared" si="39"/>
        <v>#VALUE!</v>
      </c>
      <c r="K97" s="171" t="e">
        <f t="shared" si="39"/>
        <v>#VALUE!</v>
      </c>
      <c r="L97" s="171" t="e">
        <f t="shared" si="39"/>
        <v>#VALUE!</v>
      </c>
      <c r="M97" s="171" t="e">
        <f t="shared" si="39"/>
        <v>#VALUE!</v>
      </c>
      <c r="N97" s="171" t="e">
        <f>SUM(N92:N96)</f>
        <v>#VALUE!</v>
      </c>
      <c r="O97" s="171" t="e">
        <f>SUM(O92:O96)</f>
        <v>#VALUE!</v>
      </c>
      <c r="R97" s="126"/>
    </row>
    <row r="98" spans="1:18" ht="17.45" thickBot="1">
      <c r="A98" s="161"/>
      <c r="B98" s="160"/>
      <c r="C98" s="160"/>
      <c r="D98" s="158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R98" s="126"/>
    </row>
    <row r="99" spans="1:18" ht="17.45" thickBot="1">
      <c r="A99" s="1137" t="s">
        <v>5748</v>
      </c>
      <c r="B99" s="1138"/>
      <c r="C99" s="1139">
        <f>C89-C97</f>
        <v>0</v>
      </c>
      <c r="D99" s="156" t="e">
        <f>D89-D97</f>
        <v>#VALUE!</v>
      </c>
      <c r="E99" s="156" t="e">
        <f>E89-E97</f>
        <v>#VALUE!</v>
      </c>
      <c r="F99" s="1040" t="e">
        <f>F89-F97</f>
        <v>#VALUE!</v>
      </c>
      <c r="G99" s="162" t="e">
        <f>IF(G89-G97&gt;0,G89-G97,0)</f>
        <v>#VALUE!</v>
      </c>
      <c r="H99" s="162" t="e">
        <f>IF(H89-H97&gt;0,H89-H97,0)</f>
        <v>#VALUE!</v>
      </c>
      <c r="I99" s="162" t="e">
        <f t="shared" ref="I99" si="40">IF(I89-I97&gt;0,I89-I97,0)</f>
        <v>#VALUE!</v>
      </c>
      <c r="J99" s="162" t="e">
        <f>IF(J89-J97&gt;0,J89-J97,0)</f>
        <v>#VALUE!</v>
      </c>
      <c r="K99" s="162" t="e">
        <f>IF(K89-K97&gt;0,K89-K97,0)</f>
        <v>#VALUE!</v>
      </c>
      <c r="L99" s="162" t="e">
        <f>IF(L89-L97&gt;0,L89-L97,0)</f>
        <v>#VALUE!</v>
      </c>
      <c r="M99" s="162" t="e">
        <f>IF(M89-M97&gt;0,M89-M97,0)</f>
        <v>#VALUE!</v>
      </c>
      <c r="N99" s="162" t="e">
        <f>IF(N89-N97&gt;0,N89-N97,0)</f>
        <v>#VALUE!</v>
      </c>
      <c r="O99" s="162" t="e">
        <f t="shared" ref="O99" si="41">IF(O89-O97&gt;0,O89-O97,0)</f>
        <v>#VALUE!</v>
      </c>
      <c r="P99" s="893"/>
      <c r="R99" s="126"/>
    </row>
    <row r="100" spans="1:18">
      <c r="A100" s="170" t="s">
        <v>5749</v>
      </c>
      <c r="B100" s="169"/>
      <c r="C100" s="160"/>
      <c r="D100" s="158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R100" s="126"/>
    </row>
    <row r="101" spans="1:18">
      <c r="A101" s="161" t="s">
        <v>5750</v>
      </c>
      <c r="B101" s="168"/>
      <c r="C101" s="167">
        <v>0</v>
      </c>
      <c r="D101" s="163">
        <f>C105</f>
        <v>0</v>
      </c>
      <c r="E101" s="163" t="e">
        <f>D105</f>
        <v>#VALUE!</v>
      </c>
      <c r="F101" s="163" t="e">
        <f>E101</f>
        <v>#VALUE!</v>
      </c>
      <c r="G101" s="163" t="e">
        <f t="shared" ref="G101:M101" si="42">F103</f>
        <v>#VALUE!</v>
      </c>
      <c r="H101" s="1041" t="e">
        <f t="shared" si="42"/>
        <v>#VALUE!</v>
      </c>
      <c r="I101" s="163" t="e">
        <f t="shared" si="42"/>
        <v>#VALUE!</v>
      </c>
      <c r="J101" s="163" t="e">
        <f t="shared" si="42"/>
        <v>#VALUE!</v>
      </c>
      <c r="K101" s="163" t="e">
        <f t="shared" si="42"/>
        <v>#VALUE!</v>
      </c>
      <c r="L101" s="163" t="e">
        <f>K103</f>
        <v>#VALUE!</v>
      </c>
      <c r="M101" s="163" t="e">
        <f t="shared" si="42"/>
        <v>#VALUE!</v>
      </c>
      <c r="N101" s="163" t="e">
        <f>M101</f>
        <v>#VALUE!</v>
      </c>
      <c r="O101" s="163" t="e">
        <f>N101</f>
        <v>#VALUE!</v>
      </c>
      <c r="R101" s="126"/>
    </row>
    <row r="102" spans="1:18" ht="17.45" thickBot="1">
      <c r="A102" s="161" t="s">
        <v>5751</v>
      </c>
      <c r="B102" s="165"/>
      <c r="C102" s="164"/>
      <c r="D102" s="163">
        <v>0</v>
      </c>
      <c r="E102" s="163">
        <v>0</v>
      </c>
      <c r="F102" s="163">
        <v>0</v>
      </c>
      <c r="G102" s="163">
        <v>0</v>
      </c>
      <c r="H102" s="163">
        <v>0</v>
      </c>
      <c r="I102" s="163">
        <v>0</v>
      </c>
      <c r="J102" s="163">
        <v>0</v>
      </c>
      <c r="K102" s="163">
        <v>0</v>
      </c>
      <c r="L102" s="163">
        <v>0</v>
      </c>
      <c r="M102" s="163">
        <v>0</v>
      </c>
      <c r="N102" s="163">
        <v>0</v>
      </c>
      <c r="O102" s="163">
        <v>0</v>
      </c>
      <c r="Q102" s="127"/>
      <c r="R102" s="126"/>
    </row>
    <row r="103" spans="1:18" ht="17.45" thickBot="1">
      <c r="A103" s="1137" t="s">
        <v>5752</v>
      </c>
      <c r="B103" s="1138">
        <v>0</v>
      </c>
      <c r="C103" s="1139">
        <f t="shared" ref="C103:M103" si="43">SUM(C101:C102)</f>
        <v>0</v>
      </c>
      <c r="D103" s="156">
        <f t="shared" si="43"/>
        <v>0</v>
      </c>
      <c r="E103" s="156" t="e">
        <f>SUM(E101:E102)</f>
        <v>#VALUE!</v>
      </c>
      <c r="F103" s="162" t="e">
        <f>SUM(F101:F102)</f>
        <v>#VALUE!</v>
      </c>
      <c r="G103" s="162" t="e">
        <f>SUM(G101:G102)</f>
        <v>#VALUE!</v>
      </c>
      <c r="H103" s="162" t="e">
        <f>SUM(H101:H102)</f>
        <v>#VALUE!</v>
      </c>
      <c r="I103" s="162" t="e">
        <f>SUM(I101:I102)</f>
        <v>#VALUE!</v>
      </c>
      <c r="J103" s="162" t="e">
        <f t="shared" si="43"/>
        <v>#VALUE!</v>
      </c>
      <c r="K103" s="162" t="e">
        <f>SUM(K101:K102)</f>
        <v>#VALUE!</v>
      </c>
      <c r="L103" s="162" t="e">
        <f>SUM(L101:L102)</f>
        <v>#VALUE!</v>
      </c>
      <c r="M103" s="162" t="e">
        <f t="shared" si="43"/>
        <v>#VALUE!</v>
      </c>
      <c r="N103" s="162" t="e">
        <f>SUM(N101:N102)</f>
        <v>#VALUE!</v>
      </c>
      <c r="O103" s="162" t="e">
        <f>SUM(O101:O102)</f>
        <v>#VALUE!</v>
      </c>
      <c r="Q103" s="127"/>
      <c r="R103" s="126"/>
    </row>
    <row r="104" spans="1:18" ht="17.45" thickBot="1">
      <c r="A104" s="161"/>
      <c r="B104" s="160"/>
      <c r="C104" s="160"/>
      <c r="D104" s="159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7"/>
      <c r="R104" s="157"/>
    </row>
    <row r="105" spans="1:18" ht="17.45" thickBot="1">
      <c r="A105" s="1137" t="s">
        <v>5779</v>
      </c>
      <c r="B105" s="1138"/>
      <c r="C105" s="1139">
        <f t="shared" ref="C105:L105" si="44">C99-C103</f>
        <v>0</v>
      </c>
      <c r="D105" s="156" t="e">
        <f>D99-D103</f>
        <v>#VALUE!</v>
      </c>
      <c r="E105" s="156" t="e">
        <f>E99-E103</f>
        <v>#VALUE!</v>
      </c>
      <c r="F105" s="1040" t="e">
        <f>F99-F103</f>
        <v>#VALUE!</v>
      </c>
      <c r="G105" s="162" t="e">
        <f>G99-G103</f>
        <v>#VALUE!</v>
      </c>
      <c r="H105" s="162" t="e">
        <f t="shared" si="44"/>
        <v>#VALUE!</v>
      </c>
      <c r="I105" s="162" t="e">
        <f>I99-I103</f>
        <v>#VALUE!</v>
      </c>
      <c r="J105" s="162" t="e">
        <f t="shared" si="44"/>
        <v>#VALUE!</v>
      </c>
      <c r="K105" s="162" t="e">
        <f>K99-K103</f>
        <v>#VALUE!</v>
      </c>
      <c r="L105" s="162" t="e">
        <f t="shared" si="44"/>
        <v>#VALUE!</v>
      </c>
      <c r="M105" s="162" t="e">
        <f>M99-M103</f>
        <v>#VALUE!</v>
      </c>
      <c r="N105" s="162" t="e">
        <f>N99-N103</f>
        <v>#VALUE!</v>
      </c>
      <c r="O105" s="162" t="e">
        <f>O99-O103</f>
        <v>#VALUE!</v>
      </c>
      <c r="P105" s="892"/>
      <c r="R105" s="126"/>
    </row>
    <row r="106" spans="1:18" ht="17.45" thickBot="1">
      <c r="R106" s="126"/>
    </row>
    <row r="107" spans="1:18" ht="17.45" thickBot="1">
      <c r="A107" s="1137" t="s">
        <v>5780</v>
      </c>
      <c r="B107" s="1138"/>
      <c r="C107" s="1138"/>
      <c r="D107" s="155" t="s">
        <v>5695</v>
      </c>
      <c r="E107" s="155" t="s">
        <v>5696</v>
      </c>
      <c r="F107" s="155" t="s">
        <v>5697</v>
      </c>
      <c r="G107" s="155" t="s">
        <v>5698</v>
      </c>
      <c r="H107" s="155" t="s">
        <v>5699</v>
      </c>
      <c r="I107" s="155" t="s">
        <v>5700</v>
      </c>
      <c r="J107" s="155" t="s">
        <v>5701</v>
      </c>
      <c r="K107" s="155" t="s">
        <v>5702</v>
      </c>
      <c r="L107" s="155" t="s">
        <v>5703</v>
      </c>
      <c r="M107" s="155" t="s">
        <v>5704</v>
      </c>
      <c r="N107" s="155" t="s">
        <v>5705</v>
      </c>
      <c r="O107" s="155" t="s">
        <v>5706</v>
      </c>
      <c r="R107" s="126"/>
    </row>
    <row r="108" spans="1:18">
      <c r="A108" s="152" t="s">
        <v>5781</v>
      </c>
      <c r="B108" s="151"/>
      <c r="C108" s="151"/>
      <c r="D108" s="154">
        <f>[6]IRPJ_CSLL_2024!O112</f>
        <v>2028901.8850000021</v>
      </c>
      <c r="E108" s="154">
        <f>D108</f>
        <v>2028901.8850000021</v>
      </c>
      <c r="F108" s="154">
        <f>[6]IRPJ_CSLL_2025!O85</f>
        <v>-5414500.0299999984</v>
      </c>
      <c r="G108" s="154">
        <f>IF(G83&lt;0, F108+G83, F108)</f>
        <v>-5414500.0299999984</v>
      </c>
      <c r="H108" s="154">
        <f>IF(H83&lt;0, G108+H83, G108)</f>
        <v>-5414500.0299999984</v>
      </c>
      <c r="I108" s="154">
        <f>IF(I83&lt;0, H108+I83, H108)</f>
        <v>-22760894.319999997</v>
      </c>
      <c r="J108" s="154">
        <f t="shared" ref="J108:N108" si="45">I108</f>
        <v>-22760894.319999997</v>
      </c>
      <c r="K108" s="154">
        <f t="shared" si="45"/>
        <v>-22760894.319999997</v>
      </c>
      <c r="L108" s="154">
        <f>K108</f>
        <v>-22760894.319999997</v>
      </c>
      <c r="M108" s="154">
        <f>L108</f>
        <v>-22760894.319999997</v>
      </c>
      <c r="N108" s="154">
        <f t="shared" si="45"/>
        <v>-22760894.319999997</v>
      </c>
      <c r="O108" s="154">
        <f>N108</f>
        <v>-22760894.319999997</v>
      </c>
      <c r="R108" s="126"/>
    </row>
    <row r="109" spans="1:18">
      <c r="A109" s="152" t="s">
        <v>5756</v>
      </c>
      <c r="B109" s="151"/>
      <c r="C109" s="151"/>
      <c r="D109" s="153">
        <f>-D84</f>
        <v>0</v>
      </c>
      <c r="E109" s="153">
        <f t="shared" ref="E109:F109" si="46">-E84</f>
        <v>0</v>
      </c>
      <c r="F109" s="1042" t="e">
        <f t="shared" si="46"/>
        <v>#VALUE!</v>
      </c>
      <c r="G109" s="153">
        <f>G84</f>
        <v>0</v>
      </c>
      <c r="H109" s="153">
        <f>H84</f>
        <v>0</v>
      </c>
      <c r="I109" s="153">
        <f t="shared" ref="I109:O109" si="47">I84</f>
        <v>0</v>
      </c>
      <c r="J109" s="153">
        <f t="shared" si="47"/>
        <v>0</v>
      </c>
      <c r="K109" s="153">
        <f t="shared" si="47"/>
        <v>0</v>
      </c>
      <c r="L109" s="153">
        <f>L84</f>
        <v>0</v>
      </c>
      <c r="M109" s="153">
        <f t="shared" si="47"/>
        <v>0</v>
      </c>
      <c r="N109" s="153">
        <f t="shared" si="47"/>
        <v>0</v>
      </c>
      <c r="O109" s="153">
        <f t="shared" si="47"/>
        <v>0</v>
      </c>
      <c r="R109" s="126"/>
    </row>
    <row r="110" spans="1:18">
      <c r="A110" s="152" t="s">
        <v>5757</v>
      </c>
      <c r="B110" s="151"/>
      <c r="C110" s="151"/>
      <c r="D110" s="150">
        <f>IF(D83&gt;0,D108+D109,SUM(D108-D10)+D83*-1)</f>
        <v>2028901.8850000021</v>
      </c>
      <c r="E110" s="150">
        <f>IF(E83&gt;0,E108+E109,SUM(E108-E10)+E83*-1)</f>
        <v>2028901.8850000021</v>
      </c>
      <c r="F110" s="150" t="e">
        <f>IF(F83&gt;0,F108+F109,SUM(F108-F10)+F83*-1)</f>
        <v>#VALUE!</v>
      </c>
      <c r="G110" s="150">
        <f>G108-G109</f>
        <v>-5414500.0299999984</v>
      </c>
      <c r="H110" s="150">
        <f>H108-H109</f>
        <v>-5414500.0299999984</v>
      </c>
      <c r="I110" s="150">
        <f>I108-I109</f>
        <v>-22760894.319999997</v>
      </c>
      <c r="J110" s="150">
        <f t="shared" ref="J110" si="48">J108-J109</f>
        <v>-22760894.319999997</v>
      </c>
      <c r="K110" s="150">
        <f>K108-K109</f>
        <v>-22760894.319999997</v>
      </c>
      <c r="L110" s="150">
        <f>L108-L109</f>
        <v>-22760894.319999997</v>
      </c>
      <c r="M110" s="150">
        <f>M108-M109</f>
        <v>-22760894.319999997</v>
      </c>
      <c r="N110" s="150">
        <f>N108-N109</f>
        <v>-22760894.319999997</v>
      </c>
      <c r="O110" s="150">
        <f>N110</f>
        <v>-22760894.319999997</v>
      </c>
      <c r="R110" s="126"/>
    </row>
    <row r="111" spans="1:18">
      <c r="R111" s="126"/>
    </row>
    <row r="112" spans="1:18" ht="17.45" thickBot="1">
      <c r="C112" s="149"/>
      <c r="D112" s="148"/>
      <c r="E112" s="148"/>
      <c r="F112" s="148"/>
      <c r="G112" s="148"/>
      <c r="H112" s="148"/>
      <c r="I112" s="148"/>
      <c r="J112" s="148"/>
      <c r="K112" s="148"/>
      <c r="L112" s="148"/>
      <c r="M112" s="148"/>
      <c r="N112" s="148"/>
      <c r="O112" s="148"/>
      <c r="R112" s="126"/>
    </row>
    <row r="113" spans="2:18" ht="17.45" thickBot="1">
      <c r="B113" s="147" t="s">
        <v>5758</v>
      </c>
      <c r="C113" s="146"/>
      <c r="D113" s="145" t="s">
        <v>5695</v>
      </c>
      <c r="E113" s="145" t="s">
        <v>5696</v>
      </c>
      <c r="F113" s="145" t="s">
        <v>5697</v>
      </c>
      <c r="G113" s="145" t="s">
        <v>5698</v>
      </c>
      <c r="H113" s="145" t="s">
        <v>5699</v>
      </c>
      <c r="I113" s="145" t="s">
        <v>5700</v>
      </c>
      <c r="J113" s="145" t="s">
        <v>5701</v>
      </c>
      <c r="K113" s="145" t="s">
        <v>5702</v>
      </c>
      <c r="L113" s="145" t="s">
        <v>5703</v>
      </c>
      <c r="M113" s="145" t="s">
        <v>5704</v>
      </c>
      <c r="N113" s="145" t="s">
        <v>5705</v>
      </c>
      <c r="O113" s="145" t="s">
        <v>5706</v>
      </c>
      <c r="R113" s="126"/>
    </row>
    <row r="114" spans="2:18">
      <c r="B114" s="138" t="s">
        <v>5759</v>
      </c>
      <c r="C114" s="144">
        <v>41132</v>
      </c>
      <c r="D114" s="141" t="e">
        <f>SUMIF('[6]Balancete 01.2025'!B:B,IRPJ_CSLL_2026!C114,'[6]Balancete 01.2025'!H:H)</f>
        <v>#VALUE!</v>
      </c>
      <c r="E114" s="141" t="e">
        <f>SUMIF('[6]Balancete 02.2025'!B:B,IRPJ_CSLL_2026!C114,'[6]Balancete 02.2025'!H:H)</f>
        <v>#VALUE!</v>
      </c>
      <c r="F114" s="174" t="e">
        <f>SUMIF('[6]Março 2026'!B:B,IRPJ_CSLL_2026!C114,'[6]Março 2026'!G:G)</f>
        <v>#VALUE!</v>
      </c>
      <c r="G114" s="141" t="e">
        <f>SUMIF('[6]Balancete 04.2025'!B:B,IRPJ_CSLL_2026!C114,'[6]Balancete 04.2025'!H:H)</f>
        <v>#VALUE!</v>
      </c>
      <c r="H114" s="140" t="e">
        <f>SUMIF('[6]Balancete 05.2025'!B:B,IRPJ_CSLL_2026!C114,'[6]Balancete 05.2025'!H:H)</f>
        <v>#VALUE!</v>
      </c>
      <c r="I114" s="140" t="e">
        <f>SUMIF('[6]Balancete 06.2025'!B:B,IRPJ_CSLL_2026!C114,'[6]Balancete 06.2025'!H:H)</f>
        <v>#VALUE!</v>
      </c>
      <c r="J114" s="140" t="e">
        <f>SUMIF('[6]Balancete 07.2025'!B:B,IRPJ_CSLL_2026!C114,'[6]Balancete 07.2025'!H:H)</f>
        <v>#VALUE!</v>
      </c>
      <c r="K114" s="140" t="e">
        <f>SUMIF('[6]Balancete 08.2025'!B:B,IRPJ_CSLL_2026!C114,'[6]Balancete 08.2025'!H:H)</f>
        <v>#VALUE!</v>
      </c>
      <c r="L114" s="140" t="e">
        <f>SUMIF('[6]Balancete 09.2025'!B:B,IRPJ_CSLL_2026!C114,'[6]Balancete 09.2025'!H:H)</f>
        <v>#VALUE!</v>
      </c>
      <c r="M114" s="140" t="e">
        <f>SUMIF('[6]Balancete 10.2025'!B:B,IRPJ_CSLL_2026!C114,'[6]Balancete 10.2025'!H:H)</f>
        <v>#VALUE!</v>
      </c>
      <c r="N114" s="140" t="e">
        <f>SUMIF('[6]Balancete 11.2025'!B:B,IRPJ_CSLL_2026!C114,'[6]Balancete 11.2025'!H:H)</f>
        <v>#VALUE!</v>
      </c>
      <c r="O114" s="140" t="e">
        <f>SUMIF('[6]Balancete 12.2025'!B:B,IRPJ_CSLL_2026!C114,'[6]Balancete 12.2025'!H:H)</f>
        <v>#VALUE!</v>
      </c>
      <c r="R114" s="126"/>
    </row>
    <row r="115" spans="2:18" ht="17.45" thickBot="1">
      <c r="B115" s="143" t="s">
        <v>5759</v>
      </c>
      <c r="C115" s="142">
        <v>42132</v>
      </c>
      <c r="D115" s="141" t="e">
        <f>SUMIF('[6]Balancete 01.2025'!B:B,IRPJ_CSLL_2026!C115,'[6]Balancete 01.2025'!H:H)</f>
        <v>#VALUE!</v>
      </c>
      <c r="E115" s="141" t="e">
        <f>SUMIF('[6]Balancete 02.2025'!B:B,IRPJ_CSLL_2026!C115,'[6]Balancete 02.2025'!H:H)</f>
        <v>#VALUE!</v>
      </c>
      <c r="F115" s="174" t="e">
        <f>SUMIF('[6]Março 2026'!B:B,IRPJ_CSLL_2026!C115,'[6]Março 2026'!G:G)</f>
        <v>#VALUE!</v>
      </c>
      <c r="G115" s="141" t="e">
        <f>SUMIF('[6]Balancete 04.2025'!B:B,IRPJ_CSLL_2026!C115,'[6]Balancete 04.2025'!H:H)</f>
        <v>#VALUE!</v>
      </c>
      <c r="H115" s="140" t="e">
        <f>SUMIF('[6]Balancete 05.2025'!B:B,IRPJ_CSLL_2026!C115,'[6]Balancete 05.2025'!H:H)</f>
        <v>#VALUE!</v>
      </c>
      <c r="I115" s="140" t="e">
        <f>SUMIF('[6]Balancete 06.2025'!B:B,IRPJ_CSLL_2026!C115,'[6]Balancete 06.2025'!H:H)</f>
        <v>#VALUE!</v>
      </c>
      <c r="J115" s="140" t="e">
        <f>SUMIF('[6]Balancete 07.2025'!B:B,IRPJ_CSLL_2026!C115,'[6]Balancete 07.2025'!H:H)</f>
        <v>#VALUE!</v>
      </c>
      <c r="K115" s="140" t="e">
        <f>SUMIF('[6]Balancete 08.2025'!B:B,IRPJ_CSLL_2026!C115,'[6]Balancete 08.2025'!H:H)</f>
        <v>#VALUE!</v>
      </c>
      <c r="L115" s="140" t="e">
        <f>SUMIF('[6]Balancete 09.2025'!B:B,IRPJ_CSLL_2026!C115,'[6]Balancete 09.2025'!H:H)</f>
        <v>#VALUE!</v>
      </c>
      <c r="M115" s="140" t="e">
        <f>SUMIF('[6]Balancete 10.2025'!B:B,IRPJ_CSLL_2026!C115,'[6]Balancete 10.2025'!H:H)</f>
        <v>#VALUE!</v>
      </c>
      <c r="N115" s="140" t="e">
        <f>SUMIF('[6]Balancete 11.2025'!B:B,IRPJ_CSLL_2026!C115,'[6]Balancete 11.2025'!H:H)</f>
        <v>#VALUE!</v>
      </c>
      <c r="O115" s="140" t="e">
        <f>SUMIF('[6]Balancete 12.2025'!B:B,IRPJ_CSLL_2026!C115,'[6]Balancete 12.2025'!H:H)</f>
        <v>#VALUE!</v>
      </c>
      <c r="R115" s="126"/>
    </row>
    <row r="116" spans="2:18" ht="17.45" thickBot="1">
      <c r="B116" s="1133" t="s">
        <v>5760</v>
      </c>
      <c r="C116" s="1134"/>
      <c r="D116" s="139" t="e">
        <f t="shared" ref="D116:G116" si="49">SUM(D114:D115)</f>
        <v>#VALUE!</v>
      </c>
      <c r="E116" s="139" t="e">
        <f t="shared" si="49"/>
        <v>#VALUE!</v>
      </c>
      <c r="F116" s="139" t="e">
        <f>SUM(F114:F115)</f>
        <v>#VALUE!</v>
      </c>
      <c r="G116" s="139" t="e">
        <f t="shared" si="49"/>
        <v>#VALUE!</v>
      </c>
      <c r="H116" s="139" t="e">
        <f>SUM(H114:H115)</f>
        <v>#VALUE!</v>
      </c>
      <c r="I116" s="139" t="e">
        <f>SUM(I114:I115)</f>
        <v>#VALUE!</v>
      </c>
      <c r="J116" s="139" t="e">
        <f t="shared" ref="J116" si="50">SUM(J114:J115)</f>
        <v>#VALUE!</v>
      </c>
      <c r="K116" s="139" t="e">
        <f>SUM(K114:K115)</f>
        <v>#VALUE!</v>
      </c>
      <c r="L116" s="139" t="e">
        <f>SUM(L114:L115)</f>
        <v>#VALUE!</v>
      </c>
      <c r="M116" s="139" t="e">
        <f>SUM(M114:M115)</f>
        <v>#VALUE!</v>
      </c>
      <c r="N116" s="139" t="e">
        <f>SUM(N114:N115)</f>
        <v>#VALUE!</v>
      </c>
      <c r="O116" s="139" t="e">
        <f>SUM(O114:O115)</f>
        <v>#VALUE!</v>
      </c>
      <c r="R116" s="126"/>
    </row>
    <row r="117" spans="2:18">
      <c r="B117" s="1135" t="s">
        <v>5761</v>
      </c>
      <c r="C117" s="1136"/>
      <c r="D117" s="137" t="e">
        <f t="shared" ref="D117:O117" si="51">D116*0.15</f>
        <v>#VALUE!</v>
      </c>
      <c r="E117" s="137" t="e">
        <f t="shared" si="51"/>
        <v>#VALUE!</v>
      </c>
      <c r="F117" s="137" t="e">
        <f t="shared" si="51"/>
        <v>#VALUE!</v>
      </c>
      <c r="G117" s="137" t="e">
        <f t="shared" si="51"/>
        <v>#VALUE!</v>
      </c>
      <c r="H117" s="137" t="e">
        <f t="shared" si="51"/>
        <v>#VALUE!</v>
      </c>
      <c r="I117" s="137" t="e">
        <f t="shared" si="51"/>
        <v>#VALUE!</v>
      </c>
      <c r="J117" s="137" t="e">
        <f t="shared" si="51"/>
        <v>#VALUE!</v>
      </c>
      <c r="K117" s="137" t="e">
        <f t="shared" si="51"/>
        <v>#VALUE!</v>
      </c>
      <c r="L117" s="137" t="e">
        <f>L116*0.15</f>
        <v>#VALUE!</v>
      </c>
      <c r="M117" s="137" t="e">
        <f t="shared" si="51"/>
        <v>#VALUE!</v>
      </c>
      <c r="N117" s="137" t="e">
        <f>N116*0.15</f>
        <v>#VALUE!</v>
      </c>
      <c r="O117" s="137" t="e">
        <f t="shared" si="51"/>
        <v>#VALUE!</v>
      </c>
      <c r="R117" s="126"/>
    </row>
    <row r="118" spans="2:18">
      <c r="B118" s="138" t="s">
        <v>5762</v>
      </c>
      <c r="C118" s="135"/>
      <c r="D118" s="137">
        <f t="shared" ref="D118:H118" si="52">D86*0.04</f>
        <v>0</v>
      </c>
      <c r="E118" s="137">
        <f t="shared" si="52"/>
        <v>0</v>
      </c>
      <c r="F118" s="137" t="e">
        <f t="shared" si="52"/>
        <v>#VALUE!</v>
      </c>
      <c r="G118" s="137">
        <f t="shared" si="52"/>
        <v>0</v>
      </c>
      <c r="H118" s="137">
        <f t="shared" si="52"/>
        <v>0</v>
      </c>
      <c r="I118" s="137">
        <f>I86*0.04</f>
        <v>0</v>
      </c>
      <c r="J118" s="137">
        <f>J86*0.04</f>
        <v>0</v>
      </c>
      <c r="K118" s="137">
        <f>K86*0.04</f>
        <v>0</v>
      </c>
      <c r="L118" s="137">
        <f>L86*0.04</f>
        <v>0</v>
      </c>
      <c r="M118" s="137">
        <f t="shared" ref="M118" si="53">M86*0.04</f>
        <v>0</v>
      </c>
      <c r="N118" s="137">
        <f>N86*0.04</f>
        <v>0</v>
      </c>
      <c r="O118" s="137">
        <f>O86*0.04</f>
        <v>0</v>
      </c>
      <c r="R118" s="126"/>
    </row>
    <row r="119" spans="2:18">
      <c r="B119" s="136" t="s">
        <v>5763</v>
      </c>
      <c r="C119" s="135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R119" s="126"/>
    </row>
    <row r="120" spans="2:18" ht="17.45" thickBot="1">
      <c r="B120" s="133" t="s">
        <v>5764</v>
      </c>
      <c r="C120" s="132"/>
      <c r="D120" s="131">
        <f>IF(D118&gt;0,(D117-D118),0)</f>
        <v>0</v>
      </c>
      <c r="E120" s="131">
        <f>IF(E118&gt;0,(E117-E118),0)</f>
        <v>0</v>
      </c>
      <c r="F120" s="131" t="e">
        <f>IF(F118&gt;0,(F117-F118),0)</f>
        <v>#VALUE!</v>
      </c>
      <c r="G120" s="131">
        <f>IF(G118&gt;0,(G117-G118),0)</f>
        <v>0</v>
      </c>
      <c r="H120" s="131">
        <f>IF(H118&gt;0,(H117-H118),0)</f>
        <v>0</v>
      </c>
      <c r="I120" s="131">
        <f t="shared" ref="I120:M120" si="54">IF(I118&gt;0,(I117-I118),0)</f>
        <v>0</v>
      </c>
      <c r="J120" s="131">
        <f t="shared" si="54"/>
        <v>0</v>
      </c>
      <c r="K120" s="131">
        <f t="shared" si="54"/>
        <v>0</v>
      </c>
      <c r="L120" s="131">
        <f>IF(L118&gt;0,(L117-L118),0)</f>
        <v>0</v>
      </c>
      <c r="M120" s="131">
        <f t="shared" si="54"/>
        <v>0</v>
      </c>
      <c r="N120" s="131">
        <f>IF(N118&gt;0,(N117-N118),0)</f>
        <v>0</v>
      </c>
      <c r="O120" s="131">
        <f>IF(O118&gt;0,(O117-O118),0)</f>
        <v>0</v>
      </c>
      <c r="R120" s="126"/>
    </row>
    <row r="121" spans="2:18">
      <c r="B121" s="129"/>
      <c r="C121" s="130"/>
      <c r="D121" s="129"/>
      <c r="E121" s="129"/>
      <c r="R121" s="126"/>
    </row>
    <row r="122" spans="2:18">
      <c r="K122" s="128"/>
      <c r="R122" s="126"/>
    </row>
    <row r="123" spans="2:18">
      <c r="R123" s="126"/>
    </row>
    <row r="124" spans="2:18">
      <c r="K124" s="127"/>
      <c r="R124" s="126"/>
    </row>
    <row r="125" spans="2:18">
      <c r="R125" s="126"/>
    </row>
    <row r="126" spans="2:18">
      <c r="R126" s="126"/>
    </row>
    <row r="127" spans="2:18">
      <c r="R127" s="126"/>
    </row>
    <row r="128" spans="2:18">
      <c r="R128" s="126"/>
    </row>
    <row r="129" spans="1:6">
      <c r="A129" s="125" t="s">
        <v>5765</v>
      </c>
      <c r="B129" s="125" t="s">
        <v>5766</v>
      </c>
    </row>
    <row r="130" spans="1:6">
      <c r="A130" s="125" t="s">
        <v>329</v>
      </c>
      <c r="B130" s="125" t="s">
        <v>5767</v>
      </c>
      <c r="C130" s="126"/>
    </row>
    <row r="131" spans="1:6">
      <c r="A131" s="125" t="s">
        <v>5768</v>
      </c>
      <c r="B131" s="125" t="s">
        <v>5769</v>
      </c>
      <c r="C131" s="899"/>
    </row>
    <row r="132" spans="1:6">
      <c r="A132" s="125" t="s">
        <v>5770</v>
      </c>
      <c r="B132" s="125" t="s">
        <v>5771</v>
      </c>
      <c r="C132" s="183"/>
      <c r="F132" s="127"/>
    </row>
    <row r="133" spans="1:6">
      <c r="C133" s="183"/>
      <c r="F133" s="128"/>
    </row>
    <row r="134" spans="1:6">
      <c r="A134" s="125" t="s">
        <v>328</v>
      </c>
      <c r="B134" s="125" t="s">
        <v>328</v>
      </c>
      <c r="C134" s="183"/>
      <c r="F134" s="127"/>
    </row>
    <row r="135" spans="1:6">
      <c r="A135" s="125" t="s">
        <v>5772</v>
      </c>
      <c r="B135" s="125" t="s">
        <v>5773</v>
      </c>
      <c r="C135" s="899"/>
    </row>
    <row r="136" spans="1:6">
      <c r="A136" s="125" t="s">
        <v>5774</v>
      </c>
      <c r="B136" s="125" t="s">
        <v>5775</v>
      </c>
      <c r="C136" s="183"/>
    </row>
    <row r="137" spans="1:6">
      <c r="C137" s="183"/>
    </row>
    <row r="138" spans="1:6">
      <c r="C138" s="899"/>
    </row>
    <row r="139" spans="1:6">
      <c r="C139" s="127"/>
    </row>
    <row r="140" spans="1:6">
      <c r="C140" s="183"/>
    </row>
    <row r="141" spans="1:6">
      <c r="C141" s="127"/>
    </row>
    <row r="142" spans="1:6">
      <c r="C142" s="128"/>
    </row>
  </sheetData>
  <autoFilter ref="A6:I7" xr:uid="{00000000-0009-0000-0000-00001A000000}"/>
  <mergeCells count="32">
    <mergeCell ref="B116:C116"/>
    <mergeCell ref="B117:C117"/>
    <mergeCell ref="A89:C89"/>
    <mergeCell ref="A97:C97"/>
    <mergeCell ref="A99:C99"/>
    <mergeCell ref="A103:C103"/>
    <mergeCell ref="A105:C105"/>
    <mergeCell ref="A107:C107"/>
    <mergeCell ref="A85:C85"/>
    <mergeCell ref="A47:C47"/>
    <mergeCell ref="A52:A53"/>
    <mergeCell ref="A55:C55"/>
    <mergeCell ref="A57:C57"/>
    <mergeCell ref="A58:C58"/>
    <mergeCell ref="A59:A72"/>
    <mergeCell ref="A74:C74"/>
    <mergeCell ref="A75:C75"/>
    <mergeCell ref="A77:A78"/>
    <mergeCell ref="A81:C81"/>
    <mergeCell ref="A83:C83"/>
    <mergeCell ref="A45:C45"/>
    <mergeCell ref="A6:A7"/>
    <mergeCell ref="A9:C9"/>
    <mergeCell ref="A11:C11"/>
    <mergeCell ref="A12:C12"/>
    <mergeCell ref="A13:A26"/>
    <mergeCell ref="A28:C28"/>
    <mergeCell ref="A29:C29"/>
    <mergeCell ref="A35:C35"/>
    <mergeCell ref="A38:C38"/>
    <mergeCell ref="A39:C39"/>
    <mergeCell ref="A41:C41"/>
  </mergeCells>
  <conditionalFormatting sqref="B101">
    <cfRule type="cellIs" dxfId="7" priority="4" operator="lessThan">
      <formula>0</formula>
    </cfRule>
  </conditionalFormatting>
  <conditionalFormatting sqref="M36">
    <cfRule type="cellIs" dxfId="6" priority="3" operator="lessThan">
      <formula>0</formula>
    </cfRule>
  </conditionalFormatting>
  <conditionalFormatting sqref="N36:O36">
    <cfRule type="cellIs" dxfId="5" priority="2" operator="lessThan">
      <formula>0</formula>
    </cfRule>
  </conditionalFormatting>
  <conditionalFormatting sqref="D36:L36">
    <cfRule type="cellIs" dxfId="4" priority="1" operator="lessThan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scale="52" fitToHeight="0" orientation="landscape" r:id="rId1"/>
  <rowBreaks count="1" manualBreakCount="1">
    <brk id="50" max="14" man="1"/>
  </rowBreaks>
  <colBreaks count="1" manualBreakCount="1">
    <brk id="11" max="108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460"/>
  <sheetViews>
    <sheetView topLeftCell="A432" zoomScale="78" zoomScaleNormal="78" workbookViewId="0">
      <selection activeCell="F469" sqref="F469"/>
    </sheetView>
  </sheetViews>
  <sheetFormatPr defaultColWidth="9.28515625" defaultRowHeight="18"/>
  <cols>
    <col min="1" max="1" width="20.28515625" style="348" customWidth="1"/>
    <col min="2" max="2" width="19.5703125" style="348" bestFit="1" customWidth="1"/>
    <col min="3" max="3" width="16.5703125" style="346" bestFit="1" customWidth="1"/>
    <col min="4" max="4" width="54.42578125" style="346" customWidth="1"/>
    <col min="5" max="5" width="18.28515625" style="346" customWidth="1"/>
    <col min="6" max="6" width="19.28515625" style="346" customWidth="1"/>
    <col min="7" max="7" width="18.7109375" style="346" customWidth="1"/>
    <col min="8" max="8" width="17" style="349" customWidth="1"/>
    <col min="9" max="9" width="18.85546875" style="346" customWidth="1"/>
    <col min="10" max="10" width="21.5703125" style="346" customWidth="1"/>
    <col min="11" max="11" width="17.7109375" style="908" customWidth="1"/>
    <col min="12" max="12" width="14.85546875" style="346" customWidth="1"/>
    <col min="13" max="13" width="13.28515625" style="346" customWidth="1"/>
    <col min="14" max="14" width="9.28515625" style="346"/>
    <col min="15" max="15" width="15" style="346" customWidth="1"/>
    <col min="16" max="16384" width="9.28515625" style="346"/>
  </cols>
  <sheetData>
    <row r="1" spans="1:15" customFormat="1" ht="14.45">
      <c r="A1" s="343" t="s">
        <v>541</v>
      </c>
      <c r="B1" s="343" t="s">
        <v>542</v>
      </c>
      <c r="C1" t="s">
        <v>543</v>
      </c>
      <c r="D1" s="344" t="s">
        <v>544</v>
      </c>
      <c r="E1" s="344" t="s">
        <v>545</v>
      </c>
      <c r="F1" s="344" t="s">
        <v>546</v>
      </c>
      <c r="G1" s="344" t="s">
        <v>547</v>
      </c>
      <c r="H1" s="344" t="s">
        <v>548</v>
      </c>
      <c r="K1" s="85"/>
    </row>
    <row r="2" spans="1:15" customFormat="1" ht="14.45">
      <c r="A2" s="343" t="s">
        <v>549</v>
      </c>
      <c r="B2" s="343"/>
      <c r="D2" s="344"/>
      <c r="E2" s="344">
        <f t="shared" ref="E2:K2" si="0">SUBTOTAL(9,E8:E1000)</f>
        <v>2.1886080503463745E-8</v>
      </c>
      <c r="F2" s="344">
        <f t="shared" si="0"/>
        <v>1916633365.789999</v>
      </c>
      <c r="G2" s="344">
        <f t="shared" si="0"/>
        <v>-1901952473.7199996</v>
      </c>
      <c r="H2" s="344">
        <f t="shared" si="0"/>
        <v>14680892.070000052</v>
      </c>
      <c r="I2" s="344">
        <f t="shared" si="0"/>
        <v>14680892.070000052</v>
      </c>
      <c r="J2" s="344">
        <f t="shared" si="0"/>
        <v>14680.892070000093</v>
      </c>
      <c r="K2" s="344">
        <f t="shared" si="0"/>
        <v>14692</v>
      </c>
    </row>
    <row r="3" spans="1:15" customFormat="1" ht="14.45">
      <c r="A3" s="343"/>
      <c r="B3" s="343"/>
      <c r="D3" s="344"/>
      <c r="E3" s="344"/>
      <c r="F3" s="344"/>
      <c r="G3" s="344"/>
      <c r="H3" s="344"/>
      <c r="K3" s="85"/>
    </row>
    <row r="4" spans="1:15" customFormat="1" ht="14.45">
      <c r="A4" s="343"/>
      <c r="B4" s="343"/>
      <c r="D4" s="344"/>
      <c r="E4" s="344"/>
      <c r="F4" s="344"/>
      <c r="G4" s="344"/>
      <c r="H4" s="344"/>
      <c r="K4" s="85"/>
    </row>
    <row r="5" spans="1:15" customFormat="1" ht="14.45">
      <c r="A5" s="343"/>
      <c r="B5" s="343"/>
      <c r="D5" s="344"/>
      <c r="E5" s="344"/>
      <c r="F5" s="344"/>
      <c r="G5" s="344"/>
      <c r="H5" s="344"/>
      <c r="K5" s="85"/>
    </row>
    <row r="6" spans="1:15" customFormat="1" ht="14.45">
      <c r="A6" s="343"/>
      <c r="B6" s="343"/>
      <c r="D6" s="344"/>
      <c r="E6" s="344"/>
      <c r="F6" s="344"/>
      <c r="G6" s="344"/>
      <c r="H6" s="344"/>
      <c r="K6" s="85"/>
    </row>
    <row r="7" spans="1:15" customFormat="1" ht="14.45">
      <c r="A7" s="343" t="s">
        <v>552</v>
      </c>
      <c r="B7" s="343" t="s">
        <v>552</v>
      </c>
      <c r="C7" s="343" t="s">
        <v>553</v>
      </c>
      <c r="D7" t="s">
        <v>213</v>
      </c>
      <c r="E7" s="344" t="s">
        <v>554</v>
      </c>
      <c r="F7" s="344" t="s">
        <v>555</v>
      </c>
      <c r="G7" s="344" t="s">
        <v>556</v>
      </c>
      <c r="H7" s="344" t="s">
        <v>557</v>
      </c>
      <c r="I7" s="344" t="s">
        <v>558</v>
      </c>
      <c r="J7" s="344" t="s">
        <v>5417</v>
      </c>
      <c r="K7" s="907" t="s">
        <v>5418</v>
      </c>
      <c r="L7" t="s">
        <v>1250</v>
      </c>
      <c r="M7" t="s">
        <v>47</v>
      </c>
      <c r="N7" t="s">
        <v>1461</v>
      </c>
      <c r="O7" t="s">
        <v>5419</v>
      </c>
    </row>
    <row r="8" spans="1:15">
      <c r="A8" s="343">
        <f t="shared" ref="A8:A71" si="1">B8</f>
        <v>1</v>
      </c>
      <c r="B8" s="343">
        <v>1</v>
      </c>
      <c r="C8" s="343">
        <v>1</v>
      </c>
      <c r="D8" s="94" t="s">
        <v>559</v>
      </c>
      <c r="E8" s="344">
        <v>82706096.079999998</v>
      </c>
      <c r="F8" s="344">
        <v>111319806.28</v>
      </c>
      <c r="G8" s="344">
        <v>-121720407.8</v>
      </c>
      <c r="H8" s="344">
        <v>-10400601.52</v>
      </c>
      <c r="I8" s="344">
        <v>72305494.560000002</v>
      </c>
      <c r="J8" s="345">
        <f t="shared" ref="J8" si="2">I8/1000</f>
        <v>72305.494560000006</v>
      </c>
      <c r="K8" s="908">
        <f t="shared" ref="K8" si="3">ROUND(J8,0)</f>
        <v>72305</v>
      </c>
      <c r="L8" s="346">
        <f>IFERROR(VLOOKUP(C8,'DE x PARA'!C2:K2168,7,FALSE),"SINTÉTICA")</f>
        <v>0</v>
      </c>
      <c r="M8" s="346">
        <f>IFERROR(VLOOKUP(B8,'DE x PARA'!B2:K2168,10,FALSE),"SINTÉTICA")</f>
        <v>0</v>
      </c>
      <c r="N8" s="346">
        <f>IFERROR(VLOOKUP(M8,'DE x PARA'!$K$2:$L$2168,2,FALSE),0)</f>
        <v>0</v>
      </c>
      <c r="O8" s="344">
        <f t="shared" ref="O8" si="4">+H8*N8</f>
        <v>0</v>
      </c>
    </row>
    <row r="9" spans="1:15">
      <c r="A9" s="343" t="str">
        <f t="shared" si="1"/>
        <v>1.1</v>
      </c>
      <c r="B9" s="343" t="s">
        <v>560</v>
      </c>
      <c r="C9" s="343">
        <v>11</v>
      </c>
      <c r="D9" s="94" t="s">
        <v>50</v>
      </c>
      <c r="E9" s="344">
        <v>54071108.609999999</v>
      </c>
      <c r="F9" s="344">
        <v>107204450.84999999</v>
      </c>
      <c r="G9" s="344">
        <v>-118523565.84</v>
      </c>
      <c r="H9" s="344">
        <v>-11319114.99</v>
      </c>
      <c r="I9" s="344">
        <v>42751993.619999997</v>
      </c>
      <c r="J9" s="345">
        <f t="shared" ref="J9:J72" si="5">I9/1000</f>
        <v>42751.993619999994</v>
      </c>
      <c r="K9" s="908">
        <f t="shared" ref="K9:K72" si="6">ROUND(J9,0)</f>
        <v>42752</v>
      </c>
      <c r="L9" s="346">
        <f>IFERROR(VLOOKUP(C9,'DE x PARA'!C3:K2169,7,FALSE),"SINTÉTICA")</f>
        <v>0</v>
      </c>
      <c r="M9" s="346">
        <f>IFERROR(VLOOKUP(B9,'DE x PARA'!B3:K2169,10,FALSE),"SINTÉTICA")</f>
        <v>0</v>
      </c>
      <c r="N9" s="346">
        <f>IFERROR(VLOOKUP(M9,'DE x PARA'!$K$2:$L$2168,2,FALSE),0)</f>
        <v>0</v>
      </c>
      <c r="O9" s="344">
        <f t="shared" ref="O9:O72" si="7">+H9*N9</f>
        <v>0</v>
      </c>
    </row>
    <row r="10" spans="1:15">
      <c r="A10" s="343" t="str">
        <f t="shared" si="1"/>
        <v>1.1.1</v>
      </c>
      <c r="B10" s="343" t="s">
        <v>561</v>
      </c>
      <c r="C10" s="343">
        <v>111</v>
      </c>
      <c r="D10" s="94" t="s">
        <v>562</v>
      </c>
      <c r="E10" s="344">
        <v>44516806.909999996</v>
      </c>
      <c r="F10" s="344">
        <v>88941805.769999996</v>
      </c>
      <c r="G10" s="344">
        <v>-100039735.37</v>
      </c>
      <c r="H10" s="344">
        <v>-11097929.6</v>
      </c>
      <c r="I10" s="344">
        <v>33418877.309999999</v>
      </c>
      <c r="J10" s="345">
        <f t="shared" si="5"/>
        <v>33418.877309999996</v>
      </c>
      <c r="K10" s="908">
        <f t="shared" si="6"/>
        <v>33419</v>
      </c>
      <c r="L10" s="346">
        <f>IFERROR(VLOOKUP(C10,'DE x PARA'!C4:K2170,7,FALSE),"SINTÉTICA")</f>
        <v>0</v>
      </c>
      <c r="M10" s="346">
        <f>IFERROR(VLOOKUP(B10,'DE x PARA'!B4:K2170,10,FALSE),"SINTÉTICA")</f>
        <v>0</v>
      </c>
      <c r="N10" s="346">
        <f>IFERROR(VLOOKUP(M10,'DE x PARA'!$K$2:$L$2168,2,FALSE),0)</f>
        <v>0</v>
      </c>
      <c r="O10" s="344">
        <f t="shared" si="7"/>
        <v>0</v>
      </c>
    </row>
    <row r="11" spans="1:15" customFormat="1">
      <c r="A11" s="343" t="str">
        <f t="shared" si="1"/>
        <v>1.1.1.02</v>
      </c>
      <c r="B11" s="343" t="s">
        <v>52</v>
      </c>
      <c r="C11" s="343">
        <v>1112</v>
      </c>
      <c r="D11" s="94" t="s">
        <v>563</v>
      </c>
      <c r="E11" s="344">
        <v>44516806.909999996</v>
      </c>
      <c r="F11" s="344">
        <v>88941805.769999996</v>
      </c>
      <c r="G11" s="344">
        <v>-100039735.37</v>
      </c>
      <c r="H11" s="344">
        <v>-11097929.6</v>
      </c>
      <c r="I11" s="344">
        <v>33418877.309999999</v>
      </c>
      <c r="J11" s="345">
        <f t="shared" si="5"/>
        <v>33418.877309999996</v>
      </c>
      <c r="K11" s="908">
        <f t="shared" si="6"/>
        <v>33419</v>
      </c>
      <c r="L11" s="346">
        <f>IFERROR(VLOOKUP(C11,'DE x PARA'!C5:K2171,7,FALSE),"SINTÉTICA")</f>
        <v>0</v>
      </c>
      <c r="M11" s="346">
        <f>IFERROR(VLOOKUP(B11,'DE x PARA'!B5:K2171,10,FALSE),"SINTÉTICA")</f>
        <v>0</v>
      </c>
      <c r="N11" s="346">
        <f>IFERROR(VLOOKUP(M11,'DE x PARA'!$K$2:$L$2168,2,FALSE),0)</f>
        <v>0</v>
      </c>
      <c r="O11" s="344">
        <f t="shared" si="7"/>
        <v>0</v>
      </c>
    </row>
    <row r="12" spans="1:15" customFormat="1">
      <c r="A12" s="343" t="str">
        <f t="shared" si="1"/>
        <v>1.1.1.02.0042</v>
      </c>
      <c r="B12" s="343" t="s">
        <v>564</v>
      </c>
      <c r="C12" s="343" t="s">
        <v>565</v>
      </c>
      <c r="D12" t="s">
        <v>566</v>
      </c>
      <c r="E12" s="344">
        <v>0</v>
      </c>
      <c r="F12" s="344">
        <v>24989795.789999999</v>
      </c>
      <c r="G12" s="344">
        <v>-24989795.789999999</v>
      </c>
      <c r="H12" s="344">
        <v>0</v>
      </c>
      <c r="I12" s="344">
        <v>0</v>
      </c>
      <c r="J12" s="345">
        <f t="shared" si="5"/>
        <v>0</v>
      </c>
      <c r="K12" s="908">
        <f t="shared" si="6"/>
        <v>0</v>
      </c>
      <c r="L12" s="346">
        <f>IFERROR(VLOOKUP(C12,'DE x PARA'!C6:K2172,7,FALSE),"SINTÉTICA")</f>
        <v>500001</v>
      </c>
      <c r="M12" s="346">
        <f>IFERROR(VLOOKUP(B12,'DE x PARA'!B6:K2172,10,FALSE),"SINTÉTICA")</f>
        <v>600030</v>
      </c>
      <c r="N12" s="346">
        <f>IFERROR(VLOOKUP(M12,'DE x PARA'!$K$2:$L$2168,2,FALSE),0)</f>
        <v>-1</v>
      </c>
      <c r="O12" s="344">
        <f t="shared" si="7"/>
        <v>0</v>
      </c>
    </row>
    <row r="13" spans="1:15" customFormat="1">
      <c r="A13" s="343" t="str">
        <f t="shared" si="1"/>
        <v>1.1.1.02.0043</v>
      </c>
      <c r="B13" s="343" t="s">
        <v>567</v>
      </c>
      <c r="C13" s="343" t="s">
        <v>568</v>
      </c>
      <c r="D13" s="94" t="s">
        <v>569</v>
      </c>
      <c r="E13" s="344">
        <v>7061430.6900000004</v>
      </c>
      <c r="F13" s="344">
        <v>58893055.840000004</v>
      </c>
      <c r="G13" s="344">
        <v>-52308196.869999997</v>
      </c>
      <c r="H13" s="344">
        <v>6584858.9699999997</v>
      </c>
      <c r="I13" s="344">
        <v>13646289.66</v>
      </c>
      <c r="J13" s="345">
        <f t="shared" si="5"/>
        <v>13646.28966</v>
      </c>
      <c r="K13" s="908">
        <f t="shared" si="6"/>
        <v>13646</v>
      </c>
      <c r="L13" s="346">
        <f>IFERROR(VLOOKUP(C13,'DE x PARA'!C7:K2173,7,FALSE),"SINTÉTICA")</f>
        <v>500001</v>
      </c>
      <c r="M13" s="346">
        <f>IFERROR(VLOOKUP(B13,'DE x PARA'!B7:K2173,10,FALSE),"SINTÉTICA")</f>
        <v>600030</v>
      </c>
      <c r="N13" s="346">
        <f>IFERROR(VLOOKUP(M13,'DE x PARA'!$K$2:$L$2168,2,FALSE),0)</f>
        <v>-1</v>
      </c>
      <c r="O13" s="344">
        <f t="shared" si="7"/>
        <v>-6584858.9699999997</v>
      </c>
    </row>
    <row r="14" spans="1:15">
      <c r="A14" s="343" t="str">
        <f t="shared" si="1"/>
        <v>1.1.1.02.0044</v>
      </c>
      <c r="B14" s="343" t="s">
        <v>570</v>
      </c>
      <c r="C14" s="343" t="s">
        <v>571</v>
      </c>
      <c r="D14" s="94" t="s">
        <v>572</v>
      </c>
      <c r="E14" s="344">
        <v>37455376.219999999</v>
      </c>
      <c r="F14" s="344">
        <v>5058954.1399999997</v>
      </c>
      <c r="G14" s="344">
        <v>-22741742.710000001</v>
      </c>
      <c r="H14" s="344">
        <v>-17682788.57</v>
      </c>
      <c r="I14" s="344">
        <v>19772587.649999999</v>
      </c>
      <c r="J14" s="345">
        <f t="shared" si="5"/>
        <v>19772.587649999998</v>
      </c>
      <c r="K14" s="908">
        <f t="shared" si="6"/>
        <v>19773</v>
      </c>
      <c r="L14" s="346">
        <f>IFERROR(VLOOKUP(C14,'DE x PARA'!C8:K2174,7,FALSE),"SINTÉTICA")</f>
        <v>500001</v>
      </c>
      <c r="M14" s="346">
        <f>IFERROR(VLOOKUP(B14,'DE x PARA'!B8:K2174,10,FALSE),"SINTÉTICA")</f>
        <v>600030</v>
      </c>
      <c r="N14" s="346">
        <f>IFERROR(VLOOKUP(M14,'DE x PARA'!$K$2:$L$2168,2,FALSE),0)</f>
        <v>-1</v>
      </c>
      <c r="O14" s="344">
        <f t="shared" si="7"/>
        <v>17682788.57</v>
      </c>
    </row>
    <row r="15" spans="1:15">
      <c r="A15" s="343" t="str">
        <f t="shared" si="1"/>
        <v>1.1.2</v>
      </c>
      <c r="B15" s="343" t="s">
        <v>573</v>
      </c>
      <c r="C15" s="343">
        <v>112</v>
      </c>
      <c r="D15" s="94" t="s">
        <v>574</v>
      </c>
      <c r="E15" s="344">
        <v>1743830.14</v>
      </c>
      <c r="F15" s="344">
        <v>14616077.609999999</v>
      </c>
      <c r="G15" s="344">
        <v>-11678354.380000001</v>
      </c>
      <c r="H15" s="344">
        <v>2937723.23</v>
      </c>
      <c r="I15" s="344">
        <v>4681553.37</v>
      </c>
      <c r="J15" s="345">
        <f t="shared" si="5"/>
        <v>4681.5533700000005</v>
      </c>
      <c r="K15" s="908">
        <f t="shared" si="6"/>
        <v>4682</v>
      </c>
      <c r="L15" s="346">
        <f>IFERROR(VLOOKUP(C15,'DE x PARA'!C9:K2175,7,FALSE),"SINTÉTICA")</f>
        <v>0</v>
      </c>
      <c r="M15" s="346">
        <f>IFERROR(VLOOKUP(B15,'DE x PARA'!B9:K2175,10,FALSE),"SINTÉTICA")</f>
        <v>0</v>
      </c>
      <c r="N15" s="346">
        <f>IFERROR(VLOOKUP(M15,'DE x PARA'!$K$2:$L$2168,2,FALSE),0)</f>
        <v>0</v>
      </c>
      <c r="O15" s="344">
        <f t="shared" si="7"/>
        <v>0</v>
      </c>
    </row>
    <row r="16" spans="1:15" customFormat="1">
      <c r="A16" s="343" t="str">
        <f t="shared" si="1"/>
        <v>1.1.2.03</v>
      </c>
      <c r="B16" s="343" t="s">
        <v>54</v>
      </c>
      <c r="C16" s="343">
        <v>1123</v>
      </c>
      <c r="D16" s="94" t="s">
        <v>575</v>
      </c>
      <c r="E16" s="344">
        <v>1109966.21</v>
      </c>
      <c r="F16" s="344">
        <v>371991.8</v>
      </c>
      <c r="G16" s="344">
        <v>-1219760.92</v>
      </c>
      <c r="H16" s="344">
        <v>-847769.12</v>
      </c>
      <c r="I16" s="344">
        <v>262197.09000000003</v>
      </c>
      <c r="J16" s="345">
        <f t="shared" si="5"/>
        <v>262.19709</v>
      </c>
      <c r="K16" s="908">
        <f t="shared" si="6"/>
        <v>262</v>
      </c>
      <c r="L16" s="346">
        <f>IFERROR(VLOOKUP(C16,'DE x PARA'!C10:K2176,7,FALSE),"SINTÉTICA")</f>
        <v>0</v>
      </c>
      <c r="M16" s="346">
        <f>IFERROR(VLOOKUP(B16,'DE x PARA'!B10:K2176,10,FALSE),"SINTÉTICA")</f>
        <v>0</v>
      </c>
      <c r="N16" s="346">
        <f>IFERROR(VLOOKUP(M16,'DE x PARA'!$K$2:$L$2168,2,FALSE),0)</f>
        <v>0</v>
      </c>
      <c r="O16" s="344">
        <f t="shared" si="7"/>
        <v>0</v>
      </c>
    </row>
    <row r="17" spans="1:15">
      <c r="A17" s="343" t="str">
        <f t="shared" si="1"/>
        <v>1.1.2.03.0009</v>
      </c>
      <c r="B17" s="343" t="s">
        <v>576</v>
      </c>
      <c r="C17" s="343">
        <v>11239</v>
      </c>
      <c r="D17" s="94" t="s">
        <v>217</v>
      </c>
      <c r="E17" s="344">
        <v>0</v>
      </c>
      <c r="F17" s="344">
        <v>83443.14</v>
      </c>
      <c r="G17" s="344">
        <v>-83443.14</v>
      </c>
      <c r="H17" s="344">
        <v>0</v>
      </c>
      <c r="I17" s="344">
        <v>0</v>
      </c>
      <c r="J17" s="345">
        <f t="shared" si="5"/>
        <v>0</v>
      </c>
      <c r="K17" s="908">
        <f t="shared" si="6"/>
        <v>0</v>
      </c>
      <c r="L17" s="346">
        <f>IFERROR(VLOOKUP(C17,'DE x PARA'!C11:K2177,7,FALSE),"SINTÉTICA")</f>
        <v>500001</v>
      </c>
      <c r="M17" s="346">
        <f>IFERROR(VLOOKUP(B17,'DE x PARA'!B11:K2177,10,FALSE),"SINTÉTICA")</f>
        <v>600014</v>
      </c>
      <c r="N17" s="346">
        <f>IFERROR(VLOOKUP(M17,'DE x PARA'!$K$2:$L$2168,2,FALSE),0)</f>
        <v>-1</v>
      </c>
      <c r="O17" s="344">
        <f t="shared" si="7"/>
        <v>0</v>
      </c>
    </row>
    <row r="18" spans="1:15" customFormat="1">
      <c r="A18" s="343" t="str">
        <f t="shared" si="1"/>
        <v>1.1.2.03.0010</v>
      </c>
      <c r="B18" s="343" t="s">
        <v>1411</v>
      </c>
      <c r="C18" s="343">
        <v>112310</v>
      </c>
      <c r="D18" s="94" t="s">
        <v>1412</v>
      </c>
      <c r="E18" s="344">
        <v>598.16</v>
      </c>
      <c r="F18" s="344">
        <v>34</v>
      </c>
      <c r="G18" s="344">
        <v>0</v>
      </c>
      <c r="H18" s="344">
        <v>34</v>
      </c>
      <c r="I18" s="344">
        <v>632.16</v>
      </c>
      <c r="J18" s="345">
        <f t="shared" si="5"/>
        <v>0.63215999999999994</v>
      </c>
      <c r="K18" s="908">
        <f t="shared" si="6"/>
        <v>1</v>
      </c>
      <c r="L18" s="346">
        <f>IFERROR(VLOOKUP(C18,'DE x PARA'!C12:K2178,7,FALSE),"SINTÉTICA")</f>
        <v>500001</v>
      </c>
      <c r="M18" s="346">
        <f>IFERROR(VLOOKUP(B18,'DE x PARA'!B12:K2178,10,FALSE),"SINTÉTICA")</f>
        <v>600014</v>
      </c>
      <c r="N18" s="346">
        <f>IFERROR(VLOOKUP(M18,'DE x PARA'!$K$2:$L$2168,2,FALSE),0)</f>
        <v>-1</v>
      </c>
      <c r="O18" s="344">
        <f t="shared" si="7"/>
        <v>-34</v>
      </c>
    </row>
    <row r="19" spans="1:15" customFormat="1">
      <c r="A19" s="343" t="str">
        <f t="shared" si="1"/>
        <v>1.1.2.03.0016</v>
      </c>
      <c r="B19" s="343" t="s">
        <v>577</v>
      </c>
      <c r="C19" s="343">
        <v>112316</v>
      </c>
      <c r="D19" s="94" t="s">
        <v>234</v>
      </c>
      <c r="E19" s="344">
        <v>178629.72</v>
      </c>
      <c r="F19" s="344">
        <v>0</v>
      </c>
      <c r="G19" s="344">
        <v>-178629.72</v>
      </c>
      <c r="H19" s="344">
        <v>-178629.72</v>
      </c>
      <c r="I19" s="344">
        <v>0</v>
      </c>
      <c r="J19" s="345">
        <f t="shared" si="5"/>
        <v>0</v>
      </c>
      <c r="K19" s="908">
        <f t="shared" si="6"/>
        <v>0</v>
      </c>
      <c r="L19" s="346">
        <f>IFERROR(VLOOKUP(C19,'DE x PARA'!C13:K2179,7,FALSE),"SINTÉTICA")</f>
        <v>500001</v>
      </c>
      <c r="M19" s="346">
        <f>IFERROR(VLOOKUP(B19,'DE x PARA'!B13:K2179,10,FALSE),"SINTÉTICA")</f>
        <v>600014</v>
      </c>
      <c r="N19" s="346">
        <f>IFERROR(VLOOKUP(M19,'DE x PARA'!$K$2:$L$2168,2,FALSE),0)</f>
        <v>-1</v>
      </c>
      <c r="O19" s="344">
        <f t="shared" si="7"/>
        <v>178629.72</v>
      </c>
    </row>
    <row r="20" spans="1:15" customFormat="1">
      <c r="A20" s="343" t="str">
        <f t="shared" si="1"/>
        <v>1.1.2.03.0017</v>
      </c>
      <c r="B20" s="343" t="s">
        <v>578</v>
      </c>
      <c r="C20" s="343">
        <v>112317</v>
      </c>
      <c r="D20" s="94" t="s">
        <v>235</v>
      </c>
      <c r="E20" s="344">
        <v>66625.72</v>
      </c>
      <c r="F20" s="344">
        <v>0</v>
      </c>
      <c r="G20" s="344">
        <v>-66625.72</v>
      </c>
      <c r="H20" s="344">
        <v>-66625.72</v>
      </c>
      <c r="I20" s="344">
        <v>0</v>
      </c>
      <c r="J20" s="345">
        <f t="shared" si="5"/>
        <v>0</v>
      </c>
      <c r="K20" s="908">
        <f t="shared" si="6"/>
        <v>0</v>
      </c>
      <c r="L20" s="346">
        <f>IFERROR(VLOOKUP(C20,'DE x PARA'!C14:K2180,7,FALSE),"SINTÉTICA")</f>
        <v>500001</v>
      </c>
      <c r="M20" s="346">
        <f>IFERROR(VLOOKUP(B20,'DE x PARA'!B14:K2180,10,FALSE),"SINTÉTICA")</f>
        <v>600014</v>
      </c>
      <c r="N20" s="346">
        <f>IFERROR(VLOOKUP(M20,'DE x PARA'!$K$2:$L$2168,2,FALSE),0)</f>
        <v>-1</v>
      </c>
      <c r="O20" s="344">
        <f t="shared" si="7"/>
        <v>66625.72</v>
      </c>
    </row>
    <row r="21" spans="1:15" customFormat="1">
      <c r="A21" s="343" t="str">
        <f t="shared" si="1"/>
        <v>1.1.2.03.0027</v>
      </c>
      <c r="B21" s="343" t="s">
        <v>581</v>
      </c>
      <c r="C21" s="343">
        <v>112327</v>
      </c>
      <c r="D21" s="94" t="s">
        <v>582</v>
      </c>
      <c r="E21" s="344">
        <v>0</v>
      </c>
      <c r="F21" s="344">
        <v>18115.939999999999</v>
      </c>
      <c r="G21" s="344">
        <v>-18115.939999999999</v>
      </c>
      <c r="H21" s="344">
        <v>0</v>
      </c>
      <c r="I21" s="344">
        <v>0</v>
      </c>
      <c r="J21" s="345">
        <f t="shared" si="5"/>
        <v>0</v>
      </c>
      <c r="K21" s="908">
        <f t="shared" si="6"/>
        <v>0</v>
      </c>
      <c r="L21" s="346">
        <f>IFERROR(VLOOKUP(C21,'DE x PARA'!C15:K2181,7,FALSE),"SINTÉTICA")</f>
        <v>500001</v>
      </c>
      <c r="M21" s="346">
        <f>IFERROR(VLOOKUP(B21,'DE x PARA'!B15:K2181,10,FALSE),"SINTÉTICA")</f>
        <v>600014</v>
      </c>
      <c r="N21" s="346">
        <f>IFERROR(VLOOKUP(M21,'DE x PARA'!$K$2:$L$2168,2,FALSE),0)</f>
        <v>-1</v>
      </c>
      <c r="O21" s="344">
        <f t="shared" si="7"/>
        <v>0</v>
      </c>
    </row>
    <row r="22" spans="1:15" customFormat="1">
      <c r="A22" s="343" t="str">
        <f t="shared" si="1"/>
        <v>1.1.2.03.0040</v>
      </c>
      <c r="B22" s="343" t="s">
        <v>5659</v>
      </c>
      <c r="C22" s="343">
        <v>112340</v>
      </c>
      <c r="D22" t="s">
        <v>1449</v>
      </c>
      <c r="E22" s="344">
        <v>645456.96</v>
      </c>
      <c r="F22" s="344">
        <v>6598.48</v>
      </c>
      <c r="G22" s="344">
        <v>-652055.43999999994</v>
      </c>
      <c r="H22" s="344">
        <v>-645456.96</v>
      </c>
      <c r="I22" s="344">
        <v>0</v>
      </c>
      <c r="J22" s="345">
        <f t="shared" si="5"/>
        <v>0</v>
      </c>
      <c r="K22" s="908">
        <f t="shared" si="6"/>
        <v>0</v>
      </c>
      <c r="L22" s="346" t="str">
        <f>IFERROR(VLOOKUP(C22,'DE x PARA'!C16:K2182,7,FALSE),"SINTÉTICA")</f>
        <v>SINTÉTICA</v>
      </c>
      <c r="M22" s="346" t="str">
        <f>IFERROR(VLOOKUP(B22,'DE x PARA'!B16:K2182,10,FALSE),"SINTÉTICA")</f>
        <v>SINTÉTICA</v>
      </c>
      <c r="N22" s="346">
        <f>IFERROR(VLOOKUP(M22,'DE x PARA'!$K$2:$L$2168,2,FALSE),0)</f>
        <v>0</v>
      </c>
      <c r="O22" s="344">
        <f t="shared" si="7"/>
        <v>0</v>
      </c>
    </row>
    <row r="23" spans="1:15" customFormat="1">
      <c r="A23" s="343" t="str">
        <f t="shared" si="1"/>
        <v>1.1.2.03.0041</v>
      </c>
      <c r="B23" s="343" t="s">
        <v>5661</v>
      </c>
      <c r="C23" s="343">
        <v>112341</v>
      </c>
      <c r="D23" s="94" t="s">
        <v>1452</v>
      </c>
      <c r="E23" s="344">
        <v>218655.65</v>
      </c>
      <c r="F23" s="344">
        <v>2235.31</v>
      </c>
      <c r="G23" s="344">
        <v>-220890.96</v>
      </c>
      <c r="H23" s="344">
        <v>-218655.65</v>
      </c>
      <c r="I23" s="344">
        <v>0</v>
      </c>
      <c r="J23" s="345">
        <f t="shared" si="5"/>
        <v>0</v>
      </c>
      <c r="K23" s="908">
        <f t="shared" si="6"/>
        <v>0</v>
      </c>
      <c r="L23" s="346" t="str">
        <f>IFERROR(VLOOKUP(C23,'DE x PARA'!C17:K2183,7,FALSE),"SINTÉTICA")</f>
        <v>SINTÉTICA</v>
      </c>
      <c r="M23" s="346" t="str">
        <f>IFERROR(VLOOKUP(B23,'DE x PARA'!B17:K2183,10,FALSE),"SINTÉTICA")</f>
        <v>SINTÉTICA</v>
      </c>
      <c r="N23" s="346">
        <f>IFERROR(VLOOKUP(M23,'DE x PARA'!$K$2:$L$2168,2,FALSE),0)</f>
        <v>0</v>
      </c>
      <c r="O23" s="344">
        <f t="shared" si="7"/>
        <v>0</v>
      </c>
    </row>
    <row r="24" spans="1:15" customFormat="1">
      <c r="A24" s="343" t="str">
        <f t="shared" si="1"/>
        <v>1.1.2.03.0042</v>
      </c>
      <c r="B24" s="343" t="s">
        <v>1419</v>
      </c>
      <c r="C24" s="343">
        <v>112342</v>
      </c>
      <c r="D24" s="94" t="s">
        <v>1420</v>
      </c>
      <c r="E24" s="344">
        <v>0</v>
      </c>
      <c r="F24" s="344">
        <v>190508.6</v>
      </c>
      <c r="G24" s="344">
        <v>0</v>
      </c>
      <c r="H24" s="344">
        <v>190508.6</v>
      </c>
      <c r="I24" s="344">
        <v>190508.6</v>
      </c>
      <c r="J24" s="345">
        <f t="shared" si="5"/>
        <v>190.5086</v>
      </c>
      <c r="K24" s="908">
        <f t="shared" si="6"/>
        <v>191</v>
      </c>
      <c r="L24" s="346" t="str">
        <f>IFERROR(VLOOKUP(C24,'DE x PARA'!C18:K2184,7,FALSE),"SINTÉTICA")</f>
        <v>SINTÉTICA</v>
      </c>
      <c r="M24" s="346" t="str">
        <f>IFERROR(VLOOKUP(B24,'DE x PARA'!B18:K2184,10,FALSE),"SINTÉTICA")</f>
        <v>SINTÉTICA</v>
      </c>
      <c r="N24" s="346">
        <f>IFERROR(VLOOKUP(M24,'DE x PARA'!$K$2:$L$2168,2,FALSE),0)</f>
        <v>0</v>
      </c>
      <c r="O24" s="344">
        <f t="shared" si="7"/>
        <v>0</v>
      </c>
    </row>
    <row r="25" spans="1:15" customFormat="1">
      <c r="A25" s="343" t="str">
        <f t="shared" si="1"/>
        <v>1.1.2.03.0043</v>
      </c>
      <c r="B25" s="343" t="s">
        <v>1422</v>
      </c>
      <c r="C25" s="343">
        <v>112343</v>
      </c>
      <c r="D25" s="94" t="s">
        <v>1423</v>
      </c>
      <c r="E25" s="344">
        <v>0</v>
      </c>
      <c r="F25" s="344">
        <v>71056.33</v>
      </c>
      <c r="G25" s="344">
        <v>0</v>
      </c>
      <c r="H25" s="344">
        <v>71056.33</v>
      </c>
      <c r="I25" s="344">
        <v>71056.33</v>
      </c>
      <c r="J25" s="345">
        <f t="shared" si="5"/>
        <v>71.056330000000003</v>
      </c>
      <c r="K25" s="908">
        <f t="shared" si="6"/>
        <v>71</v>
      </c>
      <c r="L25" s="346" t="str">
        <f>IFERROR(VLOOKUP(C25,'DE x PARA'!C19:K2185,7,FALSE),"SINTÉTICA")</f>
        <v>SINTÉTICA</v>
      </c>
      <c r="M25" s="346" t="str">
        <f>IFERROR(VLOOKUP(B25,'DE x PARA'!B19:K2185,10,FALSE),"SINTÉTICA")</f>
        <v>SINTÉTICA</v>
      </c>
      <c r="N25" s="346">
        <f>IFERROR(VLOOKUP(M25,'DE x PARA'!$K$2:$L$2168,2,FALSE),0)</f>
        <v>0</v>
      </c>
      <c r="O25" s="344">
        <f t="shared" si="7"/>
        <v>0</v>
      </c>
    </row>
    <row r="26" spans="1:15">
      <c r="A26" s="343" t="str">
        <f t="shared" si="1"/>
        <v>1.1.2.04</v>
      </c>
      <c r="B26" s="343" t="s">
        <v>56</v>
      </c>
      <c r="C26" s="343">
        <v>1124</v>
      </c>
      <c r="D26" s="94" t="s">
        <v>592</v>
      </c>
      <c r="E26" s="344">
        <v>633731.94999999995</v>
      </c>
      <c r="F26" s="344">
        <v>9455298.5999999996</v>
      </c>
      <c r="G26" s="344">
        <v>-5776742.9400000004</v>
      </c>
      <c r="H26" s="344">
        <v>3678555.66</v>
      </c>
      <c r="I26" s="344">
        <v>4312287.6100000003</v>
      </c>
      <c r="J26" s="345">
        <f t="shared" si="5"/>
        <v>4312.2876100000003</v>
      </c>
      <c r="K26" s="908">
        <f t="shared" si="6"/>
        <v>4312</v>
      </c>
      <c r="L26" s="346">
        <f>IFERROR(VLOOKUP(C26,'DE x PARA'!C20:K2186,7,FALSE),"SINTÉTICA")</f>
        <v>0</v>
      </c>
      <c r="M26" s="346">
        <f>IFERROR(VLOOKUP(B26,'DE x PARA'!B20:K2186,10,FALSE),"SINTÉTICA")</f>
        <v>0</v>
      </c>
      <c r="N26" s="346">
        <f>IFERROR(VLOOKUP(M26,'DE x PARA'!$K$2:$L$2168,2,FALSE),0)</f>
        <v>0</v>
      </c>
      <c r="O26" s="344">
        <f t="shared" si="7"/>
        <v>0</v>
      </c>
    </row>
    <row r="27" spans="1:15" customFormat="1">
      <c r="A27" s="343" t="str">
        <f t="shared" si="1"/>
        <v>1.1.2.04.0001</v>
      </c>
      <c r="B27" s="343" t="s">
        <v>593</v>
      </c>
      <c r="C27" s="343">
        <v>11241</v>
      </c>
      <c r="D27" s="94" t="s">
        <v>594</v>
      </c>
      <c r="E27" s="344">
        <v>633731.94999999995</v>
      </c>
      <c r="F27" s="344">
        <v>4731640.29</v>
      </c>
      <c r="G27" s="344">
        <v>-4917563.41</v>
      </c>
      <c r="H27" s="344">
        <v>-185923.12</v>
      </c>
      <c r="I27" s="344">
        <v>447808.83</v>
      </c>
      <c r="J27" s="345">
        <f t="shared" si="5"/>
        <v>447.80883</v>
      </c>
      <c r="K27" s="908">
        <f t="shared" si="6"/>
        <v>448</v>
      </c>
      <c r="L27" s="346">
        <f>IFERROR(VLOOKUP(C27,'DE x PARA'!C21:K2187,7,FALSE),"SINTÉTICA")</f>
        <v>500001</v>
      </c>
      <c r="M27" s="346">
        <f>IFERROR(VLOOKUP(B27,'DE x PARA'!B21:K2187,10,FALSE),"SINTÉTICA")</f>
        <v>600011</v>
      </c>
      <c r="N27" s="346">
        <f>IFERROR(VLOOKUP(M27,'DE x PARA'!$K$2:$L$2168,2,FALSE),0)</f>
        <v>-1</v>
      </c>
      <c r="O27" s="344">
        <f t="shared" si="7"/>
        <v>185923.12</v>
      </c>
    </row>
    <row r="28" spans="1:15" customFormat="1">
      <c r="A28" s="343" t="str">
        <f t="shared" si="1"/>
        <v>1.1.2.04.0002</v>
      </c>
      <c r="B28" s="343" t="s">
        <v>595</v>
      </c>
      <c r="C28" s="343">
        <v>11242</v>
      </c>
      <c r="D28" t="s">
        <v>596</v>
      </c>
      <c r="E28" s="344">
        <v>0</v>
      </c>
      <c r="F28" s="344">
        <v>3878293.72</v>
      </c>
      <c r="G28" s="344">
        <v>-13814.94</v>
      </c>
      <c r="H28" s="344">
        <v>3864478.78</v>
      </c>
      <c r="I28" s="344">
        <v>3864478.78</v>
      </c>
      <c r="J28" s="345">
        <f t="shared" si="5"/>
        <v>3864.4787799999999</v>
      </c>
      <c r="K28" s="908">
        <f t="shared" si="6"/>
        <v>3864</v>
      </c>
      <c r="L28" s="346">
        <f>IFERROR(VLOOKUP(C28,'DE x PARA'!C22:K2188,7,FALSE),"SINTÉTICA")</f>
        <v>500001</v>
      </c>
      <c r="M28" s="346">
        <f>IFERROR(VLOOKUP(B28,'DE x PARA'!B22:K2188,10,FALSE),"SINTÉTICA")</f>
        <v>600011</v>
      </c>
      <c r="N28" s="346">
        <f>IFERROR(VLOOKUP(M28,'DE x PARA'!$K$2:$L$2168,2,FALSE),0)</f>
        <v>-1</v>
      </c>
      <c r="O28" s="344">
        <f t="shared" si="7"/>
        <v>-3864478.78</v>
      </c>
    </row>
    <row r="29" spans="1:15" customFormat="1">
      <c r="A29" s="343" t="str">
        <f t="shared" si="1"/>
        <v>1.1.2.04.0024</v>
      </c>
      <c r="B29" s="343" t="s">
        <v>597</v>
      </c>
      <c r="C29" s="343">
        <v>112424</v>
      </c>
      <c r="D29" t="s">
        <v>598</v>
      </c>
      <c r="E29" s="344">
        <v>0</v>
      </c>
      <c r="F29" s="344">
        <v>630882.82999999996</v>
      </c>
      <c r="G29" s="344">
        <v>-630882.82999999996</v>
      </c>
      <c r="H29" s="344">
        <v>0</v>
      </c>
      <c r="I29" s="344">
        <v>0</v>
      </c>
      <c r="J29" s="345">
        <f t="shared" si="5"/>
        <v>0</v>
      </c>
      <c r="K29" s="908">
        <f t="shared" si="6"/>
        <v>0</v>
      </c>
      <c r="L29" s="346">
        <f>IFERROR(VLOOKUP(C29,'DE x PARA'!C23:K2189,7,FALSE),"SINTÉTICA")</f>
        <v>500001</v>
      </c>
      <c r="M29" s="346">
        <f>IFERROR(VLOOKUP(B29,'DE x PARA'!B23:K2189,10,FALSE),"SINTÉTICA")</f>
        <v>600011</v>
      </c>
      <c r="N29" s="346">
        <f>IFERROR(VLOOKUP(M29,'DE x PARA'!$K$2:$L$2168,2,FALSE),0)</f>
        <v>-1</v>
      </c>
      <c r="O29" s="344">
        <f t="shared" si="7"/>
        <v>0</v>
      </c>
    </row>
    <row r="30" spans="1:15" customFormat="1">
      <c r="A30" s="343" t="str">
        <f t="shared" si="1"/>
        <v>1.1.2.04.0025</v>
      </c>
      <c r="B30" s="343" t="s">
        <v>599</v>
      </c>
      <c r="C30" s="343">
        <v>112425</v>
      </c>
      <c r="D30" s="94" t="s">
        <v>458</v>
      </c>
      <c r="E30" s="344">
        <v>0</v>
      </c>
      <c r="F30" s="344">
        <v>102979.37</v>
      </c>
      <c r="G30" s="344">
        <v>-102979.37</v>
      </c>
      <c r="H30" s="344">
        <v>0</v>
      </c>
      <c r="I30" s="344">
        <v>0</v>
      </c>
      <c r="J30" s="345">
        <f t="shared" si="5"/>
        <v>0</v>
      </c>
      <c r="K30" s="908">
        <f t="shared" si="6"/>
        <v>0</v>
      </c>
      <c r="L30" s="346">
        <f>IFERROR(VLOOKUP(C30,'DE x PARA'!C24:K2190,7,FALSE),"SINTÉTICA")</f>
        <v>500001</v>
      </c>
      <c r="M30" s="346">
        <f>IFERROR(VLOOKUP(B30,'DE x PARA'!B24:K2190,10,FALSE),"SINTÉTICA")</f>
        <v>600011</v>
      </c>
      <c r="N30" s="346">
        <f>IFERROR(VLOOKUP(M30,'DE x PARA'!$K$2:$L$2168,2,FALSE),0)</f>
        <v>-1</v>
      </c>
      <c r="O30" s="344">
        <f t="shared" si="7"/>
        <v>0</v>
      </c>
    </row>
    <row r="31" spans="1:15" customFormat="1">
      <c r="A31" s="343" t="str">
        <f t="shared" si="1"/>
        <v>1.1.2.04.0999</v>
      </c>
      <c r="B31" s="343" t="s">
        <v>1549</v>
      </c>
      <c r="C31" s="343">
        <v>1124999</v>
      </c>
      <c r="D31" s="94" t="s">
        <v>1550</v>
      </c>
      <c r="E31" s="344">
        <v>0</v>
      </c>
      <c r="F31" s="344">
        <v>111502.39</v>
      </c>
      <c r="G31" s="344">
        <v>-111502.39</v>
      </c>
      <c r="H31" s="344">
        <v>0</v>
      </c>
      <c r="I31" s="344">
        <v>0</v>
      </c>
      <c r="J31" s="345">
        <f t="shared" si="5"/>
        <v>0</v>
      </c>
      <c r="K31" s="908">
        <f t="shared" si="6"/>
        <v>0</v>
      </c>
      <c r="L31" s="346">
        <f>IFERROR(VLOOKUP(C31,'DE x PARA'!C25:K2191,7,FALSE),"SINTÉTICA")</f>
        <v>500001</v>
      </c>
      <c r="M31" s="346">
        <f>IFERROR(VLOOKUP(B31,'DE x PARA'!B25:K2191,10,FALSE),"SINTÉTICA")</f>
        <v>600011</v>
      </c>
      <c r="N31" s="346">
        <f>IFERROR(VLOOKUP(M31,'DE x PARA'!$K$2:$L$2168,2,FALSE),0)</f>
        <v>-1</v>
      </c>
      <c r="O31" s="344">
        <f t="shared" si="7"/>
        <v>0</v>
      </c>
    </row>
    <row r="32" spans="1:15" customFormat="1">
      <c r="A32" s="343" t="str">
        <f t="shared" si="1"/>
        <v>1.1.2.09</v>
      </c>
      <c r="B32" s="343" t="s">
        <v>604</v>
      </c>
      <c r="C32" s="343">
        <v>1129</v>
      </c>
      <c r="D32" t="s">
        <v>144</v>
      </c>
      <c r="E32" s="344">
        <v>0</v>
      </c>
      <c r="F32" s="344">
        <v>3928644.42</v>
      </c>
      <c r="G32" s="344">
        <v>-3928644.42</v>
      </c>
      <c r="H32" s="344">
        <v>0</v>
      </c>
      <c r="I32" s="344">
        <v>0</v>
      </c>
      <c r="J32" s="345">
        <f t="shared" si="5"/>
        <v>0</v>
      </c>
      <c r="K32" s="908">
        <f t="shared" si="6"/>
        <v>0</v>
      </c>
      <c r="L32" s="346">
        <f>IFERROR(VLOOKUP(C32,'DE x PARA'!C26:K2192,7,FALSE),"SINTÉTICA")</f>
        <v>0</v>
      </c>
      <c r="M32" s="346">
        <f>IFERROR(VLOOKUP(B32,'DE x PARA'!B26:K2192,10,FALSE),"SINTÉTICA")</f>
        <v>0</v>
      </c>
      <c r="N32" s="346">
        <f>IFERROR(VLOOKUP(M32,'DE x PARA'!$K$2:$L$2168,2,FALSE),0)</f>
        <v>0</v>
      </c>
      <c r="O32" s="344">
        <f t="shared" si="7"/>
        <v>0</v>
      </c>
    </row>
    <row r="33" spans="1:15" customFormat="1">
      <c r="A33" s="343" t="str">
        <f t="shared" si="1"/>
        <v>1.1.2.09.0001</v>
      </c>
      <c r="B33" s="343" t="s">
        <v>605</v>
      </c>
      <c r="C33" s="343">
        <v>11291</v>
      </c>
      <c r="D33" t="s">
        <v>606</v>
      </c>
      <c r="E33" s="344">
        <v>0</v>
      </c>
      <c r="F33" s="344">
        <v>3928644.42</v>
      </c>
      <c r="G33" s="344">
        <v>-3928644.42</v>
      </c>
      <c r="H33" s="344">
        <v>0</v>
      </c>
      <c r="I33" s="344">
        <v>0</v>
      </c>
      <c r="J33" s="345">
        <f t="shared" si="5"/>
        <v>0</v>
      </c>
      <c r="K33" s="908">
        <f t="shared" si="6"/>
        <v>0</v>
      </c>
      <c r="L33" s="346">
        <f>IFERROR(VLOOKUP(C33,'DE x PARA'!C27:K2193,7,FALSE),"SINTÉTICA")</f>
        <v>500001</v>
      </c>
      <c r="M33" s="346">
        <f>IFERROR(VLOOKUP(B33,'DE x PARA'!B27:K2193,10,FALSE),"SINTÉTICA")</f>
        <v>600010</v>
      </c>
      <c r="N33" s="346">
        <f>IFERROR(VLOOKUP(M33,'DE x PARA'!$K$2:$L$2168,2,FALSE),0)</f>
        <v>-1</v>
      </c>
      <c r="O33" s="344">
        <f t="shared" si="7"/>
        <v>0</v>
      </c>
    </row>
    <row r="34" spans="1:15" customFormat="1">
      <c r="A34" s="343" t="str">
        <f t="shared" si="1"/>
        <v>1.1.2.99</v>
      </c>
      <c r="B34" s="343" t="s">
        <v>607</v>
      </c>
      <c r="C34" s="343">
        <v>11299</v>
      </c>
      <c r="D34" t="s">
        <v>608</v>
      </c>
      <c r="E34" s="344">
        <v>131.97999999999999</v>
      </c>
      <c r="F34" s="344">
        <v>860142.79</v>
      </c>
      <c r="G34" s="344">
        <v>-753206.1</v>
      </c>
      <c r="H34" s="344">
        <v>106936.69</v>
      </c>
      <c r="I34" s="344">
        <v>107068.67</v>
      </c>
      <c r="J34" s="345">
        <f t="shared" si="5"/>
        <v>107.06867</v>
      </c>
      <c r="K34" s="908">
        <f t="shared" si="6"/>
        <v>107</v>
      </c>
      <c r="L34" s="346">
        <f>IFERROR(VLOOKUP(C34,'DE x PARA'!C28:K2194,7,FALSE),"SINTÉTICA")</f>
        <v>0</v>
      </c>
      <c r="M34" s="346">
        <f>IFERROR(VLOOKUP(B34,'DE x PARA'!B28:K2194,10,FALSE),"SINTÉTICA")</f>
        <v>0</v>
      </c>
      <c r="N34" s="346">
        <f>IFERROR(VLOOKUP(M34,'DE x PARA'!$K$2:$L$2168,2,FALSE),0)</f>
        <v>0</v>
      </c>
      <c r="O34" s="344">
        <f t="shared" si="7"/>
        <v>0</v>
      </c>
    </row>
    <row r="35" spans="1:15">
      <c r="A35" s="343" t="str">
        <f t="shared" si="1"/>
        <v>1.1.2.99.0005</v>
      </c>
      <c r="B35" s="343" t="s">
        <v>609</v>
      </c>
      <c r="C35" s="343">
        <v>112995</v>
      </c>
      <c r="D35" t="s">
        <v>610</v>
      </c>
      <c r="E35" s="344">
        <v>0</v>
      </c>
      <c r="F35" s="344">
        <v>860142.79</v>
      </c>
      <c r="G35" s="344">
        <v>-753206.1</v>
      </c>
      <c r="H35" s="344">
        <v>106936.69</v>
      </c>
      <c r="I35" s="344">
        <v>106936.69</v>
      </c>
      <c r="J35" s="345">
        <f t="shared" si="5"/>
        <v>106.93669</v>
      </c>
      <c r="K35" s="908">
        <f t="shared" si="6"/>
        <v>107</v>
      </c>
      <c r="L35" s="346">
        <f>IFERROR(VLOOKUP(C35,'DE x PARA'!C29:K2195,7,FALSE),"SINTÉTICA")</f>
        <v>500001</v>
      </c>
      <c r="M35" s="346">
        <f>IFERROR(VLOOKUP(B35,'DE x PARA'!B29:K2195,10,FALSE),"SINTÉTICA")</f>
        <v>600016</v>
      </c>
      <c r="N35" s="346">
        <f>IFERROR(VLOOKUP(M35,'DE x PARA'!$K$2:$L$2168,2,FALSE),0)</f>
        <v>-1</v>
      </c>
      <c r="O35" s="344">
        <f t="shared" si="7"/>
        <v>-106936.69</v>
      </c>
    </row>
    <row r="36" spans="1:15" customFormat="1">
      <c r="A36" s="343" t="str">
        <f t="shared" si="1"/>
        <v>1.1.2.99.0999</v>
      </c>
      <c r="B36" s="343" t="s">
        <v>611</v>
      </c>
      <c r="C36" s="343">
        <v>11299999</v>
      </c>
      <c r="D36" t="s">
        <v>612</v>
      </c>
      <c r="E36" s="344">
        <v>131.97999999999999</v>
      </c>
      <c r="F36" s="344">
        <v>0</v>
      </c>
      <c r="G36" s="344">
        <v>0</v>
      </c>
      <c r="H36" s="344">
        <v>0</v>
      </c>
      <c r="I36" s="344">
        <v>131.97999999999999</v>
      </c>
      <c r="J36" s="345">
        <f t="shared" si="5"/>
        <v>0.13197999999999999</v>
      </c>
      <c r="K36" s="908">
        <f t="shared" si="6"/>
        <v>0</v>
      </c>
      <c r="L36" s="346">
        <f>IFERROR(VLOOKUP(C36,'DE x PARA'!C30:K2196,7,FALSE),"SINTÉTICA")</f>
        <v>500001</v>
      </c>
      <c r="M36" s="346">
        <f>IFERROR(VLOOKUP(B36,'DE x PARA'!B30:K2196,10,FALSE),"SINTÉTICA")</f>
        <v>600016</v>
      </c>
      <c r="N36" s="346">
        <f>IFERROR(VLOOKUP(M36,'DE x PARA'!$K$2:$L$2168,2,FALSE),0)</f>
        <v>-1</v>
      </c>
      <c r="O36" s="344">
        <f t="shared" si="7"/>
        <v>0</v>
      </c>
    </row>
    <row r="37" spans="1:15" customFormat="1">
      <c r="A37" s="343" t="str">
        <f t="shared" si="1"/>
        <v>1.1.3</v>
      </c>
      <c r="B37" s="343" t="s">
        <v>58</v>
      </c>
      <c r="C37" s="343">
        <v>113</v>
      </c>
      <c r="D37" t="s">
        <v>176</v>
      </c>
      <c r="E37" s="344">
        <v>7810471.5599999996</v>
      </c>
      <c r="F37" s="344">
        <v>3646567.47</v>
      </c>
      <c r="G37" s="344">
        <v>-6805476.0899999999</v>
      </c>
      <c r="H37" s="344">
        <v>-3158908.62</v>
      </c>
      <c r="I37" s="344">
        <v>4651562.9400000004</v>
      </c>
      <c r="J37" s="345">
        <f t="shared" si="5"/>
        <v>4651.5629400000007</v>
      </c>
      <c r="K37" s="908">
        <f t="shared" si="6"/>
        <v>4652</v>
      </c>
      <c r="L37" s="346">
        <f>IFERROR(VLOOKUP(C37,'DE x PARA'!C31:K2197,7,FALSE),"SINTÉTICA")</f>
        <v>0</v>
      </c>
      <c r="M37" s="346">
        <f>IFERROR(VLOOKUP(B37,'DE x PARA'!B31:K2197,10,FALSE),"SINTÉTICA")</f>
        <v>0</v>
      </c>
      <c r="N37" s="346">
        <f>IFERROR(VLOOKUP(M37,'DE x PARA'!$K$2:$L$2168,2,FALSE),0)</f>
        <v>0</v>
      </c>
      <c r="O37" s="344">
        <f t="shared" si="7"/>
        <v>0</v>
      </c>
    </row>
    <row r="38" spans="1:15" customFormat="1">
      <c r="A38" s="343" t="str">
        <f t="shared" si="1"/>
        <v>1.1.3.01</v>
      </c>
      <c r="B38" s="343" t="s">
        <v>613</v>
      </c>
      <c r="C38" s="343">
        <v>1131</v>
      </c>
      <c r="D38" t="s">
        <v>176</v>
      </c>
      <c r="E38" s="344">
        <v>7810471.5599999996</v>
      </c>
      <c r="F38" s="344">
        <v>3646567.47</v>
      </c>
      <c r="G38" s="344">
        <v>-6805476.0899999999</v>
      </c>
      <c r="H38" s="344">
        <v>-3158908.62</v>
      </c>
      <c r="I38" s="344">
        <v>4651562.9400000004</v>
      </c>
      <c r="J38" s="345">
        <f t="shared" si="5"/>
        <v>4651.5629400000007</v>
      </c>
      <c r="K38" s="908">
        <f t="shared" si="6"/>
        <v>4652</v>
      </c>
      <c r="L38" s="346">
        <f>IFERROR(VLOOKUP(C38,'DE x PARA'!C32:K2198,7,FALSE),"SINTÉTICA")</f>
        <v>0</v>
      </c>
      <c r="M38" s="346">
        <f>IFERROR(VLOOKUP(B38,'DE x PARA'!B32:K2198,10,FALSE),"SINTÉTICA")</f>
        <v>0</v>
      </c>
      <c r="N38" s="346">
        <f>IFERROR(VLOOKUP(M38,'DE x PARA'!$K$2:$L$2168,2,FALSE),0)</f>
        <v>0</v>
      </c>
      <c r="O38" s="344">
        <f t="shared" si="7"/>
        <v>0</v>
      </c>
    </row>
    <row r="39" spans="1:15" customFormat="1">
      <c r="A39" s="343" t="str">
        <f t="shared" si="1"/>
        <v>1.1.3.01.0001</v>
      </c>
      <c r="B39" s="343" t="s">
        <v>614</v>
      </c>
      <c r="C39" s="343">
        <v>11311</v>
      </c>
      <c r="D39" t="s">
        <v>615</v>
      </c>
      <c r="E39" s="344">
        <v>51835.62</v>
      </c>
      <c r="F39" s="344">
        <v>0</v>
      </c>
      <c r="G39" s="344">
        <v>-27273.98</v>
      </c>
      <c r="H39" s="344">
        <v>-27273.98</v>
      </c>
      <c r="I39" s="344">
        <v>24561.64</v>
      </c>
      <c r="J39" s="345">
        <f t="shared" si="5"/>
        <v>24.561640000000001</v>
      </c>
      <c r="K39" s="908">
        <f t="shared" si="6"/>
        <v>25</v>
      </c>
      <c r="L39" s="346">
        <f>IFERROR(VLOOKUP(C39,'DE x PARA'!C33:K2199,7,FALSE),"SINTÉTICA")</f>
        <v>500001</v>
      </c>
      <c r="M39" s="346">
        <f>IFERROR(VLOOKUP(B39,'DE x PARA'!B33:K2199,10,FALSE),"SINTÉTICA")</f>
        <v>600012</v>
      </c>
      <c r="N39" s="346">
        <f>IFERROR(VLOOKUP(M39,'DE x PARA'!$K$2:$L$2168,2,FALSE),0)</f>
        <v>-1</v>
      </c>
      <c r="O39" s="344">
        <f t="shared" si="7"/>
        <v>27273.98</v>
      </c>
    </row>
    <row r="40" spans="1:15" customFormat="1">
      <c r="A40" s="343" t="str">
        <f t="shared" si="1"/>
        <v>1.1.3.01.0002</v>
      </c>
      <c r="B40" s="343" t="s">
        <v>616</v>
      </c>
      <c r="C40" s="343">
        <v>11312</v>
      </c>
      <c r="D40" s="94" t="s">
        <v>617</v>
      </c>
      <c r="E40" s="344">
        <v>3176189.69</v>
      </c>
      <c r="F40" s="344">
        <v>370413.44</v>
      </c>
      <c r="G40" s="344">
        <v>-2020527.26</v>
      </c>
      <c r="H40" s="344">
        <v>-1650113.82</v>
      </c>
      <c r="I40" s="344">
        <v>1526075.87</v>
      </c>
      <c r="J40" s="345">
        <f t="shared" si="5"/>
        <v>1526.0758700000001</v>
      </c>
      <c r="K40" s="908">
        <f t="shared" si="6"/>
        <v>1526</v>
      </c>
      <c r="L40" s="346">
        <f>IFERROR(VLOOKUP(C40,'DE x PARA'!C34:K2200,7,FALSE),"SINTÉTICA")</f>
        <v>500001</v>
      </c>
      <c r="M40" s="346">
        <f>IFERROR(VLOOKUP(B40,'DE x PARA'!B34:K2200,10,FALSE),"SINTÉTICA")</f>
        <v>600012</v>
      </c>
      <c r="N40" s="346">
        <f>IFERROR(VLOOKUP(M40,'DE x PARA'!$K$2:$L$2168,2,FALSE),0)</f>
        <v>-1</v>
      </c>
      <c r="O40" s="344">
        <f t="shared" si="7"/>
        <v>1650113.82</v>
      </c>
    </row>
    <row r="41" spans="1:15" customFormat="1">
      <c r="A41" s="343" t="str">
        <f t="shared" si="1"/>
        <v>1.1.3.01.0003</v>
      </c>
      <c r="B41" s="343" t="s">
        <v>618</v>
      </c>
      <c r="C41" s="343">
        <v>11313</v>
      </c>
      <c r="D41" s="94" t="s">
        <v>619</v>
      </c>
      <c r="E41" s="344">
        <v>133795.22</v>
      </c>
      <c r="F41" s="344">
        <v>2349.1</v>
      </c>
      <c r="G41" s="344">
        <v>-77359.64</v>
      </c>
      <c r="H41" s="344">
        <v>-75010.539999999994</v>
      </c>
      <c r="I41" s="344">
        <v>58784.68</v>
      </c>
      <c r="J41" s="345">
        <f t="shared" si="5"/>
        <v>58.784680000000002</v>
      </c>
      <c r="K41" s="908">
        <f t="shared" si="6"/>
        <v>59</v>
      </c>
      <c r="L41" s="346">
        <f>IFERROR(VLOOKUP(C41,'DE x PARA'!C35:K2201,7,FALSE),"SINTÉTICA")</f>
        <v>500001</v>
      </c>
      <c r="M41" s="346">
        <f>IFERROR(VLOOKUP(B41,'DE x PARA'!B35:K2201,10,FALSE),"SINTÉTICA")</f>
        <v>600012</v>
      </c>
      <c r="N41" s="346">
        <f>IFERROR(VLOOKUP(M41,'DE x PARA'!$K$2:$L$2168,2,FALSE),0)</f>
        <v>-1</v>
      </c>
      <c r="O41" s="344">
        <f t="shared" si="7"/>
        <v>75010.539999999994</v>
      </c>
    </row>
    <row r="42" spans="1:15" customFormat="1">
      <c r="A42" s="343" t="str">
        <f t="shared" si="1"/>
        <v>1.1.3.01.0005</v>
      </c>
      <c r="B42" s="343" t="s">
        <v>620</v>
      </c>
      <c r="C42" s="343">
        <v>11315</v>
      </c>
      <c r="D42" s="94" t="s">
        <v>621</v>
      </c>
      <c r="E42" s="344">
        <v>0</v>
      </c>
      <c r="F42" s="344">
        <v>486979.62</v>
      </c>
      <c r="G42" s="344">
        <v>-241488.53</v>
      </c>
      <c r="H42" s="344">
        <v>245491.09</v>
      </c>
      <c r="I42" s="344">
        <v>245491.09</v>
      </c>
      <c r="J42" s="345">
        <f t="shared" si="5"/>
        <v>245.49108999999999</v>
      </c>
      <c r="K42" s="908">
        <f t="shared" si="6"/>
        <v>245</v>
      </c>
      <c r="L42" s="346">
        <f>IFERROR(VLOOKUP(C42,'DE x PARA'!C36:K2202,7,FALSE),"SINTÉTICA")</f>
        <v>500001</v>
      </c>
      <c r="M42" s="346">
        <f>IFERROR(VLOOKUP(B42,'DE x PARA'!B36:K2202,10,FALSE),"SINTÉTICA")</f>
        <v>600012</v>
      </c>
      <c r="N42" s="346">
        <f>IFERROR(VLOOKUP(M42,'DE x PARA'!$K$2:$L$2168,2,FALSE),0)</f>
        <v>-1</v>
      </c>
      <c r="O42" s="344">
        <f t="shared" si="7"/>
        <v>-245491.09</v>
      </c>
    </row>
    <row r="43" spans="1:15" customFormat="1">
      <c r="A43" s="343" t="str">
        <f t="shared" si="1"/>
        <v>1.1.3.01.0006</v>
      </c>
      <c r="B43" s="343" t="s">
        <v>622</v>
      </c>
      <c r="C43" s="343">
        <v>11316</v>
      </c>
      <c r="D43" s="94" t="s">
        <v>406</v>
      </c>
      <c r="E43" s="344">
        <v>4448651.03</v>
      </c>
      <c r="F43" s="344">
        <v>2786825.31</v>
      </c>
      <c r="G43" s="344">
        <v>-4438826.68</v>
      </c>
      <c r="H43" s="344">
        <v>-1652001.37</v>
      </c>
      <c r="I43" s="344">
        <v>2796649.66</v>
      </c>
      <c r="J43" s="345">
        <f t="shared" si="5"/>
        <v>2796.64966</v>
      </c>
      <c r="K43" s="908">
        <f t="shared" si="6"/>
        <v>2797</v>
      </c>
      <c r="L43" s="346">
        <f>IFERROR(VLOOKUP(C43,'DE x PARA'!C37:K2203,7,FALSE),"SINTÉTICA")</f>
        <v>500001</v>
      </c>
      <c r="M43" s="346">
        <f>IFERROR(VLOOKUP(B43,'DE x PARA'!B37:K2203,10,FALSE),"SINTÉTICA")</f>
        <v>600012</v>
      </c>
      <c r="N43" s="346">
        <f>IFERROR(VLOOKUP(M43,'DE x PARA'!$K$2:$L$2168,2,FALSE),0)</f>
        <v>-1</v>
      </c>
      <c r="O43" s="344">
        <f t="shared" si="7"/>
        <v>1652001.37</v>
      </c>
    </row>
    <row r="44" spans="1:15" customFormat="1">
      <c r="A44" s="343" t="str">
        <f t="shared" si="1"/>
        <v>1.2</v>
      </c>
      <c r="B44" s="343" t="s">
        <v>623</v>
      </c>
      <c r="C44" s="343">
        <v>12</v>
      </c>
      <c r="D44" s="94" t="s">
        <v>366</v>
      </c>
      <c r="E44" s="344">
        <v>28634987.469999999</v>
      </c>
      <c r="F44" s="344">
        <v>4115355.43</v>
      </c>
      <c r="G44" s="344">
        <v>-3196841.96</v>
      </c>
      <c r="H44" s="344">
        <v>918513.47</v>
      </c>
      <c r="I44" s="344">
        <v>29553500.940000001</v>
      </c>
      <c r="J44" s="345">
        <f t="shared" si="5"/>
        <v>29553.500940000002</v>
      </c>
      <c r="K44" s="908">
        <f t="shared" si="6"/>
        <v>29554</v>
      </c>
      <c r="L44" s="346">
        <f>IFERROR(VLOOKUP(C44,'DE x PARA'!C38:K2204,7,FALSE),"SINTÉTICA")</f>
        <v>0</v>
      </c>
      <c r="M44" s="346">
        <f>IFERROR(VLOOKUP(B44,'DE x PARA'!B38:K2204,10,FALSE),"SINTÉTICA")</f>
        <v>0</v>
      </c>
      <c r="N44" s="346">
        <f>IFERROR(VLOOKUP(M44,'DE x PARA'!$K$2:$L$2168,2,FALSE),0)</f>
        <v>0</v>
      </c>
      <c r="O44" s="344">
        <f t="shared" si="7"/>
        <v>0</v>
      </c>
    </row>
    <row r="45" spans="1:15" customFormat="1">
      <c r="A45" s="343" t="str">
        <f t="shared" si="1"/>
        <v>1.2.1</v>
      </c>
      <c r="B45" s="343" t="s">
        <v>624</v>
      </c>
      <c r="C45" s="343">
        <v>121</v>
      </c>
      <c r="D45" t="s">
        <v>625</v>
      </c>
      <c r="E45" s="344">
        <v>8282805.1600000001</v>
      </c>
      <c r="F45" s="344">
        <v>2723521.91</v>
      </c>
      <c r="G45" s="344">
        <v>-505466.39</v>
      </c>
      <c r="H45" s="344">
        <v>2218055.52</v>
      </c>
      <c r="I45" s="344">
        <v>10500860.68</v>
      </c>
      <c r="J45" s="345">
        <f t="shared" si="5"/>
        <v>10500.86068</v>
      </c>
      <c r="K45" s="908">
        <f t="shared" si="6"/>
        <v>10501</v>
      </c>
      <c r="L45" s="346">
        <f>IFERROR(VLOOKUP(C45,'DE x PARA'!C39:K2205,7,FALSE),"SINTÉTICA")</f>
        <v>0</v>
      </c>
      <c r="M45" s="346">
        <f>IFERROR(VLOOKUP(B45,'DE x PARA'!B39:K2205,10,FALSE),"SINTÉTICA")</f>
        <v>0</v>
      </c>
      <c r="N45" s="346">
        <f>IFERROR(VLOOKUP(M45,'DE x PARA'!$K$2:$L$2168,2,FALSE),0)</f>
        <v>0</v>
      </c>
      <c r="O45" s="344">
        <f t="shared" si="7"/>
        <v>0</v>
      </c>
    </row>
    <row r="46" spans="1:15" customFormat="1">
      <c r="A46" s="343" t="str">
        <f t="shared" si="1"/>
        <v>1.2.1.03</v>
      </c>
      <c r="B46" s="343" t="s">
        <v>61</v>
      </c>
      <c r="C46" s="343">
        <v>1213</v>
      </c>
      <c r="D46" s="94" t="s">
        <v>575</v>
      </c>
      <c r="E46" s="344">
        <v>3011177.53</v>
      </c>
      <c r="F46" s="344">
        <v>1155612.83</v>
      </c>
      <c r="G46" s="344">
        <v>-482692.23</v>
      </c>
      <c r="H46" s="344">
        <v>672920.6</v>
      </c>
      <c r="I46" s="344">
        <v>3684098.13</v>
      </c>
      <c r="J46" s="345">
        <f t="shared" si="5"/>
        <v>3684.0981299999999</v>
      </c>
      <c r="K46" s="908">
        <f t="shared" si="6"/>
        <v>3684</v>
      </c>
      <c r="L46" s="346">
        <f>IFERROR(VLOOKUP(C46,'DE x PARA'!C40:K2206,7,FALSE),"SINTÉTICA")</f>
        <v>0</v>
      </c>
      <c r="M46" s="346">
        <f>IFERROR(VLOOKUP(B46,'DE x PARA'!B40:K2206,10,FALSE),"SINTÉTICA")</f>
        <v>0</v>
      </c>
      <c r="N46" s="346">
        <f>IFERROR(VLOOKUP(M46,'DE x PARA'!$K$2:$L$2168,2,FALSE),0)</f>
        <v>0</v>
      </c>
      <c r="O46" s="344">
        <f t="shared" si="7"/>
        <v>0</v>
      </c>
    </row>
    <row r="47" spans="1:15" customFormat="1">
      <c r="A47" s="343" t="str">
        <f t="shared" si="1"/>
        <v>1.2.1.03.0001</v>
      </c>
      <c r="B47" s="343" t="s">
        <v>626</v>
      </c>
      <c r="C47" s="343">
        <v>12131</v>
      </c>
      <c r="D47" s="94" t="s">
        <v>627</v>
      </c>
      <c r="E47" s="344">
        <v>27577.84</v>
      </c>
      <c r="F47" s="344">
        <v>1150.82</v>
      </c>
      <c r="G47" s="344">
        <v>0</v>
      </c>
      <c r="H47" s="344">
        <v>1150.82</v>
      </c>
      <c r="I47" s="344">
        <v>28728.66</v>
      </c>
      <c r="J47" s="345">
        <f t="shared" si="5"/>
        <v>28.728660000000001</v>
      </c>
      <c r="K47" s="908">
        <f t="shared" si="6"/>
        <v>29</v>
      </c>
      <c r="L47" s="346">
        <f>IFERROR(VLOOKUP(C47,'DE x PARA'!C41:K2207,7,FALSE),"SINTÉTICA")</f>
        <v>500001</v>
      </c>
      <c r="M47" s="346">
        <f>IFERROR(VLOOKUP(B47,'DE x PARA'!B41:K2207,10,FALSE),"SINTÉTICA")</f>
        <v>600014</v>
      </c>
      <c r="N47" s="346">
        <f>IFERROR(VLOOKUP(M47,'DE x PARA'!$K$2:$L$2168,2,FALSE),0)</f>
        <v>-1</v>
      </c>
      <c r="O47" s="344">
        <f t="shared" si="7"/>
        <v>-1150.82</v>
      </c>
    </row>
    <row r="48" spans="1:15" customFormat="1">
      <c r="A48" s="343" t="str">
        <f t="shared" si="1"/>
        <v>1.2.1.03.0004</v>
      </c>
      <c r="B48" s="343" t="s">
        <v>628</v>
      </c>
      <c r="C48" s="343">
        <v>12134</v>
      </c>
      <c r="D48" s="94" t="s">
        <v>231</v>
      </c>
      <c r="E48" s="344">
        <v>4640.58</v>
      </c>
      <c r="F48" s="344">
        <v>0</v>
      </c>
      <c r="G48" s="344">
        <v>0</v>
      </c>
      <c r="H48" s="344">
        <v>0</v>
      </c>
      <c r="I48" s="344">
        <v>4640.58</v>
      </c>
      <c r="J48" s="345">
        <f t="shared" si="5"/>
        <v>4.6405799999999999</v>
      </c>
      <c r="K48" s="908">
        <f t="shared" si="6"/>
        <v>5</v>
      </c>
      <c r="L48" s="346">
        <f>IFERROR(VLOOKUP(C48,'DE x PARA'!C42:K2208,7,FALSE),"SINTÉTICA")</f>
        <v>500001</v>
      </c>
      <c r="M48" s="346">
        <f>IFERROR(VLOOKUP(B48,'DE x PARA'!B42:K2208,10,FALSE),"SINTÉTICA")</f>
        <v>600014</v>
      </c>
      <c r="N48" s="346">
        <f>IFERROR(VLOOKUP(M48,'DE x PARA'!$K$2:$L$2168,2,FALSE),0)</f>
        <v>-1</v>
      </c>
      <c r="O48" s="344">
        <f t="shared" si="7"/>
        <v>0</v>
      </c>
    </row>
    <row r="49" spans="1:15">
      <c r="A49" s="343" t="str">
        <f t="shared" si="1"/>
        <v>1.2.1.03.0005</v>
      </c>
      <c r="B49" s="343" t="s">
        <v>629</v>
      </c>
      <c r="C49" s="343">
        <v>12135</v>
      </c>
      <c r="D49" s="94" t="s">
        <v>630</v>
      </c>
      <c r="E49" s="344">
        <v>180372.61</v>
      </c>
      <c r="F49" s="344">
        <v>7833.84</v>
      </c>
      <c r="G49" s="344">
        <v>0</v>
      </c>
      <c r="H49" s="344">
        <v>7833.84</v>
      </c>
      <c r="I49" s="344">
        <v>188206.45</v>
      </c>
      <c r="J49" s="345">
        <f t="shared" si="5"/>
        <v>188.20645000000002</v>
      </c>
      <c r="K49" s="908">
        <f t="shared" si="6"/>
        <v>188</v>
      </c>
      <c r="L49" s="346">
        <f>IFERROR(VLOOKUP(C49,'DE x PARA'!C43:K2209,7,FALSE),"SINTÉTICA")</f>
        <v>500001</v>
      </c>
      <c r="M49" s="346">
        <f>IFERROR(VLOOKUP(B49,'DE x PARA'!B43:K2209,10,FALSE),"SINTÉTICA")</f>
        <v>600014</v>
      </c>
      <c r="N49" s="346">
        <f>IFERROR(VLOOKUP(M49,'DE x PARA'!$K$2:$L$2168,2,FALSE),0)</f>
        <v>-1</v>
      </c>
      <c r="O49" s="344">
        <f t="shared" si="7"/>
        <v>-7833.84</v>
      </c>
    </row>
    <row r="50" spans="1:15" customFormat="1">
      <c r="A50" s="343" t="str">
        <f t="shared" si="1"/>
        <v>1.2.1.03.0009</v>
      </c>
      <c r="B50" s="343" t="s">
        <v>1426</v>
      </c>
      <c r="C50" s="343">
        <v>12139</v>
      </c>
      <c r="D50" s="94" t="s">
        <v>217</v>
      </c>
      <c r="E50" s="344">
        <v>1928.93</v>
      </c>
      <c r="F50" s="344">
        <v>84.17</v>
      </c>
      <c r="G50" s="344">
        <v>0</v>
      </c>
      <c r="H50" s="344">
        <v>84.17</v>
      </c>
      <c r="I50" s="344">
        <v>2013.1</v>
      </c>
      <c r="J50" s="345">
        <f t="shared" si="5"/>
        <v>2.0131000000000001</v>
      </c>
      <c r="K50" s="908">
        <f t="shared" si="6"/>
        <v>2</v>
      </c>
      <c r="L50" s="346">
        <f>IFERROR(VLOOKUP(C50,'DE x PARA'!C44:K2210,7,FALSE),"SINTÉTICA")</f>
        <v>500001</v>
      </c>
      <c r="M50" s="346">
        <f>IFERROR(VLOOKUP(B50,'DE x PARA'!B44:K2210,10,FALSE),"SINTÉTICA")</f>
        <v>600014</v>
      </c>
      <c r="N50" s="346">
        <f>IFERROR(VLOOKUP(M50,'DE x PARA'!$K$2:$L$2168,2,FALSE),0)</f>
        <v>-1</v>
      </c>
      <c r="O50" s="344">
        <f t="shared" si="7"/>
        <v>-84.17</v>
      </c>
    </row>
    <row r="51" spans="1:15" customFormat="1">
      <c r="A51" s="343" t="str">
        <f t="shared" si="1"/>
        <v>1.2.1.03.0011</v>
      </c>
      <c r="B51" s="343" t="s">
        <v>1427</v>
      </c>
      <c r="C51" s="343">
        <v>121311</v>
      </c>
      <c r="D51" s="94" t="s">
        <v>229</v>
      </c>
      <c r="E51" s="344">
        <v>4584.03</v>
      </c>
      <c r="F51" s="344">
        <v>226.2</v>
      </c>
      <c r="G51" s="344">
        <v>0</v>
      </c>
      <c r="H51" s="344">
        <v>226.2</v>
      </c>
      <c r="I51" s="344">
        <v>4810.2299999999996</v>
      </c>
      <c r="J51" s="345">
        <f t="shared" si="5"/>
        <v>4.8102299999999998</v>
      </c>
      <c r="K51" s="908">
        <f t="shared" si="6"/>
        <v>5</v>
      </c>
      <c r="L51" s="346" t="str">
        <f>IFERROR(VLOOKUP(C51,'DE x PARA'!C45:K2211,7,FALSE),"SINTÉTICA")</f>
        <v>SINTÉTICA</v>
      </c>
      <c r="M51" s="346" t="str">
        <f>IFERROR(VLOOKUP(B51,'DE x PARA'!B45:K2211,10,FALSE),"SINTÉTICA")</f>
        <v>SINTÉTICA</v>
      </c>
      <c r="N51" s="346">
        <f>IFERROR(VLOOKUP(M51,'DE x PARA'!$K$2:$L$2168,2,FALSE),0)</f>
        <v>0</v>
      </c>
      <c r="O51" s="344">
        <f t="shared" si="7"/>
        <v>0</v>
      </c>
    </row>
    <row r="52" spans="1:15" customFormat="1">
      <c r="A52" s="343" t="str">
        <f t="shared" si="1"/>
        <v>1.2.1.03.0012</v>
      </c>
      <c r="B52" s="343" t="s">
        <v>1428</v>
      </c>
      <c r="C52" s="343">
        <v>121312</v>
      </c>
      <c r="D52" s="94" t="s">
        <v>582</v>
      </c>
      <c r="E52" s="344">
        <v>313.44</v>
      </c>
      <c r="F52" s="344">
        <v>13.69</v>
      </c>
      <c r="G52" s="344">
        <v>0</v>
      </c>
      <c r="H52" s="344">
        <v>13.69</v>
      </c>
      <c r="I52" s="344">
        <v>327.13</v>
      </c>
      <c r="J52" s="345">
        <f t="shared" si="5"/>
        <v>0.32712999999999998</v>
      </c>
      <c r="K52" s="908">
        <f t="shared" si="6"/>
        <v>0</v>
      </c>
      <c r="L52" s="346" t="str">
        <f>IFERROR(VLOOKUP(C52,'DE x PARA'!C46:K2212,7,FALSE),"SINTÉTICA")</f>
        <v>SINTÉTICA</v>
      </c>
      <c r="M52" s="346" t="str">
        <f>IFERROR(VLOOKUP(B52,'DE x PARA'!B46:K2212,10,FALSE),"SINTÉTICA")</f>
        <v>SINTÉTICA</v>
      </c>
      <c r="N52" s="346">
        <f>IFERROR(VLOOKUP(M52,'DE x PARA'!$K$2:$L$2168,2,FALSE),0)</f>
        <v>0</v>
      </c>
      <c r="O52" s="344">
        <f t="shared" si="7"/>
        <v>0</v>
      </c>
    </row>
    <row r="53" spans="1:15">
      <c r="A53" s="343" t="str">
        <f t="shared" si="1"/>
        <v>1.2.1.03.0013</v>
      </c>
      <c r="B53" s="343" t="s">
        <v>1429</v>
      </c>
      <c r="C53" s="343">
        <v>121313</v>
      </c>
      <c r="D53" t="s">
        <v>584</v>
      </c>
      <c r="E53" s="344">
        <v>231103.73</v>
      </c>
      <c r="F53" s="344">
        <v>10391.780000000001</v>
      </c>
      <c r="G53" s="344">
        <v>0</v>
      </c>
      <c r="H53" s="344">
        <v>10391.780000000001</v>
      </c>
      <c r="I53" s="344">
        <v>241495.51</v>
      </c>
      <c r="J53" s="345">
        <f t="shared" si="5"/>
        <v>241.49551</v>
      </c>
      <c r="K53" s="908">
        <f t="shared" si="6"/>
        <v>241</v>
      </c>
      <c r="L53" s="346" t="str">
        <f>IFERROR(VLOOKUP(C53,'DE x PARA'!C47:K2213,7,FALSE),"SINTÉTICA")</f>
        <v>SINTÉTICA</v>
      </c>
      <c r="M53" s="346" t="str">
        <f>IFERROR(VLOOKUP(B53,'DE x PARA'!B47:K2213,10,FALSE),"SINTÉTICA")</f>
        <v>SINTÉTICA</v>
      </c>
      <c r="N53" s="346">
        <f>IFERROR(VLOOKUP(M53,'DE x PARA'!$K$2:$L$2168,2,FALSE),0)</f>
        <v>0</v>
      </c>
      <c r="O53" s="344">
        <f t="shared" si="7"/>
        <v>0</v>
      </c>
    </row>
    <row r="54" spans="1:15" customFormat="1">
      <c r="A54" s="343" t="str">
        <f t="shared" si="1"/>
        <v>1.2.1.03.0015</v>
      </c>
      <c r="B54" s="343" t="s">
        <v>1430</v>
      </c>
      <c r="C54" s="343">
        <v>121315</v>
      </c>
      <c r="D54" t="s">
        <v>589</v>
      </c>
      <c r="E54" s="344">
        <v>142724.78</v>
      </c>
      <c r="F54" s="344">
        <v>1205.8499999999999</v>
      </c>
      <c r="G54" s="344">
        <v>-143930.63</v>
      </c>
      <c r="H54" s="344">
        <v>-142724.78</v>
      </c>
      <c r="I54" s="344">
        <v>0</v>
      </c>
      <c r="J54" s="345">
        <f t="shared" si="5"/>
        <v>0</v>
      </c>
      <c r="K54" s="908">
        <f t="shared" si="6"/>
        <v>0</v>
      </c>
      <c r="L54" s="346" t="str">
        <f>IFERROR(VLOOKUP(C54,'DE x PARA'!C48:K2214,7,FALSE),"SINTÉTICA")</f>
        <v>SINTÉTICA</v>
      </c>
      <c r="M54" s="346" t="str">
        <f>IFERROR(VLOOKUP(B54,'DE x PARA'!B48:K2214,10,FALSE),"SINTÉTICA")</f>
        <v>SINTÉTICA</v>
      </c>
      <c r="N54" s="346">
        <f>IFERROR(VLOOKUP(M54,'DE x PARA'!$K$2:$L$2168,2,FALSE),0)</f>
        <v>0</v>
      </c>
      <c r="O54" s="344">
        <f t="shared" si="7"/>
        <v>0</v>
      </c>
    </row>
    <row r="55" spans="1:15" customFormat="1">
      <c r="A55" s="343" t="str">
        <f t="shared" si="1"/>
        <v>1.2.1.03.0016</v>
      </c>
      <c r="B55" s="343" t="s">
        <v>1434</v>
      </c>
      <c r="C55" s="343">
        <v>121316</v>
      </c>
      <c r="D55" s="94" t="s">
        <v>239</v>
      </c>
      <c r="E55" s="344">
        <v>1110789.21</v>
      </c>
      <c r="F55" s="344">
        <v>55852.13</v>
      </c>
      <c r="G55" s="344">
        <v>0</v>
      </c>
      <c r="H55" s="344">
        <v>55852.13</v>
      </c>
      <c r="I55" s="344">
        <v>1166641.3400000001</v>
      </c>
      <c r="J55" s="345">
        <f t="shared" si="5"/>
        <v>1166.6413400000001</v>
      </c>
      <c r="K55" s="908">
        <f t="shared" si="6"/>
        <v>1167</v>
      </c>
      <c r="L55" s="346" t="str">
        <f>IFERROR(VLOOKUP(C55,'DE x PARA'!C49:K2215,7,FALSE),"SINTÉTICA")</f>
        <v>SINTÉTICA</v>
      </c>
      <c r="M55" s="346" t="str">
        <f>IFERROR(VLOOKUP(B55,'DE x PARA'!B49:K2215,10,FALSE),"SINTÉTICA")</f>
        <v>SINTÉTICA</v>
      </c>
      <c r="N55" s="346">
        <f>IFERROR(VLOOKUP(M55,'DE x PARA'!$K$2:$L$2168,2,FALSE),0)</f>
        <v>0</v>
      </c>
      <c r="O55" s="344">
        <f t="shared" si="7"/>
        <v>0</v>
      </c>
    </row>
    <row r="56" spans="1:15" customFormat="1">
      <c r="A56" s="343" t="str">
        <f t="shared" si="1"/>
        <v>1.2.1.03.0017</v>
      </c>
      <c r="B56" s="343" t="s">
        <v>1435</v>
      </c>
      <c r="C56" s="343">
        <v>121317</v>
      </c>
      <c r="D56" s="94" t="s">
        <v>392</v>
      </c>
      <c r="E56" s="344">
        <v>2300.8000000000002</v>
      </c>
      <c r="F56" s="344">
        <v>110.63</v>
      </c>
      <c r="G56" s="344">
        <v>0</v>
      </c>
      <c r="H56" s="344">
        <v>110.63</v>
      </c>
      <c r="I56" s="344">
        <v>2411.4299999999998</v>
      </c>
      <c r="J56" s="345">
        <f t="shared" si="5"/>
        <v>2.4114299999999997</v>
      </c>
      <c r="K56" s="908">
        <f t="shared" si="6"/>
        <v>2</v>
      </c>
      <c r="L56" s="346" t="str">
        <f>IFERROR(VLOOKUP(C56,'DE x PARA'!C50:K2216,7,FALSE),"SINTÉTICA")</f>
        <v>SINTÉTICA</v>
      </c>
      <c r="M56" s="346" t="str">
        <f>IFERROR(VLOOKUP(B56,'DE x PARA'!B50:K2216,10,FALSE),"SINTÉTICA")</f>
        <v>SINTÉTICA</v>
      </c>
      <c r="N56" s="346">
        <f>IFERROR(VLOOKUP(M56,'DE x PARA'!$K$2:$L$2168,2,FALSE),0)</f>
        <v>0</v>
      </c>
      <c r="O56" s="344">
        <f t="shared" si="7"/>
        <v>0</v>
      </c>
    </row>
    <row r="57" spans="1:15" customFormat="1">
      <c r="A57" s="343" t="str">
        <f t="shared" si="1"/>
        <v>1.2.1.03.0018</v>
      </c>
      <c r="B57" s="343" t="s">
        <v>1436</v>
      </c>
      <c r="C57" s="343">
        <v>121318</v>
      </c>
      <c r="D57" s="94" t="s">
        <v>1437</v>
      </c>
      <c r="E57" s="344">
        <v>889604.17</v>
      </c>
      <c r="F57" s="344">
        <v>141693.35999999999</v>
      </c>
      <c r="G57" s="344">
        <v>-338761.6</v>
      </c>
      <c r="H57" s="344">
        <v>-197068.24</v>
      </c>
      <c r="I57" s="344">
        <v>692535.93</v>
      </c>
      <c r="J57" s="345">
        <f t="shared" si="5"/>
        <v>692.53593000000001</v>
      </c>
      <c r="K57" s="908">
        <f t="shared" si="6"/>
        <v>693</v>
      </c>
      <c r="L57" s="346" t="str">
        <f>IFERROR(VLOOKUP(C57,'DE x PARA'!C51:K2217,7,FALSE),"SINTÉTICA")</f>
        <v>SINTÉTICA</v>
      </c>
      <c r="M57" s="346" t="str">
        <f>IFERROR(VLOOKUP(B57,'DE x PARA'!B51:K2217,10,FALSE),"SINTÉTICA")</f>
        <v>SINTÉTICA</v>
      </c>
      <c r="N57" s="346">
        <f>IFERROR(VLOOKUP(M57,'DE x PARA'!$K$2:$L$2168,2,FALSE),0)</f>
        <v>0</v>
      </c>
      <c r="O57" s="344">
        <f t="shared" si="7"/>
        <v>0</v>
      </c>
    </row>
    <row r="58" spans="1:15" customFormat="1">
      <c r="A58" s="343" t="str">
        <f t="shared" si="1"/>
        <v>1.2.1.03.0019</v>
      </c>
      <c r="B58" s="343" t="s">
        <v>1446</v>
      </c>
      <c r="C58" s="343">
        <v>121319</v>
      </c>
      <c r="D58" s="94" t="s">
        <v>1447</v>
      </c>
      <c r="E58" s="344">
        <v>415237.41</v>
      </c>
      <c r="F58" s="344">
        <v>22295.759999999998</v>
      </c>
      <c r="G58" s="344">
        <v>0</v>
      </c>
      <c r="H58" s="344">
        <v>22295.759999999998</v>
      </c>
      <c r="I58" s="344">
        <v>437533.17</v>
      </c>
      <c r="J58" s="345">
        <f t="shared" si="5"/>
        <v>437.53316999999998</v>
      </c>
      <c r="K58" s="908">
        <f t="shared" si="6"/>
        <v>438</v>
      </c>
      <c r="L58" s="346" t="str">
        <f>IFERROR(VLOOKUP(C58,'DE x PARA'!C52:K2218,7,FALSE),"SINTÉTICA")</f>
        <v>SINTÉTICA</v>
      </c>
      <c r="M58" s="346" t="str">
        <f>IFERROR(VLOOKUP(B58,'DE x PARA'!B52:K2218,10,FALSE),"SINTÉTICA")</f>
        <v>SINTÉTICA</v>
      </c>
      <c r="N58" s="346">
        <f>IFERROR(VLOOKUP(M58,'DE x PARA'!$K$2:$L$2168,2,FALSE),0)</f>
        <v>0</v>
      </c>
      <c r="O58" s="344">
        <f t="shared" si="7"/>
        <v>0</v>
      </c>
    </row>
    <row r="59" spans="1:15" customFormat="1">
      <c r="A59" s="343" t="str">
        <f t="shared" si="1"/>
        <v>1.2.1.03.0020</v>
      </c>
      <c r="B59" s="343" t="s">
        <v>1448</v>
      </c>
      <c r="C59" s="343">
        <v>121320</v>
      </c>
      <c r="D59" s="94" t="s">
        <v>1449</v>
      </c>
      <c r="E59" s="344">
        <v>0</v>
      </c>
      <c r="F59" s="344">
        <v>683284.47</v>
      </c>
      <c r="G59" s="344">
        <v>0</v>
      </c>
      <c r="H59" s="344">
        <v>683284.47</v>
      </c>
      <c r="I59" s="344">
        <v>683284.47</v>
      </c>
      <c r="J59" s="345">
        <f t="shared" si="5"/>
        <v>683.28446999999994</v>
      </c>
      <c r="K59" s="908">
        <f t="shared" si="6"/>
        <v>683</v>
      </c>
      <c r="L59" s="346" t="str">
        <f>IFERROR(VLOOKUP(C59,'DE x PARA'!C53:K2219,7,FALSE),"SINTÉTICA")</f>
        <v>SINTÉTICA</v>
      </c>
      <c r="M59" s="346" t="str">
        <f>IFERROR(VLOOKUP(B59,'DE x PARA'!B53:K2219,10,FALSE),"SINTÉTICA")</f>
        <v>SINTÉTICA</v>
      </c>
      <c r="N59" s="346">
        <f>IFERROR(VLOOKUP(M59,'DE x PARA'!$K$2:$L$2168,2,FALSE),0)</f>
        <v>0</v>
      </c>
      <c r="O59" s="344">
        <f t="shared" si="7"/>
        <v>0</v>
      </c>
    </row>
    <row r="60" spans="1:15" customFormat="1">
      <c r="A60" s="343" t="str">
        <f t="shared" si="1"/>
        <v>1.2.1.03.0021</v>
      </c>
      <c r="B60" s="343" t="s">
        <v>1451</v>
      </c>
      <c r="C60" s="343">
        <v>121321</v>
      </c>
      <c r="D60" s="94" t="s">
        <v>1452</v>
      </c>
      <c r="E60" s="344">
        <v>0</v>
      </c>
      <c r="F60" s="344">
        <v>231470.13</v>
      </c>
      <c r="G60" s="344">
        <v>0</v>
      </c>
      <c r="H60" s="344">
        <v>231470.13</v>
      </c>
      <c r="I60" s="344">
        <v>231470.13</v>
      </c>
      <c r="J60" s="345">
        <f t="shared" si="5"/>
        <v>231.47013000000001</v>
      </c>
      <c r="K60" s="908">
        <f t="shared" si="6"/>
        <v>231</v>
      </c>
      <c r="L60" s="346" t="str">
        <f>IFERROR(VLOOKUP(C60,'DE x PARA'!C54:K2220,7,FALSE),"SINTÉTICA")</f>
        <v>SINTÉTICA</v>
      </c>
      <c r="M60" s="346" t="str">
        <f>IFERROR(VLOOKUP(B60,'DE x PARA'!B54:K2220,10,FALSE),"SINTÉTICA")</f>
        <v>SINTÉTICA</v>
      </c>
      <c r="N60" s="346">
        <f>IFERROR(VLOOKUP(M60,'DE x PARA'!$K$2:$L$2168,2,FALSE),0)</f>
        <v>0</v>
      </c>
      <c r="O60" s="344">
        <f t="shared" si="7"/>
        <v>0</v>
      </c>
    </row>
    <row r="61" spans="1:15" customFormat="1">
      <c r="A61" s="343" t="str">
        <f t="shared" si="1"/>
        <v>1.2.1.07</v>
      </c>
      <c r="B61" s="343" t="s">
        <v>631</v>
      </c>
      <c r="C61" s="343">
        <v>1217</v>
      </c>
      <c r="D61" s="94" t="s">
        <v>632</v>
      </c>
      <c r="E61" s="344">
        <v>130.6</v>
      </c>
      <c r="F61" s="344">
        <v>34.32</v>
      </c>
      <c r="G61" s="344">
        <v>-25.92</v>
      </c>
      <c r="H61" s="344">
        <v>8.4</v>
      </c>
      <c r="I61" s="344">
        <v>139</v>
      </c>
      <c r="J61" s="345">
        <f t="shared" si="5"/>
        <v>0.13900000000000001</v>
      </c>
      <c r="K61" s="908">
        <f t="shared" si="6"/>
        <v>0</v>
      </c>
      <c r="L61" s="346">
        <f>IFERROR(VLOOKUP(C61,'DE x PARA'!C55:K2221,7,FALSE),"SINTÉTICA")</f>
        <v>0</v>
      </c>
      <c r="M61" s="346">
        <f>IFERROR(VLOOKUP(B61,'DE x PARA'!B55:K2221,10,FALSE),"SINTÉTICA")</f>
        <v>0</v>
      </c>
      <c r="N61" s="346">
        <f>IFERROR(VLOOKUP(M61,'DE x PARA'!$K$2:$L$2168,2,FALSE),0)</f>
        <v>0</v>
      </c>
      <c r="O61" s="344">
        <f t="shared" si="7"/>
        <v>0</v>
      </c>
    </row>
    <row r="62" spans="1:15" customFormat="1">
      <c r="A62" s="343" t="str">
        <f t="shared" si="1"/>
        <v>1.2.1.07.0001</v>
      </c>
      <c r="B62" s="343" t="s">
        <v>633</v>
      </c>
      <c r="C62" s="343">
        <v>12171</v>
      </c>
      <c r="D62" s="94" t="s">
        <v>634</v>
      </c>
      <c r="E62" s="344">
        <v>130.6</v>
      </c>
      <c r="F62" s="344">
        <v>34.32</v>
      </c>
      <c r="G62" s="344">
        <v>-25.92</v>
      </c>
      <c r="H62" s="344">
        <v>8.4</v>
      </c>
      <c r="I62" s="344">
        <v>139</v>
      </c>
      <c r="J62" s="345">
        <f t="shared" si="5"/>
        <v>0.13900000000000001</v>
      </c>
      <c r="K62" s="908">
        <f t="shared" si="6"/>
        <v>0</v>
      </c>
      <c r="L62" s="346">
        <f>IFERROR(VLOOKUP(C62,'DE x PARA'!C56:K2222,7,FALSE),"SINTÉTICA")</f>
        <v>500001</v>
      </c>
      <c r="M62" s="346">
        <f>IFERROR(VLOOKUP(B62,'DE x PARA'!B56:K2222,10,FALSE),"SINTÉTICA")</f>
        <v>600016</v>
      </c>
      <c r="N62" s="346">
        <f>IFERROR(VLOOKUP(M62,'DE x PARA'!$K$2:$L$2168,2,FALSE),0)</f>
        <v>-1</v>
      </c>
      <c r="O62" s="344">
        <f t="shared" si="7"/>
        <v>-8.4</v>
      </c>
    </row>
    <row r="63" spans="1:15">
      <c r="A63" s="343" t="str">
        <f t="shared" si="1"/>
        <v>1.2.1.08</v>
      </c>
      <c r="B63" s="343" t="s">
        <v>63</v>
      </c>
      <c r="C63" s="343">
        <v>1218</v>
      </c>
      <c r="D63" s="94" t="s">
        <v>635</v>
      </c>
      <c r="E63" s="344">
        <v>5271497.03</v>
      </c>
      <c r="F63" s="344">
        <v>1567874.76</v>
      </c>
      <c r="G63" s="344">
        <v>-22748.240000000002</v>
      </c>
      <c r="H63" s="344">
        <v>1545126.52</v>
      </c>
      <c r="I63" s="344">
        <v>6816623.5499999998</v>
      </c>
      <c r="J63" s="345">
        <f t="shared" si="5"/>
        <v>6816.6235500000003</v>
      </c>
      <c r="K63" s="908">
        <f t="shared" si="6"/>
        <v>6817</v>
      </c>
      <c r="L63" s="346">
        <f>IFERROR(VLOOKUP(C63,'DE x PARA'!C57:K2223,7,FALSE),"SINTÉTICA")</f>
        <v>0</v>
      </c>
      <c r="M63" s="346">
        <f>IFERROR(VLOOKUP(B63,'DE x PARA'!B57:K2223,10,FALSE),"SINTÉTICA")</f>
        <v>0</v>
      </c>
      <c r="N63" s="346">
        <f>IFERROR(VLOOKUP(M63,'DE x PARA'!$K$2:$L$2168,2,FALSE),0)</f>
        <v>0</v>
      </c>
      <c r="O63" s="344">
        <f t="shared" si="7"/>
        <v>0</v>
      </c>
    </row>
    <row r="64" spans="1:15">
      <c r="A64" s="343" t="str">
        <f t="shared" si="1"/>
        <v>1.2.1.08.0001</v>
      </c>
      <c r="B64" s="343" t="s">
        <v>636</v>
      </c>
      <c r="C64" s="343">
        <v>12181</v>
      </c>
      <c r="D64" s="94" t="s">
        <v>637</v>
      </c>
      <c r="E64" s="344">
        <v>4497185.2300000004</v>
      </c>
      <c r="F64" s="344">
        <v>155004.78</v>
      </c>
      <c r="G64" s="344">
        <v>0</v>
      </c>
      <c r="H64" s="344">
        <v>155004.78</v>
      </c>
      <c r="I64" s="344">
        <v>4652190.01</v>
      </c>
      <c r="J64" s="345">
        <f t="shared" si="5"/>
        <v>4652.1900099999993</v>
      </c>
      <c r="K64" s="908">
        <f t="shared" si="6"/>
        <v>4652</v>
      </c>
      <c r="L64" s="346">
        <f>IFERROR(VLOOKUP(C64,'DE x PARA'!C58:K2224,7,FALSE),"SINTÉTICA")</f>
        <v>500001</v>
      </c>
      <c r="M64" s="346">
        <f>IFERROR(VLOOKUP(B64,'DE x PARA'!B58:K2224,10,FALSE),"SINTÉTICA")</f>
        <v>600013</v>
      </c>
      <c r="N64" s="346">
        <f>IFERROR(VLOOKUP(M64,'DE x PARA'!$K$2:$L$2168,2,FALSE),0)</f>
        <v>-1</v>
      </c>
      <c r="O64" s="344">
        <f t="shared" si="7"/>
        <v>-155004.78</v>
      </c>
    </row>
    <row r="65" spans="1:15">
      <c r="A65" s="343" t="str">
        <f t="shared" si="1"/>
        <v>1.2.1.08.0002</v>
      </c>
      <c r="B65" s="343" t="s">
        <v>638</v>
      </c>
      <c r="C65" s="343">
        <v>12182</v>
      </c>
      <c r="D65" s="94" t="s">
        <v>639</v>
      </c>
      <c r="E65" s="344">
        <v>590437.81999999995</v>
      </c>
      <c r="F65" s="344">
        <v>1404893.28</v>
      </c>
      <c r="G65" s="344">
        <v>-22206.39</v>
      </c>
      <c r="H65" s="344">
        <v>1382686.89</v>
      </c>
      <c r="I65" s="344">
        <v>1973124.71</v>
      </c>
      <c r="J65" s="345">
        <f t="shared" si="5"/>
        <v>1973.1247100000001</v>
      </c>
      <c r="K65" s="908">
        <f t="shared" si="6"/>
        <v>1973</v>
      </c>
      <c r="L65" s="346">
        <f>IFERROR(VLOOKUP(C65,'DE x PARA'!C59:K2225,7,FALSE),"SINTÉTICA")</f>
        <v>500001</v>
      </c>
      <c r="M65" s="346">
        <f>IFERROR(VLOOKUP(B65,'DE x PARA'!B59:K2225,10,FALSE),"SINTÉTICA")</f>
        <v>600013</v>
      </c>
      <c r="N65" s="346">
        <f>IFERROR(VLOOKUP(M65,'DE x PARA'!$K$2:$L$2168,2,FALSE),0)</f>
        <v>-1</v>
      </c>
      <c r="O65" s="344">
        <f t="shared" si="7"/>
        <v>-1382686.89</v>
      </c>
    </row>
    <row r="66" spans="1:15" customFormat="1">
      <c r="A66" s="343" t="str">
        <f t="shared" si="1"/>
        <v>1.2.1.08.0003</v>
      </c>
      <c r="B66" s="343" t="s">
        <v>640</v>
      </c>
      <c r="C66" s="343">
        <v>12183</v>
      </c>
      <c r="D66" s="94" t="s">
        <v>641</v>
      </c>
      <c r="E66" s="344">
        <v>183873.98</v>
      </c>
      <c r="F66" s="344">
        <v>7976.7</v>
      </c>
      <c r="G66" s="344">
        <v>-541.85</v>
      </c>
      <c r="H66" s="344">
        <v>7434.85</v>
      </c>
      <c r="I66" s="344">
        <v>191308.83</v>
      </c>
      <c r="J66" s="345">
        <f t="shared" si="5"/>
        <v>191.30883</v>
      </c>
      <c r="K66" s="908">
        <f t="shared" si="6"/>
        <v>191</v>
      </c>
      <c r="L66" s="346">
        <f>IFERROR(VLOOKUP(C66,'DE x PARA'!C60:K2226,7,FALSE),"SINTÉTICA")</f>
        <v>500001</v>
      </c>
      <c r="M66" s="346">
        <f>IFERROR(VLOOKUP(B66,'DE x PARA'!B60:K2226,10,FALSE),"SINTÉTICA")</f>
        <v>600013</v>
      </c>
      <c r="N66" s="346">
        <f>IFERROR(VLOOKUP(M66,'DE x PARA'!$K$2:$L$2168,2,FALSE),0)</f>
        <v>-1</v>
      </c>
      <c r="O66" s="344">
        <f t="shared" si="7"/>
        <v>-7434.85</v>
      </c>
    </row>
    <row r="67" spans="1:15" customFormat="1">
      <c r="A67" s="343" t="str">
        <f t="shared" si="1"/>
        <v>1.2.3</v>
      </c>
      <c r="B67" s="343" t="s">
        <v>66</v>
      </c>
      <c r="C67" s="343">
        <v>123</v>
      </c>
      <c r="D67" s="94" t="s">
        <v>534</v>
      </c>
      <c r="E67" s="344">
        <v>5869439.0899999999</v>
      </c>
      <c r="F67" s="344">
        <v>591850</v>
      </c>
      <c r="G67" s="344">
        <v>-934391.03</v>
      </c>
      <c r="H67" s="344">
        <v>-342541.03</v>
      </c>
      <c r="I67" s="344">
        <v>5526898.0599999996</v>
      </c>
      <c r="J67" s="345">
        <f t="shared" si="5"/>
        <v>5526.8980599999995</v>
      </c>
      <c r="K67" s="908">
        <f t="shared" si="6"/>
        <v>5527</v>
      </c>
      <c r="L67" s="346">
        <f>IFERROR(VLOOKUP(C67,'DE x PARA'!C61:K2227,7,FALSE),"SINTÉTICA")</f>
        <v>0</v>
      </c>
      <c r="M67" s="346">
        <f>IFERROR(VLOOKUP(B67,'DE x PARA'!B61:K2227,10,FALSE),"SINTÉTICA")</f>
        <v>0</v>
      </c>
      <c r="N67" s="346">
        <f>IFERROR(VLOOKUP(M67,'DE x PARA'!$K$2:$L$2168,2,FALSE),0)</f>
        <v>0</v>
      </c>
      <c r="O67" s="344">
        <f t="shared" si="7"/>
        <v>0</v>
      </c>
    </row>
    <row r="68" spans="1:15" customFormat="1">
      <c r="A68" s="343" t="str">
        <f t="shared" si="1"/>
        <v>1.2.3.01</v>
      </c>
      <c r="B68" s="343" t="s">
        <v>642</v>
      </c>
      <c r="C68" s="343">
        <v>1231</v>
      </c>
      <c r="D68" s="94" t="s">
        <v>643</v>
      </c>
      <c r="E68" s="344">
        <v>20947921.289999999</v>
      </c>
      <c r="F68" s="344">
        <v>591850</v>
      </c>
      <c r="G68" s="344">
        <v>-250.01</v>
      </c>
      <c r="H68" s="344">
        <v>591599.99</v>
      </c>
      <c r="I68" s="344">
        <v>21539521.280000001</v>
      </c>
      <c r="J68" s="345">
        <f t="shared" si="5"/>
        <v>21539.521280000001</v>
      </c>
      <c r="K68" s="908">
        <f t="shared" si="6"/>
        <v>21540</v>
      </c>
      <c r="L68" s="346">
        <f>IFERROR(VLOOKUP(C68,'DE x PARA'!C62:K2228,7,FALSE),"SINTÉTICA")</f>
        <v>0</v>
      </c>
      <c r="M68" s="346">
        <f>IFERROR(VLOOKUP(B68,'DE x PARA'!B62:K2228,10,FALSE),"SINTÉTICA")</f>
        <v>0</v>
      </c>
      <c r="N68" s="346">
        <f>IFERROR(VLOOKUP(M68,'DE x PARA'!$K$2:$L$2168,2,FALSE),0)</f>
        <v>0</v>
      </c>
      <c r="O68" s="344">
        <f t="shared" si="7"/>
        <v>0</v>
      </c>
    </row>
    <row r="69" spans="1:15" customFormat="1">
      <c r="A69" s="343" t="str">
        <f t="shared" si="1"/>
        <v>1.2.3.01.0003</v>
      </c>
      <c r="B69" s="343" t="s">
        <v>644</v>
      </c>
      <c r="C69" s="343">
        <v>12313</v>
      </c>
      <c r="D69" s="94" t="s">
        <v>260</v>
      </c>
      <c r="E69" s="344">
        <v>2714019.03</v>
      </c>
      <c r="F69" s="344">
        <v>0</v>
      </c>
      <c r="G69" s="344">
        <v>-0.01</v>
      </c>
      <c r="H69" s="344">
        <v>-0.01</v>
      </c>
      <c r="I69" s="344">
        <v>2714019.02</v>
      </c>
      <c r="J69" s="345">
        <f t="shared" si="5"/>
        <v>2714.0190200000002</v>
      </c>
      <c r="K69" s="908">
        <f t="shared" si="6"/>
        <v>2714</v>
      </c>
      <c r="L69" s="346">
        <f>IFERROR(VLOOKUP(C69,'DE x PARA'!C63:K2229,7,FALSE),"SINTÉTICA")</f>
        <v>500001</v>
      </c>
      <c r="M69" s="346">
        <f>IFERROR(VLOOKUP(B69,'DE x PARA'!B63:K2229,10,FALSE),"SINTÉTICA")</f>
        <v>600024</v>
      </c>
      <c r="N69" s="346">
        <f>IFERROR(VLOOKUP(M69,'DE x PARA'!$K$2:$L$2168,2,FALSE),0)</f>
        <v>-1</v>
      </c>
      <c r="O69" s="344">
        <f t="shared" si="7"/>
        <v>0.01</v>
      </c>
    </row>
    <row r="70" spans="1:15">
      <c r="A70" s="343" t="str">
        <f t="shared" si="1"/>
        <v>1.2.3.01.0004</v>
      </c>
      <c r="B70" s="343" t="s">
        <v>645</v>
      </c>
      <c r="C70" s="343">
        <v>12314</v>
      </c>
      <c r="D70" s="94" t="s">
        <v>414</v>
      </c>
      <c r="E70" s="344">
        <v>858582.21</v>
      </c>
      <c r="F70" s="344">
        <v>0</v>
      </c>
      <c r="G70" s="344">
        <v>0</v>
      </c>
      <c r="H70" s="344">
        <v>0</v>
      </c>
      <c r="I70" s="344">
        <v>858582.21</v>
      </c>
      <c r="J70" s="345">
        <f t="shared" si="5"/>
        <v>858.58220999999992</v>
      </c>
      <c r="K70" s="908">
        <f t="shared" si="6"/>
        <v>859</v>
      </c>
      <c r="L70" s="346">
        <f>IFERROR(VLOOKUP(C70,'DE x PARA'!C64:K2230,7,FALSE),"SINTÉTICA")</f>
        <v>500001</v>
      </c>
      <c r="M70" s="346">
        <f>IFERROR(VLOOKUP(B70,'DE x PARA'!B64:K2230,10,FALSE),"SINTÉTICA")</f>
        <v>600024</v>
      </c>
      <c r="N70" s="346">
        <f>IFERROR(VLOOKUP(M70,'DE x PARA'!$K$2:$L$2168,2,FALSE),0)</f>
        <v>-1</v>
      </c>
      <c r="O70" s="344">
        <f t="shared" si="7"/>
        <v>0</v>
      </c>
    </row>
    <row r="71" spans="1:15">
      <c r="A71" s="343" t="str">
        <f t="shared" si="1"/>
        <v>1.2.3.01.0005</v>
      </c>
      <c r="B71" s="343" t="s">
        <v>646</v>
      </c>
      <c r="C71" s="343">
        <v>12315</v>
      </c>
      <c r="D71" s="94" t="s">
        <v>415</v>
      </c>
      <c r="E71" s="344">
        <v>14611838.67</v>
      </c>
      <c r="F71" s="344">
        <v>583325</v>
      </c>
      <c r="G71" s="344">
        <v>-250</v>
      </c>
      <c r="H71" s="344">
        <v>583075</v>
      </c>
      <c r="I71" s="344">
        <v>15194913.67</v>
      </c>
      <c r="J71" s="345">
        <f t="shared" si="5"/>
        <v>15194.91367</v>
      </c>
      <c r="K71" s="908">
        <f t="shared" si="6"/>
        <v>15195</v>
      </c>
      <c r="L71" s="346">
        <f>IFERROR(VLOOKUP(C71,'DE x PARA'!C65:K2231,7,FALSE),"SINTÉTICA")</f>
        <v>500001</v>
      </c>
      <c r="M71" s="346">
        <f>IFERROR(VLOOKUP(B71,'DE x PARA'!B65:K2231,10,FALSE),"SINTÉTICA")</f>
        <v>600024</v>
      </c>
      <c r="N71" s="346">
        <f>IFERROR(VLOOKUP(M71,'DE x PARA'!$K$2:$L$2168,2,FALSE),0)</f>
        <v>-1</v>
      </c>
      <c r="O71" s="344">
        <f t="shared" si="7"/>
        <v>-583075</v>
      </c>
    </row>
    <row r="72" spans="1:15">
      <c r="A72" s="343" t="str">
        <f t="shared" ref="A72:A135" si="8">B72</f>
        <v>1.2.3.01.0007</v>
      </c>
      <c r="B72" s="343" t="s">
        <v>647</v>
      </c>
      <c r="C72" s="343">
        <v>12317</v>
      </c>
      <c r="D72" s="94" t="s">
        <v>416</v>
      </c>
      <c r="E72" s="344">
        <v>2763481.38</v>
      </c>
      <c r="F72" s="344">
        <v>8525</v>
      </c>
      <c r="G72" s="344">
        <v>0</v>
      </c>
      <c r="H72" s="344">
        <v>8525</v>
      </c>
      <c r="I72" s="344">
        <v>2772006.38</v>
      </c>
      <c r="J72" s="345">
        <f t="shared" si="5"/>
        <v>2772.0063799999998</v>
      </c>
      <c r="K72" s="908">
        <f t="shared" si="6"/>
        <v>2772</v>
      </c>
      <c r="L72" s="346">
        <f>IFERROR(VLOOKUP(C72,'DE x PARA'!C66:K2232,7,FALSE),"SINTÉTICA")</f>
        <v>500001</v>
      </c>
      <c r="M72" s="346">
        <f>IFERROR(VLOOKUP(B72,'DE x PARA'!B66:K2232,10,FALSE),"SINTÉTICA")</f>
        <v>600024</v>
      </c>
      <c r="N72" s="346">
        <f>IFERROR(VLOOKUP(M72,'DE x PARA'!$K$2:$L$2168,2,FALSE),0)</f>
        <v>-1</v>
      </c>
      <c r="O72" s="344">
        <f t="shared" si="7"/>
        <v>-8525</v>
      </c>
    </row>
    <row r="73" spans="1:15">
      <c r="A73" s="343" t="str">
        <f t="shared" si="8"/>
        <v>1.2.3.98</v>
      </c>
      <c r="B73" s="343" t="s">
        <v>648</v>
      </c>
      <c r="C73" s="343">
        <v>12398</v>
      </c>
      <c r="D73" s="94" t="s">
        <v>649</v>
      </c>
      <c r="E73" s="344">
        <v>-15078482.199999999</v>
      </c>
      <c r="F73" s="344">
        <v>0</v>
      </c>
      <c r="G73" s="344">
        <v>-934141.02</v>
      </c>
      <c r="H73" s="344">
        <v>-934141.02</v>
      </c>
      <c r="I73" s="344">
        <v>-16012623.220000001</v>
      </c>
      <c r="J73" s="345">
        <f t="shared" ref="J73:J136" si="9">I73/1000</f>
        <v>-16012.623220000001</v>
      </c>
      <c r="K73" s="908">
        <f t="shared" ref="K73:K136" si="10">ROUND(J73,0)</f>
        <v>-16013</v>
      </c>
      <c r="L73" s="346">
        <f>IFERROR(VLOOKUP(C73,'DE x PARA'!C67:K2233,7,FALSE),"SINTÉTICA")</f>
        <v>0</v>
      </c>
      <c r="M73" s="346">
        <f>IFERROR(VLOOKUP(B73,'DE x PARA'!B67:K2233,10,FALSE),"SINTÉTICA")</f>
        <v>0</v>
      </c>
      <c r="N73" s="346">
        <f>IFERROR(VLOOKUP(M73,'DE x PARA'!$K$2:$L$2168,2,FALSE),0)</f>
        <v>0</v>
      </c>
      <c r="O73" s="344">
        <f t="shared" ref="O73:O136" si="11">+H73*N73</f>
        <v>0</v>
      </c>
    </row>
    <row r="74" spans="1:15">
      <c r="A74" s="343" t="str">
        <f t="shared" si="8"/>
        <v>1.2.3.98.0002</v>
      </c>
      <c r="B74" s="343" t="s">
        <v>650</v>
      </c>
      <c r="C74" s="343">
        <v>123982</v>
      </c>
      <c r="D74" s="94" t="s">
        <v>651</v>
      </c>
      <c r="E74" s="344">
        <v>-1218290.7</v>
      </c>
      <c r="F74" s="344">
        <v>0</v>
      </c>
      <c r="G74" s="344">
        <v>-135700.92000000001</v>
      </c>
      <c r="H74" s="344">
        <v>-135700.92000000001</v>
      </c>
      <c r="I74" s="344">
        <v>-1353991.62</v>
      </c>
      <c r="J74" s="345">
        <f t="shared" si="9"/>
        <v>-1353.99162</v>
      </c>
      <c r="K74" s="908">
        <f t="shared" si="10"/>
        <v>-1354</v>
      </c>
      <c r="L74" s="346">
        <f>IFERROR(VLOOKUP(C74,'DE x PARA'!C68:K2234,7,FALSE),"SINTÉTICA")</f>
        <v>500001</v>
      </c>
      <c r="M74" s="346">
        <f>IFERROR(VLOOKUP(B74,'DE x PARA'!B68:K2234,10,FALSE),"SINTÉTICA")</f>
        <v>600005</v>
      </c>
      <c r="N74" s="346">
        <f>IFERROR(VLOOKUP(M74,'DE x PARA'!$K$2:$L$2168,2,FALSE),0)</f>
        <v>-1</v>
      </c>
      <c r="O74" s="344">
        <f t="shared" si="11"/>
        <v>135700.92000000001</v>
      </c>
    </row>
    <row r="75" spans="1:15">
      <c r="A75" s="343" t="str">
        <f t="shared" si="8"/>
        <v>1.2.3.98.0003</v>
      </c>
      <c r="B75" s="343" t="s">
        <v>652</v>
      </c>
      <c r="C75" s="343">
        <v>123983</v>
      </c>
      <c r="D75" s="94" t="s">
        <v>653</v>
      </c>
      <c r="E75" s="344">
        <v>-773011.78</v>
      </c>
      <c r="F75" s="344">
        <v>0</v>
      </c>
      <c r="G75" s="344">
        <v>-8080.56</v>
      </c>
      <c r="H75" s="344">
        <v>-8080.56</v>
      </c>
      <c r="I75" s="344">
        <v>-781092.34</v>
      </c>
      <c r="J75" s="345">
        <f t="shared" si="9"/>
        <v>-781.09233999999992</v>
      </c>
      <c r="K75" s="908">
        <f t="shared" si="10"/>
        <v>-781</v>
      </c>
      <c r="L75" s="346">
        <f>IFERROR(VLOOKUP(C75,'DE x PARA'!C69:K2235,7,FALSE),"SINTÉTICA")</f>
        <v>500001</v>
      </c>
      <c r="M75" s="346">
        <f>IFERROR(VLOOKUP(B75,'DE x PARA'!B69:K2235,10,FALSE),"SINTÉTICA")</f>
        <v>600005</v>
      </c>
      <c r="N75" s="346">
        <f>IFERROR(VLOOKUP(M75,'DE x PARA'!$K$2:$L$2168,2,FALSE),0)</f>
        <v>-1</v>
      </c>
      <c r="O75" s="344">
        <f t="shared" si="11"/>
        <v>8080.56</v>
      </c>
    </row>
    <row r="76" spans="1:15">
      <c r="A76" s="343" t="str">
        <f t="shared" si="8"/>
        <v>1.2.3.98.0004</v>
      </c>
      <c r="B76" s="343" t="s">
        <v>654</v>
      </c>
      <c r="C76" s="343">
        <v>123984</v>
      </c>
      <c r="D76" s="94" t="s">
        <v>655</v>
      </c>
      <c r="E76" s="344">
        <v>-10982883.859999999</v>
      </c>
      <c r="F76" s="344">
        <v>0</v>
      </c>
      <c r="G76" s="344">
        <v>-740371.08</v>
      </c>
      <c r="H76" s="344">
        <v>-740371.08</v>
      </c>
      <c r="I76" s="344">
        <v>-11723254.939999999</v>
      </c>
      <c r="J76" s="345">
        <f t="shared" si="9"/>
        <v>-11723.254939999999</v>
      </c>
      <c r="K76" s="908">
        <f t="shared" si="10"/>
        <v>-11723</v>
      </c>
      <c r="L76" s="346">
        <f>IFERROR(VLOOKUP(C76,'DE x PARA'!C70:K2236,7,FALSE),"SINTÉTICA")</f>
        <v>500001</v>
      </c>
      <c r="M76" s="346">
        <f>IFERROR(VLOOKUP(B76,'DE x PARA'!B70:K2236,10,FALSE),"SINTÉTICA")</f>
        <v>600005</v>
      </c>
      <c r="N76" s="346">
        <f>IFERROR(VLOOKUP(M76,'DE x PARA'!$K$2:$L$2168,2,FALSE),0)</f>
        <v>-1</v>
      </c>
      <c r="O76" s="344">
        <f t="shared" si="11"/>
        <v>740371.08</v>
      </c>
    </row>
    <row r="77" spans="1:15">
      <c r="A77" s="343" t="str">
        <f t="shared" si="8"/>
        <v>1.2.3.98.0006</v>
      </c>
      <c r="B77" s="343" t="s">
        <v>656</v>
      </c>
      <c r="C77" s="343">
        <v>123986</v>
      </c>
      <c r="D77" s="94" t="s">
        <v>657</v>
      </c>
      <c r="E77" s="344">
        <v>-2104295.86</v>
      </c>
      <c r="F77" s="344">
        <v>0</v>
      </c>
      <c r="G77" s="344">
        <v>-49988.46</v>
      </c>
      <c r="H77" s="344">
        <v>-49988.46</v>
      </c>
      <c r="I77" s="344">
        <v>-2154284.3199999998</v>
      </c>
      <c r="J77" s="345">
        <f t="shared" si="9"/>
        <v>-2154.2843199999998</v>
      </c>
      <c r="K77" s="908">
        <f t="shared" si="10"/>
        <v>-2154</v>
      </c>
      <c r="L77" s="346">
        <f>IFERROR(VLOOKUP(C77,'DE x PARA'!C71:K2237,7,FALSE),"SINTÉTICA")</f>
        <v>500001</v>
      </c>
      <c r="M77" s="346">
        <f>IFERROR(VLOOKUP(B77,'DE x PARA'!B71:K2237,10,FALSE),"SINTÉTICA")</f>
        <v>600005</v>
      </c>
      <c r="N77" s="346">
        <f>IFERROR(VLOOKUP(M77,'DE x PARA'!$K$2:$L$2168,2,FALSE),0)</f>
        <v>-1</v>
      </c>
      <c r="O77" s="344">
        <f t="shared" si="11"/>
        <v>49988.46</v>
      </c>
    </row>
    <row r="78" spans="1:15">
      <c r="A78" s="343" t="str">
        <f t="shared" si="8"/>
        <v>1.2.4</v>
      </c>
      <c r="B78" s="343" t="s">
        <v>70</v>
      </c>
      <c r="C78" s="343">
        <v>124</v>
      </c>
      <c r="D78" s="94" t="s">
        <v>658</v>
      </c>
      <c r="E78" s="344">
        <v>1183944.53</v>
      </c>
      <c r="F78" s="344">
        <v>799983.52</v>
      </c>
      <c r="G78" s="344">
        <v>-279340.24</v>
      </c>
      <c r="H78" s="344">
        <v>520643.28</v>
      </c>
      <c r="I78" s="344">
        <v>1704587.81</v>
      </c>
      <c r="J78" s="345">
        <f t="shared" si="9"/>
        <v>1704.58781</v>
      </c>
      <c r="K78" s="908">
        <f t="shared" si="10"/>
        <v>1705</v>
      </c>
      <c r="L78" s="346">
        <f>IFERROR(VLOOKUP(C78,'DE x PARA'!C72:K2238,7,FALSE),"SINTÉTICA")</f>
        <v>0</v>
      </c>
      <c r="M78" s="346">
        <f>IFERROR(VLOOKUP(B78,'DE x PARA'!B72:K2238,10,FALSE),"SINTÉTICA")</f>
        <v>0</v>
      </c>
      <c r="N78" s="346">
        <f>IFERROR(VLOOKUP(M78,'DE x PARA'!$K$2:$L$2168,2,FALSE),0)</f>
        <v>0</v>
      </c>
      <c r="O78" s="344">
        <f t="shared" si="11"/>
        <v>0</v>
      </c>
    </row>
    <row r="79" spans="1:15">
      <c r="A79" s="343" t="str">
        <f t="shared" si="8"/>
        <v>1.2.4.01</v>
      </c>
      <c r="B79" s="343" t="s">
        <v>659</v>
      </c>
      <c r="C79" s="343">
        <v>1241</v>
      </c>
      <c r="D79" s="94" t="s">
        <v>434</v>
      </c>
      <c r="E79" s="344">
        <v>13586005.869999999</v>
      </c>
      <c r="F79" s="344">
        <v>799979.77</v>
      </c>
      <c r="G79" s="344">
        <v>-250</v>
      </c>
      <c r="H79" s="344">
        <v>799729.77</v>
      </c>
      <c r="I79" s="344">
        <v>14385735.640000001</v>
      </c>
      <c r="J79" s="345">
        <f t="shared" si="9"/>
        <v>14385.735640000001</v>
      </c>
      <c r="K79" s="908">
        <f t="shared" si="10"/>
        <v>14386</v>
      </c>
      <c r="L79" s="346">
        <f>IFERROR(VLOOKUP(C79,'DE x PARA'!C73:K2239,7,FALSE),"SINTÉTICA")</f>
        <v>0</v>
      </c>
      <c r="M79" s="346">
        <f>IFERROR(VLOOKUP(B79,'DE x PARA'!B73:K2239,10,FALSE),"SINTÉTICA")</f>
        <v>0</v>
      </c>
      <c r="N79" s="346">
        <f>IFERROR(VLOOKUP(M79,'DE x PARA'!$K$2:$L$2168,2,FALSE),0)</f>
        <v>0</v>
      </c>
      <c r="O79" s="344">
        <f t="shared" si="11"/>
        <v>0</v>
      </c>
    </row>
    <row r="80" spans="1:15">
      <c r="A80" s="343" t="str">
        <f t="shared" si="8"/>
        <v>1.2.4.01.0001</v>
      </c>
      <c r="B80" s="343" t="s">
        <v>660</v>
      </c>
      <c r="C80" s="343">
        <v>124101</v>
      </c>
      <c r="D80" s="94" t="s">
        <v>434</v>
      </c>
      <c r="E80" s="344">
        <v>13586005.869999999</v>
      </c>
      <c r="F80" s="344">
        <v>799979.77</v>
      </c>
      <c r="G80" s="344">
        <v>-250</v>
      </c>
      <c r="H80" s="344">
        <v>799729.77</v>
      </c>
      <c r="I80" s="344">
        <v>14385735.640000001</v>
      </c>
      <c r="J80" s="345">
        <f t="shared" si="9"/>
        <v>14385.735640000001</v>
      </c>
      <c r="K80" s="908">
        <f t="shared" si="10"/>
        <v>14386</v>
      </c>
      <c r="L80" s="346">
        <f>IFERROR(VLOOKUP(C80,'DE x PARA'!C74:K2240,7,FALSE),"SINTÉTICA")</f>
        <v>500001</v>
      </c>
      <c r="M80" s="346">
        <f>IFERROR(VLOOKUP(B80,'DE x PARA'!B74:K2240,10,FALSE),"SINTÉTICA")</f>
        <v>600023</v>
      </c>
      <c r="N80" s="346">
        <f>IFERROR(VLOOKUP(M80,'DE x PARA'!$K$2:$L$2168,2,FALSE),0)</f>
        <v>-1</v>
      </c>
      <c r="O80" s="344">
        <f t="shared" si="11"/>
        <v>-799729.77</v>
      </c>
    </row>
    <row r="81" spans="1:15">
      <c r="A81" s="343" t="str">
        <f t="shared" si="8"/>
        <v>1.2.4.98</v>
      </c>
      <c r="B81" s="343" t="s">
        <v>661</v>
      </c>
      <c r="C81" s="347">
        <v>12498</v>
      </c>
      <c r="D81" s="94" t="s">
        <v>662</v>
      </c>
      <c r="E81" s="344">
        <v>-12402061.34</v>
      </c>
      <c r="F81" s="344">
        <v>3.75</v>
      </c>
      <c r="G81" s="344">
        <v>-279090.24</v>
      </c>
      <c r="H81" s="344">
        <v>-279086.49</v>
      </c>
      <c r="I81" s="344">
        <v>-12681147.83</v>
      </c>
      <c r="J81" s="345">
        <f t="shared" si="9"/>
        <v>-12681.14783</v>
      </c>
      <c r="K81" s="908">
        <f t="shared" si="10"/>
        <v>-12681</v>
      </c>
      <c r="L81" s="346">
        <f>IFERROR(VLOOKUP(C81,'DE x PARA'!C75:K2241,7,FALSE),"SINTÉTICA")</f>
        <v>0</v>
      </c>
      <c r="M81" s="346">
        <f>IFERROR(VLOOKUP(B81,'DE x PARA'!B75:K2241,10,FALSE),"SINTÉTICA")</f>
        <v>0</v>
      </c>
      <c r="N81" s="346">
        <f>IFERROR(VLOOKUP(M81,'DE x PARA'!$K$2:$L$2168,2,FALSE),0)</f>
        <v>0</v>
      </c>
      <c r="O81" s="344">
        <f t="shared" si="11"/>
        <v>0</v>
      </c>
    </row>
    <row r="82" spans="1:15">
      <c r="A82" s="343" t="str">
        <f t="shared" si="8"/>
        <v>1.2.4.98.0001</v>
      </c>
      <c r="B82" s="343" t="s">
        <v>663</v>
      </c>
      <c r="C82" s="347">
        <v>1242</v>
      </c>
      <c r="D82" s="94" t="s">
        <v>664</v>
      </c>
      <c r="E82" s="344">
        <v>-12402061.34</v>
      </c>
      <c r="F82" s="344">
        <v>3.75</v>
      </c>
      <c r="G82" s="344">
        <v>-279090.24</v>
      </c>
      <c r="H82" s="344">
        <v>-279086.49</v>
      </c>
      <c r="I82" s="344">
        <v>-12681147.83</v>
      </c>
      <c r="J82" s="345">
        <f t="shared" si="9"/>
        <v>-12681.14783</v>
      </c>
      <c r="K82" s="908">
        <f t="shared" si="10"/>
        <v>-12681</v>
      </c>
      <c r="L82" s="346">
        <f>IFERROR(VLOOKUP(C82,'DE x PARA'!C76:K2242,7,FALSE),"SINTÉTICA")</f>
        <v>500001</v>
      </c>
      <c r="M82" s="346">
        <f>IFERROR(VLOOKUP(B82,'DE x PARA'!B76:K2242,10,FALSE),"SINTÉTICA")</f>
        <v>600005</v>
      </c>
      <c r="N82" s="346">
        <f>IFERROR(VLOOKUP(M82,'DE x PARA'!$K$2:$L$2168,2,FALSE),0)</f>
        <v>-1</v>
      </c>
      <c r="O82" s="344">
        <f t="shared" si="11"/>
        <v>279086.49</v>
      </c>
    </row>
    <row r="83" spans="1:15">
      <c r="A83" s="343" t="str">
        <f t="shared" si="8"/>
        <v>1.2.5</v>
      </c>
      <c r="B83" s="343" t="s">
        <v>68</v>
      </c>
      <c r="C83" s="347">
        <v>125</v>
      </c>
      <c r="D83" s="94" t="s">
        <v>181</v>
      </c>
      <c r="E83" s="344">
        <v>13298798.689999999</v>
      </c>
      <c r="F83" s="344">
        <v>0</v>
      </c>
      <c r="G83" s="344">
        <v>-1477644.3</v>
      </c>
      <c r="H83" s="344">
        <v>-1477644.3</v>
      </c>
      <c r="I83" s="344">
        <v>11821154.390000001</v>
      </c>
      <c r="J83" s="345">
        <f t="shared" si="9"/>
        <v>11821.15439</v>
      </c>
      <c r="K83" s="908">
        <f t="shared" si="10"/>
        <v>11821</v>
      </c>
      <c r="L83" s="346">
        <f>IFERROR(VLOOKUP(C83,'DE x PARA'!C77:K2243,7,FALSE),"SINTÉTICA")</f>
        <v>0</v>
      </c>
      <c r="M83" s="346">
        <f>IFERROR(VLOOKUP(B83,'DE x PARA'!B77:K2243,10,FALSE),"SINTÉTICA")</f>
        <v>0</v>
      </c>
      <c r="N83" s="346">
        <f>IFERROR(VLOOKUP(M83,'DE x PARA'!$K$2:$L$2168,2,FALSE),0)</f>
        <v>0</v>
      </c>
      <c r="O83" s="344">
        <f t="shared" si="11"/>
        <v>0</v>
      </c>
    </row>
    <row r="84" spans="1:15">
      <c r="A84" s="343" t="str">
        <f t="shared" si="8"/>
        <v>1.2.5.01</v>
      </c>
      <c r="B84" s="343" t="s">
        <v>1681</v>
      </c>
      <c r="C84" s="347">
        <v>1251</v>
      </c>
      <c r="D84" s="94" t="s">
        <v>181</v>
      </c>
      <c r="E84" s="344">
        <v>13298798.689999999</v>
      </c>
      <c r="F84" s="344">
        <v>0</v>
      </c>
      <c r="G84" s="344">
        <v>-1477644.3</v>
      </c>
      <c r="H84" s="344">
        <v>-1477644.3</v>
      </c>
      <c r="I84" s="344">
        <v>11821154.390000001</v>
      </c>
      <c r="J84" s="345">
        <f t="shared" si="9"/>
        <v>11821.15439</v>
      </c>
      <c r="K84" s="908">
        <f t="shared" si="10"/>
        <v>11821</v>
      </c>
      <c r="L84" s="346">
        <f>IFERROR(VLOOKUP(C84,'DE x PARA'!C78:K2244,7,FALSE),"SINTÉTICA")</f>
        <v>0</v>
      </c>
      <c r="M84" s="346">
        <f>IFERROR(VLOOKUP(B84,'DE x PARA'!B78:K2244,10,FALSE),"SINTÉTICA")</f>
        <v>0</v>
      </c>
      <c r="N84" s="346">
        <f>IFERROR(VLOOKUP(M84,'DE x PARA'!$K$2:$L$2168,2,FALSE),0)</f>
        <v>0</v>
      </c>
      <c r="O84" s="344">
        <f t="shared" si="11"/>
        <v>0</v>
      </c>
    </row>
    <row r="85" spans="1:15">
      <c r="A85" s="343" t="str">
        <f t="shared" si="8"/>
        <v>1.2.5.01.0001</v>
      </c>
      <c r="B85" s="343" t="s">
        <v>1682</v>
      </c>
      <c r="C85" s="347">
        <v>12511</v>
      </c>
      <c r="D85" s="94" t="s">
        <v>1677</v>
      </c>
      <c r="E85" s="344">
        <v>24551214.710000001</v>
      </c>
      <c r="F85" s="344">
        <v>0</v>
      </c>
      <c r="G85" s="344">
        <v>0</v>
      </c>
      <c r="H85" s="344">
        <v>0</v>
      </c>
      <c r="I85" s="344">
        <v>24551214.710000001</v>
      </c>
      <c r="J85" s="345">
        <f t="shared" si="9"/>
        <v>24551.21471</v>
      </c>
      <c r="K85" s="908">
        <f t="shared" si="10"/>
        <v>24551</v>
      </c>
      <c r="L85" s="346">
        <f>IFERROR(VLOOKUP(C85,'DE x PARA'!C79:K2245,7,FALSE),"SINTÉTICA")</f>
        <v>500001</v>
      </c>
      <c r="M85" s="346">
        <f>IFERROR(VLOOKUP(B85,'DE x PARA'!B79:K2245,10,FALSE),"SINTÉTICA")</f>
        <v>600022</v>
      </c>
      <c r="N85" s="346">
        <f>IFERROR(VLOOKUP(M85,'DE x PARA'!$K$2:$L$2168,2,FALSE),0)</f>
        <v>-1</v>
      </c>
      <c r="O85" s="344">
        <f t="shared" si="11"/>
        <v>0</v>
      </c>
    </row>
    <row r="86" spans="1:15">
      <c r="A86" s="343" t="str">
        <f t="shared" si="8"/>
        <v>1.2.5.01.0002</v>
      </c>
      <c r="B86" s="343" t="s">
        <v>1683</v>
      </c>
      <c r="C86" s="347">
        <v>12512</v>
      </c>
      <c r="D86" s="94" t="s">
        <v>1680</v>
      </c>
      <c r="E86" s="344">
        <v>-11252416.02</v>
      </c>
      <c r="F86" s="344">
        <v>0</v>
      </c>
      <c r="G86" s="344">
        <v>-1477644.3</v>
      </c>
      <c r="H86" s="344">
        <v>-1477644.3</v>
      </c>
      <c r="I86" s="344">
        <v>-12730060.32</v>
      </c>
      <c r="J86" s="345">
        <f t="shared" si="9"/>
        <v>-12730.060320000001</v>
      </c>
      <c r="K86" s="908">
        <f t="shared" si="10"/>
        <v>-12730</v>
      </c>
      <c r="L86" s="346">
        <f>IFERROR(VLOOKUP(C86,'DE x PARA'!C80:K2246,7,FALSE),"SINTÉTICA")</f>
        <v>500001</v>
      </c>
      <c r="M86" s="346">
        <f>IFERROR(VLOOKUP(B86,'DE x PARA'!B80:K2246,10,FALSE),"SINTÉTICA")</f>
        <v>600006</v>
      </c>
      <c r="N86" s="346">
        <f>IFERROR(VLOOKUP(M86,'DE x PARA'!$K$2:$L$2168,2,FALSE),0)</f>
        <v>-1</v>
      </c>
      <c r="O86" s="344">
        <f t="shared" si="11"/>
        <v>1477644.3</v>
      </c>
    </row>
    <row r="87" spans="1:15">
      <c r="A87" s="343">
        <f t="shared" si="8"/>
        <v>2</v>
      </c>
      <c r="B87" s="343">
        <v>2</v>
      </c>
      <c r="C87" s="347">
        <v>2</v>
      </c>
      <c r="D87" s="94" t="s">
        <v>665</v>
      </c>
      <c r="E87" s="344">
        <v>-82706096.079999998</v>
      </c>
      <c r="F87" s="344">
        <v>155663040.13999999</v>
      </c>
      <c r="G87" s="344">
        <v>-145262438.62</v>
      </c>
      <c r="H87" s="344">
        <v>10400601.52</v>
      </c>
      <c r="I87" s="344">
        <v>-72305494.560000002</v>
      </c>
      <c r="J87" s="345">
        <f t="shared" si="9"/>
        <v>-72305.494560000006</v>
      </c>
      <c r="K87" s="908">
        <f t="shared" si="10"/>
        <v>-72305</v>
      </c>
      <c r="L87" s="346">
        <f>IFERROR(VLOOKUP(C87,'DE x PARA'!C81:K2247,7,FALSE),"SINTÉTICA")</f>
        <v>0</v>
      </c>
      <c r="M87" s="346">
        <f>IFERROR(VLOOKUP(B87,'DE x PARA'!B81:K2247,10,FALSE),"SINTÉTICA")</f>
        <v>0</v>
      </c>
      <c r="N87" s="346">
        <f>IFERROR(VLOOKUP(M87,'DE x PARA'!$K$2:$L$2168,2,FALSE),0)</f>
        <v>0</v>
      </c>
      <c r="O87" s="344">
        <f t="shared" si="11"/>
        <v>0</v>
      </c>
    </row>
    <row r="88" spans="1:15">
      <c r="A88" s="343" t="str">
        <f t="shared" si="8"/>
        <v>2.1</v>
      </c>
      <c r="B88" s="343" t="s">
        <v>666</v>
      </c>
      <c r="C88" s="347">
        <v>21</v>
      </c>
      <c r="D88" s="94" t="s">
        <v>50</v>
      </c>
      <c r="E88" s="344">
        <v>-33627711.399999999</v>
      </c>
      <c r="F88" s="344">
        <v>121493381.15000001</v>
      </c>
      <c r="G88" s="344">
        <v>-128370584.03</v>
      </c>
      <c r="H88" s="344">
        <v>-6877202.8799999999</v>
      </c>
      <c r="I88" s="344">
        <v>-40504914.280000001</v>
      </c>
      <c r="J88" s="345">
        <f t="shared" si="9"/>
        <v>-40504.914280000005</v>
      </c>
      <c r="K88" s="908">
        <f t="shared" si="10"/>
        <v>-40505</v>
      </c>
      <c r="L88" s="346">
        <f>IFERROR(VLOOKUP(C88,'DE x PARA'!C82:K2248,7,FALSE),"SINTÉTICA")</f>
        <v>0</v>
      </c>
      <c r="M88" s="346">
        <f>IFERROR(VLOOKUP(B88,'DE x PARA'!B82:K2248,10,FALSE),"SINTÉTICA")</f>
        <v>0</v>
      </c>
      <c r="N88" s="346">
        <f>IFERROR(VLOOKUP(M88,'DE x PARA'!$K$2:$L$2168,2,FALSE),0)</f>
        <v>0</v>
      </c>
      <c r="O88" s="344">
        <f t="shared" si="11"/>
        <v>0</v>
      </c>
    </row>
    <row r="89" spans="1:15">
      <c r="A89" s="343" t="str">
        <f t="shared" si="8"/>
        <v>2.1.1</v>
      </c>
      <c r="B89" s="343" t="s">
        <v>667</v>
      </c>
      <c r="C89" s="347">
        <v>211</v>
      </c>
      <c r="D89" s="94" t="s">
        <v>668</v>
      </c>
      <c r="E89" s="344">
        <v>-33627711.399999999</v>
      </c>
      <c r="F89" s="344">
        <v>121493381.15000001</v>
      </c>
      <c r="G89" s="344">
        <v>-128370584.03</v>
      </c>
      <c r="H89" s="344">
        <v>-6877202.8799999999</v>
      </c>
      <c r="I89" s="344">
        <v>-40504914.280000001</v>
      </c>
      <c r="J89" s="345">
        <f t="shared" si="9"/>
        <v>-40504.914280000005</v>
      </c>
      <c r="K89" s="908">
        <f t="shared" si="10"/>
        <v>-40505</v>
      </c>
      <c r="L89" s="346">
        <f>IFERROR(VLOOKUP(C89,'DE x PARA'!C83:K2249,7,FALSE),"SINTÉTICA")</f>
        <v>0</v>
      </c>
      <c r="M89" s="346">
        <f>IFERROR(VLOOKUP(B89,'DE x PARA'!B83:K2249,10,FALSE),"SINTÉTICA")</f>
        <v>0</v>
      </c>
      <c r="N89" s="346">
        <f>IFERROR(VLOOKUP(M89,'DE x PARA'!$K$2:$L$2168,2,FALSE),0)</f>
        <v>0</v>
      </c>
      <c r="O89" s="344">
        <f t="shared" si="11"/>
        <v>0</v>
      </c>
    </row>
    <row r="90" spans="1:15">
      <c r="A90" s="343" t="str">
        <f t="shared" si="8"/>
        <v>2.1.1.04</v>
      </c>
      <c r="B90" s="343" t="s">
        <v>669</v>
      </c>
      <c r="C90" s="347">
        <v>2114</v>
      </c>
      <c r="D90" s="94" t="s">
        <v>670</v>
      </c>
      <c r="E90" s="344">
        <v>-196023.61</v>
      </c>
      <c r="F90" s="344">
        <v>17220454.899999999</v>
      </c>
      <c r="G90" s="344">
        <v>-18189264.52</v>
      </c>
      <c r="H90" s="344">
        <v>-968809.62</v>
      </c>
      <c r="I90" s="344">
        <v>-1164833.23</v>
      </c>
      <c r="J90" s="345">
        <f t="shared" si="9"/>
        <v>-1164.83323</v>
      </c>
      <c r="K90" s="908">
        <f t="shared" si="10"/>
        <v>-1165</v>
      </c>
      <c r="L90" s="346">
        <f>IFERROR(VLOOKUP(C90,'DE x PARA'!C84:K2250,7,FALSE),"SINTÉTICA")</f>
        <v>0</v>
      </c>
      <c r="M90" s="346">
        <f>IFERROR(VLOOKUP(B90,'DE x PARA'!B84:K2250,10,FALSE),"SINTÉTICA")</f>
        <v>0</v>
      </c>
      <c r="N90" s="346">
        <f>IFERROR(VLOOKUP(M90,'DE x PARA'!$K$2:$L$2168,2,FALSE),0)</f>
        <v>0</v>
      </c>
      <c r="O90" s="344">
        <f t="shared" si="11"/>
        <v>0</v>
      </c>
    </row>
    <row r="91" spans="1:15">
      <c r="A91" s="343" t="str">
        <f t="shared" si="8"/>
        <v>2.1.1.04.0001</v>
      </c>
      <c r="B91" s="343" t="s">
        <v>671</v>
      </c>
      <c r="C91" s="347">
        <v>60444400000000</v>
      </c>
      <c r="D91" s="94" t="s">
        <v>672</v>
      </c>
      <c r="E91" s="344">
        <v>0</v>
      </c>
      <c r="F91" s="344">
        <v>318388.65999999997</v>
      </c>
      <c r="G91" s="344">
        <v>-318388.65999999997</v>
      </c>
      <c r="H91" s="344">
        <v>0</v>
      </c>
      <c r="I91" s="344">
        <v>0</v>
      </c>
      <c r="J91" s="345">
        <f t="shared" si="9"/>
        <v>0</v>
      </c>
      <c r="K91" s="908">
        <f t="shared" si="10"/>
        <v>0</v>
      </c>
      <c r="L91" s="346" t="str">
        <f>IFERROR(VLOOKUP(C91,'DE x PARA'!C85:K2251,7,FALSE),"SINTÉTICA")</f>
        <v>SINTÉTICA</v>
      </c>
      <c r="M91" s="346">
        <f>IFERROR(VLOOKUP(B91,'DE x PARA'!B85:K2251,10,FALSE),"SINTÉTICA")</f>
        <v>600017</v>
      </c>
      <c r="N91" s="346">
        <f>IFERROR(VLOOKUP(M91,'DE x PARA'!$K$2:$L$2168,2,FALSE),0)</f>
        <v>-1</v>
      </c>
      <c r="O91" s="344">
        <f t="shared" si="11"/>
        <v>0</v>
      </c>
    </row>
    <row r="92" spans="1:15">
      <c r="A92" s="343" t="str">
        <f t="shared" si="8"/>
        <v>2.1.1.04.0002</v>
      </c>
      <c r="B92" s="343" t="s">
        <v>1698</v>
      </c>
      <c r="C92" s="347">
        <v>57143000000000</v>
      </c>
      <c r="D92" s="94" t="s">
        <v>1699</v>
      </c>
      <c r="E92" s="344">
        <v>0</v>
      </c>
      <c r="F92" s="344">
        <v>2374264.2400000002</v>
      </c>
      <c r="G92" s="344">
        <v>-2374264.2400000002</v>
      </c>
      <c r="H92" s="344">
        <v>0</v>
      </c>
      <c r="I92" s="344">
        <v>0</v>
      </c>
      <c r="J92" s="345">
        <f t="shared" si="9"/>
        <v>0</v>
      </c>
      <c r="K92" s="908">
        <f t="shared" si="10"/>
        <v>0</v>
      </c>
      <c r="L92" s="346" t="str">
        <f>IFERROR(VLOOKUP(C92,'DE x PARA'!C86:K2252,7,FALSE),"SINTÉTICA")</f>
        <v>SINTÉTICA</v>
      </c>
      <c r="M92" s="346">
        <f>IFERROR(VLOOKUP(B92,'DE x PARA'!B86:K2252,10,FALSE),"SINTÉTICA")</f>
        <v>600017</v>
      </c>
      <c r="N92" s="346">
        <f>IFERROR(VLOOKUP(M92,'DE x PARA'!$K$2:$L$2168,2,FALSE),0)</f>
        <v>-1</v>
      </c>
      <c r="O92" s="344">
        <f t="shared" si="11"/>
        <v>0</v>
      </c>
    </row>
    <row r="93" spans="1:15">
      <c r="A93" s="343" t="str">
        <f t="shared" si="8"/>
        <v>2.1.1.04.0003</v>
      </c>
      <c r="B93" s="343" t="s">
        <v>673</v>
      </c>
      <c r="C93" s="347">
        <v>34028300000000</v>
      </c>
      <c r="D93" s="94" t="s">
        <v>674</v>
      </c>
      <c r="E93" s="344">
        <v>0</v>
      </c>
      <c r="F93" s="344">
        <v>1264.83</v>
      </c>
      <c r="G93" s="344">
        <v>-1264.83</v>
      </c>
      <c r="H93" s="344">
        <v>0</v>
      </c>
      <c r="I93" s="344">
        <v>0</v>
      </c>
      <c r="J93" s="345">
        <f t="shared" si="9"/>
        <v>0</v>
      </c>
      <c r="K93" s="908">
        <f t="shared" si="10"/>
        <v>0</v>
      </c>
      <c r="L93" s="346" t="str">
        <f>IFERROR(VLOOKUP(C93,'DE x PARA'!C87:K2253,7,FALSE),"SINTÉTICA")</f>
        <v>SINTÉTICA</v>
      </c>
      <c r="M93" s="346">
        <f>IFERROR(VLOOKUP(B93,'DE x PARA'!B87:K2253,10,FALSE),"SINTÉTICA")</f>
        <v>600017</v>
      </c>
      <c r="N93" s="346">
        <f>IFERROR(VLOOKUP(M93,'DE x PARA'!$K$2:$L$2168,2,FALSE),0)</f>
        <v>-1</v>
      </c>
      <c r="O93" s="344">
        <f t="shared" si="11"/>
        <v>0</v>
      </c>
    </row>
    <row r="94" spans="1:15">
      <c r="A94" s="343" t="str">
        <f t="shared" si="8"/>
        <v>2.1.1.04.0011</v>
      </c>
      <c r="B94" s="343" t="s">
        <v>675</v>
      </c>
      <c r="C94" s="347" t="s">
        <v>676</v>
      </c>
      <c r="D94" s="94" t="s">
        <v>677</v>
      </c>
      <c r="E94" s="344">
        <v>-987.62</v>
      </c>
      <c r="F94" s="344">
        <v>167926.08</v>
      </c>
      <c r="G94" s="344">
        <v>-166938.46</v>
      </c>
      <c r="H94" s="344">
        <v>987.62</v>
      </c>
      <c r="I94" s="344">
        <v>0</v>
      </c>
      <c r="J94" s="345">
        <f t="shared" si="9"/>
        <v>0</v>
      </c>
      <c r="K94" s="908">
        <f t="shared" si="10"/>
        <v>0</v>
      </c>
      <c r="L94" s="346">
        <f>IFERROR(VLOOKUP(C94,'DE x PARA'!C88:K2254,7,FALSE),"SINTÉTICA")</f>
        <v>500001</v>
      </c>
      <c r="M94" s="346">
        <f>IFERROR(VLOOKUP(B94,'DE x PARA'!B88:K2254,10,FALSE),"SINTÉTICA")</f>
        <v>600017</v>
      </c>
      <c r="N94" s="346">
        <f>IFERROR(VLOOKUP(M94,'DE x PARA'!$K$2:$L$2168,2,FALSE),0)</f>
        <v>-1</v>
      </c>
      <c r="O94" s="344">
        <f t="shared" si="11"/>
        <v>-987.62</v>
      </c>
    </row>
    <row r="95" spans="1:15">
      <c r="A95" s="343" t="str">
        <f t="shared" si="8"/>
        <v>2.1.1.04.0041</v>
      </c>
      <c r="B95" s="343" t="s">
        <v>681</v>
      </c>
      <c r="C95" s="347" t="s">
        <v>682</v>
      </c>
      <c r="D95" s="94" t="s">
        <v>683</v>
      </c>
      <c r="E95" s="344">
        <v>0</v>
      </c>
      <c r="F95" s="344">
        <v>2427355.2799999998</v>
      </c>
      <c r="G95" s="344">
        <v>-2892174.56</v>
      </c>
      <c r="H95" s="344">
        <v>-464819.28</v>
      </c>
      <c r="I95" s="344">
        <v>-464819.28</v>
      </c>
      <c r="J95" s="345">
        <f t="shared" si="9"/>
        <v>-464.81928000000005</v>
      </c>
      <c r="K95" s="908">
        <f t="shared" si="10"/>
        <v>-465</v>
      </c>
      <c r="L95" s="346">
        <f>IFERROR(VLOOKUP(C95,'DE x PARA'!C89:K2255,7,FALSE),"SINTÉTICA")</f>
        <v>500001</v>
      </c>
      <c r="M95" s="346">
        <f>IFERROR(VLOOKUP(B95,'DE x PARA'!B89:K2255,10,FALSE),"SINTÉTICA")</f>
        <v>600017</v>
      </c>
      <c r="N95" s="346">
        <f>IFERROR(VLOOKUP(M95,'DE x PARA'!$K$2:$L$2168,2,FALSE),0)</f>
        <v>-1</v>
      </c>
      <c r="O95" s="344">
        <f t="shared" si="11"/>
        <v>464819.28</v>
      </c>
    </row>
    <row r="96" spans="1:15">
      <c r="A96" s="343" t="str">
        <f t="shared" si="8"/>
        <v>2.1.1.04.0100</v>
      </c>
      <c r="B96" s="343" t="s">
        <v>1964</v>
      </c>
      <c r="C96" s="347" t="s">
        <v>1965</v>
      </c>
      <c r="D96" s="94" t="s">
        <v>1966</v>
      </c>
      <c r="E96" s="344">
        <v>0</v>
      </c>
      <c r="F96" s="344">
        <v>7580</v>
      </c>
      <c r="G96" s="344">
        <v>-7580</v>
      </c>
      <c r="H96" s="344">
        <v>0</v>
      </c>
      <c r="I96" s="344">
        <v>0</v>
      </c>
      <c r="J96" s="345">
        <f t="shared" si="9"/>
        <v>0</v>
      </c>
      <c r="K96" s="908">
        <f t="shared" si="10"/>
        <v>0</v>
      </c>
      <c r="L96" s="346">
        <f>IFERROR(VLOOKUP(C96,'DE x PARA'!C90:K2256,7,FALSE),"SINTÉTICA")</f>
        <v>500001</v>
      </c>
      <c r="M96" s="346">
        <f>IFERROR(VLOOKUP(B96,'DE x PARA'!B90:K2256,10,FALSE),"SINTÉTICA")</f>
        <v>600017</v>
      </c>
      <c r="N96" s="346">
        <f>IFERROR(VLOOKUP(M96,'DE x PARA'!$K$2:$L$2168,2,FALSE),0)</f>
        <v>-1</v>
      </c>
      <c r="O96" s="344">
        <f t="shared" si="11"/>
        <v>0</v>
      </c>
    </row>
    <row r="97" spans="1:15">
      <c r="A97" s="343" t="str">
        <f t="shared" si="8"/>
        <v>2.1.1.04.0103</v>
      </c>
      <c r="B97" s="343" t="s">
        <v>690</v>
      </c>
      <c r="C97" s="347" t="s">
        <v>691</v>
      </c>
      <c r="D97" s="94" t="s">
        <v>692</v>
      </c>
      <c r="E97" s="344">
        <v>0</v>
      </c>
      <c r="F97" s="344">
        <v>7838.31</v>
      </c>
      <c r="G97" s="344">
        <v>-9063.06</v>
      </c>
      <c r="H97" s="344">
        <v>-1224.75</v>
      </c>
      <c r="I97" s="344">
        <v>-1224.75</v>
      </c>
      <c r="J97" s="345">
        <f t="shared" si="9"/>
        <v>-1.22475</v>
      </c>
      <c r="K97" s="908">
        <f t="shared" si="10"/>
        <v>-1</v>
      </c>
      <c r="L97" s="346">
        <f>IFERROR(VLOOKUP(C97,'DE x PARA'!C91:K2257,7,FALSE),"SINTÉTICA")</f>
        <v>500001</v>
      </c>
      <c r="M97" s="346">
        <f>IFERROR(VLOOKUP(B97,'DE x PARA'!B91:K2257,10,FALSE),"SINTÉTICA")</f>
        <v>600017</v>
      </c>
      <c r="N97" s="346">
        <f>IFERROR(VLOOKUP(M97,'DE x PARA'!$K$2:$L$2168,2,FALSE),0)</f>
        <v>-1</v>
      </c>
      <c r="O97" s="344">
        <f t="shared" si="11"/>
        <v>1224.75</v>
      </c>
    </row>
    <row r="98" spans="1:15">
      <c r="A98" s="343" t="str">
        <f t="shared" si="8"/>
        <v>2.1.1.04.0143</v>
      </c>
      <c r="B98" s="343" t="s">
        <v>2083</v>
      </c>
      <c r="C98" s="347" t="s">
        <v>2084</v>
      </c>
      <c r="D98" s="94" t="s">
        <v>2085</v>
      </c>
      <c r="E98" s="344">
        <v>0</v>
      </c>
      <c r="F98" s="344">
        <v>12000</v>
      </c>
      <c r="G98" s="344">
        <v>-12000</v>
      </c>
      <c r="H98" s="344">
        <v>0</v>
      </c>
      <c r="I98" s="344">
        <v>0</v>
      </c>
      <c r="J98" s="345">
        <f t="shared" si="9"/>
        <v>0</v>
      </c>
      <c r="K98" s="908">
        <f t="shared" si="10"/>
        <v>0</v>
      </c>
      <c r="L98" s="346">
        <f>IFERROR(VLOOKUP(C98,'DE x PARA'!C92:K2258,7,FALSE),"SINTÉTICA")</f>
        <v>500001</v>
      </c>
      <c r="M98" s="346">
        <f>IFERROR(VLOOKUP(B98,'DE x PARA'!B92:K2258,10,FALSE),"SINTÉTICA")</f>
        <v>600017</v>
      </c>
      <c r="N98" s="346">
        <f>IFERROR(VLOOKUP(M98,'DE x PARA'!$K$2:$L$2168,2,FALSE),0)</f>
        <v>-1</v>
      </c>
      <c r="O98" s="344">
        <f t="shared" si="11"/>
        <v>0</v>
      </c>
    </row>
    <row r="99" spans="1:15">
      <c r="A99" s="343" t="str">
        <f t="shared" si="8"/>
        <v>2.1.1.04.0161</v>
      </c>
      <c r="B99" s="343" t="s">
        <v>2134</v>
      </c>
      <c r="C99" s="347">
        <v>30033800000000</v>
      </c>
      <c r="D99" s="94" t="s">
        <v>2135</v>
      </c>
      <c r="E99" s="344">
        <v>0</v>
      </c>
      <c r="F99" s="344">
        <v>18950.72</v>
      </c>
      <c r="G99" s="344">
        <v>-18950.72</v>
      </c>
      <c r="H99" s="344">
        <v>0</v>
      </c>
      <c r="I99" s="344">
        <v>0</v>
      </c>
      <c r="J99" s="345">
        <f t="shared" si="9"/>
        <v>0</v>
      </c>
      <c r="K99" s="908">
        <f t="shared" si="10"/>
        <v>0</v>
      </c>
      <c r="L99" s="346" t="str">
        <f>IFERROR(VLOOKUP(C99,'DE x PARA'!C93:K2259,7,FALSE),"SINTÉTICA")</f>
        <v>SINTÉTICA</v>
      </c>
      <c r="M99" s="346">
        <f>IFERROR(VLOOKUP(B99,'DE x PARA'!B93:K2259,10,FALSE),"SINTÉTICA")</f>
        <v>600017</v>
      </c>
      <c r="N99" s="346">
        <f>IFERROR(VLOOKUP(M99,'DE x PARA'!$K$2:$L$2168,2,FALSE),0)</f>
        <v>-1</v>
      </c>
      <c r="O99" s="344">
        <f t="shared" si="11"/>
        <v>0</v>
      </c>
    </row>
    <row r="100" spans="1:15">
      <c r="A100" s="343" t="str">
        <f t="shared" si="8"/>
        <v>2.1.1.04.0170</v>
      </c>
      <c r="B100" s="343" t="s">
        <v>2160</v>
      </c>
      <c r="C100" s="347" t="s">
        <v>2161</v>
      </c>
      <c r="D100" s="94" t="s">
        <v>2162</v>
      </c>
      <c r="E100" s="344">
        <v>0</v>
      </c>
      <c r="F100" s="344">
        <v>13136</v>
      </c>
      <c r="G100" s="344">
        <v>-13136</v>
      </c>
      <c r="H100" s="344">
        <v>0</v>
      </c>
      <c r="I100" s="344">
        <v>0</v>
      </c>
      <c r="J100" s="345">
        <f t="shared" si="9"/>
        <v>0</v>
      </c>
      <c r="K100" s="908">
        <f t="shared" si="10"/>
        <v>0</v>
      </c>
      <c r="L100" s="346">
        <f>IFERROR(VLOOKUP(C100,'DE x PARA'!C94:K2260,7,FALSE),"SINTÉTICA")</f>
        <v>500001</v>
      </c>
      <c r="M100" s="346">
        <f>IFERROR(VLOOKUP(B100,'DE x PARA'!B94:K2260,10,FALSE),"SINTÉTICA")</f>
        <v>600017</v>
      </c>
      <c r="N100" s="346">
        <f>IFERROR(VLOOKUP(M100,'DE x PARA'!$K$2:$L$2168,2,FALSE),0)</f>
        <v>-1</v>
      </c>
      <c r="O100" s="344">
        <f t="shared" si="11"/>
        <v>0</v>
      </c>
    </row>
    <row r="101" spans="1:15">
      <c r="A101" s="343" t="str">
        <f t="shared" si="8"/>
        <v>2.1.1.04.0180</v>
      </c>
      <c r="B101" s="343" t="s">
        <v>2190</v>
      </c>
      <c r="C101" s="347" t="s">
        <v>2191</v>
      </c>
      <c r="D101" s="94" t="s">
        <v>2192</v>
      </c>
      <c r="E101" s="344">
        <v>0</v>
      </c>
      <c r="F101" s="344">
        <v>0</v>
      </c>
      <c r="G101" s="344">
        <v>-15646.5</v>
      </c>
      <c r="H101" s="344">
        <v>-15646.5</v>
      </c>
      <c r="I101" s="344">
        <v>-15646.5</v>
      </c>
      <c r="J101" s="345">
        <f t="shared" si="9"/>
        <v>-15.6465</v>
      </c>
      <c r="K101" s="908">
        <f t="shared" si="10"/>
        <v>-16</v>
      </c>
      <c r="L101" s="346">
        <f>IFERROR(VLOOKUP(C101,'DE x PARA'!C95:K2261,7,FALSE),"SINTÉTICA")</f>
        <v>500001</v>
      </c>
      <c r="M101" s="346">
        <f>IFERROR(VLOOKUP(B101,'DE x PARA'!B95:K2261,10,FALSE),"SINTÉTICA")</f>
        <v>600017</v>
      </c>
      <c r="N101" s="346">
        <f>IFERROR(VLOOKUP(M101,'DE x PARA'!$K$2:$L$2168,2,FALSE),0)</f>
        <v>-1</v>
      </c>
      <c r="O101" s="344">
        <f t="shared" si="11"/>
        <v>15646.5</v>
      </c>
    </row>
    <row r="102" spans="1:15">
      <c r="A102" s="343" t="str">
        <f t="shared" si="8"/>
        <v>2.1.1.04.0242</v>
      </c>
      <c r="B102" s="343" t="s">
        <v>2374</v>
      </c>
      <c r="C102" s="347" t="s">
        <v>2375</v>
      </c>
      <c r="D102" s="94" t="s">
        <v>2376</v>
      </c>
      <c r="E102" s="344">
        <v>0</v>
      </c>
      <c r="F102" s="344">
        <v>3060</v>
      </c>
      <c r="G102" s="344">
        <v>-3060</v>
      </c>
      <c r="H102" s="344">
        <v>0</v>
      </c>
      <c r="I102" s="344">
        <v>0</v>
      </c>
      <c r="J102" s="345">
        <f t="shared" si="9"/>
        <v>0</v>
      </c>
      <c r="K102" s="908">
        <f t="shared" si="10"/>
        <v>0</v>
      </c>
      <c r="L102" s="346">
        <f>IFERROR(VLOOKUP(C102,'DE x PARA'!C96:K2262,7,FALSE),"SINTÉTICA")</f>
        <v>500001</v>
      </c>
      <c r="M102" s="346">
        <f>IFERROR(VLOOKUP(B102,'DE x PARA'!B96:K2262,10,FALSE),"SINTÉTICA")</f>
        <v>600017</v>
      </c>
      <c r="N102" s="346">
        <f>IFERROR(VLOOKUP(M102,'DE x PARA'!$K$2:$L$2168,2,FALSE),0)</f>
        <v>-1</v>
      </c>
      <c r="O102" s="344">
        <f t="shared" si="11"/>
        <v>0</v>
      </c>
    </row>
    <row r="103" spans="1:15">
      <c r="A103" s="343" t="str">
        <f t="shared" si="8"/>
        <v>2.1.1.04.0310</v>
      </c>
      <c r="B103" s="343" t="s">
        <v>704</v>
      </c>
      <c r="C103" s="347" t="s">
        <v>705</v>
      </c>
      <c r="D103" s="94" t="s">
        <v>706</v>
      </c>
      <c r="E103" s="344">
        <v>0</v>
      </c>
      <c r="F103" s="344">
        <v>41970.53</v>
      </c>
      <c r="G103" s="344">
        <v>-41970.53</v>
      </c>
      <c r="H103" s="344">
        <v>0</v>
      </c>
      <c r="I103" s="344">
        <v>0</v>
      </c>
      <c r="J103" s="345">
        <f t="shared" si="9"/>
        <v>0</v>
      </c>
      <c r="K103" s="908">
        <f t="shared" si="10"/>
        <v>0</v>
      </c>
      <c r="L103" s="346">
        <f>IFERROR(VLOOKUP(C103,'DE x PARA'!C97:K2263,7,FALSE),"SINTÉTICA")</f>
        <v>500001</v>
      </c>
      <c r="M103" s="346">
        <f>IFERROR(VLOOKUP(B103,'DE x PARA'!B97:K2263,10,FALSE),"SINTÉTICA")</f>
        <v>600017</v>
      </c>
      <c r="N103" s="346">
        <f>IFERROR(VLOOKUP(M103,'DE x PARA'!$K$2:$L$2168,2,FALSE),0)</f>
        <v>-1</v>
      </c>
      <c r="O103" s="344">
        <f t="shared" si="11"/>
        <v>0</v>
      </c>
    </row>
    <row r="104" spans="1:15">
      <c r="A104" s="343" t="str">
        <f t="shared" si="8"/>
        <v>2.1.1.04.0336</v>
      </c>
      <c r="B104" s="343" t="s">
        <v>707</v>
      </c>
      <c r="C104" s="347" t="s">
        <v>708</v>
      </c>
      <c r="D104" s="94" t="s">
        <v>709</v>
      </c>
      <c r="E104" s="344">
        <v>0</v>
      </c>
      <c r="F104" s="344">
        <v>799729.77</v>
      </c>
      <c r="G104" s="344">
        <v>-799729.77</v>
      </c>
      <c r="H104" s="344">
        <v>0</v>
      </c>
      <c r="I104" s="344">
        <v>0</v>
      </c>
      <c r="J104" s="345">
        <f t="shared" si="9"/>
        <v>0</v>
      </c>
      <c r="K104" s="908">
        <f t="shared" si="10"/>
        <v>0</v>
      </c>
      <c r="L104" s="346">
        <f>IFERROR(VLOOKUP(C104,'DE x PARA'!C98:K2264,7,FALSE),"SINTÉTICA")</f>
        <v>500001</v>
      </c>
      <c r="M104" s="346">
        <f>IFERROR(VLOOKUP(B104,'DE x PARA'!B98:K2264,10,FALSE),"SINTÉTICA")</f>
        <v>600017</v>
      </c>
      <c r="N104" s="346">
        <f>IFERROR(VLOOKUP(M104,'DE x PARA'!$K$2:$L$2168,2,FALSE),0)</f>
        <v>-1</v>
      </c>
      <c r="O104" s="344">
        <f t="shared" si="11"/>
        <v>0</v>
      </c>
    </row>
    <row r="105" spans="1:15">
      <c r="A105" s="343" t="str">
        <f t="shared" si="8"/>
        <v>2.1.1.04.0365</v>
      </c>
      <c r="B105" s="343" t="s">
        <v>2730</v>
      </c>
      <c r="C105" s="347">
        <v>32578400000000</v>
      </c>
      <c r="D105" s="94" t="s">
        <v>5447</v>
      </c>
      <c r="E105" s="344">
        <v>0</v>
      </c>
      <c r="F105" s="344">
        <v>9067.81</v>
      </c>
      <c r="G105" s="344">
        <v>-9067.81</v>
      </c>
      <c r="H105" s="344">
        <v>0</v>
      </c>
      <c r="I105" s="344">
        <v>0</v>
      </c>
      <c r="J105" s="345">
        <f t="shared" si="9"/>
        <v>0</v>
      </c>
      <c r="K105" s="908">
        <f t="shared" si="10"/>
        <v>0</v>
      </c>
      <c r="L105" s="346" t="str">
        <f>IFERROR(VLOOKUP(C105,'DE x PARA'!C99:K2265,7,FALSE),"SINTÉTICA")</f>
        <v>SINTÉTICA</v>
      </c>
      <c r="M105" s="346">
        <f>IFERROR(VLOOKUP(B105,'DE x PARA'!B99:K2265,10,FALSE),"SINTÉTICA")</f>
        <v>600017</v>
      </c>
      <c r="N105" s="346">
        <f>IFERROR(VLOOKUP(M105,'DE x PARA'!$K$2:$L$2168,2,FALSE),0)</f>
        <v>-1</v>
      </c>
      <c r="O105" s="344">
        <f t="shared" si="11"/>
        <v>0</v>
      </c>
    </row>
    <row r="106" spans="1:15">
      <c r="A106" s="343" t="str">
        <f t="shared" si="8"/>
        <v>2.1.1.04.0375</v>
      </c>
      <c r="B106" s="343" t="s">
        <v>710</v>
      </c>
      <c r="C106" s="347" t="s">
        <v>711</v>
      </c>
      <c r="D106" s="94" t="s">
        <v>712</v>
      </c>
      <c r="E106" s="344">
        <v>0</v>
      </c>
      <c r="F106" s="344">
        <v>2922.8</v>
      </c>
      <c r="G106" s="344">
        <v>-2922.8</v>
      </c>
      <c r="H106" s="344">
        <v>0</v>
      </c>
      <c r="I106" s="344">
        <v>0</v>
      </c>
      <c r="J106" s="345">
        <f t="shared" si="9"/>
        <v>0</v>
      </c>
      <c r="K106" s="908">
        <f t="shared" si="10"/>
        <v>0</v>
      </c>
      <c r="L106" s="346">
        <f>IFERROR(VLOOKUP(C106,'DE x PARA'!C100:K2266,7,FALSE),"SINTÉTICA")</f>
        <v>500001</v>
      </c>
      <c r="M106" s="346">
        <f>IFERROR(VLOOKUP(B106,'DE x PARA'!B100:K2266,10,FALSE),"SINTÉTICA")</f>
        <v>600017</v>
      </c>
      <c r="N106" s="346">
        <f>IFERROR(VLOOKUP(M106,'DE x PARA'!$K$2:$L$2168,2,FALSE),0)</f>
        <v>-1</v>
      </c>
      <c r="O106" s="344">
        <f t="shared" si="11"/>
        <v>0</v>
      </c>
    </row>
    <row r="107" spans="1:15">
      <c r="A107" s="343" t="str">
        <f t="shared" si="8"/>
        <v>2.1.1.04.0433</v>
      </c>
      <c r="B107" s="343" t="s">
        <v>2929</v>
      </c>
      <c r="C107" s="347" t="s">
        <v>2930</v>
      </c>
      <c r="D107" s="94" t="s">
        <v>2931</v>
      </c>
      <c r="E107" s="344">
        <v>0</v>
      </c>
      <c r="F107" s="344">
        <v>4611.97</v>
      </c>
      <c r="G107" s="344">
        <v>-4611.97</v>
      </c>
      <c r="H107" s="344">
        <v>0</v>
      </c>
      <c r="I107" s="344">
        <v>0</v>
      </c>
      <c r="J107" s="345">
        <f t="shared" si="9"/>
        <v>0</v>
      </c>
      <c r="K107" s="908">
        <f t="shared" si="10"/>
        <v>0</v>
      </c>
      <c r="L107" s="346">
        <f>IFERROR(VLOOKUP(C107,'DE x PARA'!C101:K2267,7,FALSE),"SINTÉTICA")</f>
        <v>500001</v>
      </c>
      <c r="M107" s="346">
        <f>IFERROR(VLOOKUP(B107,'DE x PARA'!B101:K2267,10,FALSE),"SINTÉTICA")</f>
        <v>600017</v>
      </c>
      <c r="N107" s="346">
        <f>IFERROR(VLOOKUP(M107,'DE x PARA'!$K$2:$L$2168,2,FALSE),0)</f>
        <v>-1</v>
      </c>
      <c r="O107" s="344">
        <f t="shared" si="11"/>
        <v>0</v>
      </c>
    </row>
    <row r="108" spans="1:15">
      <c r="A108" s="343" t="str">
        <f t="shared" si="8"/>
        <v>2.1.1.04.0447</v>
      </c>
      <c r="B108" s="343" t="s">
        <v>713</v>
      </c>
      <c r="C108" s="347" t="s">
        <v>714</v>
      </c>
      <c r="D108" s="94" t="s">
        <v>715</v>
      </c>
      <c r="E108" s="344">
        <v>0</v>
      </c>
      <c r="F108" s="344">
        <v>539.70000000000005</v>
      </c>
      <c r="G108" s="344">
        <v>-539.70000000000005</v>
      </c>
      <c r="H108" s="344">
        <v>0</v>
      </c>
      <c r="I108" s="344">
        <v>0</v>
      </c>
      <c r="J108" s="345">
        <f t="shared" si="9"/>
        <v>0</v>
      </c>
      <c r="K108" s="908">
        <f t="shared" si="10"/>
        <v>0</v>
      </c>
      <c r="L108" s="346">
        <f>IFERROR(VLOOKUP(C108,'DE x PARA'!C102:K2268,7,FALSE),"SINTÉTICA")</f>
        <v>500001</v>
      </c>
      <c r="M108" s="346">
        <f>IFERROR(VLOOKUP(B108,'DE x PARA'!B102:K2268,10,FALSE),"SINTÉTICA")</f>
        <v>600017</v>
      </c>
      <c r="N108" s="346">
        <f>IFERROR(VLOOKUP(M108,'DE x PARA'!$K$2:$L$2168,2,FALSE),0)</f>
        <v>-1</v>
      </c>
      <c r="O108" s="344">
        <f t="shared" si="11"/>
        <v>0</v>
      </c>
    </row>
    <row r="109" spans="1:15">
      <c r="A109" s="343" t="str">
        <f t="shared" si="8"/>
        <v>2.1.1.04.0506</v>
      </c>
      <c r="B109" s="343" t="s">
        <v>3129</v>
      </c>
      <c r="C109" s="347" t="s">
        <v>3130</v>
      </c>
      <c r="D109" s="94" t="s">
        <v>3131</v>
      </c>
      <c r="E109" s="344">
        <v>0</v>
      </c>
      <c r="F109" s="344">
        <v>2910</v>
      </c>
      <c r="G109" s="344">
        <v>-2910</v>
      </c>
      <c r="H109" s="344">
        <v>0</v>
      </c>
      <c r="I109" s="344">
        <v>0</v>
      </c>
      <c r="J109" s="345">
        <f t="shared" si="9"/>
        <v>0</v>
      </c>
      <c r="K109" s="908">
        <f t="shared" si="10"/>
        <v>0</v>
      </c>
      <c r="L109" s="346">
        <f>IFERROR(VLOOKUP(C109,'DE x PARA'!C103:K2269,7,FALSE),"SINTÉTICA")</f>
        <v>500001</v>
      </c>
      <c r="M109" s="346">
        <f>IFERROR(VLOOKUP(B109,'DE x PARA'!B103:K2269,10,FALSE),"SINTÉTICA")</f>
        <v>600017</v>
      </c>
      <c r="N109" s="346">
        <f>IFERROR(VLOOKUP(M109,'DE x PARA'!$K$2:$L$2168,2,FALSE),0)</f>
        <v>-1</v>
      </c>
      <c r="O109" s="344">
        <f t="shared" si="11"/>
        <v>0</v>
      </c>
    </row>
    <row r="110" spans="1:15">
      <c r="A110" s="343" t="str">
        <f t="shared" si="8"/>
        <v>2.1.1.04.0508</v>
      </c>
      <c r="B110" s="343" t="s">
        <v>3135</v>
      </c>
      <c r="C110" s="347" t="s">
        <v>3136</v>
      </c>
      <c r="D110" s="94" t="s">
        <v>3137</v>
      </c>
      <c r="E110" s="344">
        <v>0</v>
      </c>
      <c r="F110" s="344">
        <v>0</v>
      </c>
      <c r="G110" s="344">
        <v>-188.34</v>
      </c>
      <c r="H110" s="344">
        <v>-188.34</v>
      </c>
      <c r="I110" s="344">
        <v>-188.34</v>
      </c>
      <c r="J110" s="345">
        <f t="shared" si="9"/>
        <v>-0.18834000000000001</v>
      </c>
      <c r="K110" s="908">
        <f t="shared" si="10"/>
        <v>0</v>
      </c>
      <c r="L110" s="346">
        <f>IFERROR(VLOOKUP(C110,'DE x PARA'!C104:K2270,7,FALSE),"SINTÉTICA")</f>
        <v>500001</v>
      </c>
      <c r="M110" s="346">
        <f>IFERROR(VLOOKUP(B110,'DE x PARA'!B104:K2270,10,FALSE),"SINTÉTICA")</f>
        <v>600017</v>
      </c>
      <c r="N110" s="346">
        <f>IFERROR(VLOOKUP(M110,'DE x PARA'!$K$2:$L$2168,2,FALSE),0)</f>
        <v>-1</v>
      </c>
      <c r="O110" s="344">
        <f t="shared" si="11"/>
        <v>188.34</v>
      </c>
    </row>
    <row r="111" spans="1:15">
      <c r="A111" s="343" t="str">
        <f t="shared" si="8"/>
        <v>2.1.1.04.0537</v>
      </c>
      <c r="B111" s="343" t="s">
        <v>725</v>
      </c>
      <c r="C111" s="347" t="s">
        <v>726</v>
      </c>
      <c r="D111" s="94" t="s">
        <v>727</v>
      </c>
      <c r="E111" s="344">
        <v>0</v>
      </c>
      <c r="F111" s="344">
        <v>102593.67</v>
      </c>
      <c r="G111" s="344">
        <v>-102593.67</v>
      </c>
      <c r="H111" s="344">
        <v>0</v>
      </c>
      <c r="I111" s="344">
        <v>0</v>
      </c>
      <c r="J111" s="345">
        <f t="shared" si="9"/>
        <v>0</v>
      </c>
      <c r="K111" s="908">
        <f t="shared" si="10"/>
        <v>0</v>
      </c>
      <c r="L111" s="346">
        <f>IFERROR(VLOOKUP(C111,'DE x PARA'!C105:K2271,7,FALSE),"SINTÉTICA")</f>
        <v>500001</v>
      </c>
      <c r="M111" s="346">
        <f>IFERROR(VLOOKUP(B111,'DE x PARA'!B105:K2271,10,FALSE),"SINTÉTICA")</f>
        <v>600017</v>
      </c>
      <c r="N111" s="346">
        <f>IFERROR(VLOOKUP(M111,'DE x PARA'!$K$2:$L$2168,2,FALSE),0)</f>
        <v>-1</v>
      </c>
      <c r="O111" s="344">
        <f t="shared" si="11"/>
        <v>0</v>
      </c>
    </row>
    <row r="112" spans="1:15">
      <c r="A112" s="343" t="str">
        <f t="shared" si="8"/>
        <v>2.1.1.04.0568</v>
      </c>
      <c r="B112" s="343" t="s">
        <v>731</v>
      </c>
      <c r="C112" s="347">
        <v>33754500000000</v>
      </c>
      <c r="D112" s="94" t="s">
        <v>732</v>
      </c>
      <c r="E112" s="344">
        <v>0</v>
      </c>
      <c r="F112" s="344">
        <v>15000.96</v>
      </c>
      <c r="G112" s="344">
        <v>-15000.96</v>
      </c>
      <c r="H112" s="344">
        <v>0</v>
      </c>
      <c r="I112" s="344">
        <v>0</v>
      </c>
      <c r="J112" s="345">
        <f t="shared" si="9"/>
        <v>0</v>
      </c>
      <c r="K112" s="908">
        <f t="shared" si="10"/>
        <v>0</v>
      </c>
      <c r="L112" s="346" t="str">
        <f>IFERROR(VLOOKUP(C112,'DE x PARA'!C106:K2272,7,FALSE),"SINTÉTICA")</f>
        <v>SINTÉTICA</v>
      </c>
      <c r="M112" s="346">
        <f>IFERROR(VLOOKUP(B112,'DE x PARA'!B106:K2272,10,FALSE),"SINTÉTICA")</f>
        <v>600017</v>
      </c>
      <c r="N112" s="346">
        <f>IFERROR(VLOOKUP(M112,'DE x PARA'!$K$2:$L$2168,2,FALSE),0)</f>
        <v>-1</v>
      </c>
      <c r="O112" s="344">
        <f t="shared" si="11"/>
        <v>0</v>
      </c>
    </row>
    <row r="113" spans="1:15">
      <c r="A113" s="343" t="str">
        <f t="shared" si="8"/>
        <v>2.1.1.04.0591</v>
      </c>
      <c r="B113" s="343" t="s">
        <v>733</v>
      </c>
      <c r="C113" s="347">
        <v>3017430000000</v>
      </c>
      <c r="D113" s="94" t="s">
        <v>734</v>
      </c>
      <c r="E113" s="344">
        <v>0</v>
      </c>
      <c r="F113" s="344">
        <v>147554.66</v>
      </c>
      <c r="G113" s="344">
        <v>-147554.66</v>
      </c>
      <c r="H113" s="344">
        <v>0</v>
      </c>
      <c r="I113" s="344">
        <v>0</v>
      </c>
      <c r="J113" s="345">
        <f t="shared" si="9"/>
        <v>0</v>
      </c>
      <c r="K113" s="908">
        <f t="shared" si="10"/>
        <v>0</v>
      </c>
      <c r="L113" s="346" t="str">
        <f>IFERROR(VLOOKUP(C113,'DE x PARA'!C107:K2273,7,FALSE),"SINTÉTICA")</f>
        <v>SINTÉTICA</v>
      </c>
      <c r="M113" s="346">
        <f>IFERROR(VLOOKUP(B113,'DE x PARA'!B107:K2273,10,FALSE),"SINTÉTICA")</f>
        <v>600017</v>
      </c>
      <c r="N113" s="346">
        <f>IFERROR(VLOOKUP(M113,'DE x PARA'!$K$2:$L$2168,2,FALSE),0)</f>
        <v>-1</v>
      </c>
      <c r="O113" s="344">
        <f t="shared" si="11"/>
        <v>0</v>
      </c>
    </row>
    <row r="114" spans="1:15">
      <c r="A114" s="343" t="str">
        <f t="shared" si="8"/>
        <v>2.1.1.04.0618</v>
      </c>
      <c r="B114" s="343" t="s">
        <v>3417</v>
      </c>
      <c r="C114" s="347">
        <v>10499000000000</v>
      </c>
      <c r="D114" s="94" t="s">
        <v>3418</v>
      </c>
      <c r="E114" s="344">
        <v>0</v>
      </c>
      <c r="F114" s="344">
        <v>19791</v>
      </c>
      <c r="G114" s="344">
        <v>-19791</v>
      </c>
      <c r="H114" s="344">
        <v>0</v>
      </c>
      <c r="I114" s="344">
        <v>0</v>
      </c>
      <c r="J114" s="345">
        <f t="shared" si="9"/>
        <v>0</v>
      </c>
      <c r="K114" s="908">
        <f t="shared" si="10"/>
        <v>0</v>
      </c>
      <c r="L114" s="346" t="str">
        <f>IFERROR(VLOOKUP(C114,'DE x PARA'!C108:K2274,7,FALSE),"SINTÉTICA")</f>
        <v>SINTÉTICA</v>
      </c>
      <c r="M114" s="346">
        <f>IFERROR(VLOOKUP(B114,'DE x PARA'!B108:K2274,10,FALSE),"SINTÉTICA")</f>
        <v>600017</v>
      </c>
      <c r="N114" s="346">
        <f>IFERROR(VLOOKUP(M114,'DE x PARA'!$K$2:$L$2168,2,FALSE),0)</f>
        <v>-1</v>
      </c>
      <c r="O114" s="344">
        <f t="shared" si="11"/>
        <v>0</v>
      </c>
    </row>
    <row r="115" spans="1:15">
      <c r="A115" s="343" t="str">
        <f t="shared" si="8"/>
        <v>2.1.1.04.0634</v>
      </c>
      <c r="B115" s="343" t="s">
        <v>3450</v>
      </c>
      <c r="C115" s="347">
        <v>28019200000000</v>
      </c>
      <c r="D115" s="94" t="s">
        <v>3451</v>
      </c>
      <c r="E115" s="344">
        <v>0</v>
      </c>
      <c r="F115" s="344">
        <v>49800</v>
      </c>
      <c r="G115" s="344">
        <v>-49800</v>
      </c>
      <c r="H115" s="344">
        <v>0</v>
      </c>
      <c r="I115" s="344">
        <v>0</v>
      </c>
      <c r="J115" s="345">
        <f t="shared" si="9"/>
        <v>0</v>
      </c>
      <c r="K115" s="908">
        <f t="shared" si="10"/>
        <v>0</v>
      </c>
      <c r="L115" s="346" t="str">
        <f>IFERROR(VLOOKUP(C115,'DE x PARA'!C109:K2275,7,FALSE),"SINTÉTICA")</f>
        <v>SINTÉTICA</v>
      </c>
      <c r="M115" s="346">
        <f>IFERROR(VLOOKUP(B115,'DE x PARA'!B109:K2275,10,FALSE),"SINTÉTICA")</f>
        <v>600017</v>
      </c>
      <c r="N115" s="346">
        <f>IFERROR(VLOOKUP(M115,'DE x PARA'!$K$2:$L$2168,2,FALSE),0)</f>
        <v>-1</v>
      </c>
      <c r="O115" s="344">
        <f t="shared" si="11"/>
        <v>0</v>
      </c>
    </row>
    <row r="116" spans="1:15">
      <c r="A116" s="343" t="str">
        <f t="shared" si="8"/>
        <v>2.1.1.04.0646</v>
      </c>
      <c r="B116" s="343" t="s">
        <v>3474</v>
      </c>
      <c r="C116" s="347">
        <v>8071770000000</v>
      </c>
      <c r="D116" s="94" t="s">
        <v>3475</v>
      </c>
      <c r="E116" s="344">
        <v>0</v>
      </c>
      <c r="F116" s="344">
        <v>5580</v>
      </c>
      <c r="G116" s="344">
        <v>-5580</v>
      </c>
      <c r="H116" s="344">
        <v>0</v>
      </c>
      <c r="I116" s="344">
        <v>0</v>
      </c>
      <c r="J116" s="345">
        <f t="shared" si="9"/>
        <v>0</v>
      </c>
      <c r="K116" s="908">
        <f t="shared" si="10"/>
        <v>0</v>
      </c>
      <c r="L116" s="346" t="str">
        <f>IFERROR(VLOOKUP(C116,'DE x PARA'!C110:K2276,7,FALSE),"SINTÉTICA")</f>
        <v>SINTÉTICA</v>
      </c>
      <c r="M116" s="346">
        <f>IFERROR(VLOOKUP(B116,'DE x PARA'!B110:K2276,10,FALSE),"SINTÉTICA")</f>
        <v>600017</v>
      </c>
      <c r="N116" s="346">
        <f>IFERROR(VLOOKUP(M116,'DE x PARA'!$K$2:$L$2168,2,FALSE),0)</f>
        <v>-1</v>
      </c>
      <c r="O116" s="344">
        <f t="shared" si="11"/>
        <v>0</v>
      </c>
    </row>
    <row r="117" spans="1:15">
      <c r="A117" s="343" t="str">
        <f t="shared" si="8"/>
        <v>2.1.1.04.0648</v>
      </c>
      <c r="B117" s="343" t="s">
        <v>739</v>
      </c>
      <c r="C117" s="347">
        <v>16727400000000</v>
      </c>
      <c r="D117" s="94" t="s">
        <v>740</v>
      </c>
      <c r="E117" s="344">
        <v>0</v>
      </c>
      <c r="F117" s="344">
        <v>290</v>
      </c>
      <c r="G117" s="344">
        <v>-290</v>
      </c>
      <c r="H117" s="344">
        <v>0</v>
      </c>
      <c r="I117" s="344">
        <v>0</v>
      </c>
      <c r="J117" s="345">
        <f t="shared" si="9"/>
        <v>0</v>
      </c>
      <c r="K117" s="908">
        <f t="shared" si="10"/>
        <v>0</v>
      </c>
      <c r="L117" s="346" t="str">
        <f>IFERROR(VLOOKUP(C117,'DE x PARA'!C111:K2277,7,FALSE),"SINTÉTICA")</f>
        <v>SINTÉTICA</v>
      </c>
      <c r="M117" s="346">
        <f>IFERROR(VLOOKUP(B117,'DE x PARA'!B111:K2277,10,FALSE),"SINTÉTICA")</f>
        <v>600017</v>
      </c>
      <c r="N117" s="346">
        <f>IFERROR(VLOOKUP(M117,'DE x PARA'!$K$2:$L$2168,2,FALSE),0)</f>
        <v>-1</v>
      </c>
      <c r="O117" s="344">
        <f t="shared" si="11"/>
        <v>0</v>
      </c>
    </row>
    <row r="118" spans="1:15">
      <c r="A118" s="343" t="str">
        <f t="shared" si="8"/>
        <v>2.1.1.04.0652</v>
      </c>
      <c r="B118" s="343" t="s">
        <v>741</v>
      </c>
      <c r="C118" s="347">
        <v>3535900000000</v>
      </c>
      <c r="D118" s="94" t="s">
        <v>742</v>
      </c>
      <c r="E118" s="344">
        <v>-86150</v>
      </c>
      <c r="F118" s="344">
        <v>177000</v>
      </c>
      <c r="G118" s="344">
        <v>-90850</v>
      </c>
      <c r="H118" s="344">
        <v>86150</v>
      </c>
      <c r="I118" s="344">
        <v>0</v>
      </c>
      <c r="J118" s="345">
        <f t="shared" si="9"/>
        <v>0</v>
      </c>
      <c r="K118" s="908">
        <f t="shared" si="10"/>
        <v>0</v>
      </c>
      <c r="L118" s="346" t="str">
        <f>IFERROR(VLOOKUP(C118,'DE x PARA'!C112:K2278,7,FALSE),"SINTÉTICA")</f>
        <v>SINTÉTICA</v>
      </c>
      <c r="M118" s="346">
        <f>IFERROR(VLOOKUP(B118,'DE x PARA'!B112:K2278,10,FALSE),"SINTÉTICA")</f>
        <v>600017</v>
      </c>
      <c r="N118" s="346">
        <f>IFERROR(VLOOKUP(M118,'DE x PARA'!$K$2:$L$2168,2,FALSE),0)</f>
        <v>-1</v>
      </c>
      <c r="O118" s="344">
        <f t="shared" si="11"/>
        <v>-86150</v>
      </c>
    </row>
    <row r="119" spans="1:15">
      <c r="A119" s="343" t="str">
        <f t="shared" si="8"/>
        <v>2.1.1.04.0679</v>
      </c>
      <c r="B119" s="343" t="s">
        <v>3532</v>
      </c>
      <c r="C119" s="347">
        <v>26464900000000</v>
      </c>
      <c r="D119" s="94" t="s">
        <v>3533</v>
      </c>
      <c r="E119" s="344">
        <v>0</v>
      </c>
      <c r="F119" s="344">
        <v>617</v>
      </c>
      <c r="G119" s="344">
        <v>-617</v>
      </c>
      <c r="H119" s="344">
        <v>0</v>
      </c>
      <c r="I119" s="344">
        <v>0</v>
      </c>
      <c r="J119" s="345">
        <f t="shared" si="9"/>
        <v>0</v>
      </c>
      <c r="K119" s="908">
        <f t="shared" si="10"/>
        <v>0</v>
      </c>
      <c r="L119" s="346" t="str">
        <f>IFERROR(VLOOKUP(C119,'DE x PARA'!C113:K2279,7,FALSE),"SINTÉTICA")</f>
        <v>SINTÉTICA</v>
      </c>
      <c r="M119" s="346">
        <f>IFERROR(VLOOKUP(B119,'DE x PARA'!B113:K2279,10,FALSE),"SINTÉTICA")</f>
        <v>600017</v>
      </c>
      <c r="N119" s="346">
        <f>IFERROR(VLOOKUP(M119,'DE x PARA'!$K$2:$L$2168,2,FALSE),0)</f>
        <v>-1</v>
      </c>
      <c r="O119" s="344">
        <f t="shared" si="11"/>
        <v>0</v>
      </c>
    </row>
    <row r="120" spans="1:15">
      <c r="A120" s="343" t="str">
        <f t="shared" si="8"/>
        <v>2.1.1.04.0761</v>
      </c>
      <c r="B120" s="343" t="s">
        <v>753</v>
      </c>
      <c r="C120" s="347">
        <v>23458500000000</v>
      </c>
      <c r="D120" s="94" t="s">
        <v>754</v>
      </c>
      <c r="E120" s="344">
        <v>0</v>
      </c>
      <c r="F120" s="344">
        <v>81661.820000000007</v>
      </c>
      <c r="G120" s="344">
        <v>-81661.820000000007</v>
      </c>
      <c r="H120" s="344">
        <v>0</v>
      </c>
      <c r="I120" s="344">
        <v>0</v>
      </c>
      <c r="J120" s="345">
        <f t="shared" si="9"/>
        <v>0</v>
      </c>
      <c r="K120" s="908">
        <f t="shared" si="10"/>
        <v>0</v>
      </c>
      <c r="L120" s="346" t="str">
        <f>IFERROR(VLOOKUP(C120,'DE x PARA'!C114:K2280,7,FALSE),"SINTÉTICA")</f>
        <v>SINTÉTICA</v>
      </c>
      <c r="M120" s="346">
        <f>IFERROR(VLOOKUP(B120,'DE x PARA'!B114:K2280,10,FALSE),"SINTÉTICA")</f>
        <v>600017</v>
      </c>
      <c r="N120" s="346">
        <f>IFERROR(VLOOKUP(M120,'DE x PARA'!$K$2:$L$2168,2,FALSE),0)</f>
        <v>-1</v>
      </c>
      <c r="O120" s="344">
        <f t="shared" si="11"/>
        <v>0</v>
      </c>
    </row>
    <row r="121" spans="1:15">
      <c r="A121" s="343" t="str">
        <f t="shared" si="8"/>
        <v>2.1.1.04.0765</v>
      </c>
      <c r="B121" s="343" t="s">
        <v>3697</v>
      </c>
      <c r="C121" s="347">
        <v>89237900000000</v>
      </c>
      <c r="D121" s="94" t="s">
        <v>3698</v>
      </c>
      <c r="E121" s="344">
        <v>0</v>
      </c>
      <c r="F121" s="344">
        <v>314000</v>
      </c>
      <c r="G121" s="344">
        <v>-314000</v>
      </c>
      <c r="H121" s="344">
        <v>0</v>
      </c>
      <c r="I121" s="344">
        <v>0</v>
      </c>
      <c r="J121" s="345">
        <f t="shared" si="9"/>
        <v>0</v>
      </c>
      <c r="K121" s="908">
        <f t="shared" si="10"/>
        <v>0</v>
      </c>
      <c r="L121" s="346" t="str">
        <f>IFERROR(VLOOKUP(C121,'DE x PARA'!C115:K2281,7,FALSE),"SINTÉTICA")</f>
        <v>SINTÉTICA</v>
      </c>
      <c r="M121" s="346">
        <f>IFERROR(VLOOKUP(B121,'DE x PARA'!B115:K2281,10,FALSE),"SINTÉTICA")</f>
        <v>600017</v>
      </c>
      <c r="N121" s="346">
        <f>IFERROR(VLOOKUP(M121,'DE x PARA'!$K$2:$L$2168,2,FALSE),0)</f>
        <v>-1</v>
      </c>
      <c r="O121" s="344">
        <f t="shared" si="11"/>
        <v>0</v>
      </c>
    </row>
    <row r="122" spans="1:15">
      <c r="A122" s="343" t="str">
        <f t="shared" si="8"/>
        <v>2.1.1.04.0781</v>
      </c>
      <c r="B122" s="343" t="s">
        <v>757</v>
      </c>
      <c r="C122" s="347">
        <v>2593170000000</v>
      </c>
      <c r="D122" s="94" t="s">
        <v>758</v>
      </c>
      <c r="E122" s="344">
        <v>0</v>
      </c>
      <c r="F122" s="344">
        <v>47900</v>
      </c>
      <c r="G122" s="344">
        <v>-47900</v>
      </c>
      <c r="H122" s="344">
        <v>0</v>
      </c>
      <c r="I122" s="344">
        <v>0</v>
      </c>
      <c r="J122" s="345">
        <f t="shared" si="9"/>
        <v>0</v>
      </c>
      <c r="K122" s="908">
        <f t="shared" si="10"/>
        <v>0</v>
      </c>
      <c r="L122" s="346" t="str">
        <f>IFERROR(VLOOKUP(C122,'DE x PARA'!C116:K2282,7,FALSE),"SINTÉTICA")</f>
        <v>SINTÉTICA</v>
      </c>
      <c r="M122" s="346">
        <f>IFERROR(VLOOKUP(B122,'DE x PARA'!B116:K2282,10,FALSE),"SINTÉTICA")</f>
        <v>600017</v>
      </c>
      <c r="N122" s="346">
        <f>IFERROR(VLOOKUP(M122,'DE x PARA'!$K$2:$L$2168,2,FALSE),0)</f>
        <v>-1</v>
      </c>
      <c r="O122" s="344">
        <f t="shared" si="11"/>
        <v>0</v>
      </c>
    </row>
    <row r="123" spans="1:15">
      <c r="A123" s="343" t="str">
        <f t="shared" si="8"/>
        <v>2.1.1.04.0834</v>
      </c>
      <c r="B123" s="343" t="s">
        <v>761</v>
      </c>
      <c r="C123" s="347">
        <v>14031100000000</v>
      </c>
      <c r="D123" s="94" t="s">
        <v>762</v>
      </c>
      <c r="E123" s="344">
        <v>0</v>
      </c>
      <c r="F123" s="344">
        <v>880470.22</v>
      </c>
      <c r="G123" s="344">
        <v>-880470.22</v>
      </c>
      <c r="H123" s="344">
        <v>0</v>
      </c>
      <c r="I123" s="344">
        <v>0</v>
      </c>
      <c r="J123" s="345">
        <f t="shared" si="9"/>
        <v>0</v>
      </c>
      <c r="K123" s="908">
        <f t="shared" si="10"/>
        <v>0</v>
      </c>
      <c r="L123" s="346" t="str">
        <f>IFERROR(VLOOKUP(C123,'DE x PARA'!C117:K2283,7,FALSE),"SINTÉTICA")</f>
        <v>SINTÉTICA</v>
      </c>
      <c r="M123" s="346">
        <f>IFERROR(VLOOKUP(B123,'DE x PARA'!B117:K2283,10,FALSE),"SINTÉTICA")</f>
        <v>600017</v>
      </c>
      <c r="N123" s="346">
        <f>IFERROR(VLOOKUP(M123,'DE x PARA'!$K$2:$L$2168,2,FALSE),0)</f>
        <v>-1</v>
      </c>
      <c r="O123" s="344">
        <f t="shared" si="11"/>
        <v>0</v>
      </c>
    </row>
    <row r="124" spans="1:15">
      <c r="A124" s="343" t="str">
        <f t="shared" si="8"/>
        <v>2.1.1.04.0838</v>
      </c>
      <c r="B124" s="343" t="s">
        <v>3835</v>
      </c>
      <c r="C124" s="347">
        <v>62070100000000</v>
      </c>
      <c r="D124" s="94" t="s">
        <v>3836</v>
      </c>
      <c r="E124" s="344">
        <v>0</v>
      </c>
      <c r="F124" s="344">
        <v>7890</v>
      </c>
      <c r="G124" s="344">
        <v>-7890</v>
      </c>
      <c r="H124" s="344">
        <v>0</v>
      </c>
      <c r="I124" s="344">
        <v>0</v>
      </c>
      <c r="J124" s="345">
        <f t="shared" si="9"/>
        <v>0</v>
      </c>
      <c r="K124" s="908">
        <f t="shared" si="10"/>
        <v>0</v>
      </c>
      <c r="L124" s="346" t="str">
        <f>IFERROR(VLOOKUP(C124,'DE x PARA'!C118:K2284,7,FALSE),"SINTÉTICA")</f>
        <v>SINTÉTICA</v>
      </c>
      <c r="M124" s="346">
        <f>IFERROR(VLOOKUP(B124,'DE x PARA'!B118:K2284,10,FALSE),"SINTÉTICA")</f>
        <v>600017</v>
      </c>
      <c r="N124" s="346">
        <f>IFERROR(VLOOKUP(M124,'DE x PARA'!$K$2:$L$2168,2,FALSE),0)</f>
        <v>-1</v>
      </c>
      <c r="O124" s="344">
        <f t="shared" si="11"/>
        <v>0</v>
      </c>
    </row>
    <row r="125" spans="1:15">
      <c r="A125" s="343" t="str">
        <f t="shared" si="8"/>
        <v>2.1.1.04.0840</v>
      </c>
      <c r="B125" s="343" t="s">
        <v>763</v>
      </c>
      <c r="C125" s="347">
        <v>1082330000000</v>
      </c>
      <c r="D125" s="94" t="s">
        <v>764</v>
      </c>
      <c r="E125" s="344">
        <v>0</v>
      </c>
      <c r="F125" s="344">
        <v>14225</v>
      </c>
      <c r="G125" s="344">
        <v>-14225</v>
      </c>
      <c r="H125" s="344">
        <v>0</v>
      </c>
      <c r="I125" s="344">
        <v>0</v>
      </c>
      <c r="J125" s="345">
        <f t="shared" si="9"/>
        <v>0</v>
      </c>
      <c r="K125" s="908">
        <f t="shared" si="10"/>
        <v>0</v>
      </c>
      <c r="L125" s="346" t="str">
        <f>IFERROR(VLOOKUP(C125,'DE x PARA'!C119:K2285,7,FALSE),"SINTÉTICA")</f>
        <v>SINTÉTICA</v>
      </c>
      <c r="M125" s="346">
        <f>IFERROR(VLOOKUP(B125,'DE x PARA'!B119:K2285,10,FALSE),"SINTÉTICA")</f>
        <v>600017</v>
      </c>
      <c r="N125" s="346">
        <f>IFERROR(VLOOKUP(M125,'DE x PARA'!$K$2:$L$2168,2,FALSE),0)</f>
        <v>-1</v>
      </c>
      <c r="O125" s="344">
        <f t="shared" si="11"/>
        <v>0</v>
      </c>
    </row>
    <row r="126" spans="1:15">
      <c r="A126" s="343" t="str">
        <f t="shared" si="8"/>
        <v>2.1.1.04.0843</v>
      </c>
      <c r="B126" s="343" t="s">
        <v>767</v>
      </c>
      <c r="C126" s="347">
        <v>11825800000000</v>
      </c>
      <c r="D126" s="94" t="s">
        <v>768</v>
      </c>
      <c r="E126" s="344">
        <v>0</v>
      </c>
      <c r="F126" s="344">
        <v>683.2</v>
      </c>
      <c r="G126" s="344">
        <v>-683.2</v>
      </c>
      <c r="H126" s="344">
        <v>0</v>
      </c>
      <c r="I126" s="344">
        <v>0</v>
      </c>
      <c r="J126" s="345">
        <f t="shared" si="9"/>
        <v>0</v>
      </c>
      <c r="K126" s="908">
        <f t="shared" si="10"/>
        <v>0</v>
      </c>
      <c r="L126" s="346" t="str">
        <f>IFERROR(VLOOKUP(C126,'DE x PARA'!C120:K2286,7,FALSE),"SINTÉTICA")</f>
        <v>SINTÉTICA</v>
      </c>
      <c r="M126" s="346">
        <f>IFERROR(VLOOKUP(B126,'DE x PARA'!B120:K2286,10,FALSE),"SINTÉTICA")</f>
        <v>600017</v>
      </c>
      <c r="N126" s="346">
        <f>IFERROR(VLOOKUP(M126,'DE x PARA'!$K$2:$L$2168,2,FALSE),0)</f>
        <v>-1</v>
      </c>
      <c r="O126" s="344">
        <f t="shared" si="11"/>
        <v>0</v>
      </c>
    </row>
    <row r="127" spans="1:15">
      <c r="A127" s="343" t="str">
        <f t="shared" si="8"/>
        <v>2.1.1.04.0870</v>
      </c>
      <c r="B127" s="343" t="s">
        <v>3889</v>
      </c>
      <c r="C127" s="347">
        <v>64909700000000</v>
      </c>
      <c r="D127" s="94" t="s">
        <v>3890</v>
      </c>
      <c r="E127" s="344">
        <v>0</v>
      </c>
      <c r="F127" s="344">
        <v>0</v>
      </c>
      <c r="G127" s="344">
        <v>-245952</v>
      </c>
      <c r="H127" s="344">
        <v>-245952</v>
      </c>
      <c r="I127" s="344">
        <v>-245952</v>
      </c>
      <c r="J127" s="345">
        <f t="shared" si="9"/>
        <v>-245.952</v>
      </c>
      <c r="K127" s="908">
        <f t="shared" si="10"/>
        <v>-246</v>
      </c>
      <c r="L127" s="346" t="str">
        <f>IFERROR(VLOOKUP(C127,'DE x PARA'!C121:K2287,7,FALSE),"SINTÉTICA")</f>
        <v>SINTÉTICA</v>
      </c>
      <c r="M127" s="346">
        <f>IFERROR(VLOOKUP(B127,'DE x PARA'!B121:K2287,10,FALSE),"SINTÉTICA")</f>
        <v>600017</v>
      </c>
      <c r="N127" s="346">
        <f>IFERROR(VLOOKUP(M127,'DE x PARA'!$K$2:$L$2168,2,FALSE),0)</f>
        <v>-1</v>
      </c>
      <c r="O127" s="344">
        <f t="shared" si="11"/>
        <v>245952</v>
      </c>
    </row>
    <row r="128" spans="1:15">
      <c r="A128" s="343" t="str">
        <f t="shared" si="8"/>
        <v>2.1.1.04.0872</v>
      </c>
      <c r="B128" s="343" t="s">
        <v>773</v>
      </c>
      <c r="C128" s="347">
        <v>15610500000000</v>
      </c>
      <c r="D128" s="94" t="s">
        <v>774</v>
      </c>
      <c r="E128" s="344">
        <v>0</v>
      </c>
      <c r="F128" s="344">
        <v>360</v>
      </c>
      <c r="G128" s="344">
        <v>-420</v>
      </c>
      <c r="H128" s="344">
        <v>-60</v>
      </c>
      <c r="I128" s="344">
        <v>-60</v>
      </c>
      <c r="J128" s="345">
        <f t="shared" si="9"/>
        <v>-0.06</v>
      </c>
      <c r="K128" s="908">
        <f t="shared" si="10"/>
        <v>0</v>
      </c>
      <c r="L128" s="346" t="str">
        <f>IFERROR(VLOOKUP(C128,'DE x PARA'!C122:K2288,7,FALSE),"SINTÉTICA")</f>
        <v>SINTÉTICA</v>
      </c>
      <c r="M128" s="346">
        <f>IFERROR(VLOOKUP(B128,'DE x PARA'!B122:K2288,10,FALSE),"SINTÉTICA")</f>
        <v>600017</v>
      </c>
      <c r="N128" s="346">
        <f>IFERROR(VLOOKUP(M128,'DE x PARA'!$K$2:$L$2168,2,FALSE),0)</f>
        <v>-1</v>
      </c>
      <c r="O128" s="344">
        <f t="shared" si="11"/>
        <v>60</v>
      </c>
    </row>
    <row r="129" spans="1:15">
      <c r="A129" s="343" t="str">
        <f t="shared" si="8"/>
        <v>2.1.1.04.0877</v>
      </c>
      <c r="B129" s="343" t="s">
        <v>3901</v>
      </c>
      <c r="C129" s="347">
        <v>2081860000000</v>
      </c>
      <c r="D129" s="94" t="s">
        <v>3902</v>
      </c>
      <c r="E129" s="344">
        <v>0</v>
      </c>
      <c r="F129" s="344">
        <v>14785.26</v>
      </c>
      <c r="G129" s="344">
        <v>-14785.26</v>
      </c>
      <c r="H129" s="344">
        <v>0</v>
      </c>
      <c r="I129" s="344">
        <v>0</v>
      </c>
      <c r="J129" s="345">
        <f t="shared" si="9"/>
        <v>0</v>
      </c>
      <c r="K129" s="908">
        <f t="shared" si="10"/>
        <v>0</v>
      </c>
      <c r="L129" s="346" t="str">
        <f>IFERROR(VLOOKUP(C129,'DE x PARA'!C123:K2289,7,FALSE),"SINTÉTICA")</f>
        <v>SINTÉTICA</v>
      </c>
      <c r="M129" s="346">
        <f>IFERROR(VLOOKUP(B129,'DE x PARA'!B123:K2289,10,FALSE),"SINTÉTICA")</f>
        <v>600017</v>
      </c>
      <c r="N129" s="346">
        <f>IFERROR(VLOOKUP(M129,'DE x PARA'!$K$2:$L$2168,2,FALSE),0)</f>
        <v>-1</v>
      </c>
      <c r="O129" s="344">
        <f t="shared" si="11"/>
        <v>0</v>
      </c>
    </row>
    <row r="130" spans="1:15">
      <c r="A130" s="343" t="str">
        <f t="shared" si="8"/>
        <v>2.1.1.04.0881</v>
      </c>
      <c r="B130" s="343" t="s">
        <v>775</v>
      </c>
      <c r="C130" s="347">
        <v>3364280000000</v>
      </c>
      <c r="D130" s="94" t="s">
        <v>776</v>
      </c>
      <c r="E130" s="344">
        <v>0</v>
      </c>
      <c r="F130" s="344">
        <v>4600</v>
      </c>
      <c r="G130" s="344">
        <v>-4600</v>
      </c>
      <c r="H130" s="344">
        <v>0</v>
      </c>
      <c r="I130" s="344">
        <v>0</v>
      </c>
      <c r="J130" s="345">
        <f t="shared" si="9"/>
        <v>0</v>
      </c>
      <c r="K130" s="908">
        <f t="shared" si="10"/>
        <v>0</v>
      </c>
      <c r="L130" s="346" t="str">
        <f>IFERROR(VLOOKUP(C130,'DE x PARA'!C124:K2290,7,FALSE),"SINTÉTICA")</f>
        <v>SINTÉTICA</v>
      </c>
      <c r="M130" s="346">
        <f>IFERROR(VLOOKUP(B130,'DE x PARA'!B124:K2290,10,FALSE),"SINTÉTICA")</f>
        <v>600017</v>
      </c>
      <c r="N130" s="346">
        <f>IFERROR(VLOOKUP(M130,'DE x PARA'!$K$2:$L$2168,2,FALSE),0)</f>
        <v>-1</v>
      </c>
      <c r="O130" s="344">
        <f t="shared" si="11"/>
        <v>0</v>
      </c>
    </row>
    <row r="131" spans="1:15">
      <c r="A131" s="343" t="str">
        <f t="shared" si="8"/>
        <v>2.1.1.04.0884</v>
      </c>
      <c r="B131" s="343" t="s">
        <v>3911</v>
      </c>
      <c r="C131" s="347">
        <v>82429600000000</v>
      </c>
      <c r="D131" s="94" t="s">
        <v>3912</v>
      </c>
      <c r="E131" s="344">
        <v>0</v>
      </c>
      <c r="F131" s="344">
        <v>5079.08</v>
      </c>
      <c r="G131" s="344">
        <v>-5079.08</v>
      </c>
      <c r="H131" s="344">
        <v>0</v>
      </c>
      <c r="I131" s="344">
        <v>0</v>
      </c>
      <c r="J131" s="345">
        <f t="shared" si="9"/>
        <v>0</v>
      </c>
      <c r="K131" s="908">
        <f t="shared" si="10"/>
        <v>0</v>
      </c>
      <c r="L131" s="346" t="str">
        <f>IFERROR(VLOOKUP(C131,'DE x PARA'!C125:K2291,7,FALSE),"SINTÉTICA")</f>
        <v>SINTÉTICA</v>
      </c>
      <c r="M131" s="346">
        <f>IFERROR(VLOOKUP(B131,'DE x PARA'!B125:K2291,10,FALSE),"SINTÉTICA")</f>
        <v>600017</v>
      </c>
      <c r="N131" s="346">
        <f>IFERROR(VLOOKUP(M131,'DE x PARA'!$K$2:$L$2168,2,FALSE),0)</f>
        <v>-1</v>
      </c>
      <c r="O131" s="344">
        <f t="shared" si="11"/>
        <v>0</v>
      </c>
    </row>
    <row r="132" spans="1:15">
      <c r="A132" s="343" t="str">
        <f t="shared" si="8"/>
        <v>2.1.1.04.0886</v>
      </c>
      <c r="B132" s="343" t="s">
        <v>777</v>
      </c>
      <c r="C132" s="347">
        <v>7718940000000</v>
      </c>
      <c r="D132" s="94" t="s">
        <v>778</v>
      </c>
      <c r="E132" s="344">
        <v>0</v>
      </c>
      <c r="F132" s="344">
        <v>980</v>
      </c>
      <c r="G132" s="344">
        <v>-980</v>
      </c>
      <c r="H132" s="344">
        <v>0</v>
      </c>
      <c r="I132" s="344">
        <v>0</v>
      </c>
      <c r="J132" s="345">
        <f t="shared" si="9"/>
        <v>0</v>
      </c>
      <c r="K132" s="908">
        <f t="shared" si="10"/>
        <v>0</v>
      </c>
      <c r="L132" s="346" t="str">
        <f>IFERROR(VLOOKUP(C132,'DE x PARA'!C126:K2292,7,FALSE),"SINTÉTICA")</f>
        <v>SINTÉTICA</v>
      </c>
      <c r="M132" s="346">
        <f>IFERROR(VLOOKUP(B132,'DE x PARA'!B126:K2292,10,FALSE),"SINTÉTICA")</f>
        <v>600017</v>
      </c>
      <c r="N132" s="346">
        <f>IFERROR(VLOOKUP(M132,'DE x PARA'!$K$2:$L$2168,2,FALSE),0)</f>
        <v>-1</v>
      </c>
      <c r="O132" s="344">
        <f t="shared" si="11"/>
        <v>0</v>
      </c>
    </row>
    <row r="133" spans="1:15">
      <c r="A133" s="343" t="str">
        <f t="shared" si="8"/>
        <v>2.1.1.04.0892</v>
      </c>
      <c r="B133" s="343" t="s">
        <v>779</v>
      </c>
      <c r="C133" s="347">
        <v>9079570000000</v>
      </c>
      <c r="D133" s="94" t="s">
        <v>780</v>
      </c>
      <c r="E133" s="344">
        <v>0</v>
      </c>
      <c r="F133" s="344">
        <v>21285.72</v>
      </c>
      <c r="G133" s="344">
        <v>-21285.72</v>
      </c>
      <c r="H133" s="344">
        <v>0</v>
      </c>
      <c r="I133" s="344">
        <v>0</v>
      </c>
      <c r="J133" s="345">
        <f t="shared" si="9"/>
        <v>0</v>
      </c>
      <c r="K133" s="908">
        <f t="shared" si="10"/>
        <v>0</v>
      </c>
      <c r="L133" s="346" t="str">
        <f>IFERROR(VLOOKUP(C133,'DE x PARA'!C127:K2293,7,FALSE),"SINTÉTICA")</f>
        <v>SINTÉTICA</v>
      </c>
      <c r="M133" s="346">
        <f>IFERROR(VLOOKUP(B133,'DE x PARA'!B127:K2293,10,FALSE),"SINTÉTICA")</f>
        <v>600017</v>
      </c>
      <c r="N133" s="346">
        <f>IFERROR(VLOOKUP(M133,'DE x PARA'!$K$2:$L$2168,2,FALSE),0)</f>
        <v>-1</v>
      </c>
      <c r="O133" s="344">
        <f t="shared" si="11"/>
        <v>0</v>
      </c>
    </row>
    <row r="134" spans="1:15">
      <c r="A134" s="343" t="str">
        <f t="shared" si="8"/>
        <v>2.1.1.04.0901</v>
      </c>
      <c r="B134" s="343" t="s">
        <v>783</v>
      </c>
      <c r="C134" s="347">
        <v>19088600000000</v>
      </c>
      <c r="D134" s="94" t="s">
        <v>784</v>
      </c>
      <c r="E134" s="344">
        <v>0</v>
      </c>
      <c r="F134" s="344">
        <v>1056725.3600000001</v>
      </c>
      <c r="G134" s="344">
        <v>-1146725.3600000001</v>
      </c>
      <c r="H134" s="344">
        <v>-90000</v>
      </c>
      <c r="I134" s="344">
        <v>-90000</v>
      </c>
      <c r="J134" s="345">
        <f t="shared" si="9"/>
        <v>-90</v>
      </c>
      <c r="K134" s="908">
        <f t="shared" si="10"/>
        <v>-90</v>
      </c>
      <c r="L134" s="346" t="str">
        <f>IFERROR(VLOOKUP(C134,'DE x PARA'!C128:K2294,7,FALSE),"SINTÉTICA")</f>
        <v>SINTÉTICA</v>
      </c>
      <c r="M134" s="346">
        <f>IFERROR(VLOOKUP(B134,'DE x PARA'!B128:K2294,10,FALSE),"SINTÉTICA")</f>
        <v>600017</v>
      </c>
      <c r="N134" s="346">
        <f>IFERROR(VLOOKUP(M134,'DE x PARA'!$K$2:$L$2168,2,FALSE),0)</f>
        <v>-1</v>
      </c>
      <c r="O134" s="344">
        <f t="shared" si="11"/>
        <v>90000</v>
      </c>
    </row>
    <row r="135" spans="1:15">
      <c r="A135" s="343" t="str">
        <f t="shared" si="8"/>
        <v>2.1.1.04.0904</v>
      </c>
      <c r="B135" s="343" t="s">
        <v>3943</v>
      </c>
      <c r="C135" s="347">
        <v>398099000000</v>
      </c>
      <c r="D135" s="94" t="s">
        <v>3944</v>
      </c>
      <c r="E135" s="344">
        <v>0</v>
      </c>
      <c r="F135" s="344">
        <v>2500</v>
      </c>
      <c r="G135" s="344">
        <v>-2500</v>
      </c>
      <c r="H135" s="344">
        <v>0</v>
      </c>
      <c r="I135" s="344">
        <v>0</v>
      </c>
      <c r="J135" s="345">
        <f t="shared" si="9"/>
        <v>0</v>
      </c>
      <c r="K135" s="908">
        <f t="shared" si="10"/>
        <v>0</v>
      </c>
      <c r="L135" s="346" t="str">
        <f>IFERROR(VLOOKUP(C135,'DE x PARA'!C129:K2295,7,FALSE),"SINTÉTICA")</f>
        <v>SINTÉTICA</v>
      </c>
      <c r="M135" s="346">
        <f>IFERROR(VLOOKUP(B135,'DE x PARA'!B129:K2295,10,FALSE),"SINTÉTICA")</f>
        <v>600017</v>
      </c>
      <c r="N135" s="346">
        <f>IFERROR(VLOOKUP(M135,'DE x PARA'!$K$2:$L$2168,2,FALSE),0)</f>
        <v>-1</v>
      </c>
      <c r="O135" s="344">
        <f t="shared" si="11"/>
        <v>0</v>
      </c>
    </row>
    <row r="136" spans="1:15">
      <c r="A136" s="343" t="str">
        <f t="shared" ref="A136:A199" si="12">B136</f>
        <v>2.1.1.04.0906</v>
      </c>
      <c r="B136" s="343" t="s">
        <v>785</v>
      </c>
      <c r="C136" s="347">
        <v>34036200000000</v>
      </c>
      <c r="D136" s="94" t="s">
        <v>786</v>
      </c>
      <c r="E136" s="344">
        <v>-18933.400000000001</v>
      </c>
      <c r="F136" s="344">
        <v>1500601.11</v>
      </c>
      <c r="G136" s="344">
        <v>-1601667.71</v>
      </c>
      <c r="H136" s="344">
        <v>-101066.6</v>
      </c>
      <c r="I136" s="344">
        <v>-120000</v>
      </c>
      <c r="J136" s="345">
        <f t="shared" si="9"/>
        <v>-120</v>
      </c>
      <c r="K136" s="908">
        <f t="shared" si="10"/>
        <v>-120</v>
      </c>
      <c r="L136" s="346" t="str">
        <f>IFERROR(VLOOKUP(C136,'DE x PARA'!C130:K2296,7,FALSE),"SINTÉTICA")</f>
        <v>SINTÉTICA</v>
      </c>
      <c r="M136" s="346">
        <f>IFERROR(VLOOKUP(B136,'DE x PARA'!B130:K2296,10,FALSE),"SINTÉTICA")</f>
        <v>600017</v>
      </c>
      <c r="N136" s="346">
        <f>IFERROR(VLOOKUP(M136,'DE x PARA'!$K$2:$L$2168,2,FALSE),0)</f>
        <v>-1</v>
      </c>
      <c r="O136" s="344">
        <f t="shared" si="11"/>
        <v>101066.6</v>
      </c>
    </row>
    <row r="137" spans="1:15">
      <c r="A137" s="343" t="str">
        <f t="shared" si="12"/>
        <v>2.1.1.04.0907</v>
      </c>
      <c r="B137" s="343" t="s">
        <v>787</v>
      </c>
      <c r="C137" s="347">
        <v>36813600000000</v>
      </c>
      <c r="D137" s="94" t="s">
        <v>5448</v>
      </c>
      <c r="E137" s="344">
        <v>0</v>
      </c>
      <c r="F137" s="344">
        <v>141324.31</v>
      </c>
      <c r="G137" s="344">
        <v>-141324.31</v>
      </c>
      <c r="H137" s="344">
        <v>0</v>
      </c>
      <c r="I137" s="344">
        <v>0</v>
      </c>
      <c r="J137" s="345">
        <f t="shared" ref="J137:J200" si="13">I137/1000</f>
        <v>0</v>
      </c>
      <c r="K137" s="908">
        <f t="shared" ref="K137:K200" si="14">ROUND(J137,0)</f>
        <v>0</v>
      </c>
      <c r="L137" s="346" t="str">
        <f>IFERROR(VLOOKUP(C137,'DE x PARA'!C131:K2297,7,FALSE),"SINTÉTICA")</f>
        <v>SINTÉTICA</v>
      </c>
      <c r="M137" s="346">
        <f>IFERROR(VLOOKUP(B137,'DE x PARA'!B131:K2297,10,FALSE),"SINTÉTICA")</f>
        <v>600017</v>
      </c>
      <c r="N137" s="346">
        <f>IFERROR(VLOOKUP(M137,'DE x PARA'!$K$2:$L$2168,2,FALSE),0)</f>
        <v>-1</v>
      </c>
      <c r="O137" s="344">
        <f t="shared" ref="O137:O200" si="15">+H137*N137</f>
        <v>0</v>
      </c>
    </row>
    <row r="138" spans="1:15">
      <c r="A138" s="343" t="str">
        <f t="shared" si="12"/>
        <v>2.1.1.04.0910</v>
      </c>
      <c r="B138" s="343" t="s">
        <v>3951</v>
      </c>
      <c r="C138" s="347">
        <v>34746200000000</v>
      </c>
      <c r="D138" s="94" t="s">
        <v>3952</v>
      </c>
      <c r="E138" s="344">
        <v>0</v>
      </c>
      <c r="F138" s="344">
        <v>23714.6</v>
      </c>
      <c r="G138" s="344">
        <v>-23714.6</v>
      </c>
      <c r="H138" s="344">
        <v>0</v>
      </c>
      <c r="I138" s="344">
        <v>0</v>
      </c>
      <c r="J138" s="345">
        <f t="shared" si="13"/>
        <v>0</v>
      </c>
      <c r="K138" s="908">
        <f t="shared" si="14"/>
        <v>0</v>
      </c>
      <c r="L138" s="346" t="str">
        <f>IFERROR(VLOOKUP(C138,'DE x PARA'!C132:K2298,7,FALSE),"SINTÉTICA")</f>
        <v>SINTÉTICA</v>
      </c>
      <c r="M138" s="346">
        <f>IFERROR(VLOOKUP(B138,'DE x PARA'!B132:K2298,10,FALSE),"SINTÉTICA")</f>
        <v>600017</v>
      </c>
      <c r="N138" s="346">
        <f>IFERROR(VLOOKUP(M138,'DE x PARA'!$K$2:$L$2168,2,FALSE),0)</f>
        <v>-1</v>
      </c>
      <c r="O138" s="344">
        <f t="shared" si="15"/>
        <v>0</v>
      </c>
    </row>
    <row r="139" spans="1:15">
      <c r="A139" s="343" t="str">
        <f t="shared" si="12"/>
        <v>2.1.1.04.0911</v>
      </c>
      <c r="B139" s="343" t="s">
        <v>789</v>
      </c>
      <c r="C139" s="347">
        <v>191477000000</v>
      </c>
      <c r="D139" s="94" t="s">
        <v>790</v>
      </c>
      <c r="E139" s="344">
        <v>-33777</v>
      </c>
      <c r="F139" s="344">
        <v>66627</v>
      </c>
      <c r="G139" s="344">
        <v>-32850</v>
      </c>
      <c r="H139" s="344">
        <v>33777</v>
      </c>
      <c r="I139" s="344">
        <v>0</v>
      </c>
      <c r="J139" s="345">
        <f t="shared" si="13"/>
        <v>0</v>
      </c>
      <c r="K139" s="908">
        <f t="shared" si="14"/>
        <v>0</v>
      </c>
      <c r="L139" s="346" t="str">
        <f>IFERROR(VLOOKUP(C139,'DE x PARA'!C133:K2299,7,FALSE),"SINTÉTICA")</f>
        <v>SINTÉTICA</v>
      </c>
      <c r="M139" s="346">
        <f>IFERROR(VLOOKUP(B139,'DE x PARA'!B133:K2299,10,FALSE),"SINTÉTICA")</f>
        <v>600017</v>
      </c>
      <c r="N139" s="346">
        <f>IFERROR(VLOOKUP(M139,'DE x PARA'!$K$2:$L$2168,2,FALSE),0)</f>
        <v>-1</v>
      </c>
      <c r="O139" s="344">
        <f t="shared" si="15"/>
        <v>-33777</v>
      </c>
    </row>
    <row r="140" spans="1:15">
      <c r="A140" s="343" t="str">
        <f t="shared" si="12"/>
        <v>2.1.1.04.0919</v>
      </c>
      <c r="B140" s="343" t="s">
        <v>3965</v>
      </c>
      <c r="C140" s="347">
        <v>5506560000000</v>
      </c>
      <c r="D140" s="94" t="s">
        <v>3966</v>
      </c>
      <c r="E140" s="344">
        <v>0</v>
      </c>
      <c r="F140" s="344">
        <v>40</v>
      </c>
      <c r="G140" s="344">
        <v>-40</v>
      </c>
      <c r="H140" s="344">
        <v>0</v>
      </c>
      <c r="I140" s="344">
        <v>0</v>
      </c>
      <c r="J140" s="345">
        <f t="shared" si="13"/>
        <v>0</v>
      </c>
      <c r="K140" s="908">
        <f t="shared" si="14"/>
        <v>0</v>
      </c>
      <c r="L140" s="346" t="str">
        <f>IFERROR(VLOOKUP(C140,'DE x PARA'!C134:K2300,7,FALSE),"SINTÉTICA")</f>
        <v>SINTÉTICA</v>
      </c>
      <c r="M140" s="346">
        <f>IFERROR(VLOOKUP(B140,'DE x PARA'!B134:K2300,10,FALSE),"SINTÉTICA")</f>
        <v>600017</v>
      </c>
      <c r="N140" s="346">
        <f>IFERROR(VLOOKUP(M140,'DE x PARA'!$K$2:$L$2168,2,FALSE),0)</f>
        <v>-1</v>
      </c>
      <c r="O140" s="344">
        <f t="shared" si="15"/>
        <v>0</v>
      </c>
    </row>
    <row r="141" spans="1:15">
      <c r="A141" s="343" t="str">
        <f t="shared" si="12"/>
        <v>2.1.1.04.0926</v>
      </c>
      <c r="B141" s="343" t="s">
        <v>791</v>
      </c>
      <c r="C141" s="347">
        <v>34977900000000</v>
      </c>
      <c r="D141" s="94" t="s">
        <v>792</v>
      </c>
      <c r="E141" s="344">
        <v>0</v>
      </c>
      <c r="F141" s="344">
        <v>9958.86</v>
      </c>
      <c r="G141" s="344">
        <v>-9958.86</v>
      </c>
      <c r="H141" s="344">
        <v>0</v>
      </c>
      <c r="I141" s="344">
        <v>0</v>
      </c>
      <c r="J141" s="345">
        <f t="shared" si="13"/>
        <v>0</v>
      </c>
      <c r="K141" s="908">
        <f t="shared" si="14"/>
        <v>0</v>
      </c>
      <c r="L141" s="346" t="str">
        <f>IFERROR(VLOOKUP(C141,'DE x PARA'!C135:K2301,7,FALSE),"SINTÉTICA")</f>
        <v>SINTÉTICA</v>
      </c>
      <c r="M141" s="346">
        <f>IFERROR(VLOOKUP(B141,'DE x PARA'!B135:K2301,10,FALSE),"SINTÉTICA")</f>
        <v>600017</v>
      </c>
      <c r="N141" s="346">
        <f>IFERROR(VLOOKUP(M141,'DE x PARA'!$K$2:$L$2168,2,FALSE),0)</f>
        <v>-1</v>
      </c>
      <c r="O141" s="344">
        <f t="shared" si="15"/>
        <v>0</v>
      </c>
    </row>
    <row r="142" spans="1:15">
      <c r="A142" s="343" t="str">
        <f t="shared" si="12"/>
        <v>2.1.1.04.0927</v>
      </c>
      <c r="B142" s="343" t="s">
        <v>3980</v>
      </c>
      <c r="C142" s="347">
        <v>40949200000000</v>
      </c>
      <c r="D142" s="94" t="s">
        <v>3981</v>
      </c>
      <c r="E142" s="344">
        <v>0</v>
      </c>
      <c r="F142" s="344">
        <v>24000</v>
      </c>
      <c r="G142" s="344">
        <v>-24000</v>
      </c>
      <c r="H142" s="344">
        <v>0</v>
      </c>
      <c r="I142" s="344">
        <v>0</v>
      </c>
      <c r="J142" s="345">
        <f t="shared" si="13"/>
        <v>0</v>
      </c>
      <c r="K142" s="908">
        <f t="shared" si="14"/>
        <v>0</v>
      </c>
      <c r="L142" s="346" t="str">
        <f>IFERROR(VLOOKUP(C142,'DE x PARA'!C136:K2302,7,FALSE),"SINTÉTICA")</f>
        <v>SINTÉTICA</v>
      </c>
      <c r="M142" s="346">
        <f>IFERROR(VLOOKUP(B142,'DE x PARA'!B136:K2302,10,FALSE),"SINTÉTICA")</f>
        <v>600017</v>
      </c>
      <c r="N142" s="346">
        <f>IFERROR(VLOOKUP(M142,'DE x PARA'!$K$2:$L$2168,2,FALSE),0)</f>
        <v>-1</v>
      </c>
      <c r="O142" s="344">
        <f t="shared" si="15"/>
        <v>0</v>
      </c>
    </row>
    <row r="143" spans="1:15">
      <c r="A143" s="343" t="str">
        <f t="shared" si="12"/>
        <v>2.1.1.04.0930</v>
      </c>
      <c r="B143" s="343" t="s">
        <v>793</v>
      </c>
      <c r="C143" s="347">
        <v>25131900000000</v>
      </c>
      <c r="D143" s="94" t="s">
        <v>794</v>
      </c>
      <c r="E143" s="344">
        <v>0</v>
      </c>
      <c r="F143" s="344">
        <v>24750</v>
      </c>
      <c r="G143" s="344">
        <v>-24750</v>
      </c>
      <c r="H143" s="344">
        <v>0</v>
      </c>
      <c r="I143" s="344">
        <v>0</v>
      </c>
      <c r="J143" s="345">
        <f t="shared" si="13"/>
        <v>0</v>
      </c>
      <c r="K143" s="908">
        <f t="shared" si="14"/>
        <v>0</v>
      </c>
      <c r="L143" s="346" t="str">
        <f>IFERROR(VLOOKUP(C143,'DE x PARA'!C137:K2303,7,FALSE),"SINTÉTICA")</f>
        <v>SINTÉTICA</v>
      </c>
      <c r="M143" s="346">
        <f>IFERROR(VLOOKUP(B143,'DE x PARA'!B137:K2303,10,FALSE),"SINTÉTICA")</f>
        <v>600017</v>
      </c>
      <c r="N143" s="346">
        <f>IFERROR(VLOOKUP(M143,'DE x PARA'!$K$2:$L$2168,2,FALSE),0)</f>
        <v>-1</v>
      </c>
      <c r="O143" s="344">
        <f t="shared" si="15"/>
        <v>0</v>
      </c>
    </row>
    <row r="144" spans="1:15">
      <c r="A144" s="343" t="str">
        <f t="shared" si="12"/>
        <v>2.1.1.04.0932</v>
      </c>
      <c r="B144" s="343" t="s">
        <v>795</v>
      </c>
      <c r="C144" s="347">
        <v>33198300000000</v>
      </c>
      <c r="D144" s="94" t="s">
        <v>796</v>
      </c>
      <c r="E144" s="344">
        <v>0</v>
      </c>
      <c r="F144" s="344">
        <v>3497.2</v>
      </c>
      <c r="G144" s="344">
        <v>-3996.8</v>
      </c>
      <c r="H144" s="344">
        <v>-499.6</v>
      </c>
      <c r="I144" s="344">
        <v>-499.6</v>
      </c>
      <c r="J144" s="345">
        <f t="shared" si="13"/>
        <v>-0.49960000000000004</v>
      </c>
      <c r="K144" s="908">
        <f t="shared" si="14"/>
        <v>0</v>
      </c>
      <c r="L144" s="346" t="str">
        <f>IFERROR(VLOOKUP(C144,'DE x PARA'!C138:K2304,7,FALSE),"SINTÉTICA")</f>
        <v>SINTÉTICA</v>
      </c>
      <c r="M144" s="346">
        <f>IFERROR(VLOOKUP(B144,'DE x PARA'!B138:K2304,10,FALSE),"SINTÉTICA")</f>
        <v>600017</v>
      </c>
      <c r="N144" s="346">
        <f>IFERROR(VLOOKUP(M144,'DE x PARA'!$K$2:$L$2168,2,FALSE),0)</f>
        <v>-1</v>
      </c>
      <c r="O144" s="344">
        <f t="shared" si="15"/>
        <v>499.6</v>
      </c>
    </row>
    <row r="145" spans="1:15">
      <c r="A145" s="343" t="str">
        <f t="shared" si="12"/>
        <v>2.1.1.04.0937</v>
      </c>
      <c r="B145" s="343" t="s">
        <v>797</v>
      </c>
      <c r="C145" s="347">
        <v>28712100000000</v>
      </c>
      <c r="D145" s="94" t="s">
        <v>798</v>
      </c>
      <c r="E145" s="344">
        <v>0</v>
      </c>
      <c r="F145" s="344">
        <v>27000</v>
      </c>
      <c r="G145" s="344">
        <v>-27000</v>
      </c>
      <c r="H145" s="344">
        <v>0</v>
      </c>
      <c r="I145" s="344">
        <v>0</v>
      </c>
      <c r="J145" s="345">
        <f t="shared" si="13"/>
        <v>0</v>
      </c>
      <c r="K145" s="908">
        <f t="shared" si="14"/>
        <v>0</v>
      </c>
      <c r="L145" s="346" t="str">
        <f>IFERROR(VLOOKUP(C145,'DE x PARA'!C139:K2305,7,FALSE),"SINTÉTICA")</f>
        <v>SINTÉTICA</v>
      </c>
      <c r="M145" s="346">
        <f>IFERROR(VLOOKUP(B145,'DE x PARA'!B139:K2305,10,FALSE),"SINTÉTICA")</f>
        <v>600017</v>
      </c>
      <c r="N145" s="346">
        <f>IFERROR(VLOOKUP(M145,'DE x PARA'!$K$2:$L$2168,2,FALSE),0)</f>
        <v>-1</v>
      </c>
      <c r="O145" s="344">
        <f t="shared" si="15"/>
        <v>0</v>
      </c>
    </row>
    <row r="146" spans="1:15">
      <c r="A146" s="343" t="str">
        <f t="shared" si="12"/>
        <v>2.1.1.04.0943</v>
      </c>
      <c r="B146" s="343" t="s">
        <v>801</v>
      </c>
      <c r="C146" s="347">
        <v>12499500000000</v>
      </c>
      <c r="D146" s="94" t="s">
        <v>802</v>
      </c>
      <c r="E146" s="344">
        <v>0</v>
      </c>
      <c r="F146" s="344">
        <v>1927.59</v>
      </c>
      <c r="G146" s="344">
        <v>-1927.59</v>
      </c>
      <c r="H146" s="344">
        <v>0</v>
      </c>
      <c r="I146" s="344">
        <v>0</v>
      </c>
      <c r="J146" s="345">
        <f t="shared" si="13"/>
        <v>0</v>
      </c>
      <c r="K146" s="908">
        <f t="shared" si="14"/>
        <v>0</v>
      </c>
      <c r="L146" s="346" t="str">
        <f>IFERROR(VLOOKUP(C146,'DE x PARA'!C140:K2306,7,FALSE),"SINTÉTICA")</f>
        <v>SINTÉTICA</v>
      </c>
      <c r="M146" s="346">
        <f>IFERROR(VLOOKUP(B146,'DE x PARA'!B140:K2306,10,FALSE),"SINTÉTICA")</f>
        <v>600017</v>
      </c>
      <c r="N146" s="346">
        <f>IFERROR(VLOOKUP(M146,'DE x PARA'!$K$2:$L$2168,2,FALSE),0)</f>
        <v>-1</v>
      </c>
      <c r="O146" s="344">
        <f t="shared" si="15"/>
        <v>0</v>
      </c>
    </row>
    <row r="147" spans="1:15">
      <c r="A147" s="343" t="str">
        <f t="shared" si="12"/>
        <v>2.1.1.04.0948</v>
      </c>
      <c r="B147" s="343" t="s">
        <v>803</v>
      </c>
      <c r="C147" s="347">
        <v>7843950000000</v>
      </c>
      <c r="D147" s="94" t="s">
        <v>804</v>
      </c>
      <c r="E147" s="344">
        <v>0</v>
      </c>
      <c r="F147" s="344">
        <v>25108.26</v>
      </c>
      <c r="G147" s="344">
        <v>-25108.26</v>
      </c>
      <c r="H147" s="344">
        <v>0</v>
      </c>
      <c r="I147" s="344">
        <v>0</v>
      </c>
      <c r="J147" s="345">
        <f t="shared" si="13"/>
        <v>0</v>
      </c>
      <c r="K147" s="908">
        <f t="shared" si="14"/>
        <v>0</v>
      </c>
      <c r="L147" s="346" t="str">
        <f>IFERROR(VLOOKUP(C147,'DE x PARA'!C141:K2307,7,FALSE),"SINTÉTICA")</f>
        <v>SINTÉTICA</v>
      </c>
      <c r="M147" s="346">
        <f>IFERROR(VLOOKUP(B147,'DE x PARA'!B141:K2307,10,FALSE),"SINTÉTICA")</f>
        <v>600017</v>
      </c>
      <c r="N147" s="346">
        <f>IFERROR(VLOOKUP(M147,'DE x PARA'!$K$2:$L$2168,2,FALSE),0)</f>
        <v>-1</v>
      </c>
      <c r="O147" s="344">
        <f t="shared" si="15"/>
        <v>0</v>
      </c>
    </row>
    <row r="148" spans="1:15">
      <c r="A148" s="343" t="str">
        <f t="shared" si="12"/>
        <v>2.1.1.04.0950</v>
      </c>
      <c r="B148" s="343" t="s">
        <v>4014</v>
      </c>
      <c r="C148" s="347">
        <v>72061000000000</v>
      </c>
      <c r="D148" s="94" t="s">
        <v>4015</v>
      </c>
      <c r="E148" s="344">
        <v>0</v>
      </c>
      <c r="F148" s="344">
        <v>287903.7</v>
      </c>
      <c r="G148" s="344">
        <v>-287903.7</v>
      </c>
      <c r="H148" s="344">
        <v>0</v>
      </c>
      <c r="I148" s="344">
        <v>0</v>
      </c>
      <c r="J148" s="345">
        <f t="shared" si="13"/>
        <v>0</v>
      </c>
      <c r="K148" s="908">
        <f t="shared" si="14"/>
        <v>0</v>
      </c>
      <c r="L148" s="346" t="str">
        <f>IFERROR(VLOOKUP(C148,'DE x PARA'!C142:K2308,7,FALSE),"SINTÉTICA")</f>
        <v>SINTÉTICA</v>
      </c>
      <c r="M148" s="346">
        <f>IFERROR(VLOOKUP(B148,'DE x PARA'!B142:K2308,10,FALSE),"SINTÉTICA")</f>
        <v>600017</v>
      </c>
      <c r="N148" s="346">
        <f>IFERROR(VLOOKUP(M148,'DE x PARA'!$K$2:$L$2168,2,FALSE),0)</f>
        <v>-1</v>
      </c>
      <c r="O148" s="344">
        <f t="shared" si="15"/>
        <v>0</v>
      </c>
    </row>
    <row r="149" spans="1:15">
      <c r="A149" s="343" t="str">
        <f t="shared" si="12"/>
        <v>2.1.1.04.0951</v>
      </c>
      <c r="B149" s="343" t="s">
        <v>4016</v>
      </c>
      <c r="C149" s="347">
        <v>24091600000000</v>
      </c>
      <c r="D149" s="94" t="s">
        <v>4017</v>
      </c>
      <c r="E149" s="344">
        <v>0</v>
      </c>
      <c r="F149" s="344">
        <v>9980</v>
      </c>
      <c r="G149" s="344">
        <v>-9980</v>
      </c>
      <c r="H149" s="344">
        <v>0</v>
      </c>
      <c r="I149" s="344">
        <v>0</v>
      </c>
      <c r="J149" s="345">
        <f t="shared" si="13"/>
        <v>0</v>
      </c>
      <c r="K149" s="908">
        <f t="shared" si="14"/>
        <v>0</v>
      </c>
      <c r="L149" s="346" t="str">
        <f>IFERROR(VLOOKUP(C149,'DE x PARA'!C143:K2309,7,FALSE),"SINTÉTICA")</f>
        <v>SINTÉTICA</v>
      </c>
      <c r="M149" s="346">
        <f>IFERROR(VLOOKUP(B149,'DE x PARA'!B143:K2309,10,FALSE),"SINTÉTICA")</f>
        <v>600017</v>
      </c>
      <c r="N149" s="346">
        <f>IFERROR(VLOOKUP(M149,'DE x PARA'!$K$2:$L$2168,2,FALSE),0)</f>
        <v>-1</v>
      </c>
      <c r="O149" s="344">
        <f t="shared" si="15"/>
        <v>0</v>
      </c>
    </row>
    <row r="150" spans="1:15">
      <c r="A150" s="343" t="str">
        <f t="shared" si="12"/>
        <v>2.1.1.04.0957</v>
      </c>
      <c r="B150" s="343" t="s">
        <v>807</v>
      </c>
      <c r="C150" s="347">
        <v>38056400000000</v>
      </c>
      <c r="D150" s="94" t="s">
        <v>808</v>
      </c>
      <c r="E150" s="344">
        <v>0</v>
      </c>
      <c r="F150" s="344">
        <v>196884.77</v>
      </c>
      <c r="G150" s="344">
        <v>-196884.77</v>
      </c>
      <c r="H150" s="344">
        <v>0</v>
      </c>
      <c r="I150" s="344">
        <v>0</v>
      </c>
      <c r="J150" s="345">
        <f t="shared" si="13"/>
        <v>0</v>
      </c>
      <c r="K150" s="908">
        <f t="shared" si="14"/>
        <v>0</v>
      </c>
      <c r="L150" s="346" t="str">
        <f>IFERROR(VLOOKUP(C150,'DE x PARA'!C144:K2310,7,FALSE),"SINTÉTICA")</f>
        <v>SINTÉTICA</v>
      </c>
      <c r="M150" s="346">
        <f>IFERROR(VLOOKUP(B150,'DE x PARA'!B144:K2310,10,FALSE),"SINTÉTICA")</f>
        <v>600017</v>
      </c>
      <c r="N150" s="346">
        <f>IFERROR(VLOOKUP(M150,'DE x PARA'!$K$2:$L$2168,2,FALSE),0)</f>
        <v>-1</v>
      </c>
      <c r="O150" s="344">
        <f t="shared" si="15"/>
        <v>0</v>
      </c>
    </row>
    <row r="151" spans="1:15">
      <c r="A151" s="343" t="str">
        <f t="shared" si="12"/>
        <v>2.1.1.04.0967</v>
      </c>
      <c r="B151" s="343" t="s">
        <v>809</v>
      </c>
      <c r="C151" s="347" t="s">
        <v>810</v>
      </c>
      <c r="D151" s="94" t="s">
        <v>811</v>
      </c>
      <c r="E151" s="344">
        <v>0</v>
      </c>
      <c r="F151" s="344">
        <v>308245.15000000002</v>
      </c>
      <c r="G151" s="344">
        <v>-308245.15000000002</v>
      </c>
      <c r="H151" s="344">
        <v>0</v>
      </c>
      <c r="I151" s="344">
        <v>0</v>
      </c>
      <c r="J151" s="345">
        <f t="shared" si="13"/>
        <v>0</v>
      </c>
      <c r="K151" s="908">
        <f t="shared" si="14"/>
        <v>0</v>
      </c>
      <c r="L151" s="346">
        <f>IFERROR(VLOOKUP(C151,'DE x PARA'!C145:K2311,7,FALSE),"SINTÉTICA")</f>
        <v>500001</v>
      </c>
      <c r="M151" s="346">
        <f>IFERROR(VLOOKUP(B151,'DE x PARA'!B145:K2311,10,FALSE),"SINTÉTICA")</f>
        <v>600017</v>
      </c>
      <c r="N151" s="346">
        <f>IFERROR(VLOOKUP(M151,'DE x PARA'!$K$2:$L$2168,2,FALSE),0)</f>
        <v>-1</v>
      </c>
      <c r="O151" s="344">
        <f t="shared" si="15"/>
        <v>0</v>
      </c>
    </row>
    <row r="152" spans="1:15">
      <c r="A152" s="343" t="str">
        <f t="shared" si="12"/>
        <v>2.1.1.04.0983</v>
      </c>
      <c r="B152" s="343" t="s">
        <v>816</v>
      </c>
      <c r="C152" s="347">
        <v>32681700000000</v>
      </c>
      <c r="D152" s="94" t="s">
        <v>817</v>
      </c>
      <c r="E152" s="344">
        <v>0</v>
      </c>
      <c r="F152" s="344">
        <v>1018.35</v>
      </c>
      <c r="G152" s="344">
        <v>-1018.35</v>
      </c>
      <c r="H152" s="344">
        <v>0</v>
      </c>
      <c r="I152" s="344">
        <v>0</v>
      </c>
      <c r="J152" s="345">
        <f t="shared" si="13"/>
        <v>0</v>
      </c>
      <c r="K152" s="908">
        <f t="shared" si="14"/>
        <v>0</v>
      </c>
      <c r="L152" s="346" t="str">
        <f>IFERROR(VLOOKUP(C152,'DE x PARA'!C146:K2312,7,FALSE),"SINTÉTICA")</f>
        <v>SINTÉTICA</v>
      </c>
      <c r="M152" s="346">
        <f>IFERROR(VLOOKUP(B152,'DE x PARA'!B146:K2312,10,FALSE),"SINTÉTICA")</f>
        <v>600017</v>
      </c>
      <c r="N152" s="346">
        <f>IFERROR(VLOOKUP(M152,'DE x PARA'!$K$2:$L$2168,2,FALSE),0)</f>
        <v>-1</v>
      </c>
      <c r="O152" s="344">
        <f t="shared" si="15"/>
        <v>0</v>
      </c>
    </row>
    <row r="153" spans="1:15">
      <c r="A153" s="343" t="str">
        <f t="shared" si="12"/>
        <v>2.1.1.04.0987</v>
      </c>
      <c r="B153" s="343" t="s">
        <v>818</v>
      </c>
      <c r="C153" s="347">
        <v>27553300000000</v>
      </c>
      <c r="D153" s="94" t="s">
        <v>819</v>
      </c>
      <c r="E153" s="344">
        <v>0</v>
      </c>
      <c r="F153" s="344">
        <v>9600</v>
      </c>
      <c r="G153" s="344">
        <v>-11200</v>
      </c>
      <c r="H153" s="344">
        <v>-1600</v>
      </c>
      <c r="I153" s="344">
        <v>-1600</v>
      </c>
      <c r="J153" s="345">
        <f t="shared" si="13"/>
        <v>-1.6</v>
      </c>
      <c r="K153" s="908">
        <f t="shared" si="14"/>
        <v>-2</v>
      </c>
      <c r="L153" s="346" t="str">
        <f>IFERROR(VLOOKUP(C153,'DE x PARA'!C147:K2313,7,FALSE),"SINTÉTICA")</f>
        <v>SINTÉTICA</v>
      </c>
      <c r="M153" s="346">
        <f>IFERROR(VLOOKUP(B153,'DE x PARA'!B147:K2313,10,FALSE),"SINTÉTICA")</f>
        <v>600017</v>
      </c>
      <c r="N153" s="346">
        <f>IFERROR(VLOOKUP(M153,'DE x PARA'!$K$2:$L$2168,2,FALSE),0)</f>
        <v>-1</v>
      </c>
      <c r="O153" s="344">
        <f t="shared" si="15"/>
        <v>1600</v>
      </c>
    </row>
    <row r="154" spans="1:15">
      <c r="A154" s="343" t="str">
        <f t="shared" si="12"/>
        <v>2.1.1.04.0991</v>
      </c>
      <c r="B154" s="343" t="s">
        <v>4080</v>
      </c>
      <c r="C154" s="347">
        <v>16724700000000</v>
      </c>
      <c r="D154" s="94" t="s">
        <v>4081</v>
      </c>
      <c r="E154" s="344">
        <v>0</v>
      </c>
      <c r="F154" s="344">
        <v>872</v>
      </c>
      <c r="G154" s="344">
        <v>-872</v>
      </c>
      <c r="H154" s="344">
        <v>0</v>
      </c>
      <c r="I154" s="344">
        <v>0</v>
      </c>
      <c r="J154" s="345">
        <f t="shared" si="13"/>
        <v>0</v>
      </c>
      <c r="K154" s="908">
        <f t="shared" si="14"/>
        <v>0</v>
      </c>
      <c r="L154" s="346" t="str">
        <f>IFERROR(VLOOKUP(C154,'DE x PARA'!C148:K2314,7,FALSE),"SINTÉTICA")</f>
        <v>SINTÉTICA</v>
      </c>
      <c r="M154" s="346">
        <f>IFERROR(VLOOKUP(B154,'DE x PARA'!B148:K2314,10,FALSE),"SINTÉTICA")</f>
        <v>600017</v>
      </c>
      <c r="N154" s="346">
        <f>IFERROR(VLOOKUP(M154,'DE x PARA'!$K$2:$L$2168,2,FALSE),0)</f>
        <v>-1</v>
      </c>
      <c r="O154" s="344">
        <f t="shared" si="15"/>
        <v>0</v>
      </c>
    </row>
    <row r="155" spans="1:15">
      <c r="A155" s="343" t="str">
        <f t="shared" si="12"/>
        <v>2.1.1.04.0996</v>
      </c>
      <c r="B155" s="343" t="s">
        <v>820</v>
      </c>
      <c r="C155" s="347">
        <v>5630090000000</v>
      </c>
      <c r="D155" s="94" t="s">
        <v>821</v>
      </c>
      <c r="E155" s="344">
        <v>0</v>
      </c>
      <c r="F155" s="344">
        <v>12767.05</v>
      </c>
      <c r="G155" s="344">
        <v>-16542.7</v>
      </c>
      <c r="H155" s="344">
        <v>-3775.65</v>
      </c>
      <c r="I155" s="344">
        <v>-3775.65</v>
      </c>
      <c r="J155" s="345">
        <f t="shared" si="13"/>
        <v>-3.7756500000000002</v>
      </c>
      <c r="K155" s="908">
        <f t="shared" si="14"/>
        <v>-4</v>
      </c>
      <c r="L155" s="346" t="str">
        <f>IFERROR(VLOOKUP(C155,'DE x PARA'!C149:K2315,7,FALSE),"SINTÉTICA")</f>
        <v>SINTÉTICA</v>
      </c>
      <c r="M155" s="346">
        <f>IFERROR(VLOOKUP(B155,'DE x PARA'!B149:K2315,10,FALSE),"SINTÉTICA")</f>
        <v>600017</v>
      </c>
      <c r="N155" s="346">
        <f>IFERROR(VLOOKUP(M155,'DE x PARA'!$K$2:$L$2168,2,FALSE),0)</f>
        <v>-1</v>
      </c>
      <c r="O155" s="344">
        <f t="shared" si="15"/>
        <v>3775.65</v>
      </c>
    </row>
    <row r="156" spans="1:15">
      <c r="A156" s="343" t="str">
        <f t="shared" si="12"/>
        <v>2.1.1.04.0998</v>
      </c>
      <c r="B156" s="343" t="s">
        <v>822</v>
      </c>
      <c r="C156" s="347">
        <v>2114998</v>
      </c>
      <c r="D156" s="94" t="s">
        <v>823</v>
      </c>
      <c r="E156" s="344">
        <v>0</v>
      </c>
      <c r="F156" s="344">
        <v>1391579.77</v>
      </c>
      <c r="G156" s="344">
        <v>-1391579.77</v>
      </c>
      <c r="H156" s="344">
        <v>0</v>
      </c>
      <c r="I156" s="344">
        <v>0</v>
      </c>
      <c r="J156" s="345">
        <f t="shared" si="13"/>
        <v>0</v>
      </c>
      <c r="K156" s="908">
        <f t="shared" si="14"/>
        <v>0</v>
      </c>
      <c r="L156" s="346">
        <f>IFERROR(VLOOKUP(C156,'DE x PARA'!C150:K2316,7,FALSE),"SINTÉTICA")</f>
        <v>500001</v>
      </c>
      <c r="M156" s="346">
        <f>IFERROR(VLOOKUP(B156,'DE x PARA'!B150:K2316,10,FALSE),"SINTÉTICA")</f>
        <v>600017</v>
      </c>
      <c r="N156" s="346">
        <f>IFERROR(VLOOKUP(M156,'DE x PARA'!$K$2:$L$2168,2,FALSE),0)</f>
        <v>-1</v>
      </c>
      <c r="O156" s="344">
        <f t="shared" si="15"/>
        <v>0</v>
      </c>
    </row>
    <row r="157" spans="1:15">
      <c r="A157" s="343" t="str">
        <f t="shared" si="12"/>
        <v>2.1.1.04.1001</v>
      </c>
      <c r="B157" s="343" t="s">
        <v>4096</v>
      </c>
      <c r="C157" s="347">
        <v>38458400000000</v>
      </c>
      <c r="D157" s="94" t="s">
        <v>4097</v>
      </c>
      <c r="E157" s="344">
        <v>0</v>
      </c>
      <c r="F157" s="344">
        <v>0</v>
      </c>
      <c r="G157" s="344">
        <v>-2261.8200000000002</v>
      </c>
      <c r="H157" s="344">
        <v>-2261.8200000000002</v>
      </c>
      <c r="I157" s="344">
        <v>-2261.8200000000002</v>
      </c>
      <c r="J157" s="345">
        <f t="shared" si="13"/>
        <v>-2.2618200000000002</v>
      </c>
      <c r="K157" s="908">
        <f t="shared" si="14"/>
        <v>-2</v>
      </c>
      <c r="L157" s="346" t="str">
        <f>IFERROR(VLOOKUP(C157,'DE x PARA'!C151:K2317,7,FALSE),"SINTÉTICA")</f>
        <v>SINTÉTICA</v>
      </c>
      <c r="M157" s="346">
        <f>IFERROR(VLOOKUP(B157,'DE x PARA'!B151:K2317,10,FALSE),"SINTÉTICA")</f>
        <v>600017</v>
      </c>
      <c r="N157" s="346">
        <f>IFERROR(VLOOKUP(M157,'DE x PARA'!$K$2:$L$2168,2,FALSE),0)</f>
        <v>-1</v>
      </c>
      <c r="O157" s="344">
        <f t="shared" si="15"/>
        <v>2261.8200000000002</v>
      </c>
    </row>
    <row r="158" spans="1:15">
      <c r="A158" s="343" t="str">
        <f t="shared" si="12"/>
        <v>2.1.1.04.1002</v>
      </c>
      <c r="B158" s="343" t="s">
        <v>824</v>
      </c>
      <c r="C158" s="347">
        <v>8210270000000</v>
      </c>
      <c r="D158" s="94" t="s">
        <v>825</v>
      </c>
      <c r="E158" s="344">
        <v>0</v>
      </c>
      <c r="F158" s="344">
        <v>9512.5</v>
      </c>
      <c r="G158" s="344">
        <v>-9512.5</v>
      </c>
      <c r="H158" s="344">
        <v>0</v>
      </c>
      <c r="I158" s="344">
        <v>0</v>
      </c>
      <c r="J158" s="345">
        <f t="shared" si="13"/>
        <v>0</v>
      </c>
      <c r="K158" s="908">
        <f t="shared" si="14"/>
        <v>0</v>
      </c>
      <c r="L158" s="346" t="str">
        <f>IFERROR(VLOOKUP(C158,'DE x PARA'!C152:K2318,7,FALSE),"SINTÉTICA")</f>
        <v>SINTÉTICA</v>
      </c>
      <c r="M158" s="346">
        <f>IFERROR(VLOOKUP(B158,'DE x PARA'!B152:K2318,10,FALSE),"SINTÉTICA")</f>
        <v>600017</v>
      </c>
      <c r="N158" s="346">
        <f>IFERROR(VLOOKUP(M158,'DE x PARA'!$K$2:$L$2168,2,FALSE),0)</f>
        <v>-1</v>
      </c>
      <c r="O158" s="344">
        <f t="shared" si="15"/>
        <v>0</v>
      </c>
    </row>
    <row r="159" spans="1:15">
      <c r="A159" s="343" t="str">
        <f t="shared" si="12"/>
        <v>2.1.1.04.1004</v>
      </c>
      <c r="B159" s="343" t="s">
        <v>4100</v>
      </c>
      <c r="C159" s="347">
        <v>2445480000000</v>
      </c>
      <c r="D159" s="94" t="s">
        <v>4101</v>
      </c>
      <c r="E159" s="344">
        <v>0</v>
      </c>
      <c r="F159" s="344">
        <v>365750</v>
      </c>
      <c r="G159" s="344">
        <v>-365750</v>
      </c>
      <c r="H159" s="344">
        <v>0</v>
      </c>
      <c r="I159" s="344">
        <v>0</v>
      </c>
      <c r="J159" s="345">
        <f t="shared" si="13"/>
        <v>0</v>
      </c>
      <c r="K159" s="908">
        <f t="shared" si="14"/>
        <v>0</v>
      </c>
      <c r="L159" s="346" t="str">
        <f>IFERROR(VLOOKUP(C159,'DE x PARA'!C153:K2319,7,FALSE),"SINTÉTICA")</f>
        <v>SINTÉTICA</v>
      </c>
      <c r="M159" s="346">
        <f>IFERROR(VLOOKUP(B159,'DE x PARA'!B153:K2319,10,FALSE),"SINTÉTICA")</f>
        <v>600017</v>
      </c>
      <c r="N159" s="346">
        <f>IFERROR(VLOOKUP(M159,'DE x PARA'!$K$2:$L$2168,2,FALSE),0)</f>
        <v>-1</v>
      </c>
      <c r="O159" s="344">
        <f t="shared" si="15"/>
        <v>0</v>
      </c>
    </row>
    <row r="160" spans="1:15">
      <c r="A160" s="343" t="str">
        <f t="shared" si="12"/>
        <v>2.1.1.04.1015</v>
      </c>
      <c r="B160" s="343" t="s">
        <v>830</v>
      </c>
      <c r="C160" s="347">
        <v>37381900000000</v>
      </c>
      <c r="D160" s="94" t="s">
        <v>831</v>
      </c>
      <c r="E160" s="344">
        <v>-4070.62</v>
      </c>
      <c r="F160" s="344">
        <v>16415.919999999998</v>
      </c>
      <c r="G160" s="344">
        <v>-24622.62</v>
      </c>
      <c r="H160" s="344">
        <v>-8206.7000000000007</v>
      </c>
      <c r="I160" s="344">
        <v>-12277.32</v>
      </c>
      <c r="J160" s="345">
        <f t="shared" si="13"/>
        <v>-12.27732</v>
      </c>
      <c r="K160" s="908">
        <f t="shared" si="14"/>
        <v>-12</v>
      </c>
      <c r="L160" s="346" t="str">
        <f>IFERROR(VLOOKUP(C160,'DE x PARA'!C154:K2320,7,FALSE),"SINTÉTICA")</f>
        <v>SINTÉTICA</v>
      </c>
      <c r="M160" s="346">
        <f>IFERROR(VLOOKUP(B160,'DE x PARA'!B154:K2320,10,FALSE),"SINTÉTICA")</f>
        <v>600017</v>
      </c>
      <c r="N160" s="346">
        <f>IFERROR(VLOOKUP(M160,'DE x PARA'!$K$2:$L$2168,2,FALSE),0)</f>
        <v>-1</v>
      </c>
      <c r="O160" s="344">
        <f t="shared" si="15"/>
        <v>8206.7000000000007</v>
      </c>
    </row>
    <row r="161" spans="1:15">
      <c r="A161" s="343" t="str">
        <f t="shared" si="12"/>
        <v>2.1.1.04.1021</v>
      </c>
      <c r="B161" s="343" t="s">
        <v>832</v>
      </c>
      <c r="C161" s="347">
        <v>12782100000000</v>
      </c>
      <c r="D161" s="94" t="s">
        <v>833</v>
      </c>
      <c r="E161" s="344">
        <v>0</v>
      </c>
      <c r="F161" s="344">
        <v>19708.39</v>
      </c>
      <c r="G161" s="344">
        <v>-19708.39</v>
      </c>
      <c r="H161" s="344">
        <v>0</v>
      </c>
      <c r="I161" s="344">
        <v>0</v>
      </c>
      <c r="J161" s="345">
        <f t="shared" si="13"/>
        <v>0</v>
      </c>
      <c r="K161" s="908">
        <f t="shared" si="14"/>
        <v>0</v>
      </c>
      <c r="L161" s="346" t="str">
        <f>IFERROR(VLOOKUP(C161,'DE x PARA'!C155:K2321,7,FALSE),"SINTÉTICA")</f>
        <v>SINTÉTICA</v>
      </c>
      <c r="M161" s="346">
        <f>IFERROR(VLOOKUP(B161,'DE x PARA'!B155:K2321,10,FALSE),"SINTÉTICA")</f>
        <v>600017</v>
      </c>
      <c r="N161" s="346">
        <f>IFERROR(VLOOKUP(M161,'DE x PARA'!$K$2:$L$2168,2,FALSE),0)</f>
        <v>-1</v>
      </c>
      <c r="O161" s="344">
        <f t="shared" si="15"/>
        <v>0</v>
      </c>
    </row>
    <row r="162" spans="1:15">
      <c r="A162" s="343" t="str">
        <f t="shared" si="12"/>
        <v>2.1.1.04.1031</v>
      </c>
      <c r="B162" s="343" t="s">
        <v>836</v>
      </c>
      <c r="C162" s="347">
        <v>24185200000000</v>
      </c>
      <c r="D162" s="94" t="s">
        <v>837</v>
      </c>
      <c r="E162" s="344">
        <v>0</v>
      </c>
      <c r="F162" s="344">
        <v>18062.5</v>
      </c>
      <c r="G162" s="344">
        <v>-18062.5</v>
      </c>
      <c r="H162" s="344">
        <v>0</v>
      </c>
      <c r="I162" s="344">
        <v>0</v>
      </c>
      <c r="J162" s="345">
        <f t="shared" si="13"/>
        <v>0</v>
      </c>
      <c r="K162" s="908">
        <f t="shared" si="14"/>
        <v>0</v>
      </c>
      <c r="L162" s="346" t="str">
        <f>IFERROR(VLOOKUP(C162,'DE x PARA'!C156:K2322,7,FALSE),"SINTÉTICA")</f>
        <v>SINTÉTICA</v>
      </c>
      <c r="M162" s="346">
        <f>IFERROR(VLOOKUP(B162,'DE x PARA'!B156:K2322,10,FALSE),"SINTÉTICA")</f>
        <v>600017</v>
      </c>
      <c r="N162" s="346">
        <f>IFERROR(VLOOKUP(M162,'DE x PARA'!$K$2:$L$2168,2,FALSE),0)</f>
        <v>-1</v>
      </c>
      <c r="O162" s="344">
        <f t="shared" si="15"/>
        <v>0</v>
      </c>
    </row>
    <row r="163" spans="1:15">
      <c r="A163" s="343" t="str">
        <f t="shared" si="12"/>
        <v>2.1.1.04.1052</v>
      </c>
      <c r="B163" s="343" t="s">
        <v>858</v>
      </c>
      <c r="C163" s="347">
        <v>69112500000000</v>
      </c>
      <c r="D163" s="94" t="s">
        <v>859</v>
      </c>
      <c r="E163" s="344">
        <v>0</v>
      </c>
      <c r="F163" s="344">
        <v>4433.91</v>
      </c>
      <c r="G163" s="344">
        <v>-4433.91</v>
      </c>
      <c r="H163" s="344">
        <v>0</v>
      </c>
      <c r="I163" s="344">
        <v>0</v>
      </c>
      <c r="J163" s="345">
        <f t="shared" si="13"/>
        <v>0</v>
      </c>
      <c r="K163" s="908">
        <f t="shared" si="14"/>
        <v>0</v>
      </c>
      <c r="L163" s="346" t="str">
        <f>IFERROR(VLOOKUP(C163,'DE x PARA'!C157:K2323,7,FALSE),"SINTÉTICA")</f>
        <v>SINTÉTICA</v>
      </c>
      <c r="M163" s="346">
        <f>IFERROR(VLOOKUP(B163,'DE x PARA'!B157:K2323,10,FALSE),"SINTÉTICA")</f>
        <v>600017</v>
      </c>
      <c r="N163" s="346">
        <f>IFERROR(VLOOKUP(M163,'DE x PARA'!$K$2:$L$2168,2,FALSE),0)</f>
        <v>-1</v>
      </c>
      <c r="O163" s="344">
        <f t="shared" si="15"/>
        <v>0</v>
      </c>
    </row>
    <row r="164" spans="1:15">
      <c r="A164" s="343" t="str">
        <f t="shared" si="12"/>
        <v>2.1.1.04.1058</v>
      </c>
      <c r="B164" s="343" t="s">
        <v>4169</v>
      </c>
      <c r="C164" s="347">
        <v>43456400000000</v>
      </c>
      <c r="D164" s="94" t="s">
        <v>4170</v>
      </c>
      <c r="E164" s="344">
        <v>0</v>
      </c>
      <c r="F164" s="344">
        <v>7980</v>
      </c>
      <c r="G164" s="344">
        <v>-7980</v>
      </c>
      <c r="H164" s="344">
        <v>0</v>
      </c>
      <c r="I164" s="344">
        <v>0</v>
      </c>
      <c r="J164" s="345">
        <f t="shared" si="13"/>
        <v>0</v>
      </c>
      <c r="K164" s="908">
        <f t="shared" si="14"/>
        <v>0</v>
      </c>
      <c r="L164" s="346" t="str">
        <f>IFERROR(VLOOKUP(C164,'DE x PARA'!C158:K2324,7,FALSE),"SINTÉTICA")</f>
        <v>SINTÉTICA</v>
      </c>
      <c r="M164" s="346">
        <f>IFERROR(VLOOKUP(B164,'DE x PARA'!B158:K2324,10,FALSE),"SINTÉTICA")</f>
        <v>600017</v>
      </c>
      <c r="N164" s="346">
        <f>IFERROR(VLOOKUP(M164,'DE x PARA'!$K$2:$L$2168,2,FALSE),0)</f>
        <v>-1</v>
      </c>
      <c r="O164" s="344">
        <f t="shared" si="15"/>
        <v>0</v>
      </c>
    </row>
    <row r="165" spans="1:15">
      <c r="A165" s="343" t="str">
        <f t="shared" si="12"/>
        <v>2.1.1.04.1063</v>
      </c>
      <c r="B165" s="343" t="s">
        <v>4179</v>
      </c>
      <c r="C165" s="347">
        <v>16647700000000</v>
      </c>
      <c r="D165" s="94" t="s">
        <v>4180</v>
      </c>
      <c r="E165" s="344">
        <v>0</v>
      </c>
      <c r="F165" s="344">
        <v>3810.25</v>
      </c>
      <c r="G165" s="344">
        <v>-3810.25</v>
      </c>
      <c r="H165" s="344">
        <v>0</v>
      </c>
      <c r="I165" s="344">
        <v>0</v>
      </c>
      <c r="J165" s="345">
        <f t="shared" si="13"/>
        <v>0</v>
      </c>
      <c r="K165" s="908">
        <f t="shared" si="14"/>
        <v>0</v>
      </c>
      <c r="L165" s="346" t="str">
        <f>IFERROR(VLOOKUP(C165,'DE x PARA'!C159:K2325,7,FALSE),"SINTÉTICA")</f>
        <v>SINTÉTICA</v>
      </c>
      <c r="M165" s="346">
        <f>IFERROR(VLOOKUP(B165,'DE x PARA'!B159:K2325,10,FALSE),"SINTÉTICA")</f>
        <v>600017</v>
      </c>
      <c r="N165" s="346">
        <f>IFERROR(VLOOKUP(M165,'DE x PARA'!$K$2:$L$2168,2,FALSE),0)</f>
        <v>-1</v>
      </c>
      <c r="O165" s="344">
        <f t="shared" si="15"/>
        <v>0</v>
      </c>
    </row>
    <row r="166" spans="1:15">
      <c r="A166" s="343" t="str">
        <f t="shared" si="12"/>
        <v>2.1.1.04.1071</v>
      </c>
      <c r="B166" s="343" t="s">
        <v>4195</v>
      </c>
      <c r="C166" s="347">
        <v>5342580000000</v>
      </c>
      <c r="D166" s="94" t="s">
        <v>4196</v>
      </c>
      <c r="E166" s="344">
        <v>0</v>
      </c>
      <c r="F166" s="344">
        <v>234074.94</v>
      </c>
      <c r="G166" s="344">
        <v>-234074.94</v>
      </c>
      <c r="H166" s="344">
        <v>0</v>
      </c>
      <c r="I166" s="344">
        <v>0</v>
      </c>
      <c r="J166" s="345">
        <f t="shared" si="13"/>
        <v>0</v>
      </c>
      <c r="K166" s="908">
        <f t="shared" si="14"/>
        <v>0</v>
      </c>
      <c r="L166" s="346" t="str">
        <f>IFERROR(VLOOKUP(C166,'DE x PARA'!C160:K2326,7,FALSE),"SINTÉTICA")</f>
        <v>SINTÉTICA</v>
      </c>
      <c r="M166" s="346">
        <f>IFERROR(VLOOKUP(B166,'DE x PARA'!B160:K2326,10,FALSE),"SINTÉTICA")</f>
        <v>600017</v>
      </c>
      <c r="N166" s="346">
        <f>IFERROR(VLOOKUP(M166,'DE x PARA'!$K$2:$L$2168,2,FALSE),0)</f>
        <v>-1</v>
      </c>
      <c r="O166" s="344">
        <f t="shared" si="15"/>
        <v>0</v>
      </c>
    </row>
    <row r="167" spans="1:15">
      <c r="A167" s="343" t="str">
        <f t="shared" si="12"/>
        <v>2.1.1.04.1076</v>
      </c>
      <c r="B167" s="343" t="s">
        <v>4203</v>
      </c>
      <c r="C167" s="347">
        <v>4842770000000</v>
      </c>
      <c r="D167" s="94" t="s">
        <v>4204</v>
      </c>
      <c r="E167" s="344">
        <v>0</v>
      </c>
      <c r="F167" s="344">
        <v>8726.1</v>
      </c>
      <c r="G167" s="344">
        <v>-8726.1</v>
      </c>
      <c r="H167" s="344">
        <v>0</v>
      </c>
      <c r="I167" s="344">
        <v>0</v>
      </c>
      <c r="J167" s="345">
        <f t="shared" si="13"/>
        <v>0</v>
      </c>
      <c r="K167" s="908">
        <f t="shared" si="14"/>
        <v>0</v>
      </c>
      <c r="L167" s="346" t="str">
        <f>IFERROR(VLOOKUP(C167,'DE x PARA'!C161:K2327,7,FALSE),"SINTÉTICA")</f>
        <v>SINTÉTICA</v>
      </c>
      <c r="M167" s="346">
        <f>IFERROR(VLOOKUP(B167,'DE x PARA'!B161:K2327,10,FALSE),"SINTÉTICA")</f>
        <v>600017</v>
      </c>
      <c r="N167" s="346">
        <f>IFERROR(VLOOKUP(M167,'DE x PARA'!$K$2:$L$2168,2,FALSE),0)</f>
        <v>-1</v>
      </c>
      <c r="O167" s="344">
        <f t="shared" si="15"/>
        <v>0</v>
      </c>
    </row>
    <row r="168" spans="1:15">
      <c r="A168" s="343" t="str">
        <f t="shared" si="12"/>
        <v>2.1.1.04.1084</v>
      </c>
      <c r="B168" s="343" t="s">
        <v>4219</v>
      </c>
      <c r="C168" s="347">
        <v>32493600000000</v>
      </c>
      <c r="D168" s="94" t="s">
        <v>4220</v>
      </c>
      <c r="E168" s="344">
        <v>0</v>
      </c>
      <c r="F168" s="344">
        <v>0</v>
      </c>
      <c r="G168" s="344">
        <v>-51450</v>
      </c>
      <c r="H168" s="344">
        <v>-51450</v>
      </c>
      <c r="I168" s="344">
        <v>-51450</v>
      </c>
      <c r="J168" s="345">
        <f t="shared" si="13"/>
        <v>-51.45</v>
      </c>
      <c r="K168" s="908">
        <f t="shared" si="14"/>
        <v>-51</v>
      </c>
      <c r="L168" s="346" t="str">
        <f>IFERROR(VLOOKUP(C168,'DE x PARA'!C162:K2328,7,FALSE),"SINTÉTICA")</f>
        <v>SINTÉTICA</v>
      </c>
      <c r="M168" s="346">
        <f>IFERROR(VLOOKUP(B168,'DE x PARA'!B162:K2328,10,FALSE),"SINTÉTICA")</f>
        <v>600017</v>
      </c>
      <c r="N168" s="346">
        <f>IFERROR(VLOOKUP(M168,'DE x PARA'!$K$2:$L$2168,2,FALSE),0)</f>
        <v>-1</v>
      </c>
      <c r="O168" s="344">
        <f t="shared" si="15"/>
        <v>51450</v>
      </c>
    </row>
    <row r="169" spans="1:15">
      <c r="A169" s="343" t="str">
        <f t="shared" si="12"/>
        <v>2.1.1.04.1089</v>
      </c>
      <c r="B169" s="343" t="s">
        <v>4229</v>
      </c>
      <c r="C169" s="347">
        <v>26391300000000</v>
      </c>
      <c r="D169" s="94" t="s">
        <v>4230</v>
      </c>
      <c r="E169" s="344">
        <v>0</v>
      </c>
      <c r="F169" s="344">
        <v>10564.98</v>
      </c>
      <c r="G169" s="344">
        <v>-10564.98</v>
      </c>
      <c r="H169" s="344">
        <v>0</v>
      </c>
      <c r="I169" s="344">
        <v>0</v>
      </c>
      <c r="J169" s="345">
        <f t="shared" si="13"/>
        <v>0</v>
      </c>
      <c r="K169" s="908">
        <f t="shared" si="14"/>
        <v>0</v>
      </c>
      <c r="L169" s="346" t="str">
        <f>IFERROR(VLOOKUP(C169,'DE x PARA'!C163:K2329,7,FALSE),"SINTÉTICA")</f>
        <v>SINTÉTICA</v>
      </c>
      <c r="M169" s="346">
        <f>IFERROR(VLOOKUP(B169,'DE x PARA'!B163:K2329,10,FALSE),"SINTÉTICA")</f>
        <v>600017</v>
      </c>
      <c r="N169" s="346">
        <f>IFERROR(VLOOKUP(M169,'DE x PARA'!$K$2:$L$2168,2,FALSE),0)</f>
        <v>-1</v>
      </c>
      <c r="O169" s="344">
        <f t="shared" si="15"/>
        <v>0</v>
      </c>
    </row>
    <row r="170" spans="1:15">
      <c r="A170" s="343" t="str">
        <f t="shared" si="12"/>
        <v>2.1.1.04.1092</v>
      </c>
      <c r="B170" s="343" t="s">
        <v>4237</v>
      </c>
      <c r="C170" s="347">
        <v>38042300000000</v>
      </c>
      <c r="D170" s="94" t="s">
        <v>4238</v>
      </c>
      <c r="E170" s="344">
        <v>0</v>
      </c>
      <c r="F170" s="344">
        <v>15537.88</v>
      </c>
      <c r="G170" s="344">
        <v>-15537.88</v>
      </c>
      <c r="H170" s="344">
        <v>0</v>
      </c>
      <c r="I170" s="344">
        <v>0</v>
      </c>
      <c r="J170" s="345">
        <f t="shared" si="13"/>
        <v>0</v>
      </c>
      <c r="K170" s="908">
        <f t="shared" si="14"/>
        <v>0</v>
      </c>
      <c r="L170" s="346" t="str">
        <f>IFERROR(VLOOKUP(C170,'DE x PARA'!C164:K2330,7,FALSE),"SINTÉTICA")</f>
        <v>SINTÉTICA</v>
      </c>
      <c r="M170" s="346">
        <f>IFERROR(VLOOKUP(B170,'DE x PARA'!B164:K2330,10,FALSE),"SINTÉTICA")</f>
        <v>600017</v>
      </c>
      <c r="N170" s="346">
        <f>IFERROR(VLOOKUP(M170,'DE x PARA'!$K$2:$L$2168,2,FALSE),0)</f>
        <v>-1</v>
      </c>
      <c r="O170" s="344">
        <f t="shared" si="15"/>
        <v>0</v>
      </c>
    </row>
    <row r="171" spans="1:15">
      <c r="A171" s="343" t="str">
        <f t="shared" si="12"/>
        <v>2.1.1.04.1095</v>
      </c>
      <c r="B171" s="343" t="s">
        <v>4243</v>
      </c>
      <c r="C171" s="347">
        <v>28000129</v>
      </c>
      <c r="D171" s="94" t="s">
        <v>4244</v>
      </c>
      <c r="E171" s="344">
        <v>0</v>
      </c>
      <c r="F171" s="344">
        <v>6665.6</v>
      </c>
      <c r="G171" s="344">
        <v>-7998.72</v>
      </c>
      <c r="H171" s="344">
        <v>-1333.12</v>
      </c>
      <c r="I171" s="344">
        <v>-1333.12</v>
      </c>
      <c r="J171" s="345">
        <f t="shared" si="13"/>
        <v>-1.3331199999999999</v>
      </c>
      <c r="K171" s="908">
        <f t="shared" si="14"/>
        <v>-1</v>
      </c>
      <c r="L171" s="346" t="str">
        <f>IFERROR(VLOOKUP(C171,'DE x PARA'!C165:K2331,7,FALSE),"SINTÉTICA")</f>
        <v>SINTÉTICA</v>
      </c>
      <c r="M171" s="346">
        <f>IFERROR(VLOOKUP(B171,'DE x PARA'!B165:K2331,10,FALSE),"SINTÉTICA")</f>
        <v>600017</v>
      </c>
      <c r="N171" s="346">
        <f>IFERROR(VLOOKUP(M171,'DE x PARA'!$K$2:$L$2168,2,FALSE),0)</f>
        <v>-1</v>
      </c>
      <c r="O171" s="344">
        <f t="shared" si="15"/>
        <v>1333.12</v>
      </c>
    </row>
    <row r="172" spans="1:15">
      <c r="A172" s="343" t="str">
        <f t="shared" si="12"/>
        <v>2.1.1.04.1104</v>
      </c>
      <c r="B172" s="343" t="s">
        <v>4261</v>
      </c>
      <c r="C172" s="347">
        <v>73227500000000</v>
      </c>
      <c r="D172" s="94" t="s">
        <v>4262</v>
      </c>
      <c r="E172" s="344">
        <v>0</v>
      </c>
      <c r="F172" s="344">
        <v>14527</v>
      </c>
      <c r="G172" s="344">
        <v>-14527</v>
      </c>
      <c r="H172" s="344">
        <v>0</v>
      </c>
      <c r="I172" s="344">
        <v>0</v>
      </c>
      <c r="J172" s="345">
        <f t="shared" si="13"/>
        <v>0</v>
      </c>
      <c r="K172" s="908">
        <f t="shared" si="14"/>
        <v>0</v>
      </c>
      <c r="L172" s="346" t="str">
        <f>IFERROR(VLOOKUP(C172,'DE x PARA'!C166:K2332,7,FALSE),"SINTÉTICA")</f>
        <v>SINTÉTICA</v>
      </c>
      <c r="M172" s="346">
        <f>IFERROR(VLOOKUP(B172,'DE x PARA'!B166:K2332,10,FALSE),"SINTÉTICA")</f>
        <v>600017</v>
      </c>
      <c r="N172" s="346">
        <f>IFERROR(VLOOKUP(M172,'DE x PARA'!$K$2:$L$2168,2,FALSE),0)</f>
        <v>-1</v>
      </c>
      <c r="O172" s="344">
        <f t="shared" si="15"/>
        <v>0</v>
      </c>
    </row>
    <row r="173" spans="1:15">
      <c r="A173" s="343" t="str">
        <f t="shared" si="12"/>
        <v>2.1.1.04.1121</v>
      </c>
      <c r="B173" s="343" t="s">
        <v>4295</v>
      </c>
      <c r="C173" s="347">
        <v>61825700000000</v>
      </c>
      <c r="D173" s="94" t="s">
        <v>4296</v>
      </c>
      <c r="E173" s="344">
        <v>-1242.28</v>
      </c>
      <c r="F173" s="344">
        <v>3688.72</v>
      </c>
      <c r="G173" s="344">
        <v>-2446.44</v>
      </c>
      <c r="H173" s="344">
        <v>1242.28</v>
      </c>
      <c r="I173" s="344">
        <v>0</v>
      </c>
      <c r="J173" s="345">
        <f t="shared" si="13"/>
        <v>0</v>
      </c>
      <c r="K173" s="908">
        <f t="shared" si="14"/>
        <v>0</v>
      </c>
      <c r="L173" s="346" t="str">
        <f>IFERROR(VLOOKUP(C173,'DE x PARA'!C167:K2333,7,FALSE),"SINTÉTICA")</f>
        <v>SINTÉTICA</v>
      </c>
      <c r="M173" s="346">
        <f>IFERROR(VLOOKUP(B173,'DE x PARA'!B167:K2333,10,FALSE),"SINTÉTICA")</f>
        <v>600017</v>
      </c>
      <c r="N173" s="346">
        <f>IFERROR(VLOOKUP(M173,'DE x PARA'!$K$2:$L$2168,2,FALSE),0)</f>
        <v>-1</v>
      </c>
      <c r="O173" s="344">
        <f t="shared" si="15"/>
        <v>-1242.28</v>
      </c>
    </row>
    <row r="174" spans="1:15">
      <c r="A174" s="343" t="str">
        <f t="shared" si="12"/>
        <v>2.1.1.04.1143</v>
      </c>
      <c r="B174" s="343" t="s">
        <v>4339</v>
      </c>
      <c r="C174" s="347">
        <v>17178200000000</v>
      </c>
      <c r="D174" s="94" t="s">
        <v>4340</v>
      </c>
      <c r="E174" s="344">
        <v>0</v>
      </c>
      <c r="F174" s="344">
        <v>1450</v>
      </c>
      <c r="G174" s="344">
        <v>-1450</v>
      </c>
      <c r="H174" s="344">
        <v>0</v>
      </c>
      <c r="I174" s="344">
        <v>0</v>
      </c>
      <c r="J174" s="345">
        <f t="shared" si="13"/>
        <v>0</v>
      </c>
      <c r="K174" s="908">
        <f t="shared" si="14"/>
        <v>0</v>
      </c>
      <c r="L174" s="346" t="str">
        <f>IFERROR(VLOOKUP(C174,'DE x PARA'!C168:K2334,7,FALSE),"SINTÉTICA")</f>
        <v>SINTÉTICA</v>
      </c>
      <c r="M174" s="346">
        <f>IFERROR(VLOOKUP(B174,'DE x PARA'!B168:K2334,10,FALSE),"SINTÉTICA")</f>
        <v>600017</v>
      </c>
      <c r="N174" s="346">
        <f>IFERROR(VLOOKUP(M174,'DE x PARA'!$K$2:$L$2168,2,FALSE),0)</f>
        <v>-1</v>
      </c>
      <c r="O174" s="344">
        <f t="shared" si="15"/>
        <v>0</v>
      </c>
    </row>
    <row r="175" spans="1:15">
      <c r="A175" s="343" t="str">
        <f t="shared" si="12"/>
        <v>2.1.1.04.1152</v>
      </c>
      <c r="B175" s="343" t="s">
        <v>4357</v>
      </c>
      <c r="C175" s="347">
        <v>49422000000000</v>
      </c>
      <c r="D175" s="94" t="s">
        <v>4358</v>
      </c>
      <c r="E175" s="344">
        <v>0</v>
      </c>
      <c r="F175" s="344">
        <v>136000</v>
      </c>
      <c r="G175" s="344">
        <v>-136000</v>
      </c>
      <c r="H175" s="344">
        <v>0</v>
      </c>
      <c r="I175" s="344">
        <v>0</v>
      </c>
      <c r="J175" s="345">
        <f t="shared" si="13"/>
        <v>0</v>
      </c>
      <c r="K175" s="908">
        <f t="shared" si="14"/>
        <v>0</v>
      </c>
      <c r="L175" s="346" t="str">
        <f>IFERROR(VLOOKUP(C175,'DE x PARA'!C169:K2335,7,FALSE),"SINTÉTICA")</f>
        <v>SINTÉTICA</v>
      </c>
      <c r="M175" s="346">
        <f>IFERROR(VLOOKUP(B175,'DE x PARA'!B169:K2335,10,FALSE),"SINTÉTICA")</f>
        <v>600017</v>
      </c>
      <c r="N175" s="346">
        <f>IFERROR(VLOOKUP(M175,'DE x PARA'!$K$2:$L$2168,2,FALSE),0)</f>
        <v>-1</v>
      </c>
      <c r="O175" s="344">
        <f t="shared" si="15"/>
        <v>0</v>
      </c>
    </row>
    <row r="176" spans="1:15">
      <c r="A176" s="343" t="str">
        <f t="shared" si="12"/>
        <v>2.1.1.04.1153</v>
      </c>
      <c r="B176" s="343" t="s">
        <v>4359</v>
      </c>
      <c r="C176" s="347">
        <v>42422300000000</v>
      </c>
      <c r="D176" s="94" t="s">
        <v>4360</v>
      </c>
      <c r="E176" s="344">
        <v>-38469.870000000003</v>
      </c>
      <c r="F176" s="344">
        <v>230819.22</v>
      </c>
      <c r="G176" s="344">
        <v>-230819.22</v>
      </c>
      <c r="H176" s="344">
        <v>0</v>
      </c>
      <c r="I176" s="344">
        <v>-38469.870000000003</v>
      </c>
      <c r="J176" s="345">
        <f t="shared" si="13"/>
        <v>-38.46987</v>
      </c>
      <c r="K176" s="908">
        <f t="shared" si="14"/>
        <v>-38</v>
      </c>
      <c r="L176" s="346" t="str">
        <f>IFERROR(VLOOKUP(C176,'DE x PARA'!C170:K2336,7,FALSE),"SINTÉTICA")</f>
        <v>SINTÉTICA</v>
      </c>
      <c r="M176" s="346">
        <f>IFERROR(VLOOKUP(B176,'DE x PARA'!B170:K2336,10,FALSE),"SINTÉTICA")</f>
        <v>600017</v>
      </c>
      <c r="N176" s="346">
        <f>IFERROR(VLOOKUP(M176,'DE x PARA'!$K$2:$L$2168,2,FALSE),0)</f>
        <v>-1</v>
      </c>
      <c r="O176" s="344">
        <f t="shared" si="15"/>
        <v>0</v>
      </c>
    </row>
    <row r="177" spans="1:15">
      <c r="A177" s="343" t="str">
        <f t="shared" si="12"/>
        <v>2.1.1.04.1154</v>
      </c>
      <c r="B177" s="343" t="s">
        <v>4361</v>
      </c>
      <c r="C177" s="347">
        <v>5965850000000</v>
      </c>
      <c r="D177" s="94" t="s">
        <v>4362</v>
      </c>
      <c r="E177" s="344">
        <v>0</v>
      </c>
      <c r="F177" s="344">
        <v>12000</v>
      </c>
      <c r="G177" s="344">
        <v>-12000</v>
      </c>
      <c r="H177" s="344">
        <v>0</v>
      </c>
      <c r="I177" s="344">
        <v>0</v>
      </c>
      <c r="J177" s="345">
        <f t="shared" si="13"/>
        <v>0</v>
      </c>
      <c r="K177" s="908">
        <f t="shared" si="14"/>
        <v>0</v>
      </c>
      <c r="L177" s="346" t="str">
        <f>IFERROR(VLOOKUP(C177,'DE x PARA'!C171:K2337,7,FALSE),"SINTÉTICA")</f>
        <v>SINTÉTICA</v>
      </c>
      <c r="M177" s="346">
        <f>IFERROR(VLOOKUP(B177,'DE x PARA'!B171:K2337,10,FALSE),"SINTÉTICA")</f>
        <v>600017</v>
      </c>
      <c r="N177" s="346">
        <f>IFERROR(VLOOKUP(M177,'DE x PARA'!$K$2:$L$2168,2,FALSE),0)</f>
        <v>-1</v>
      </c>
      <c r="O177" s="344">
        <f t="shared" si="15"/>
        <v>0</v>
      </c>
    </row>
    <row r="178" spans="1:15">
      <c r="A178" s="343" t="str">
        <f t="shared" si="12"/>
        <v>2.1.1.04.1158</v>
      </c>
      <c r="B178" s="343" t="s">
        <v>4370</v>
      </c>
      <c r="C178" s="347">
        <v>8914170000000</v>
      </c>
      <c r="D178" s="94" t="s">
        <v>4371</v>
      </c>
      <c r="E178" s="344">
        <v>0</v>
      </c>
      <c r="F178" s="344">
        <v>811.85</v>
      </c>
      <c r="G178" s="344">
        <v>-811.85</v>
      </c>
      <c r="H178" s="344">
        <v>0</v>
      </c>
      <c r="I178" s="344">
        <v>0</v>
      </c>
      <c r="J178" s="345">
        <f t="shared" si="13"/>
        <v>0</v>
      </c>
      <c r="K178" s="908">
        <f t="shared" si="14"/>
        <v>0</v>
      </c>
      <c r="L178" s="346" t="str">
        <f>IFERROR(VLOOKUP(C178,'DE x PARA'!C172:K2338,7,FALSE),"SINTÉTICA")</f>
        <v>SINTÉTICA</v>
      </c>
      <c r="M178" s="346">
        <f>IFERROR(VLOOKUP(B178,'DE x PARA'!B172:K2338,10,FALSE),"SINTÉTICA")</f>
        <v>600017</v>
      </c>
      <c r="N178" s="346">
        <f>IFERROR(VLOOKUP(M178,'DE x PARA'!$K$2:$L$2168,2,FALSE),0)</f>
        <v>-1</v>
      </c>
      <c r="O178" s="344">
        <f t="shared" si="15"/>
        <v>0</v>
      </c>
    </row>
    <row r="179" spans="1:15">
      <c r="A179" s="343" t="str">
        <f t="shared" si="12"/>
        <v>2.1.1.04.1159</v>
      </c>
      <c r="B179" s="343" t="s">
        <v>4372</v>
      </c>
      <c r="C179" s="347">
        <v>48707800000000</v>
      </c>
      <c r="D179" s="94" t="s">
        <v>4374</v>
      </c>
      <c r="E179" s="344">
        <v>0</v>
      </c>
      <c r="F179" s="344">
        <v>720</v>
      </c>
      <c r="G179" s="344">
        <v>-720</v>
      </c>
      <c r="H179" s="344">
        <v>0</v>
      </c>
      <c r="I179" s="344">
        <v>0</v>
      </c>
      <c r="J179" s="345">
        <f t="shared" si="13"/>
        <v>0</v>
      </c>
      <c r="K179" s="908">
        <f t="shared" si="14"/>
        <v>0</v>
      </c>
      <c r="L179" s="346" t="str">
        <f>IFERROR(VLOOKUP(C179,'DE x PARA'!C173:K2339,7,FALSE),"SINTÉTICA")</f>
        <v>SINTÉTICA</v>
      </c>
      <c r="M179" s="346">
        <f>IFERROR(VLOOKUP(B179,'DE x PARA'!B173:K2339,10,FALSE),"SINTÉTICA")</f>
        <v>600017</v>
      </c>
      <c r="N179" s="346">
        <f>IFERROR(VLOOKUP(M179,'DE x PARA'!$K$2:$L$2168,2,FALSE),0)</f>
        <v>-1</v>
      </c>
      <c r="O179" s="344">
        <f t="shared" si="15"/>
        <v>0</v>
      </c>
    </row>
    <row r="180" spans="1:15">
      <c r="A180" s="343" t="str">
        <f t="shared" si="12"/>
        <v>2.1.1.04.1166</v>
      </c>
      <c r="B180" s="343" t="s">
        <v>4387</v>
      </c>
      <c r="C180" s="347">
        <v>7708130000000</v>
      </c>
      <c r="D180" s="94" t="s">
        <v>5449</v>
      </c>
      <c r="E180" s="344">
        <v>0</v>
      </c>
      <c r="F180" s="344">
        <v>34452</v>
      </c>
      <c r="G180" s="344">
        <v>-34452</v>
      </c>
      <c r="H180" s="344">
        <v>0</v>
      </c>
      <c r="I180" s="344">
        <v>0</v>
      </c>
      <c r="J180" s="345">
        <f t="shared" si="13"/>
        <v>0</v>
      </c>
      <c r="K180" s="908">
        <f t="shared" si="14"/>
        <v>0</v>
      </c>
      <c r="L180" s="346" t="str">
        <f>IFERROR(VLOOKUP(C180,'DE x PARA'!C174:K2340,7,FALSE),"SINTÉTICA")</f>
        <v>SINTÉTICA</v>
      </c>
      <c r="M180" s="346">
        <f>IFERROR(VLOOKUP(B180,'DE x PARA'!B174:K2340,10,FALSE),"SINTÉTICA")</f>
        <v>600017</v>
      </c>
      <c r="N180" s="346">
        <f>IFERROR(VLOOKUP(M180,'DE x PARA'!$K$2:$L$2168,2,FALSE),0)</f>
        <v>-1</v>
      </c>
      <c r="O180" s="344">
        <f t="shared" si="15"/>
        <v>0</v>
      </c>
    </row>
    <row r="181" spans="1:15">
      <c r="A181" s="343" t="str">
        <f t="shared" si="12"/>
        <v>2.1.1.04.1168</v>
      </c>
      <c r="B181" s="343" t="s">
        <v>4391</v>
      </c>
      <c r="C181" s="347">
        <v>47766700000000</v>
      </c>
      <c r="D181" s="94" t="s">
        <v>4392</v>
      </c>
      <c r="E181" s="344">
        <v>0</v>
      </c>
      <c r="F181" s="344">
        <v>5228.3</v>
      </c>
      <c r="G181" s="344">
        <v>-5228.3</v>
      </c>
      <c r="H181" s="344">
        <v>0</v>
      </c>
      <c r="I181" s="344">
        <v>0</v>
      </c>
      <c r="J181" s="345">
        <f t="shared" si="13"/>
        <v>0</v>
      </c>
      <c r="K181" s="908">
        <f t="shared" si="14"/>
        <v>0</v>
      </c>
      <c r="L181" s="346" t="str">
        <f>IFERROR(VLOOKUP(C181,'DE x PARA'!C175:K2341,7,FALSE),"SINTÉTICA")</f>
        <v>SINTÉTICA</v>
      </c>
      <c r="M181" s="346">
        <f>IFERROR(VLOOKUP(B181,'DE x PARA'!B175:K2341,10,FALSE),"SINTÉTICA")</f>
        <v>600017</v>
      </c>
      <c r="N181" s="346">
        <f>IFERROR(VLOOKUP(M181,'DE x PARA'!$K$2:$L$2168,2,FALSE),0)</f>
        <v>-1</v>
      </c>
      <c r="O181" s="344">
        <f t="shared" si="15"/>
        <v>0</v>
      </c>
    </row>
    <row r="182" spans="1:15">
      <c r="A182" s="343" t="str">
        <f t="shared" si="12"/>
        <v>2.1.1.04.1169</v>
      </c>
      <c r="B182" s="343" t="s">
        <v>4393</v>
      </c>
      <c r="C182" s="347">
        <v>5681340000000</v>
      </c>
      <c r="D182" s="94" t="s">
        <v>5450</v>
      </c>
      <c r="E182" s="344">
        <v>0</v>
      </c>
      <c r="F182" s="344">
        <v>14500</v>
      </c>
      <c r="G182" s="344">
        <v>-14500</v>
      </c>
      <c r="H182" s="344">
        <v>0</v>
      </c>
      <c r="I182" s="344">
        <v>0</v>
      </c>
      <c r="J182" s="345">
        <f t="shared" si="13"/>
        <v>0</v>
      </c>
      <c r="K182" s="908">
        <f t="shared" si="14"/>
        <v>0</v>
      </c>
      <c r="L182" s="346" t="str">
        <f>IFERROR(VLOOKUP(C182,'DE x PARA'!C176:K2342,7,FALSE),"SINTÉTICA")</f>
        <v>SINTÉTICA</v>
      </c>
      <c r="M182" s="346">
        <f>IFERROR(VLOOKUP(B182,'DE x PARA'!B176:K2342,10,FALSE),"SINTÉTICA")</f>
        <v>600017</v>
      </c>
      <c r="N182" s="346">
        <f>IFERROR(VLOOKUP(M182,'DE x PARA'!$K$2:$L$2168,2,FALSE),0)</f>
        <v>-1</v>
      </c>
      <c r="O182" s="344">
        <f t="shared" si="15"/>
        <v>0</v>
      </c>
    </row>
    <row r="183" spans="1:15">
      <c r="A183" s="343" t="str">
        <f t="shared" si="12"/>
        <v>2.1.1.04.1170</v>
      </c>
      <c r="B183" s="343" t="s">
        <v>4395</v>
      </c>
      <c r="C183" s="347" t="s">
        <v>4396</v>
      </c>
      <c r="D183" s="94" t="s">
        <v>4397</v>
      </c>
      <c r="E183" s="344">
        <v>0</v>
      </c>
      <c r="F183" s="344">
        <v>157404.93</v>
      </c>
      <c r="G183" s="344">
        <v>-157404.93</v>
      </c>
      <c r="H183" s="344">
        <v>0</v>
      </c>
      <c r="I183" s="344">
        <v>0</v>
      </c>
      <c r="J183" s="345">
        <f t="shared" si="13"/>
        <v>0</v>
      </c>
      <c r="K183" s="908">
        <f t="shared" si="14"/>
        <v>0</v>
      </c>
      <c r="L183" s="346">
        <f>IFERROR(VLOOKUP(C183,'DE x PARA'!C177:K2343,7,FALSE),"SINTÉTICA")</f>
        <v>500043</v>
      </c>
      <c r="M183" s="346">
        <f>IFERROR(VLOOKUP(B183,'DE x PARA'!B177:K2343,10,FALSE),"SINTÉTICA")</f>
        <v>600017</v>
      </c>
      <c r="N183" s="346">
        <f>IFERROR(VLOOKUP(M183,'DE x PARA'!$K$2:$L$2168,2,FALSE),0)</f>
        <v>-1</v>
      </c>
      <c r="O183" s="344">
        <f t="shared" si="15"/>
        <v>0</v>
      </c>
    </row>
    <row r="184" spans="1:15">
      <c r="A184" s="343" t="str">
        <f t="shared" si="12"/>
        <v>2.1.1.04.1173</v>
      </c>
      <c r="B184" s="343" t="s">
        <v>4403</v>
      </c>
      <c r="C184" s="347">
        <v>57929000000000</v>
      </c>
      <c r="D184" s="94" t="s">
        <v>4404</v>
      </c>
      <c r="E184" s="344">
        <v>0</v>
      </c>
      <c r="F184" s="344">
        <v>21108.959999999999</v>
      </c>
      <c r="G184" s="344">
        <v>-21108.959999999999</v>
      </c>
      <c r="H184" s="344">
        <v>0</v>
      </c>
      <c r="I184" s="344">
        <v>0</v>
      </c>
      <c r="J184" s="345">
        <f t="shared" si="13"/>
        <v>0</v>
      </c>
      <c r="K184" s="908">
        <f t="shared" si="14"/>
        <v>0</v>
      </c>
      <c r="L184" s="346">
        <f>IFERROR(VLOOKUP(C184,'DE x PARA'!C178:K2344,7,FALSE),"SINTÉTICA")</f>
        <v>500046</v>
      </c>
      <c r="M184" s="346">
        <f>IFERROR(VLOOKUP(B184,'DE x PARA'!B178:K2344,10,FALSE),"SINTÉTICA")</f>
        <v>600017</v>
      </c>
      <c r="N184" s="346">
        <f>IFERROR(VLOOKUP(M184,'DE x PARA'!$K$2:$L$2168,2,FALSE),0)</f>
        <v>-1</v>
      </c>
      <c r="O184" s="344">
        <f t="shared" si="15"/>
        <v>0</v>
      </c>
    </row>
    <row r="185" spans="1:15">
      <c r="A185" s="343" t="str">
        <f t="shared" si="12"/>
        <v>2.1.1.04.1190</v>
      </c>
      <c r="B185" s="343" t="s">
        <v>4433</v>
      </c>
      <c r="C185" s="347">
        <v>9305980000000</v>
      </c>
      <c r="D185" s="94" t="s">
        <v>5451</v>
      </c>
      <c r="E185" s="344">
        <v>0</v>
      </c>
      <c r="F185" s="344">
        <v>309000</v>
      </c>
      <c r="G185" s="344">
        <v>-309000</v>
      </c>
      <c r="H185" s="344">
        <v>0</v>
      </c>
      <c r="I185" s="344">
        <v>0</v>
      </c>
      <c r="J185" s="345">
        <f t="shared" si="13"/>
        <v>0</v>
      </c>
      <c r="K185" s="908">
        <f t="shared" si="14"/>
        <v>0</v>
      </c>
      <c r="L185" s="346" t="str">
        <f>IFERROR(VLOOKUP(C185,'DE x PARA'!C179:K2345,7,FALSE),"SINTÉTICA")</f>
        <v>SINTÉTICA</v>
      </c>
      <c r="M185" s="346">
        <f>IFERROR(VLOOKUP(B185,'DE x PARA'!B179:K2345,10,FALSE),"SINTÉTICA")</f>
        <v>600017</v>
      </c>
      <c r="N185" s="346">
        <f>IFERROR(VLOOKUP(M185,'DE x PARA'!$K$2:$L$2168,2,FALSE),0)</f>
        <v>-1</v>
      </c>
      <c r="O185" s="344">
        <f t="shared" si="15"/>
        <v>0</v>
      </c>
    </row>
    <row r="186" spans="1:15">
      <c r="A186" s="343" t="str">
        <f t="shared" si="12"/>
        <v>2.1.1.04.1192</v>
      </c>
      <c r="B186" s="343" t="s">
        <v>4437</v>
      </c>
      <c r="C186" s="347">
        <v>7112530000000</v>
      </c>
      <c r="D186" s="94" t="s">
        <v>5452</v>
      </c>
      <c r="E186" s="344">
        <v>0</v>
      </c>
      <c r="F186" s="344">
        <v>1500.1</v>
      </c>
      <c r="G186" s="344">
        <v>-1500.1</v>
      </c>
      <c r="H186" s="344">
        <v>0</v>
      </c>
      <c r="I186" s="344">
        <v>0</v>
      </c>
      <c r="J186" s="345">
        <f t="shared" si="13"/>
        <v>0</v>
      </c>
      <c r="K186" s="908">
        <f t="shared" si="14"/>
        <v>0</v>
      </c>
      <c r="L186" s="346" t="str">
        <f>IFERROR(VLOOKUP(C186,'DE x PARA'!C180:K2346,7,FALSE),"SINTÉTICA")</f>
        <v>SINTÉTICA</v>
      </c>
      <c r="M186" s="346">
        <f>IFERROR(VLOOKUP(B186,'DE x PARA'!B180:K2346,10,FALSE),"SINTÉTICA")</f>
        <v>600017</v>
      </c>
      <c r="N186" s="346">
        <f>IFERROR(VLOOKUP(M186,'DE x PARA'!$K$2:$L$2168,2,FALSE),0)</f>
        <v>-1</v>
      </c>
      <c r="O186" s="344">
        <f t="shared" si="15"/>
        <v>0</v>
      </c>
    </row>
    <row r="187" spans="1:15">
      <c r="A187" s="343" t="str">
        <f t="shared" si="12"/>
        <v>2.1.1.04.1193</v>
      </c>
      <c r="B187" s="343" t="s">
        <v>4439</v>
      </c>
      <c r="C187" s="347">
        <v>33372300000000</v>
      </c>
      <c r="D187" s="94" t="s">
        <v>5453</v>
      </c>
      <c r="E187" s="344">
        <v>0</v>
      </c>
      <c r="F187" s="344">
        <v>18662.45</v>
      </c>
      <c r="G187" s="344">
        <v>-18662.45</v>
      </c>
      <c r="H187" s="344">
        <v>0</v>
      </c>
      <c r="I187" s="344">
        <v>0</v>
      </c>
      <c r="J187" s="345">
        <f t="shared" si="13"/>
        <v>0</v>
      </c>
      <c r="K187" s="908">
        <f t="shared" si="14"/>
        <v>0</v>
      </c>
      <c r="L187" s="346" t="str">
        <f>IFERROR(VLOOKUP(C187,'DE x PARA'!C181:K2347,7,FALSE),"SINTÉTICA")</f>
        <v>SINTÉTICA</v>
      </c>
      <c r="M187" s="346">
        <f>IFERROR(VLOOKUP(B187,'DE x PARA'!B181:K2347,10,FALSE),"SINTÉTICA")</f>
        <v>600017</v>
      </c>
      <c r="N187" s="346">
        <f>IFERROR(VLOOKUP(M187,'DE x PARA'!$K$2:$L$2168,2,FALSE),0)</f>
        <v>-1</v>
      </c>
      <c r="O187" s="344">
        <f t="shared" si="15"/>
        <v>0</v>
      </c>
    </row>
    <row r="188" spans="1:15">
      <c r="A188" s="343" t="str">
        <f t="shared" si="12"/>
        <v>2.1.1.04.1196</v>
      </c>
      <c r="B188" s="343" t="s">
        <v>4445</v>
      </c>
      <c r="C188" s="347">
        <v>9494320000000</v>
      </c>
      <c r="D188" s="94" t="s">
        <v>5782</v>
      </c>
      <c r="E188" s="344">
        <v>0</v>
      </c>
      <c r="F188" s="344">
        <v>265</v>
      </c>
      <c r="G188" s="344">
        <v>-265</v>
      </c>
      <c r="H188" s="344">
        <v>0</v>
      </c>
      <c r="I188" s="344">
        <v>0</v>
      </c>
      <c r="J188" s="345">
        <f t="shared" si="13"/>
        <v>0</v>
      </c>
      <c r="K188" s="908">
        <f t="shared" si="14"/>
        <v>0</v>
      </c>
      <c r="L188" s="346" t="str">
        <f>IFERROR(VLOOKUP(C188,'DE x PARA'!C182:K2348,7,FALSE),"SINTÉTICA")</f>
        <v>SINTÉTICA</v>
      </c>
      <c r="M188" s="346">
        <f>IFERROR(VLOOKUP(B188,'DE x PARA'!B182:K2348,10,FALSE),"SINTÉTICA")</f>
        <v>600017</v>
      </c>
      <c r="N188" s="346">
        <f>IFERROR(VLOOKUP(M188,'DE x PARA'!$K$2:$L$2168,2,FALSE),0)</f>
        <v>-1</v>
      </c>
      <c r="O188" s="344">
        <f t="shared" si="15"/>
        <v>0</v>
      </c>
    </row>
    <row r="189" spans="1:15">
      <c r="A189" s="343" t="str">
        <f t="shared" si="12"/>
        <v>2.1.1.04.1199</v>
      </c>
      <c r="B189" s="343" t="s">
        <v>4451</v>
      </c>
      <c r="C189" s="347">
        <v>33372300000000</v>
      </c>
      <c r="D189" s="94" t="s">
        <v>5454</v>
      </c>
      <c r="E189" s="344">
        <v>0</v>
      </c>
      <c r="F189" s="344">
        <v>3732.49</v>
      </c>
      <c r="G189" s="344">
        <v>-3732.49</v>
      </c>
      <c r="H189" s="344">
        <v>0</v>
      </c>
      <c r="I189" s="344">
        <v>0</v>
      </c>
      <c r="J189" s="345">
        <f t="shared" si="13"/>
        <v>0</v>
      </c>
      <c r="K189" s="908">
        <f t="shared" si="14"/>
        <v>0</v>
      </c>
      <c r="L189" s="346" t="str">
        <f>IFERROR(VLOOKUP(C189,'DE x PARA'!C183:K2349,7,FALSE),"SINTÉTICA")</f>
        <v>SINTÉTICA</v>
      </c>
      <c r="M189" s="346">
        <f>IFERROR(VLOOKUP(B189,'DE x PARA'!B183:K2349,10,FALSE),"SINTÉTICA")</f>
        <v>600017</v>
      </c>
      <c r="N189" s="346">
        <f>IFERROR(VLOOKUP(M189,'DE x PARA'!$K$2:$L$2168,2,FALSE),0)</f>
        <v>-1</v>
      </c>
      <c r="O189" s="344">
        <f t="shared" si="15"/>
        <v>0</v>
      </c>
    </row>
    <row r="190" spans="1:15">
      <c r="A190" s="343" t="str">
        <f t="shared" si="12"/>
        <v>2.1.1.04.1200</v>
      </c>
      <c r="B190" s="343" t="s">
        <v>4453</v>
      </c>
      <c r="C190" s="347">
        <v>58567900000000</v>
      </c>
      <c r="D190" s="94" t="s">
        <v>4454</v>
      </c>
      <c r="E190" s="344">
        <v>-5169.26</v>
      </c>
      <c r="F190" s="344">
        <v>5169.26</v>
      </c>
      <c r="G190" s="344">
        <v>0</v>
      </c>
      <c r="H190" s="344">
        <v>5169.26</v>
      </c>
      <c r="I190" s="344">
        <v>0</v>
      </c>
      <c r="J190" s="345">
        <f t="shared" si="13"/>
        <v>0</v>
      </c>
      <c r="K190" s="908">
        <f t="shared" si="14"/>
        <v>0</v>
      </c>
      <c r="L190" s="346" t="str">
        <f>IFERROR(VLOOKUP(C190,'DE x PARA'!C184:K2350,7,FALSE),"SINTÉTICA")</f>
        <v>SINTÉTICA</v>
      </c>
      <c r="M190" s="346">
        <f>IFERROR(VLOOKUP(B190,'DE x PARA'!B184:K2350,10,FALSE),"SINTÉTICA")</f>
        <v>600017</v>
      </c>
      <c r="N190" s="346">
        <f>IFERROR(VLOOKUP(M190,'DE x PARA'!$K$2:$L$2168,2,FALSE),0)</f>
        <v>-1</v>
      </c>
      <c r="O190" s="344">
        <f t="shared" si="15"/>
        <v>-5169.26</v>
      </c>
    </row>
    <row r="191" spans="1:15">
      <c r="A191" s="343" t="str">
        <f t="shared" si="12"/>
        <v>2.1.1.04.1206</v>
      </c>
      <c r="B191" s="343" t="s">
        <v>4465</v>
      </c>
      <c r="C191" s="347">
        <v>2298310000000</v>
      </c>
      <c r="D191" s="94" t="s">
        <v>4466</v>
      </c>
      <c r="E191" s="344">
        <v>0</v>
      </c>
      <c r="F191" s="344">
        <v>6724.74</v>
      </c>
      <c r="G191" s="344">
        <v>-8044.74</v>
      </c>
      <c r="H191" s="344">
        <v>-1320</v>
      </c>
      <c r="I191" s="344">
        <v>-1320</v>
      </c>
      <c r="J191" s="345">
        <f t="shared" si="13"/>
        <v>-1.32</v>
      </c>
      <c r="K191" s="908">
        <f t="shared" si="14"/>
        <v>-1</v>
      </c>
      <c r="L191" s="346" t="str">
        <f>IFERROR(VLOOKUP(C191,'DE x PARA'!C185:K2351,7,FALSE),"SINTÉTICA")</f>
        <v>SINTÉTICA</v>
      </c>
      <c r="M191" s="346">
        <f>IFERROR(VLOOKUP(B191,'DE x PARA'!B185:K2351,10,FALSE),"SINTÉTICA")</f>
        <v>600017</v>
      </c>
      <c r="N191" s="346">
        <f>IFERROR(VLOOKUP(M191,'DE x PARA'!$K$2:$L$2168,2,FALSE),0)</f>
        <v>-1</v>
      </c>
      <c r="O191" s="344">
        <f t="shared" si="15"/>
        <v>1320</v>
      </c>
    </row>
    <row r="192" spans="1:15">
      <c r="A192" s="343" t="str">
        <f t="shared" si="12"/>
        <v>2.1.1.04.1213</v>
      </c>
      <c r="B192" s="343" t="s">
        <v>4479</v>
      </c>
      <c r="C192" s="347">
        <v>53813100000000</v>
      </c>
      <c r="D192" s="94" t="s">
        <v>5455</v>
      </c>
      <c r="E192" s="344">
        <v>0</v>
      </c>
      <c r="F192" s="344">
        <v>12400</v>
      </c>
      <c r="G192" s="344">
        <v>-12400</v>
      </c>
      <c r="H192" s="344">
        <v>0</v>
      </c>
      <c r="I192" s="344">
        <v>0</v>
      </c>
      <c r="J192" s="345">
        <f t="shared" si="13"/>
        <v>0</v>
      </c>
      <c r="K192" s="908">
        <f t="shared" si="14"/>
        <v>0</v>
      </c>
      <c r="L192" s="346" t="str">
        <f>IFERROR(VLOOKUP(C192,'DE x PARA'!C186:K2352,7,FALSE),"SINTÉTICA")</f>
        <v>SINTÉTICA</v>
      </c>
      <c r="M192" s="346">
        <f>IFERROR(VLOOKUP(B192,'DE x PARA'!B186:K2352,10,FALSE),"SINTÉTICA")</f>
        <v>600017</v>
      </c>
      <c r="N192" s="346">
        <f>IFERROR(VLOOKUP(M192,'DE x PARA'!$K$2:$L$2168,2,FALSE),0)</f>
        <v>-1</v>
      </c>
      <c r="O192" s="344">
        <f t="shared" si="15"/>
        <v>0</v>
      </c>
    </row>
    <row r="193" spans="1:15">
      <c r="A193" s="343" t="str">
        <f t="shared" si="12"/>
        <v>2.1.1.04.1214</v>
      </c>
      <c r="B193" s="343" t="s">
        <v>4481</v>
      </c>
      <c r="C193" s="347">
        <v>26722200000000</v>
      </c>
      <c r="D193" s="94" t="s">
        <v>5456</v>
      </c>
      <c r="E193" s="344">
        <v>0</v>
      </c>
      <c r="F193" s="344">
        <v>947789.51</v>
      </c>
      <c r="G193" s="344">
        <v>-947789.51</v>
      </c>
      <c r="H193" s="344">
        <v>0</v>
      </c>
      <c r="I193" s="344">
        <v>0</v>
      </c>
      <c r="J193" s="345">
        <f t="shared" si="13"/>
        <v>0</v>
      </c>
      <c r="K193" s="908">
        <f t="shared" si="14"/>
        <v>0</v>
      </c>
      <c r="L193" s="346" t="str">
        <f>IFERROR(VLOOKUP(C193,'DE x PARA'!C187:K2353,7,FALSE),"SINTÉTICA")</f>
        <v>SINTÉTICA</v>
      </c>
      <c r="M193" s="346">
        <f>IFERROR(VLOOKUP(B193,'DE x PARA'!B187:K2353,10,FALSE),"SINTÉTICA")</f>
        <v>600017</v>
      </c>
      <c r="N193" s="346">
        <f>IFERROR(VLOOKUP(M193,'DE x PARA'!$K$2:$L$2168,2,FALSE),0)</f>
        <v>-1</v>
      </c>
      <c r="O193" s="344">
        <f t="shared" si="15"/>
        <v>0</v>
      </c>
    </row>
    <row r="194" spans="1:15">
      <c r="A194" s="343" t="str">
        <f t="shared" si="12"/>
        <v>2.1.1.04.1215</v>
      </c>
      <c r="B194" s="343" t="s">
        <v>4483</v>
      </c>
      <c r="C194" s="347">
        <v>42270100000000</v>
      </c>
      <c r="D194" s="94" t="s">
        <v>5457</v>
      </c>
      <c r="E194" s="344">
        <v>0</v>
      </c>
      <c r="F194" s="344">
        <v>1455</v>
      </c>
      <c r="G194" s="344">
        <v>-1455</v>
      </c>
      <c r="H194" s="344">
        <v>0</v>
      </c>
      <c r="I194" s="344">
        <v>0</v>
      </c>
      <c r="J194" s="345">
        <f t="shared" si="13"/>
        <v>0</v>
      </c>
      <c r="K194" s="908">
        <f t="shared" si="14"/>
        <v>0</v>
      </c>
      <c r="L194" s="346" t="str">
        <f>IFERROR(VLOOKUP(C194,'DE x PARA'!C188:K2354,7,FALSE),"SINTÉTICA")</f>
        <v>SINTÉTICA</v>
      </c>
      <c r="M194" s="346">
        <f>IFERROR(VLOOKUP(B194,'DE x PARA'!B188:K2354,10,FALSE),"SINTÉTICA")</f>
        <v>600017</v>
      </c>
      <c r="N194" s="346">
        <f>IFERROR(VLOOKUP(M194,'DE x PARA'!$K$2:$L$2168,2,FALSE),0)</f>
        <v>-1</v>
      </c>
      <c r="O194" s="344">
        <f t="shared" si="15"/>
        <v>0</v>
      </c>
    </row>
    <row r="195" spans="1:15">
      <c r="A195" s="343" t="str">
        <f t="shared" si="12"/>
        <v>2.1.1.04.1216</v>
      </c>
      <c r="B195" s="343" t="s">
        <v>4485</v>
      </c>
      <c r="C195" s="347">
        <v>15664800000000</v>
      </c>
      <c r="D195" s="94" t="s">
        <v>5458</v>
      </c>
      <c r="E195" s="344">
        <v>0</v>
      </c>
      <c r="F195" s="344">
        <v>16000</v>
      </c>
      <c r="G195" s="344">
        <v>-16000</v>
      </c>
      <c r="H195" s="344">
        <v>0</v>
      </c>
      <c r="I195" s="344">
        <v>0</v>
      </c>
      <c r="J195" s="345">
        <f t="shared" si="13"/>
        <v>0</v>
      </c>
      <c r="K195" s="908">
        <f t="shared" si="14"/>
        <v>0</v>
      </c>
      <c r="L195" s="346" t="str">
        <f>IFERROR(VLOOKUP(C195,'DE x PARA'!C189:K2355,7,FALSE),"SINTÉTICA")</f>
        <v>SINTÉTICA</v>
      </c>
      <c r="M195" s="346">
        <f>IFERROR(VLOOKUP(B195,'DE x PARA'!B189:K2355,10,FALSE),"SINTÉTICA")</f>
        <v>600017</v>
      </c>
      <c r="N195" s="346">
        <f>IFERROR(VLOOKUP(M195,'DE x PARA'!$K$2:$L$2168,2,FALSE),0)</f>
        <v>-1</v>
      </c>
      <c r="O195" s="344">
        <f t="shared" si="15"/>
        <v>0</v>
      </c>
    </row>
    <row r="196" spans="1:15">
      <c r="A196" s="343" t="str">
        <f t="shared" si="12"/>
        <v>2.1.1.04.1218</v>
      </c>
      <c r="B196" s="343" t="s">
        <v>4489</v>
      </c>
      <c r="C196" s="347">
        <v>67393200000000</v>
      </c>
      <c r="D196" s="94" t="s">
        <v>5459</v>
      </c>
      <c r="E196" s="344">
        <v>0</v>
      </c>
      <c r="F196" s="344">
        <v>525758.85</v>
      </c>
      <c r="G196" s="344">
        <v>-525758.85</v>
      </c>
      <c r="H196" s="344">
        <v>0</v>
      </c>
      <c r="I196" s="344">
        <v>0</v>
      </c>
      <c r="J196" s="345">
        <f t="shared" si="13"/>
        <v>0</v>
      </c>
      <c r="K196" s="908">
        <f t="shared" si="14"/>
        <v>0</v>
      </c>
      <c r="L196" s="346" t="str">
        <f>IFERROR(VLOOKUP(C196,'DE x PARA'!C190:K2356,7,FALSE),"SINTÉTICA")</f>
        <v>SINTÉTICA</v>
      </c>
      <c r="M196" s="346">
        <f>IFERROR(VLOOKUP(B196,'DE x PARA'!B190:K2356,10,FALSE),"SINTÉTICA")</f>
        <v>600017</v>
      </c>
      <c r="N196" s="346">
        <f>IFERROR(VLOOKUP(M196,'DE x PARA'!$K$2:$L$2168,2,FALSE),0)</f>
        <v>-1</v>
      </c>
      <c r="O196" s="344">
        <f t="shared" si="15"/>
        <v>0</v>
      </c>
    </row>
    <row r="197" spans="1:15">
      <c r="A197" s="343" t="str">
        <f t="shared" si="12"/>
        <v>2.1.1.04.1222</v>
      </c>
      <c r="B197" s="343" t="s">
        <v>4497</v>
      </c>
      <c r="C197" s="347">
        <v>2092330000000</v>
      </c>
      <c r="D197" s="94" t="s">
        <v>5460</v>
      </c>
      <c r="E197" s="344">
        <v>0</v>
      </c>
      <c r="F197" s="344">
        <v>105134</v>
      </c>
      <c r="G197" s="344">
        <v>-105134</v>
      </c>
      <c r="H197" s="344">
        <v>0</v>
      </c>
      <c r="I197" s="344">
        <v>0</v>
      </c>
      <c r="J197" s="345">
        <f t="shared" si="13"/>
        <v>0</v>
      </c>
      <c r="K197" s="908">
        <f t="shared" si="14"/>
        <v>0</v>
      </c>
      <c r="L197" s="346" t="str">
        <f>IFERROR(VLOOKUP(C197,'DE x PARA'!C191:K2357,7,FALSE),"SINTÉTICA")</f>
        <v>SINTÉTICA</v>
      </c>
      <c r="M197" s="346">
        <f>IFERROR(VLOOKUP(B197,'DE x PARA'!B191:K2357,10,FALSE),"SINTÉTICA")</f>
        <v>600017</v>
      </c>
      <c r="N197" s="346">
        <f>IFERROR(VLOOKUP(M197,'DE x PARA'!$K$2:$L$2168,2,FALSE),0)</f>
        <v>-1</v>
      </c>
      <c r="O197" s="344">
        <f t="shared" si="15"/>
        <v>0</v>
      </c>
    </row>
    <row r="198" spans="1:15">
      <c r="A198" s="343" t="str">
        <f t="shared" si="12"/>
        <v>2.1.1.04.1228</v>
      </c>
      <c r="B198" s="343" t="s">
        <v>4509</v>
      </c>
      <c r="C198" s="347">
        <v>57115300000000</v>
      </c>
      <c r="D198" s="94" t="s">
        <v>5783</v>
      </c>
      <c r="E198" s="344">
        <v>-7223.56</v>
      </c>
      <c r="F198" s="344">
        <v>7223.56</v>
      </c>
      <c r="G198" s="344">
        <v>0</v>
      </c>
      <c r="H198" s="344">
        <v>7223.56</v>
      </c>
      <c r="I198" s="344">
        <v>0</v>
      </c>
      <c r="J198" s="345">
        <f t="shared" si="13"/>
        <v>0</v>
      </c>
      <c r="K198" s="908">
        <f t="shared" si="14"/>
        <v>0</v>
      </c>
      <c r="L198" s="346" t="str">
        <f>IFERROR(VLOOKUP(C198,'DE x PARA'!C192:K2358,7,FALSE),"SINTÉTICA")</f>
        <v>SINTÉTICA</v>
      </c>
      <c r="M198" s="346">
        <f>IFERROR(VLOOKUP(B198,'DE x PARA'!B192:K2358,10,FALSE),"SINTÉTICA")</f>
        <v>600017</v>
      </c>
      <c r="N198" s="346">
        <f>IFERROR(VLOOKUP(M198,'DE x PARA'!$K$2:$L$2168,2,FALSE),0)</f>
        <v>-1</v>
      </c>
      <c r="O198" s="344">
        <f t="shared" si="15"/>
        <v>-7223.56</v>
      </c>
    </row>
    <row r="199" spans="1:15">
      <c r="A199" s="343" t="str">
        <f t="shared" si="12"/>
        <v>2.1.1.04.1230</v>
      </c>
      <c r="B199" s="343" t="s">
        <v>4513</v>
      </c>
      <c r="C199" s="347">
        <v>32301800000000</v>
      </c>
      <c r="D199" s="94" t="s">
        <v>5784</v>
      </c>
      <c r="E199" s="344">
        <v>0</v>
      </c>
      <c r="F199" s="344">
        <v>15295</v>
      </c>
      <c r="G199" s="344">
        <v>-15295</v>
      </c>
      <c r="H199" s="344">
        <v>0</v>
      </c>
      <c r="I199" s="344">
        <v>0</v>
      </c>
      <c r="J199" s="345">
        <f t="shared" si="13"/>
        <v>0</v>
      </c>
      <c r="K199" s="908">
        <f t="shared" si="14"/>
        <v>0</v>
      </c>
      <c r="L199" s="346" t="str">
        <f>IFERROR(VLOOKUP(C199,'DE x PARA'!C193:K2359,7,FALSE),"SINTÉTICA")</f>
        <v>SINTÉTICA</v>
      </c>
      <c r="M199" s="346">
        <f>IFERROR(VLOOKUP(B199,'DE x PARA'!B193:K2359,10,FALSE),"SINTÉTICA")</f>
        <v>600017</v>
      </c>
      <c r="N199" s="346">
        <f>IFERROR(VLOOKUP(M199,'DE x PARA'!$K$2:$L$2168,2,FALSE),0)</f>
        <v>-1</v>
      </c>
      <c r="O199" s="344">
        <f t="shared" si="15"/>
        <v>0</v>
      </c>
    </row>
    <row r="200" spans="1:15">
      <c r="A200" s="343" t="str">
        <f t="shared" ref="A200:A263" si="16">B200</f>
        <v>2.1.1.04.1231</v>
      </c>
      <c r="B200" s="343" t="s">
        <v>4515</v>
      </c>
      <c r="C200" s="347">
        <v>18234900000000</v>
      </c>
      <c r="D200" s="94" t="s">
        <v>5785</v>
      </c>
      <c r="E200" s="344">
        <v>0</v>
      </c>
      <c r="F200" s="344">
        <v>2170</v>
      </c>
      <c r="G200" s="344">
        <v>-2170</v>
      </c>
      <c r="H200" s="344">
        <v>0</v>
      </c>
      <c r="I200" s="344">
        <v>0</v>
      </c>
      <c r="J200" s="345">
        <f t="shared" si="13"/>
        <v>0</v>
      </c>
      <c r="K200" s="908">
        <f t="shared" si="14"/>
        <v>0</v>
      </c>
      <c r="L200" s="346" t="str">
        <f>IFERROR(VLOOKUP(C200,'DE x PARA'!C194:K2360,7,FALSE),"SINTÉTICA")</f>
        <v>SINTÉTICA</v>
      </c>
      <c r="M200" s="346">
        <f>IFERROR(VLOOKUP(B200,'DE x PARA'!B194:K2360,10,FALSE),"SINTÉTICA")</f>
        <v>600017</v>
      </c>
      <c r="N200" s="346">
        <f>IFERROR(VLOOKUP(M200,'DE x PARA'!$K$2:$L$2168,2,FALSE),0)</f>
        <v>-1</v>
      </c>
      <c r="O200" s="344">
        <f t="shared" si="15"/>
        <v>0</v>
      </c>
    </row>
    <row r="201" spans="1:15">
      <c r="A201" s="343" t="str">
        <f t="shared" si="16"/>
        <v>2.1.1.04.1232</v>
      </c>
      <c r="B201" s="343" t="s">
        <v>4517</v>
      </c>
      <c r="C201" s="347">
        <v>12021900000000</v>
      </c>
      <c r="D201" s="94" t="s">
        <v>4518</v>
      </c>
      <c r="E201" s="344">
        <v>0</v>
      </c>
      <c r="F201" s="344">
        <v>1700</v>
      </c>
      <c r="G201" s="344">
        <v>-1700</v>
      </c>
      <c r="H201" s="344">
        <v>0</v>
      </c>
      <c r="I201" s="344">
        <v>0</v>
      </c>
      <c r="J201" s="345">
        <f t="shared" ref="J201:J264" si="17">I201/1000</f>
        <v>0</v>
      </c>
      <c r="K201" s="908">
        <f t="shared" ref="K201:K264" si="18">ROUND(J201,0)</f>
        <v>0</v>
      </c>
      <c r="L201" s="346" t="str">
        <f>IFERROR(VLOOKUP(C201,'DE x PARA'!C195:K2361,7,FALSE),"SINTÉTICA")</f>
        <v>SINTÉTICA</v>
      </c>
      <c r="M201" s="346">
        <f>IFERROR(VLOOKUP(B201,'DE x PARA'!B195:K2361,10,FALSE),"SINTÉTICA")</f>
        <v>600017</v>
      </c>
      <c r="N201" s="346">
        <f>IFERROR(VLOOKUP(M201,'DE x PARA'!$K$2:$L$2168,2,FALSE),0)</f>
        <v>-1</v>
      </c>
      <c r="O201" s="344">
        <f t="shared" ref="O201:O264" si="19">+H201*N201</f>
        <v>0</v>
      </c>
    </row>
    <row r="202" spans="1:15">
      <c r="A202" s="343" t="str">
        <f t="shared" si="16"/>
        <v>2.1.1.04.1233</v>
      </c>
      <c r="B202" s="343" t="s">
        <v>4519</v>
      </c>
      <c r="C202" s="347">
        <v>13418200000000</v>
      </c>
      <c r="D202" s="94" t="s">
        <v>5786</v>
      </c>
      <c r="E202" s="344">
        <v>0</v>
      </c>
      <c r="F202" s="344">
        <v>187000</v>
      </c>
      <c r="G202" s="344">
        <v>-187000</v>
      </c>
      <c r="H202" s="344">
        <v>0</v>
      </c>
      <c r="I202" s="344">
        <v>0</v>
      </c>
      <c r="J202" s="345">
        <f t="shared" si="17"/>
        <v>0</v>
      </c>
      <c r="K202" s="908">
        <f t="shared" si="18"/>
        <v>0</v>
      </c>
      <c r="L202" s="346" t="str">
        <f>IFERROR(VLOOKUP(C202,'DE x PARA'!C196:K2362,7,FALSE),"SINTÉTICA")</f>
        <v>SINTÉTICA</v>
      </c>
      <c r="M202" s="346">
        <f>IFERROR(VLOOKUP(B202,'DE x PARA'!B196:K2362,10,FALSE),"SINTÉTICA")</f>
        <v>600017</v>
      </c>
      <c r="N202" s="346">
        <f>IFERROR(VLOOKUP(M202,'DE x PARA'!$K$2:$L$2168,2,FALSE),0)</f>
        <v>-1</v>
      </c>
      <c r="O202" s="344">
        <f t="shared" si="19"/>
        <v>0</v>
      </c>
    </row>
    <row r="203" spans="1:15">
      <c r="A203" s="343" t="str">
        <f t="shared" si="16"/>
        <v>2.1.1.04.1234</v>
      </c>
      <c r="B203" s="343" t="s">
        <v>4521</v>
      </c>
      <c r="C203" s="347">
        <v>1183610000000</v>
      </c>
      <c r="D203" s="94" t="s">
        <v>5461</v>
      </c>
      <c r="E203" s="344">
        <v>0</v>
      </c>
      <c r="F203" s="344">
        <v>56490</v>
      </c>
      <c r="G203" s="344">
        <v>-56490</v>
      </c>
      <c r="H203" s="344">
        <v>0</v>
      </c>
      <c r="I203" s="344">
        <v>0</v>
      </c>
      <c r="J203" s="345">
        <f t="shared" si="17"/>
        <v>0</v>
      </c>
      <c r="K203" s="908">
        <f t="shared" si="18"/>
        <v>0</v>
      </c>
      <c r="L203" s="346" t="str">
        <f>IFERROR(VLOOKUP(C203,'DE x PARA'!C197:K2363,7,FALSE),"SINTÉTICA")</f>
        <v>SINTÉTICA</v>
      </c>
      <c r="M203" s="346">
        <f>IFERROR(VLOOKUP(B203,'DE x PARA'!B197:K2363,10,FALSE),"SINTÉTICA")</f>
        <v>600017</v>
      </c>
      <c r="N203" s="346">
        <f>IFERROR(VLOOKUP(M203,'DE x PARA'!$K$2:$L$2168,2,FALSE),0)</f>
        <v>-1</v>
      </c>
      <c r="O203" s="344">
        <f t="shared" si="19"/>
        <v>0</v>
      </c>
    </row>
    <row r="204" spans="1:15">
      <c r="A204" s="343" t="str">
        <f t="shared" si="16"/>
        <v>2.1.1.04.1235</v>
      </c>
      <c r="B204" s="343" t="s">
        <v>4523</v>
      </c>
      <c r="C204" s="347">
        <v>60011700000000</v>
      </c>
      <c r="D204" s="94" t="s">
        <v>5462</v>
      </c>
      <c r="E204" s="344">
        <v>0</v>
      </c>
      <c r="F204" s="344">
        <v>14000</v>
      </c>
      <c r="G204" s="344">
        <v>-14000</v>
      </c>
      <c r="H204" s="344">
        <v>0</v>
      </c>
      <c r="I204" s="344">
        <v>0</v>
      </c>
      <c r="J204" s="345">
        <f t="shared" si="17"/>
        <v>0</v>
      </c>
      <c r="K204" s="908">
        <f t="shared" si="18"/>
        <v>0</v>
      </c>
      <c r="L204" s="346" t="str">
        <f>IFERROR(VLOOKUP(C204,'DE x PARA'!C198:K2364,7,FALSE),"SINTÉTICA")</f>
        <v>SINTÉTICA</v>
      </c>
      <c r="M204" s="346">
        <f>IFERROR(VLOOKUP(B204,'DE x PARA'!B198:K2364,10,FALSE),"SINTÉTICA")</f>
        <v>600017</v>
      </c>
      <c r="N204" s="346">
        <f>IFERROR(VLOOKUP(M204,'DE x PARA'!$K$2:$L$2168,2,FALSE),0)</f>
        <v>-1</v>
      </c>
      <c r="O204" s="344">
        <f t="shared" si="19"/>
        <v>0</v>
      </c>
    </row>
    <row r="205" spans="1:15">
      <c r="A205" s="343" t="str">
        <f t="shared" si="16"/>
        <v>2.1.1.04.1236</v>
      </c>
      <c r="B205" s="343" t="s">
        <v>4525</v>
      </c>
      <c r="C205" s="347">
        <v>50237400000000</v>
      </c>
      <c r="D205" s="94" t="s">
        <v>5463</v>
      </c>
      <c r="E205" s="344">
        <v>0</v>
      </c>
      <c r="F205" s="344">
        <v>191209.2</v>
      </c>
      <c r="G205" s="344">
        <v>-278956.21999999997</v>
      </c>
      <c r="H205" s="344">
        <v>-87747.02</v>
      </c>
      <c r="I205" s="344">
        <v>-87747.02</v>
      </c>
      <c r="J205" s="345">
        <f t="shared" si="17"/>
        <v>-87.747020000000006</v>
      </c>
      <c r="K205" s="908">
        <f t="shared" si="18"/>
        <v>-88</v>
      </c>
      <c r="L205" s="346" t="str">
        <f>IFERROR(VLOOKUP(C205,'DE x PARA'!C199:K2365,7,FALSE),"SINTÉTICA")</f>
        <v>SINTÉTICA</v>
      </c>
      <c r="M205" s="346">
        <f>IFERROR(VLOOKUP(B205,'DE x PARA'!B199:K2365,10,FALSE),"SINTÉTICA")</f>
        <v>600017</v>
      </c>
      <c r="N205" s="346">
        <f>IFERROR(VLOOKUP(M205,'DE x PARA'!$K$2:$L$2168,2,FALSE),0)</f>
        <v>-1</v>
      </c>
      <c r="O205" s="344">
        <f t="shared" si="19"/>
        <v>87747.02</v>
      </c>
    </row>
    <row r="206" spans="1:15">
      <c r="A206" s="343" t="str">
        <f t="shared" si="16"/>
        <v>2.1.1.04.1237</v>
      </c>
      <c r="B206" s="343" t="s">
        <v>4527</v>
      </c>
      <c r="C206" s="347">
        <v>57558200000000</v>
      </c>
      <c r="D206" s="94" t="s">
        <v>5464</v>
      </c>
      <c r="E206" s="344">
        <v>0</v>
      </c>
      <c r="F206" s="344">
        <v>4100</v>
      </c>
      <c r="G206" s="344">
        <v>-4100</v>
      </c>
      <c r="H206" s="344">
        <v>0</v>
      </c>
      <c r="I206" s="344">
        <v>0</v>
      </c>
      <c r="J206" s="345">
        <f t="shared" si="17"/>
        <v>0</v>
      </c>
      <c r="K206" s="908">
        <f t="shared" si="18"/>
        <v>0</v>
      </c>
      <c r="L206" s="346" t="str">
        <f>IFERROR(VLOOKUP(C206,'DE x PARA'!C200:K2366,7,FALSE),"SINTÉTICA")</f>
        <v>SINTÉTICA</v>
      </c>
      <c r="M206" s="346">
        <f>IFERROR(VLOOKUP(B206,'DE x PARA'!B200:K2366,10,FALSE),"SINTÉTICA")</f>
        <v>600017</v>
      </c>
      <c r="N206" s="346">
        <f>IFERROR(VLOOKUP(M206,'DE x PARA'!$K$2:$L$2168,2,FALSE),0)</f>
        <v>-1</v>
      </c>
      <c r="O206" s="344">
        <f t="shared" si="19"/>
        <v>0</v>
      </c>
    </row>
    <row r="207" spans="1:15">
      <c r="A207" s="343" t="str">
        <f t="shared" si="16"/>
        <v>2.1.1.04.1238</v>
      </c>
      <c r="B207" s="343" t="s">
        <v>4529</v>
      </c>
      <c r="C207" s="347">
        <v>5773230000000</v>
      </c>
      <c r="D207" s="94" t="s">
        <v>5465</v>
      </c>
      <c r="E207" s="344">
        <v>0</v>
      </c>
      <c r="F207" s="344">
        <v>640.63</v>
      </c>
      <c r="G207" s="344">
        <v>-640.63</v>
      </c>
      <c r="H207" s="344">
        <v>0</v>
      </c>
      <c r="I207" s="344">
        <v>0</v>
      </c>
      <c r="J207" s="345">
        <f t="shared" si="17"/>
        <v>0</v>
      </c>
      <c r="K207" s="908">
        <f t="shared" si="18"/>
        <v>0</v>
      </c>
      <c r="L207" s="346" t="str">
        <f>IFERROR(VLOOKUP(C207,'DE x PARA'!C201:K2367,7,FALSE),"SINTÉTICA")</f>
        <v>SINTÉTICA</v>
      </c>
      <c r="M207" s="346">
        <f>IFERROR(VLOOKUP(B207,'DE x PARA'!B201:K2367,10,FALSE),"SINTÉTICA")</f>
        <v>600017</v>
      </c>
      <c r="N207" s="346">
        <f>IFERROR(VLOOKUP(M207,'DE x PARA'!$K$2:$L$2168,2,FALSE),0)</f>
        <v>-1</v>
      </c>
      <c r="O207" s="344">
        <f t="shared" si="19"/>
        <v>0</v>
      </c>
    </row>
    <row r="208" spans="1:15">
      <c r="A208" s="343" t="str">
        <f t="shared" si="16"/>
        <v>2.1.1.04.1239</v>
      </c>
      <c r="B208" s="343" t="s">
        <v>4531</v>
      </c>
      <c r="C208" s="347">
        <v>26699800000000</v>
      </c>
      <c r="D208" s="94" t="s">
        <v>4532</v>
      </c>
      <c r="E208" s="344">
        <v>0</v>
      </c>
      <c r="F208" s="344">
        <v>14504.35</v>
      </c>
      <c r="G208" s="344">
        <v>-14504.35</v>
      </c>
      <c r="H208" s="344">
        <v>0</v>
      </c>
      <c r="I208" s="344">
        <v>0</v>
      </c>
      <c r="J208" s="345">
        <f t="shared" si="17"/>
        <v>0</v>
      </c>
      <c r="K208" s="908">
        <f t="shared" si="18"/>
        <v>0</v>
      </c>
      <c r="L208" s="346" t="str">
        <f>IFERROR(VLOOKUP(C208,'DE x PARA'!C202:K2368,7,FALSE),"SINTÉTICA")</f>
        <v>SINTÉTICA</v>
      </c>
      <c r="M208" s="346">
        <f>IFERROR(VLOOKUP(B208,'DE x PARA'!B202:K2368,10,FALSE),"SINTÉTICA")</f>
        <v>600017</v>
      </c>
      <c r="N208" s="346">
        <f>IFERROR(VLOOKUP(M208,'DE x PARA'!$K$2:$L$2168,2,FALSE),0)</f>
        <v>-1</v>
      </c>
      <c r="O208" s="344">
        <f t="shared" si="19"/>
        <v>0</v>
      </c>
    </row>
    <row r="209" spans="1:15">
      <c r="A209" s="343" t="str">
        <f t="shared" si="16"/>
        <v>2.1.1.04.1240</v>
      </c>
      <c r="B209" s="343" t="s">
        <v>4533</v>
      </c>
      <c r="C209" s="347">
        <v>14945600000000</v>
      </c>
      <c r="D209" s="94" t="s">
        <v>4534</v>
      </c>
      <c r="E209" s="344">
        <v>0</v>
      </c>
      <c r="F209" s="344">
        <v>6989.55</v>
      </c>
      <c r="G209" s="344">
        <v>-6989.55</v>
      </c>
      <c r="H209" s="344">
        <v>0</v>
      </c>
      <c r="I209" s="344">
        <v>0</v>
      </c>
      <c r="J209" s="345">
        <f t="shared" si="17"/>
        <v>0</v>
      </c>
      <c r="K209" s="908">
        <f t="shared" si="18"/>
        <v>0</v>
      </c>
      <c r="L209" s="346" t="str">
        <f>IFERROR(VLOOKUP(C209,'DE x PARA'!C203:K2369,7,FALSE),"SINTÉTICA")</f>
        <v>SINTÉTICA</v>
      </c>
      <c r="M209" s="346">
        <f>IFERROR(VLOOKUP(B209,'DE x PARA'!B203:K2369,10,FALSE),"SINTÉTICA")</f>
        <v>600017</v>
      </c>
      <c r="N209" s="346">
        <f>IFERROR(VLOOKUP(M209,'DE x PARA'!$K$2:$L$2168,2,FALSE),0)</f>
        <v>-1</v>
      </c>
      <c r="O209" s="344">
        <f t="shared" si="19"/>
        <v>0</v>
      </c>
    </row>
    <row r="210" spans="1:15">
      <c r="A210" s="343" t="str">
        <f t="shared" si="16"/>
        <v>2.1.1.04.1241</v>
      </c>
      <c r="B210" s="343" t="s">
        <v>4535</v>
      </c>
      <c r="C210" s="347">
        <v>7774090000000</v>
      </c>
      <c r="D210" s="94" t="s">
        <v>5466</v>
      </c>
      <c r="E210" s="344">
        <v>0</v>
      </c>
      <c r="F210" s="344">
        <v>3380</v>
      </c>
      <c r="G210" s="344">
        <v>-3380</v>
      </c>
      <c r="H210" s="344">
        <v>0</v>
      </c>
      <c r="I210" s="344">
        <v>0</v>
      </c>
      <c r="J210" s="345">
        <f t="shared" si="17"/>
        <v>0</v>
      </c>
      <c r="K210" s="908">
        <f t="shared" si="18"/>
        <v>0</v>
      </c>
      <c r="L210" s="346" t="str">
        <f>IFERROR(VLOOKUP(C210,'DE x PARA'!C204:K2370,7,FALSE),"SINTÉTICA")</f>
        <v>SINTÉTICA</v>
      </c>
      <c r="M210" s="346">
        <f>IFERROR(VLOOKUP(B210,'DE x PARA'!B204:K2370,10,FALSE),"SINTÉTICA")</f>
        <v>600017</v>
      </c>
      <c r="N210" s="346">
        <f>IFERROR(VLOOKUP(M210,'DE x PARA'!$K$2:$L$2168,2,FALSE),0)</f>
        <v>-1</v>
      </c>
      <c r="O210" s="344">
        <f t="shared" si="19"/>
        <v>0</v>
      </c>
    </row>
    <row r="211" spans="1:15">
      <c r="A211" s="343" t="str">
        <f t="shared" si="16"/>
        <v>2.1.1.04.1242</v>
      </c>
      <c r="B211" s="343" t="s">
        <v>4537</v>
      </c>
      <c r="C211" s="347">
        <v>23108200000000</v>
      </c>
      <c r="D211" s="94" t="s">
        <v>5467</v>
      </c>
      <c r="E211" s="344">
        <v>0</v>
      </c>
      <c r="F211" s="344">
        <v>3255</v>
      </c>
      <c r="G211" s="344">
        <v>-3255</v>
      </c>
      <c r="H211" s="344">
        <v>0</v>
      </c>
      <c r="I211" s="344">
        <v>0</v>
      </c>
      <c r="J211" s="345">
        <f t="shared" si="17"/>
        <v>0</v>
      </c>
      <c r="K211" s="908">
        <f t="shared" si="18"/>
        <v>0</v>
      </c>
      <c r="L211" s="346" t="str">
        <f>IFERROR(VLOOKUP(C211,'DE x PARA'!C205:K2371,7,FALSE),"SINTÉTICA")</f>
        <v>SINTÉTICA</v>
      </c>
      <c r="M211" s="346">
        <f>IFERROR(VLOOKUP(B211,'DE x PARA'!B205:K2371,10,FALSE),"SINTÉTICA")</f>
        <v>600017</v>
      </c>
      <c r="N211" s="346">
        <f>IFERROR(VLOOKUP(M211,'DE x PARA'!$K$2:$L$2168,2,FALSE),0)</f>
        <v>-1</v>
      </c>
      <c r="O211" s="344">
        <f t="shared" si="19"/>
        <v>0</v>
      </c>
    </row>
    <row r="212" spans="1:15">
      <c r="A212" s="343" t="str">
        <f t="shared" si="16"/>
        <v>2.1.1.04.1245</v>
      </c>
      <c r="B212" s="343" t="s">
        <v>4543</v>
      </c>
      <c r="C212" s="347">
        <v>29959000000000</v>
      </c>
      <c r="D212" s="94" t="s">
        <v>4544</v>
      </c>
      <c r="E212" s="344">
        <v>0</v>
      </c>
      <c r="F212" s="344">
        <v>2000</v>
      </c>
      <c r="G212" s="344">
        <v>-2000</v>
      </c>
      <c r="H212" s="344">
        <v>0</v>
      </c>
      <c r="I212" s="344">
        <v>0</v>
      </c>
      <c r="J212" s="345">
        <f t="shared" si="17"/>
        <v>0</v>
      </c>
      <c r="K212" s="908">
        <f t="shared" si="18"/>
        <v>0</v>
      </c>
      <c r="L212" s="346" t="str">
        <f>IFERROR(VLOOKUP(C212,'DE x PARA'!C206:K2372,7,FALSE),"SINTÉTICA")</f>
        <v>SINTÉTICA</v>
      </c>
      <c r="M212" s="346">
        <f>IFERROR(VLOOKUP(B212,'DE x PARA'!B206:K2372,10,FALSE),"SINTÉTICA")</f>
        <v>600017</v>
      </c>
      <c r="N212" s="346">
        <f>IFERROR(VLOOKUP(M212,'DE x PARA'!$K$2:$L$2168,2,FALSE),0)</f>
        <v>-1</v>
      </c>
      <c r="O212" s="344">
        <f t="shared" si="19"/>
        <v>0</v>
      </c>
    </row>
    <row r="213" spans="1:15">
      <c r="A213" s="343" t="str">
        <f t="shared" si="16"/>
        <v>2.1.1.04.1246</v>
      </c>
      <c r="B213" s="343" t="s">
        <v>4545</v>
      </c>
      <c r="C213" s="347">
        <v>6926220000000</v>
      </c>
      <c r="D213" s="94" t="s">
        <v>5468</v>
      </c>
      <c r="E213" s="344">
        <v>0</v>
      </c>
      <c r="F213" s="344">
        <v>9722.24</v>
      </c>
      <c r="G213" s="344">
        <v>-11027.8</v>
      </c>
      <c r="H213" s="344">
        <v>-1305.56</v>
      </c>
      <c r="I213" s="344">
        <v>-1305.56</v>
      </c>
      <c r="J213" s="345">
        <f t="shared" si="17"/>
        <v>-1.3055600000000001</v>
      </c>
      <c r="K213" s="908">
        <f t="shared" si="18"/>
        <v>-1</v>
      </c>
      <c r="L213" s="346" t="str">
        <f>IFERROR(VLOOKUP(C213,'DE x PARA'!C207:K2373,7,FALSE),"SINTÉTICA")</f>
        <v>SINTÉTICA</v>
      </c>
      <c r="M213" s="346">
        <f>IFERROR(VLOOKUP(B213,'DE x PARA'!B207:K2373,10,FALSE),"SINTÉTICA")</f>
        <v>600017</v>
      </c>
      <c r="N213" s="346">
        <f>IFERROR(VLOOKUP(M213,'DE x PARA'!$K$2:$L$2168,2,FALSE),0)</f>
        <v>-1</v>
      </c>
      <c r="O213" s="344">
        <f t="shared" si="19"/>
        <v>1305.56</v>
      </c>
    </row>
    <row r="214" spans="1:15">
      <c r="A214" s="343" t="str">
        <f t="shared" si="16"/>
        <v>2.1.1.04.1248</v>
      </c>
      <c r="B214" s="343" t="s">
        <v>4549</v>
      </c>
      <c r="C214" s="347">
        <v>3033820000000</v>
      </c>
      <c r="D214" s="94" t="s">
        <v>5469</v>
      </c>
      <c r="E214" s="344">
        <v>0</v>
      </c>
      <c r="F214" s="344">
        <v>42630</v>
      </c>
      <c r="G214" s="344">
        <v>-61090</v>
      </c>
      <c r="H214" s="344">
        <v>-18460</v>
      </c>
      <c r="I214" s="344">
        <v>-18460</v>
      </c>
      <c r="J214" s="345">
        <f t="shared" si="17"/>
        <v>-18.46</v>
      </c>
      <c r="K214" s="908">
        <f t="shared" si="18"/>
        <v>-18</v>
      </c>
      <c r="L214" s="346" t="str">
        <f>IFERROR(VLOOKUP(C214,'DE x PARA'!C208:K2374,7,FALSE),"SINTÉTICA")</f>
        <v>SINTÉTICA</v>
      </c>
      <c r="M214" s="346">
        <f>IFERROR(VLOOKUP(B214,'DE x PARA'!B208:K2374,10,FALSE),"SINTÉTICA")</f>
        <v>600017</v>
      </c>
      <c r="N214" s="346">
        <f>IFERROR(VLOOKUP(M214,'DE x PARA'!$K$2:$L$2168,2,FALSE),0)</f>
        <v>-1</v>
      </c>
      <c r="O214" s="344">
        <f t="shared" si="19"/>
        <v>18460</v>
      </c>
    </row>
    <row r="215" spans="1:15">
      <c r="A215" s="343" t="str">
        <f t="shared" si="16"/>
        <v>2.1.1.04.1250</v>
      </c>
      <c r="B215" s="343" t="s">
        <v>4552</v>
      </c>
      <c r="C215" s="347">
        <v>34167200000000</v>
      </c>
      <c r="D215" s="94" t="s">
        <v>4553</v>
      </c>
      <c r="E215" s="344">
        <v>0</v>
      </c>
      <c r="F215" s="344">
        <v>950</v>
      </c>
      <c r="G215" s="344">
        <v>-950</v>
      </c>
      <c r="H215" s="344">
        <v>0</v>
      </c>
      <c r="I215" s="344">
        <v>0</v>
      </c>
      <c r="J215" s="345">
        <f t="shared" si="17"/>
        <v>0</v>
      </c>
      <c r="K215" s="908">
        <f t="shared" si="18"/>
        <v>0</v>
      </c>
      <c r="L215" s="346" t="str">
        <f>IFERROR(VLOOKUP(C215,'DE x PARA'!C209:K2375,7,FALSE),"SINTÉTICA")</f>
        <v>SINTÉTICA</v>
      </c>
      <c r="M215" s="346">
        <f>IFERROR(VLOOKUP(B215,'DE x PARA'!B209:K2375,10,FALSE),"SINTÉTICA")</f>
        <v>600017</v>
      </c>
      <c r="N215" s="346">
        <f>IFERROR(VLOOKUP(M215,'DE x PARA'!$K$2:$L$2168,2,FALSE),0)</f>
        <v>-1</v>
      </c>
      <c r="O215" s="344">
        <f t="shared" si="19"/>
        <v>0</v>
      </c>
    </row>
    <row r="216" spans="1:15">
      <c r="A216" s="343" t="str">
        <f t="shared" si="16"/>
        <v>2.1.1.04.1252</v>
      </c>
      <c r="B216" s="343" t="s">
        <v>4554</v>
      </c>
      <c r="C216" s="347">
        <v>53272200000000</v>
      </c>
      <c r="D216" s="94" t="s">
        <v>4555</v>
      </c>
      <c r="E216" s="344">
        <v>0</v>
      </c>
      <c r="F216" s="344">
        <v>25000</v>
      </c>
      <c r="G216" s="344">
        <v>-25000</v>
      </c>
      <c r="H216" s="344">
        <v>0</v>
      </c>
      <c r="I216" s="344">
        <v>0</v>
      </c>
      <c r="J216" s="345">
        <f t="shared" si="17"/>
        <v>0</v>
      </c>
      <c r="K216" s="908">
        <f t="shared" si="18"/>
        <v>0</v>
      </c>
      <c r="L216" s="346" t="str">
        <f>IFERROR(VLOOKUP(C216,'DE x PARA'!C210:K2376,7,FALSE),"SINTÉTICA")</f>
        <v>SINTÉTICA</v>
      </c>
      <c r="M216" s="346">
        <f>IFERROR(VLOOKUP(B216,'DE x PARA'!B210:K2376,10,FALSE),"SINTÉTICA")</f>
        <v>600017</v>
      </c>
      <c r="N216" s="346">
        <f>IFERROR(VLOOKUP(M216,'DE x PARA'!$K$2:$L$2168,2,FALSE),0)</f>
        <v>-1</v>
      </c>
      <c r="O216" s="344">
        <f t="shared" si="19"/>
        <v>0</v>
      </c>
    </row>
    <row r="217" spans="1:15">
      <c r="A217" s="343" t="str">
        <f t="shared" si="16"/>
        <v>2.1.1.04.1253</v>
      </c>
      <c r="B217" s="343" t="s">
        <v>4556</v>
      </c>
      <c r="C217" s="347">
        <v>62801500000000</v>
      </c>
      <c r="D217" s="94" t="s">
        <v>5470</v>
      </c>
      <c r="E217" s="344">
        <v>0</v>
      </c>
      <c r="F217" s="344">
        <v>16000</v>
      </c>
      <c r="G217" s="344">
        <v>-16000</v>
      </c>
      <c r="H217" s="344">
        <v>0</v>
      </c>
      <c r="I217" s="344">
        <v>0</v>
      </c>
      <c r="J217" s="345">
        <f t="shared" si="17"/>
        <v>0</v>
      </c>
      <c r="K217" s="908">
        <f t="shared" si="18"/>
        <v>0</v>
      </c>
      <c r="L217" s="346" t="str">
        <f>IFERROR(VLOOKUP(C217,'DE x PARA'!C211:K2377,7,FALSE),"SINTÉTICA")</f>
        <v>SINTÉTICA</v>
      </c>
      <c r="M217" s="346">
        <f>IFERROR(VLOOKUP(B217,'DE x PARA'!B211:K2377,10,FALSE),"SINTÉTICA")</f>
        <v>600017</v>
      </c>
      <c r="N217" s="346">
        <f>IFERROR(VLOOKUP(M217,'DE x PARA'!$K$2:$L$2168,2,FALSE),0)</f>
        <v>-1</v>
      </c>
      <c r="O217" s="344">
        <f t="shared" si="19"/>
        <v>0</v>
      </c>
    </row>
    <row r="218" spans="1:15">
      <c r="A218" s="343" t="str">
        <f t="shared" si="16"/>
        <v>2.1.1.04.1254</v>
      </c>
      <c r="B218" s="343" t="s">
        <v>4558</v>
      </c>
      <c r="C218" s="347">
        <v>43147700000000</v>
      </c>
      <c r="D218" s="94" t="s">
        <v>5471</v>
      </c>
      <c r="E218" s="344">
        <v>0</v>
      </c>
      <c r="F218" s="344">
        <v>2100</v>
      </c>
      <c r="G218" s="344">
        <v>-6530</v>
      </c>
      <c r="H218" s="344">
        <v>-4430</v>
      </c>
      <c r="I218" s="344">
        <v>-4430</v>
      </c>
      <c r="J218" s="345">
        <f t="shared" si="17"/>
        <v>-4.43</v>
      </c>
      <c r="K218" s="908">
        <f t="shared" si="18"/>
        <v>-4</v>
      </c>
      <c r="L218" s="346" t="str">
        <f>IFERROR(VLOOKUP(C218,'DE x PARA'!C212:K2378,7,FALSE),"SINTÉTICA")</f>
        <v>SINTÉTICA</v>
      </c>
      <c r="M218" s="346">
        <f>IFERROR(VLOOKUP(B218,'DE x PARA'!B212:K2378,10,FALSE),"SINTÉTICA")</f>
        <v>600017</v>
      </c>
      <c r="N218" s="346">
        <f>IFERROR(VLOOKUP(M218,'DE x PARA'!$K$2:$L$2168,2,FALSE),0)</f>
        <v>-1</v>
      </c>
      <c r="O218" s="344">
        <f t="shared" si="19"/>
        <v>4430</v>
      </c>
    </row>
    <row r="219" spans="1:15">
      <c r="A219" s="343" t="str">
        <f t="shared" si="16"/>
        <v>2.1.1.04.1255</v>
      </c>
      <c r="B219" s="343" t="s">
        <v>4560</v>
      </c>
      <c r="C219" s="347">
        <v>26079200000000</v>
      </c>
      <c r="D219" s="94" t="s">
        <v>5472</v>
      </c>
      <c r="E219" s="344">
        <v>0</v>
      </c>
      <c r="F219" s="344">
        <v>5600</v>
      </c>
      <c r="G219" s="344">
        <v>-5600</v>
      </c>
      <c r="H219" s="344">
        <v>0</v>
      </c>
      <c r="I219" s="344">
        <v>0</v>
      </c>
      <c r="J219" s="345">
        <f t="shared" si="17"/>
        <v>0</v>
      </c>
      <c r="K219" s="908">
        <f t="shared" si="18"/>
        <v>0</v>
      </c>
      <c r="L219" s="346" t="str">
        <f>IFERROR(VLOOKUP(C219,'DE x PARA'!C213:K2379,7,FALSE),"SINTÉTICA")</f>
        <v>SINTÉTICA</v>
      </c>
      <c r="M219" s="346">
        <f>IFERROR(VLOOKUP(B219,'DE x PARA'!B213:K2379,10,FALSE),"SINTÉTICA")</f>
        <v>600017</v>
      </c>
      <c r="N219" s="346">
        <f>IFERROR(VLOOKUP(M219,'DE x PARA'!$K$2:$L$2168,2,FALSE),0)</f>
        <v>-1</v>
      </c>
      <c r="O219" s="344">
        <f t="shared" si="19"/>
        <v>0</v>
      </c>
    </row>
    <row r="220" spans="1:15">
      <c r="A220" s="343" t="str">
        <f t="shared" si="16"/>
        <v>2.1.1.04.1256</v>
      </c>
      <c r="B220" s="343" t="s">
        <v>4562</v>
      </c>
      <c r="C220" s="347">
        <v>34163700000000</v>
      </c>
      <c r="D220" s="94" t="s">
        <v>4563</v>
      </c>
      <c r="E220" s="344">
        <v>0</v>
      </c>
      <c r="F220" s="344">
        <v>40260.99</v>
      </c>
      <c r="G220" s="344">
        <v>-40260.99</v>
      </c>
      <c r="H220" s="344">
        <v>0</v>
      </c>
      <c r="I220" s="344">
        <v>0</v>
      </c>
      <c r="J220" s="345">
        <f t="shared" si="17"/>
        <v>0</v>
      </c>
      <c r="K220" s="908">
        <f t="shared" si="18"/>
        <v>0</v>
      </c>
      <c r="L220" s="346" t="str">
        <f>IFERROR(VLOOKUP(C220,'DE x PARA'!C214:K2380,7,FALSE),"SINTÉTICA")</f>
        <v>SINTÉTICA</v>
      </c>
      <c r="M220" s="346">
        <f>IFERROR(VLOOKUP(B220,'DE x PARA'!B214:K2380,10,FALSE),"SINTÉTICA")</f>
        <v>600017</v>
      </c>
      <c r="N220" s="346">
        <f>IFERROR(VLOOKUP(M220,'DE x PARA'!$K$2:$L$2168,2,FALSE),0)</f>
        <v>-1</v>
      </c>
      <c r="O220" s="344">
        <f t="shared" si="19"/>
        <v>0</v>
      </c>
    </row>
    <row r="221" spans="1:15">
      <c r="A221" s="343" t="str">
        <f t="shared" si="16"/>
        <v>2.1.1.04.1257</v>
      </c>
      <c r="B221" s="343" t="s">
        <v>4564</v>
      </c>
      <c r="C221" s="347">
        <v>49001500000000</v>
      </c>
      <c r="D221" s="94" t="s">
        <v>4565</v>
      </c>
      <c r="E221" s="344">
        <v>0</v>
      </c>
      <c r="F221" s="344">
        <v>8288</v>
      </c>
      <c r="G221" s="344">
        <v>-8288</v>
      </c>
      <c r="H221" s="344">
        <v>0</v>
      </c>
      <c r="I221" s="344">
        <v>0</v>
      </c>
      <c r="J221" s="345">
        <f t="shared" si="17"/>
        <v>0</v>
      </c>
      <c r="K221" s="908">
        <f t="shared" si="18"/>
        <v>0</v>
      </c>
      <c r="L221" s="346" t="str">
        <f>IFERROR(VLOOKUP(C221,'DE x PARA'!C215:K2381,7,FALSE),"SINTÉTICA")</f>
        <v>SINTÉTICA</v>
      </c>
      <c r="M221" s="346">
        <f>IFERROR(VLOOKUP(B221,'DE x PARA'!B215:K2381,10,FALSE),"SINTÉTICA")</f>
        <v>600017</v>
      </c>
      <c r="N221" s="346">
        <f>IFERROR(VLOOKUP(M221,'DE x PARA'!$K$2:$L$2168,2,FALSE),0)</f>
        <v>-1</v>
      </c>
      <c r="O221" s="344">
        <f t="shared" si="19"/>
        <v>0</v>
      </c>
    </row>
    <row r="222" spans="1:15">
      <c r="A222" s="343" t="str">
        <f t="shared" si="16"/>
        <v>2.1.1.04.1258</v>
      </c>
      <c r="B222" s="343" t="s">
        <v>4566</v>
      </c>
      <c r="C222" s="347">
        <v>22840000000000</v>
      </c>
      <c r="D222" s="94" t="s">
        <v>5473</v>
      </c>
      <c r="E222" s="344">
        <v>0</v>
      </c>
      <c r="F222" s="344">
        <v>0</v>
      </c>
      <c r="G222" s="344">
        <v>-2012.4</v>
      </c>
      <c r="H222" s="344">
        <v>-2012.4</v>
      </c>
      <c r="I222" s="344">
        <v>-2012.4</v>
      </c>
      <c r="J222" s="345">
        <f t="shared" si="17"/>
        <v>-2.0124</v>
      </c>
      <c r="K222" s="908">
        <f t="shared" si="18"/>
        <v>-2</v>
      </c>
      <c r="L222" s="346" t="str">
        <f>IFERROR(VLOOKUP(C222,'DE x PARA'!C216:K2382,7,FALSE),"SINTÉTICA")</f>
        <v>SINTÉTICA</v>
      </c>
      <c r="M222" s="346">
        <f>IFERROR(VLOOKUP(B222,'DE x PARA'!B216:K2382,10,FALSE),"SINTÉTICA")</f>
        <v>600017</v>
      </c>
      <c r="N222" s="346">
        <f>IFERROR(VLOOKUP(M222,'DE x PARA'!$K$2:$L$2168,2,FALSE),0)</f>
        <v>-1</v>
      </c>
      <c r="O222" s="344">
        <f t="shared" si="19"/>
        <v>2012.4</v>
      </c>
    </row>
    <row r="223" spans="1:15">
      <c r="A223" s="343" t="str">
        <f t="shared" si="16"/>
        <v>2.1.1.04.1260</v>
      </c>
      <c r="B223" s="343" t="s">
        <v>4568</v>
      </c>
      <c r="C223" s="347">
        <v>33029600000000</v>
      </c>
      <c r="D223" s="94" t="s">
        <v>5474</v>
      </c>
      <c r="E223" s="344">
        <v>0</v>
      </c>
      <c r="F223" s="344">
        <v>111.66</v>
      </c>
      <c r="G223" s="344">
        <v>-111.66</v>
      </c>
      <c r="H223" s="344">
        <v>0</v>
      </c>
      <c r="I223" s="344">
        <v>0</v>
      </c>
      <c r="J223" s="345">
        <f t="shared" si="17"/>
        <v>0</v>
      </c>
      <c r="K223" s="908">
        <f t="shared" si="18"/>
        <v>0</v>
      </c>
      <c r="L223" s="346" t="str">
        <f>IFERROR(VLOOKUP(C223,'DE x PARA'!C217:K2383,7,FALSE),"SINTÉTICA")</f>
        <v>SINTÉTICA</v>
      </c>
      <c r="M223" s="346">
        <f>IFERROR(VLOOKUP(B223,'DE x PARA'!B217:K2383,10,FALSE),"SINTÉTICA")</f>
        <v>600017</v>
      </c>
      <c r="N223" s="346">
        <f>IFERROR(VLOOKUP(M223,'DE x PARA'!$K$2:$L$2168,2,FALSE),0)</f>
        <v>-1</v>
      </c>
      <c r="O223" s="344">
        <f t="shared" si="19"/>
        <v>0</v>
      </c>
    </row>
    <row r="224" spans="1:15">
      <c r="A224" s="343" t="str">
        <f t="shared" si="16"/>
        <v>2.1.1.06</v>
      </c>
      <c r="B224" s="343" t="s">
        <v>864</v>
      </c>
      <c r="C224" s="347">
        <v>2116</v>
      </c>
      <c r="D224" s="94" t="s">
        <v>180</v>
      </c>
      <c r="E224" s="344">
        <v>-2324.48</v>
      </c>
      <c r="F224" s="344">
        <v>582873.93999999994</v>
      </c>
      <c r="G224" s="344">
        <v>-584798.87</v>
      </c>
      <c r="H224" s="344">
        <v>-1924.93</v>
      </c>
      <c r="I224" s="344">
        <v>-4249.41</v>
      </c>
      <c r="J224" s="345">
        <f t="shared" si="17"/>
        <v>-4.2494100000000001</v>
      </c>
      <c r="K224" s="908">
        <f t="shared" si="18"/>
        <v>-4</v>
      </c>
      <c r="L224" s="346">
        <f>IFERROR(VLOOKUP(C224,'DE x PARA'!C218:K2384,7,FALSE),"SINTÉTICA")</f>
        <v>0</v>
      </c>
      <c r="M224" s="346">
        <f>IFERROR(VLOOKUP(B224,'DE x PARA'!B218:K2384,10,FALSE),"SINTÉTICA")</f>
        <v>0</v>
      </c>
      <c r="N224" s="346">
        <f>IFERROR(VLOOKUP(M224,'DE x PARA'!$K$2:$L$2168,2,FALSE),0)</f>
        <v>0</v>
      </c>
      <c r="O224" s="344">
        <f t="shared" si="19"/>
        <v>0</v>
      </c>
    </row>
    <row r="225" spans="1:15">
      <c r="A225" s="343" t="str">
        <f t="shared" si="16"/>
        <v>2.1.1.06.0002</v>
      </c>
      <c r="B225" s="343" t="s">
        <v>865</v>
      </c>
      <c r="C225" s="347">
        <v>21162</v>
      </c>
      <c r="D225" s="94" t="s">
        <v>866</v>
      </c>
      <c r="E225" s="344">
        <v>-324.93</v>
      </c>
      <c r="F225" s="344">
        <v>102028.49</v>
      </c>
      <c r="G225" s="344">
        <v>-102297.56</v>
      </c>
      <c r="H225" s="344">
        <v>-269.07</v>
      </c>
      <c r="I225" s="344">
        <v>-594</v>
      </c>
      <c r="J225" s="345">
        <f t="shared" si="17"/>
        <v>-0.59399999999999997</v>
      </c>
      <c r="K225" s="908">
        <f t="shared" si="18"/>
        <v>-1</v>
      </c>
      <c r="L225" s="346">
        <f>IFERROR(VLOOKUP(C225,'DE x PARA'!C219:K2385,7,FALSE),"SINTÉTICA")</f>
        <v>500001</v>
      </c>
      <c r="M225" s="346">
        <f>IFERROR(VLOOKUP(B225,'DE x PARA'!B219:K2385,10,FALSE),"SINTÉTICA")</f>
        <v>600018</v>
      </c>
      <c r="N225" s="346">
        <f>IFERROR(VLOOKUP(M225,'DE x PARA'!$K$2:$L$2168,2,FALSE),0)</f>
        <v>-1</v>
      </c>
      <c r="O225" s="344">
        <f t="shared" si="19"/>
        <v>269.07</v>
      </c>
    </row>
    <row r="226" spans="1:15">
      <c r="A226" s="343" t="str">
        <f t="shared" si="16"/>
        <v>2.1.1.06.0003</v>
      </c>
      <c r="B226" s="343" t="s">
        <v>867</v>
      </c>
      <c r="C226" s="347">
        <v>21163</v>
      </c>
      <c r="D226" s="94" t="s">
        <v>868</v>
      </c>
      <c r="E226" s="344">
        <v>-1999.55</v>
      </c>
      <c r="F226" s="344">
        <v>474956.18</v>
      </c>
      <c r="G226" s="344">
        <v>-476612.04</v>
      </c>
      <c r="H226" s="344">
        <v>-1655.86</v>
      </c>
      <c r="I226" s="344">
        <v>-3655.41</v>
      </c>
      <c r="J226" s="345">
        <f t="shared" si="17"/>
        <v>-3.6554099999999998</v>
      </c>
      <c r="K226" s="908">
        <f t="shared" si="18"/>
        <v>-4</v>
      </c>
      <c r="L226" s="346">
        <f>IFERROR(VLOOKUP(C226,'DE x PARA'!C220:K2386,7,FALSE),"SINTÉTICA")</f>
        <v>500001</v>
      </c>
      <c r="M226" s="346">
        <f>IFERROR(VLOOKUP(B226,'DE x PARA'!B220:K2386,10,FALSE),"SINTÉTICA")</f>
        <v>600018</v>
      </c>
      <c r="N226" s="346">
        <f>IFERROR(VLOOKUP(M226,'DE x PARA'!$K$2:$L$2168,2,FALSE),0)</f>
        <v>-1</v>
      </c>
      <c r="O226" s="344">
        <f t="shared" si="19"/>
        <v>1655.86</v>
      </c>
    </row>
    <row r="227" spans="1:15">
      <c r="A227" s="343" t="str">
        <f t="shared" si="16"/>
        <v>2.1.1.06.0007</v>
      </c>
      <c r="B227" s="343" t="s">
        <v>4583</v>
      </c>
      <c r="C227" s="347">
        <v>21167</v>
      </c>
      <c r="D227" s="94" t="s">
        <v>4584</v>
      </c>
      <c r="E227" s="344">
        <v>0</v>
      </c>
      <c r="F227" s="344">
        <v>5889.27</v>
      </c>
      <c r="G227" s="344">
        <v>-5889.27</v>
      </c>
      <c r="H227" s="344">
        <v>0</v>
      </c>
      <c r="I227" s="344">
        <v>0</v>
      </c>
      <c r="J227" s="345">
        <f t="shared" si="17"/>
        <v>0</v>
      </c>
      <c r="K227" s="908">
        <f t="shared" si="18"/>
        <v>0</v>
      </c>
      <c r="L227" s="346">
        <f>IFERROR(VLOOKUP(C227,'DE x PARA'!C221:K2387,7,FALSE),"SINTÉTICA")</f>
        <v>500001</v>
      </c>
      <c r="M227" s="346">
        <f>IFERROR(VLOOKUP(B227,'DE x PARA'!B221:K2387,10,FALSE),"SINTÉTICA")</f>
        <v>600031</v>
      </c>
      <c r="N227" s="346">
        <f>IFERROR(VLOOKUP(M227,'DE x PARA'!$K$2:$L$2168,2,FALSE),0)</f>
        <v>-1</v>
      </c>
      <c r="O227" s="344">
        <f t="shared" si="19"/>
        <v>0</v>
      </c>
    </row>
    <row r="228" spans="1:15">
      <c r="A228" s="343" t="str">
        <f t="shared" si="16"/>
        <v>2.1.1.07</v>
      </c>
      <c r="B228" s="343" t="s">
        <v>869</v>
      </c>
      <c r="C228" s="347">
        <v>2117</v>
      </c>
      <c r="D228" s="94" t="s">
        <v>870</v>
      </c>
      <c r="E228" s="344">
        <v>-5286840.07</v>
      </c>
      <c r="F228" s="344">
        <v>11922180.060000001</v>
      </c>
      <c r="G228" s="344">
        <v>-9805670.4000000004</v>
      </c>
      <c r="H228" s="344">
        <v>2116509.66</v>
      </c>
      <c r="I228" s="344">
        <v>-3170330.41</v>
      </c>
      <c r="J228" s="345">
        <f t="shared" si="17"/>
        <v>-3170.33041</v>
      </c>
      <c r="K228" s="908">
        <f t="shared" si="18"/>
        <v>-3170</v>
      </c>
      <c r="L228" s="346">
        <f>IFERROR(VLOOKUP(C228,'DE x PARA'!C222:K2388,7,FALSE),"SINTÉTICA")</f>
        <v>0</v>
      </c>
      <c r="M228" s="346">
        <f>IFERROR(VLOOKUP(B228,'DE x PARA'!B222:K2388,10,FALSE),"SINTÉTICA")</f>
        <v>0</v>
      </c>
      <c r="N228" s="346">
        <f>IFERROR(VLOOKUP(M228,'DE x PARA'!$K$2:$L$2168,2,FALSE),0)</f>
        <v>0</v>
      </c>
      <c r="O228" s="344">
        <f t="shared" si="19"/>
        <v>0</v>
      </c>
    </row>
    <row r="229" spans="1:15">
      <c r="A229" s="343" t="str">
        <f t="shared" si="16"/>
        <v>2.1.1.07.0001</v>
      </c>
      <c r="B229" s="343" t="s">
        <v>871</v>
      </c>
      <c r="C229" s="347">
        <v>561</v>
      </c>
      <c r="D229" s="94" t="s">
        <v>872</v>
      </c>
      <c r="E229" s="344">
        <v>-4654579.18</v>
      </c>
      <c r="F229" s="344">
        <v>10666839.76</v>
      </c>
      <c r="G229" s="344">
        <v>-8997676.25</v>
      </c>
      <c r="H229" s="344">
        <v>1669163.51</v>
      </c>
      <c r="I229" s="344">
        <v>-2985415.67</v>
      </c>
      <c r="J229" s="345">
        <f t="shared" si="17"/>
        <v>-2985.4156699999999</v>
      </c>
      <c r="K229" s="908">
        <f t="shared" si="18"/>
        <v>-2985</v>
      </c>
      <c r="L229" s="346">
        <f>IFERROR(VLOOKUP(C229,'DE x PARA'!C223:K2389,7,FALSE),"SINTÉTICA")</f>
        <v>500001</v>
      </c>
      <c r="M229" s="346">
        <f>IFERROR(VLOOKUP(B229,'DE x PARA'!B223:K2389,10,FALSE),"SINTÉTICA")</f>
        <v>600018</v>
      </c>
      <c r="N229" s="346">
        <f>IFERROR(VLOOKUP(M229,'DE x PARA'!$K$2:$L$2168,2,FALSE),0)</f>
        <v>-1</v>
      </c>
      <c r="O229" s="344">
        <f t="shared" si="19"/>
        <v>-1669163.51</v>
      </c>
    </row>
    <row r="230" spans="1:15">
      <c r="A230" s="343" t="str">
        <f t="shared" si="16"/>
        <v>2.1.1.07.0003</v>
      </c>
      <c r="B230" s="343" t="s">
        <v>873</v>
      </c>
      <c r="C230" s="347" t="s">
        <v>874</v>
      </c>
      <c r="D230" s="94" t="s">
        <v>875</v>
      </c>
      <c r="E230" s="344">
        <v>-30142.53</v>
      </c>
      <c r="F230" s="344">
        <v>94713.8</v>
      </c>
      <c r="G230" s="344">
        <v>-80564.070000000007</v>
      </c>
      <c r="H230" s="344">
        <v>14149.73</v>
      </c>
      <c r="I230" s="344">
        <v>-15992.8</v>
      </c>
      <c r="J230" s="345">
        <f t="shared" si="17"/>
        <v>-15.992799999999999</v>
      </c>
      <c r="K230" s="908">
        <f t="shared" si="18"/>
        <v>-16</v>
      </c>
      <c r="L230" s="346">
        <f>IFERROR(VLOOKUP(C230,'DE x PARA'!C224:K2390,7,FALSE),"SINTÉTICA")</f>
        <v>500001</v>
      </c>
      <c r="M230" s="346">
        <f>IFERROR(VLOOKUP(B230,'DE x PARA'!B224:K2390,10,FALSE),"SINTÉTICA")</f>
        <v>600018</v>
      </c>
      <c r="N230" s="346">
        <f>IFERROR(VLOOKUP(M230,'DE x PARA'!$K$2:$L$2168,2,FALSE),0)</f>
        <v>-1</v>
      </c>
      <c r="O230" s="344">
        <f t="shared" si="19"/>
        <v>-14149.73</v>
      </c>
    </row>
    <row r="231" spans="1:15">
      <c r="A231" s="343" t="str">
        <f t="shared" si="16"/>
        <v>2.1.1.07.0008</v>
      </c>
      <c r="B231" s="343" t="s">
        <v>876</v>
      </c>
      <c r="C231" s="347">
        <v>6147</v>
      </c>
      <c r="D231" s="94" t="s">
        <v>877</v>
      </c>
      <c r="E231" s="344">
        <v>-6810.62</v>
      </c>
      <c r="F231" s="344">
        <v>34562.74</v>
      </c>
      <c r="G231" s="344">
        <v>-50249.02</v>
      </c>
      <c r="H231" s="344">
        <v>-15686.28</v>
      </c>
      <c r="I231" s="344">
        <v>-22496.9</v>
      </c>
      <c r="J231" s="345">
        <f t="shared" si="17"/>
        <v>-22.4969</v>
      </c>
      <c r="K231" s="908">
        <f t="shared" si="18"/>
        <v>-22</v>
      </c>
      <c r="L231" s="346">
        <f>IFERROR(VLOOKUP(C231,'DE x PARA'!C225:K2391,7,FALSE),"SINTÉTICA")</f>
        <v>500001</v>
      </c>
      <c r="M231" s="346">
        <f>IFERROR(VLOOKUP(B231,'DE x PARA'!B225:K2391,10,FALSE),"SINTÉTICA")</f>
        <v>600018</v>
      </c>
      <c r="N231" s="346">
        <f>IFERROR(VLOOKUP(M231,'DE x PARA'!$K$2:$L$2168,2,FALSE),0)</f>
        <v>-1</v>
      </c>
      <c r="O231" s="344">
        <f t="shared" si="19"/>
        <v>15686.28</v>
      </c>
    </row>
    <row r="232" spans="1:15">
      <c r="A232" s="343" t="str">
        <f t="shared" si="16"/>
        <v>2.1.1.07.0009</v>
      </c>
      <c r="B232" s="343" t="s">
        <v>878</v>
      </c>
      <c r="C232" s="347">
        <v>6190</v>
      </c>
      <c r="D232" s="94" t="s">
        <v>879</v>
      </c>
      <c r="E232" s="344">
        <v>-593170.11</v>
      </c>
      <c r="F232" s="344">
        <v>1119371.99</v>
      </c>
      <c r="G232" s="344">
        <v>-672626.92</v>
      </c>
      <c r="H232" s="344">
        <v>446745.07</v>
      </c>
      <c r="I232" s="344">
        <v>-146425.04</v>
      </c>
      <c r="J232" s="345">
        <f t="shared" si="17"/>
        <v>-146.42504</v>
      </c>
      <c r="K232" s="908">
        <f t="shared" si="18"/>
        <v>-146</v>
      </c>
      <c r="L232" s="346">
        <f>IFERROR(VLOOKUP(C232,'DE x PARA'!C226:K2392,7,FALSE),"SINTÉTICA")</f>
        <v>500001</v>
      </c>
      <c r="M232" s="346">
        <f>IFERROR(VLOOKUP(B232,'DE x PARA'!B226:K2392,10,FALSE),"SINTÉTICA")</f>
        <v>600018</v>
      </c>
      <c r="N232" s="346">
        <f>IFERROR(VLOOKUP(M232,'DE x PARA'!$K$2:$L$2168,2,FALSE),0)</f>
        <v>-1</v>
      </c>
      <c r="O232" s="344">
        <f t="shared" si="19"/>
        <v>-446745.07</v>
      </c>
    </row>
    <row r="233" spans="1:15">
      <c r="A233" s="343" t="str">
        <f t="shared" si="16"/>
        <v>2.1.1.07.0010</v>
      </c>
      <c r="B233" s="343" t="s">
        <v>880</v>
      </c>
      <c r="C233" s="347">
        <v>6175</v>
      </c>
      <c r="D233" s="94" t="s">
        <v>881</v>
      </c>
      <c r="E233" s="344">
        <v>-2137.63</v>
      </c>
      <c r="F233" s="344">
        <v>6691.77</v>
      </c>
      <c r="G233" s="344">
        <v>-4554.1400000000003</v>
      </c>
      <c r="H233" s="344">
        <v>2137.63</v>
      </c>
      <c r="I233" s="344">
        <v>0</v>
      </c>
      <c r="J233" s="345">
        <f t="shared" si="17"/>
        <v>0</v>
      </c>
      <c r="K233" s="908">
        <f t="shared" si="18"/>
        <v>0</v>
      </c>
      <c r="L233" s="346">
        <f>IFERROR(VLOOKUP(C233,'DE x PARA'!C227:K2393,7,FALSE),"SINTÉTICA")</f>
        <v>500001</v>
      </c>
      <c r="M233" s="346">
        <f>IFERROR(VLOOKUP(B233,'DE x PARA'!B227:K2393,10,FALSE),"SINTÉTICA")</f>
        <v>600018</v>
      </c>
      <c r="N233" s="346">
        <f>IFERROR(VLOOKUP(M233,'DE x PARA'!$K$2:$L$2168,2,FALSE),0)</f>
        <v>-1</v>
      </c>
      <c r="O233" s="344">
        <f t="shared" si="19"/>
        <v>-2137.63</v>
      </c>
    </row>
    <row r="234" spans="1:15">
      <c r="A234" s="343" t="str">
        <f t="shared" si="16"/>
        <v>2.1.1.08</v>
      </c>
      <c r="B234" s="343" t="s">
        <v>889</v>
      </c>
      <c r="C234" s="347">
        <v>2118</v>
      </c>
      <c r="D234" s="94" t="s">
        <v>537</v>
      </c>
      <c r="E234" s="344">
        <v>-25016330.170000002</v>
      </c>
      <c r="F234" s="344">
        <v>85457302.879999995</v>
      </c>
      <c r="G234" s="344">
        <v>-92672999.310000002</v>
      </c>
      <c r="H234" s="344">
        <v>-7215696.4299999997</v>
      </c>
      <c r="I234" s="344">
        <v>-32232026.600000001</v>
      </c>
      <c r="J234" s="345">
        <f t="shared" si="17"/>
        <v>-32232.026600000001</v>
      </c>
      <c r="K234" s="908">
        <f t="shared" si="18"/>
        <v>-32232</v>
      </c>
      <c r="L234" s="346">
        <f>IFERROR(VLOOKUP(C234,'DE x PARA'!C228:K2394,7,FALSE),"SINTÉTICA")</f>
        <v>0</v>
      </c>
      <c r="M234" s="346">
        <f>IFERROR(VLOOKUP(B234,'DE x PARA'!B228:K2394,10,FALSE),"SINTÉTICA")</f>
        <v>0</v>
      </c>
      <c r="N234" s="346">
        <f>IFERROR(VLOOKUP(M234,'DE x PARA'!$K$2:$L$2168,2,FALSE),0)</f>
        <v>0</v>
      </c>
      <c r="O234" s="344">
        <f t="shared" si="19"/>
        <v>0</v>
      </c>
    </row>
    <row r="235" spans="1:15">
      <c r="A235" s="343" t="str">
        <f t="shared" si="16"/>
        <v>2.1.1.08.0001</v>
      </c>
      <c r="B235" s="343" t="s">
        <v>890</v>
      </c>
      <c r="C235" s="347">
        <v>21181</v>
      </c>
      <c r="D235" s="94" t="s">
        <v>891</v>
      </c>
      <c r="E235" s="344">
        <v>-6920314.8300000001</v>
      </c>
      <c r="F235" s="344">
        <v>54925919.369999997</v>
      </c>
      <c r="G235" s="344">
        <v>-55316133.159999996</v>
      </c>
      <c r="H235" s="344">
        <v>-390213.79</v>
      </c>
      <c r="I235" s="344">
        <v>-7310528.6200000001</v>
      </c>
      <c r="J235" s="345">
        <f t="shared" si="17"/>
        <v>-7310.52862</v>
      </c>
      <c r="K235" s="908">
        <f t="shared" si="18"/>
        <v>-7311</v>
      </c>
      <c r="L235" s="346">
        <f>IFERROR(VLOOKUP(C235,'DE x PARA'!C229:K2395,7,FALSE),"SINTÉTICA")</f>
        <v>500001</v>
      </c>
      <c r="M235" s="346">
        <f>IFERROR(VLOOKUP(B235,'DE x PARA'!B229:K2395,10,FALSE),"SINTÉTICA")</f>
        <v>600019</v>
      </c>
      <c r="N235" s="346">
        <f>IFERROR(VLOOKUP(M235,'DE x PARA'!$K$2:$L$2168,2,FALSE),0)</f>
        <v>-1</v>
      </c>
      <c r="O235" s="344">
        <f t="shared" si="19"/>
        <v>390213.79</v>
      </c>
    </row>
    <row r="236" spans="1:15">
      <c r="A236" s="343" t="str">
        <f t="shared" si="16"/>
        <v>2.1.1.08.0002</v>
      </c>
      <c r="B236" s="343" t="s">
        <v>892</v>
      </c>
      <c r="C236" s="347">
        <v>21182</v>
      </c>
      <c r="D236" s="94" t="s">
        <v>893</v>
      </c>
      <c r="E236" s="344">
        <v>0</v>
      </c>
      <c r="F236" s="344">
        <v>35364.720000000001</v>
      </c>
      <c r="G236" s="344">
        <v>-3994863.73</v>
      </c>
      <c r="H236" s="344">
        <v>-3959499.01</v>
      </c>
      <c r="I236" s="344">
        <v>-3959499.01</v>
      </c>
      <c r="J236" s="345">
        <f t="shared" si="17"/>
        <v>-3959.49901</v>
      </c>
      <c r="K236" s="908">
        <f t="shared" si="18"/>
        <v>-3959</v>
      </c>
      <c r="L236" s="346">
        <f>IFERROR(VLOOKUP(C236,'DE x PARA'!C230:K2396,7,FALSE),"SINTÉTICA")</f>
        <v>500001</v>
      </c>
      <c r="M236" s="346">
        <f>IFERROR(VLOOKUP(B236,'DE x PARA'!B230:K2396,10,FALSE),"SINTÉTICA")</f>
        <v>600019</v>
      </c>
      <c r="N236" s="346">
        <f>IFERROR(VLOOKUP(M236,'DE x PARA'!$K$2:$L$2168,2,FALSE),0)</f>
        <v>-1</v>
      </c>
      <c r="O236" s="344">
        <f t="shared" si="19"/>
        <v>3959499.01</v>
      </c>
    </row>
    <row r="237" spans="1:15">
      <c r="A237" s="343" t="str">
        <f t="shared" si="16"/>
        <v>2.1.1.08.0003</v>
      </c>
      <c r="B237" s="343" t="s">
        <v>894</v>
      </c>
      <c r="C237" s="347">
        <v>21183</v>
      </c>
      <c r="D237" s="94" t="s">
        <v>895</v>
      </c>
      <c r="E237" s="344">
        <v>-11188044.08</v>
      </c>
      <c r="F237" s="344">
        <v>6041348.9199999999</v>
      </c>
      <c r="G237" s="344">
        <v>-7473179.7699999996</v>
      </c>
      <c r="H237" s="344">
        <v>-1431830.85</v>
      </c>
      <c r="I237" s="344">
        <v>-12619874.93</v>
      </c>
      <c r="J237" s="345">
        <f t="shared" si="17"/>
        <v>-12619.87493</v>
      </c>
      <c r="K237" s="908">
        <f t="shared" si="18"/>
        <v>-12620</v>
      </c>
      <c r="L237" s="346">
        <f>IFERROR(VLOOKUP(C237,'DE x PARA'!C231:K2397,7,FALSE),"SINTÉTICA")</f>
        <v>500001</v>
      </c>
      <c r="M237" s="346">
        <f>IFERROR(VLOOKUP(B237,'DE x PARA'!B231:K2397,10,FALSE),"SINTÉTICA")</f>
        <v>600019</v>
      </c>
      <c r="N237" s="346">
        <f>IFERROR(VLOOKUP(M237,'DE x PARA'!$K$2:$L$2168,2,FALSE),0)</f>
        <v>-1</v>
      </c>
      <c r="O237" s="344">
        <f t="shared" si="19"/>
        <v>1431830.85</v>
      </c>
    </row>
    <row r="238" spans="1:15">
      <c r="A238" s="343" t="str">
        <f t="shared" si="16"/>
        <v>2.1.1.08.0004</v>
      </c>
      <c r="B238" s="343" t="s">
        <v>896</v>
      </c>
      <c r="C238" s="347">
        <v>21184</v>
      </c>
      <c r="D238" s="94" t="s">
        <v>897</v>
      </c>
      <c r="E238" s="344">
        <v>-2681211.7799999998</v>
      </c>
      <c r="F238" s="344">
        <v>13430558.539999999</v>
      </c>
      <c r="G238" s="344">
        <v>-12960840.960000001</v>
      </c>
      <c r="H238" s="344">
        <v>469717.58</v>
      </c>
      <c r="I238" s="344">
        <v>-2211494.2000000002</v>
      </c>
      <c r="J238" s="345">
        <f t="shared" si="17"/>
        <v>-2211.4942000000001</v>
      </c>
      <c r="K238" s="908">
        <f t="shared" si="18"/>
        <v>-2211</v>
      </c>
      <c r="L238" s="346">
        <f>IFERROR(VLOOKUP(C238,'DE x PARA'!C232:K2398,7,FALSE),"SINTÉTICA")</f>
        <v>500001</v>
      </c>
      <c r="M238" s="346">
        <f>IFERROR(VLOOKUP(B238,'DE x PARA'!B232:K2398,10,FALSE),"SINTÉTICA")</f>
        <v>600019</v>
      </c>
      <c r="N238" s="346">
        <f>IFERROR(VLOOKUP(M238,'DE x PARA'!$K$2:$L$2168,2,FALSE),0)</f>
        <v>-1</v>
      </c>
      <c r="O238" s="344">
        <f t="shared" si="19"/>
        <v>-469717.58</v>
      </c>
    </row>
    <row r="239" spans="1:15">
      <c r="A239" s="343" t="str">
        <f t="shared" si="16"/>
        <v>2.1.1.08.0005</v>
      </c>
      <c r="B239" s="343" t="s">
        <v>898</v>
      </c>
      <c r="C239" s="347">
        <v>21185</v>
      </c>
      <c r="D239" s="94" t="s">
        <v>899</v>
      </c>
      <c r="E239" s="344">
        <v>-821757.75</v>
      </c>
      <c r="F239" s="344">
        <v>4117731.87</v>
      </c>
      <c r="G239" s="344">
        <v>-4136884.56</v>
      </c>
      <c r="H239" s="344">
        <v>-19152.689999999999</v>
      </c>
      <c r="I239" s="344">
        <v>-840910.44</v>
      </c>
      <c r="J239" s="345">
        <f t="shared" si="17"/>
        <v>-840.91043999999999</v>
      </c>
      <c r="K239" s="908">
        <f t="shared" si="18"/>
        <v>-841</v>
      </c>
      <c r="L239" s="346">
        <f>IFERROR(VLOOKUP(C239,'DE x PARA'!C233:K2399,7,FALSE),"SINTÉTICA")</f>
        <v>500001</v>
      </c>
      <c r="M239" s="346">
        <f>IFERROR(VLOOKUP(B239,'DE x PARA'!B233:K2399,10,FALSE),"SINTÉTICA")</f>
        <v>600019</v>
      </c>
      <c r="N239" s="346">
        <f>IFERROR(VLOOKUP(M239,'DE x PARA'!$K$2:$L$2168,2,FALSE),0)</f>
        <v>-1</v>
      </c>
      <c r="O239" s="344">
        <f t="shared" si="19"/>
        <v>19152.689999999999</v>
      </c>
    </row>
    <row r="240" spans="1:15">
      <c r="A240" s="343" t="str">
        <f t="shared" si="16"/>
        <v>2.1.1.08.0006</v>
      </c>
      <c r="B240" s="343" t="s">
        <v>900</v>
      </c>
      <c r="C240" s="347">
        <v>21186</v>
      </c>
      <c r="D240" s="94" t="s">
        <v>901</v>
      </c>
      <c r="E240" s="344">
        <v>0</v>
      </c>
      <c r="F240" s="344">
        <v>82066.960000000006</v>
      </c>
      <c r="G240" s="344">
        <v>-82066.960000000006</v>
      </c>
      <c r="H240" s="344">
        <v>0</v>
      </c>
      <c r="I240" s="344">
        <v>0</v>
      </c>
      <c r="J240" s="345">
        <f t="shared" si="17"/>
        <v>0</v>
      </c>
      <c r="K240" s="908">
        <f t="shared" si="18"/>
        <v>0</v>
      </c>
      <c r="L240" s="346">
        <f>IFERROR(VLOOKUP(C240,'DE x PARA'!C234:K2400,7,FALSE),"SINTÉTICA")</f>
        <v>500001</v>
      </c>
      <c r="M240" s="346">
        <f>IFERROR(VLOOKUP(B240,'DE x PARA'!B234:K2400,10,FALSE),"SINTÉTICA")</f>
        <v>600019</v>
      </c>
      <c r="N240" s="346">
        <f>IFERROR(VLOOKUP(M240,'DE x PARA'!$K$2:$L$2168,2,FALSE),0)</f>
        <v>-1</v>
      </c>
      <c r="O240" s="344">
        <f t="shared" si="19"/>
        <v>0</v>
      </c>
    </row>
    <row r="241" spans="1:15">
      <c r="A241" s="343" t="str">
        <f t="shared" si="16"/>
        <v>2.1.1.08.0007</v>
      </c>
      <c r="B241" s="343" t="s">
        <v>902</v>
      </c>
      <c r="C241" s="347">
        <v>21187</v>
      </c>
      <c r="D241" s="94" t="s">
        <v>903</v>
      </c>
      <c r="E241" s="344">
        <v>0</v>
      </c>
      <c r="F241" s="344">
        <v>191923.04</v>
      </c>
      <c r="G241" s="344">
        <v>-191923.04</v>
      </c>
      <c r="H241" s="344">
        <v>0</v>
      </c>
      <c r="I241" s="344">
        <v>0</v>
      </c>
      <c r="J241" s="345">
        <f t="shared" si="17"/>
        <v>0</v>
      </c>
      <c r="K241" s="908">
        <f t="shared" si="18"/>
        <v>0</v>
      </c>
      <c r="L241" s="346">
        <f>IFERROR(VLOOKUP(C241,'DE x PARA'!C235:K2401,7,FALSE),"SINTÉTICA")</f>
        <v>500001</v>
      </c>
      <c r="M241" s="346">
        <f>IFERROR(VLOOKUP(B241,'DE x PARA'!B235:K2401,10,FALSE),"SINTÉTICA")</f>
        <v>600019</v>
      </c>
      <c r="N241" s="346">
        <f>IFERROR(VLOOKUP(M241,'DE x PARA'!$K$2:$L$2168,2,FALSE),0)</f>
        <v>-1</v>
      </c>
      <c r="O241" s="344">
        <f t="shared" si="19"/>
        <v>0</v>
      </c>
    </row>
    <row r="242" spans="1:15">
      <c r="A242" s="343" t="str">
        <f t="shared" si="16"/>
        <v>2.1.1.08.0008</v>
      </c>
      <c r="B242" s="343" t="s">
        <v>904</v>
      </c>
      <c r="C242" s="347">
        <v>21188</v>
      </c>
      <c r="D242" s="94" t="s">
        <v>905</v>
      </c>
      <c r="E242" s="344">
        <v>0</v>
      </c>
      <c r="F242" s="344">
        <v>262331.13</v>
      </c>
      <c r="G242" s="344">
        <v>-262331.13</v>
      </c>
      <c r="H242" s="344">
        <v>0</v>
      </c>
      <c r="I242" s="344">
        <v>0</v>
      </c>
      <c r="J242" s="345">
        <f t="shared" si="17"/>
        <v>0</v>
      </c>
      <c r="K242" s="908">
        <f t="shared" si="18"/>
        <v>0</v>
      </c>
      <c r="L242" s="346">
        <f>IFERROR(VLOOKUP(C242,'DE x PARA'!C236:K2402,7,FALSE),"SINTÉTICA")</f>
        <v>500001</v>
      </c>
      <c r="M242" s="346">
        <f>IFERROR(VLOOKUP(B242,'DE x PARA'!B236:K2402,10,FALSE),"SINTÉTICA")</f>
        <v>600019</v>
      </c>
      <c r="N242" s="346">
        <f>IFERROR(VLOOKUP(M242,'DE x PARA'!$K$2:$L$2168,2,FALSE),0)</f>
        <v>-1</v>
      </c>
      <c r="O242" s="344">
        <f t="shared" si="19"/>
        <v>0</v>
      </c>
    </row>
    <row r="243" spans="1:15">
      <c r="A243" s="343" t="str">
        <f t="shared" si="16"/>
        <v>2.1.1.08.0009</v>
      </c>
      <c r="B243" s="343" t="s">
        <v>906</v>
      </c>
      <c r="C243" s="347">
        <v>21189</v>
      </c>
      <c r="D243" s="94" t="s">
        <v>907</v>
      </c>
      <c r="E243" s="344">
        <v>0</v>
      </c>
      <c r="F243" s="344">
        <v>2496912.94</v>
      </c>
      <c r="G243" s="344">
        <v>-3029599.19</v>
      </c>
      <c r="H243" s="344">
        <v>-532686.25</v>
      </c>
      <c r="I243" s="344">
        <v>-532686.25</v>
      </c>
      <c r="J243" s="345">
        <f t="shared" si="17"/>
        <v>-532.68624999999997</v>
      </c>
      <c r="K243" s="908">
        <f t="shared" si="18"/>
        <v>-533</v>
      </c>
      <c r="L243" s="346">
        <f>IFERROR(VLOOKUP(C243,'DE x PARA'!C237:K2403,7,FALSE),"SINTÉTICA")</f>
        <v>500001</v>
      </c>
      <c r="M243" s="346">
        <f>IFERROR(VLOOKUP(B243,'DE x PARA'!B237:K2403,10,FALSE),"SINTÉTICA")</f>
        <v>600032</v>
      </c>
      <c r="N243" s="346">
        <f>IFERROR(VLOOKUP(M243,'DE x PARA'!$K$2:$L$2168,2,FALSE),0)</f>
        <v>-1</v>
      </c>
      <c r="O243" s="344">
        <f t="shared" si="19"/>
        <v>532686.25</v>
      </c>
    </row>
    <row r="244" spans="1:15">
      <c r="A244" s="343" t="str">
        <f t="shared" si="16"/>
        <v>2.1.1.08.0010</v>
      </c>
      <c r="B244" s="343" t="s">
        <v>908</v>
      </c>
      <c r="C244" s="347">
        <v>211810</v>
      </c>
      <c r="D244" s="94" t="s">
        <v>909</v>
      </c>
      <c r="E244" s="344">
        <v>0</v>
      </c>
      <c r="F244" s="344">
        <v>6934.1</v>
      </c>
      <c r="G244" s="344">
        <v>-894201.5</v>
      </c>
      <c r="H244" s="344">
        <v>-887267.4</v>
      </c>
      <c r="I244" s="344">
        <v>-887267.4</v>
      </c>
      <c r="J244" s="345">
        <f t="shared" si="17"/>
        <v>-887.26740000000007</v>
      </c>
      <c r="K244" s="908">
        <f t="shared" si="18"/>
        <v>-887</v>
      </c>
      <c r="L244" s="346">
        <f>IFERROR(VLOOKUP(C244,'DE x PARA'!C238:K2404,7,FALSE),"SINTÉTICA")</f>
        <v>500001</v>
      </c>
      <c r="M244" s="346">
        <f>IFERROR(VLOOKUP(B244,'DE x PARA'!B238:K2404,10,FALSE),"SINTÉTICA")</f>
        <v>600019</v>
      </c>
      <c r="N244" s="346">
        <f>IFERROR(VLOOKUP(M244,'DE x PARA'!$K$2:$L$2168,2,FALSE),0)</f>
        <v>-1</v>
      </c>
      <c r="O244" s="344">
        <f t="shared" si="19"/>
        <v>887267.4</v>
      </c>
    </row>
    <row r="245" spans="1:15">
      <c r="A245" s="343" t="str">
        <f t="shared" si="16"/>
        <v>2.1.1.08.0011</v>
      </c>
      <c r="B245" s="343" t="s">
        <v>910</v>
      </c>
      <c r="C245" s="347">
        <v>211811</v>
      </c>
      <c r="D245" s="94" t="s">
        <v>911</v>
      </c>
      <c r="E245" s="344">
        <v>0</v>
      </c>
      <c r="F245" s="344">
        <v>317510.13</v>
      </c>
      <c r="G245" s="344">
        <v>-325111.73</v>
      </c>
      <c r="H245" s="344">
        <v>-7601.6</v>
      </c>
      <c r="I245" s="344">
        <v>-7601.6</v>
      </c>
      <c r="J245" s="345">
        <f t="shared" si="17"/>
        <v>-7.6016000000000004</v>
      </c>
      <c r="K245" s="908">
        <f t="shared" si="18"/>
        <v>-8</v>
      </c>
      <c r="L245" s="346">
        <f>IFERROR(VLOOKUP(C245,'DE x PARA'!C239:K2405,7,FALSE),"SINTÉTICA")</f>
        <v>500001</v>
      </c>
      <c r="M245" s="346">
        <f>IFERROR(VLOOKUP(B245,'DE x PARA'!B239:K2405,10,FALSE),"SINTÉTICA")</f>
        <v>600019</v>
      </c>
      <c r="N245" s="346">
        <f>IFERROR(VLOOKUP(M245,'DE x PARA'!$K$2:$L$2168,2,FALSE),0)</f>
        <v>-1</v>
      </c>
      <c r="O245" s="344">
        <f t="shared" si="19"/>
        <v>7601.6</v>
      </c>
    </row>
    <row r="246" spans="1:15">
      <c r="A246" s="343" t="str">
        <f t="shared" si="16"/>
        <v>2.1.1.08.0012</v>
      </c>
      <c r="B246" s="343" t="s">
        <v>912</v>
      </c>
      <c r="C246" s="347">
        <v>211812</v>
      </c>
      <c r="D246" s="94" t="s">
        <v>913</v>
      </c>
      <c r="E246" s="344">
        <v>-2509885.46</v>
      </c>
      <c r="F246" s="344">
        <v>1307825.8400000001</v>
      </c>
      <c r="G246" s="344">
        <v>-1633268.39</v>
      </c>
      <c r="H246" s="344">
        <v>-325442.55</v>
      </c>
      <c r="I246" s="344">
        <v>-2835328.01</v>
      </c>
      <c r="J246" s="345">
        <f t="shared" si="17"/>
        <v>-2835.3280099999997</v>
      </c>
      <c r="K246" s="908">
        <f t="shared" si="18"/>
        <v>-2835</v>
      </c>
      <c r="L246" s="346">
        <f>IFERROR(VLOOKUP(C246,'DE x PARA'!C240:K2406,7,FALSE),"SINTÉTICA")</f>
        <v>500001</v>
      </c>
      <c r="M246" s="346">
        <f>IFERROR(VLOOKUP(B246,'DE x PARA'!B240:K2406,10,FALSE),"SINTÉTICA")</f>
        <v>600019</v>
      </c>
      <c r="N246" s="346">
        <f>IFERROR(VLOOKUP(M246,'DE x PARA'!$K$2:$L$2168,2,FALSE),0)</f>
        <v>-1</v>
      </c>
      <c r="O246" s="344">
        <f t="shared" si="19"/>
        <v>325442.55</v>
      </c>
    </row>
    <row r="247" spans="1:15">
      <c r="A247" s="343" t="str">
        <f t="shared" si="16"/>
        <v>2.1.1.08.0013</v>
      </c>
      <c r="B247" s="343" t="s">
        <v>914</v>
      </c>
      <c r="C247" s="347">
        <v>211813</v>
      </c>
      <c r="D247" s="94" t="s">
        <v>915</v>
      </c>
      <c r="E247" s="344">
        <v>-895116.27</v>
      </c>
      <c r="F247" s="344">
        <v>465670.69</v>
      </c>
      <c r="G247" s="344">
        <v>-579691.92000000004</v>
      </c>
      <c r="H247" s="344">
        <v>-114021.23</v>
      </c>
      <c r="I247" s="344">
        <v>-1009137.5</v>
      </c>
      <c r="J247" s="345">
        <f t="shared" si="17"/>
        <v>-1009.1375</v>
      </c>
      <c r="K247" s="908">
        <f t="shared" si="18"/>
        <v>-1009</v>
      </c>
      <c r="L247" s="346">
        <f>IFERROR(VLOOKUP(C247,'DE x PARA'!C241:K2407,7,FALSE),"SINTÉTICA")</f>
        <v>500001</v>
      </c>
      <c r="M247" s="346">
        <f>IFERROR(VLOOKUP(B247,'DE x PARA'!B241:K2407,10,FALSE),"SINTÉTICA")</f>
        <v>600019</v>
      </c>
      <c r="N247" s="346">
        <f>IFERROR(VLOOKUP(M247,'DE x PARA'!$K$2:$L$2168,2,FALSE),0)</f>
        <v>-1</v>
      </c>
      <c r="O247" s="344">
        <f t="shared" si="19"/>
        <v>114021.23</v>
      </c>
    </row>
    <row r="248" spans="1:15">
      <c r="A248" s="343" t="str">
        <f t="shared" si="16"/>
        <v>2.1.1.08.0015</v>
      </c>
      <c r="B248" s="343" t="s">
        <v>4731</v>
      </c>
      <c r="C248" s="347">
        <v>211815</v>
      </c>
      <c r="D248" s="94" t="s">
        <v>458</v>
      </c>
      <c r="E248" s="344">
        <v>0</v>
      </c>
      <c r="F248" s="344">
        <v>0</v>
      </c>
      <c r="G248" s="344">
        <v>-17698.64</v>
      </c>
      <c r="H248" s="344">
        <v>-17698.64</v>
      </c>
      <c r="I248" s="344">
        <v>-17698.64</v>
      </c>
      <c r="J248" s="345">
        <f t="shared" si="17"/>
        <v>-17.698640000000001</v>
      </c>
      <c r="K248" s="908">
        <f t="shared" si="18"/>
        <v>-18</v>
      </c>
      <c r="L248" s="346">
        <f>IFERROR(VLOOKUP(C248,'DE x PARA'!C242:K2408,7,FALSE),"SINTÉTICA")</f>
        <v>500001</v>
      </c>
      <c r="M248" s="346">
        <f>IFERROR(VLOOKUP(B248,'DE x PARA'!B242:K2408,10,FALSE),"SINTÉTICA")</f>
        <v>600019</v>
      </c>
      <c r="N248" s="346">
        <f>IFERROR(VLOOKUP(M248,'DE x PARA'!$K$2:$L$2168,2,FALSE),0)</f>
        <v>-1</v>
      </c>
      <c r="O248" s="344">
        <f t="shared" si="19"/>
        <v>17698.64</v>
      </c>
    </row>
    <row r="249" spans="1:15">
      <c r="A249" s="343" t="str">
        <f t="shared" si="16"/>
        <v>2.1.1.08.0016</v>
      </c>
      <c r="B249" s="343" t="s">
        <v>4732</v>
      </c>
      <c r="C249" s="347">
        <v>211816</v>
      </c>
      <c r="D249" s="94" t="s">
        <v>4733</v>
      </c>
      <c r="E249" s="344">
        <v>0</v>
      </c>
      <c r="F249" s="344">
        <v>1775204.63</v>
      </c>
      <c r="G249" s="344">
        <v>-1775204.63</v>
      </c>
      <c r="H249" s="344">
        <v>0</v>
      </c>
      <c r="I249" s="344">
        <v>0</v>
      </c>
      <c r="J249" s="345">
        <f t="shared" si="17"/>
        <v>0</v>
      </c>
      <c r="K249" s="908">
        <f t="shared" si="18"/>
        <v>0</v>
      </c>
      <c r="L249" s="346">
        <f>IFERROR(VLOOKUP(C249,'DE x PARA'!C243:K2409,7,FALSE),"SINTÉTICA")</f>
        <v>500001</v>
      </c>
      <c r="M249" s="346">
        <f>IFERROR(VLOOKUP(B249,'DE x PARA'!B243:K2409,10,FALSE),"SINTÉTICA")</f>
        <v>600019</v>
      </c>
      <c r="N249" s="346">
        <f>IFERROR(VLOOKUP(M249,'DE x PARA'!$K$2:$L$2168,2,FALSE),0)</f>
        <v>-1</v>
      </c>
      <c r="O249" s="344">
        <f t="shared" si="19"/>
        <v>0</v>
      </c>
    </row>
    <row r="250" spans="1:15">
      <c r="A250" s="343" t="str">
        <f t="shared" si="16"/>
        <v>2.1.1.09</v>
      </c>
      <c r="B250" s="343" t="s">
        <v>4736</v>
      </c>
      <c r="C250" s="347">
        <v>2119</v>
      </c>
      <c r="D250" s="94" t="s">
        <v>4737</v>
      </c>
      <c r="E250" s="344">
        <v>0</v>
      </c>
      <c r="F250" s="344">
        <v>200716.42</v>
      </c>
      <c r="G250" s="344">
        <v>-404942.02</v>
      </c>
      <c r="H250" s="344">
        <v>-204225.6</v>
      </c>
      <c r="I250" s="344">
        <v>-204225.6</v>
      </c>
      <c r="J250" s="345">
        <f t="shared" si="17"/>
        <v>-204.22560000000001</v>
      </c>
      <c r="K250" s="908">
        <f t="shared" si="18"/>
        <v>-204</v>
      </c>
      <c r="L250" s="346">
        <f>IFERROR(VLOOKUP(C250,'DE x PARA'!C244:K2410,7,FALSE),"SINTÉTICA")</f>
        <v>0</v>
      </c>
      <c r="M250" s="346">
        <f>IFERROR(VLOOKUP(B250,'DE x PARA'!B244:K2410,10,FALSE),"SINTÉTICA")</f>
        <v>0</v>
      </c>
      <c r="N250" s="346">
        <f>IFERROR(VLOOKUP(M250,'DE x PARA'!$K$2:$L$2168,2,FALSE),0)</f>
        <v>0</v>
      </c>
      <c r="O250" s="344">
        <f t="shared" si="19"/>
        <v>0</v>
      </c>
    </row>
    <row r="251" spans="1:15">
      <c r="A251" s="343" t="str">
        <f t="shared" si="16"/>
        <v>2.1.1.09.0020</v>
      </c>
      <c r="B251" s="343" t="s">
        <v>4749</v>
      </c>
      <c r="C251" s="347">
        <v>211920</v>
      </c>
      <c r="D251" s="94" t="s">
        <v>456</v>
      </c>
      <c r="E251" s="344">
        <v>0</v>
      </c>
      <c r="F251" s="344">
        <v>200716.42</v>
      </c>
      <c r="G251" s="344">
        <v>-404942.02</v>
      </c>
      <c r="H251" s="344">
        <v>-204225.6</v>
      </c>
      <c r="I251" s="344">
        <v>-204225.6</v>
      </c>
      <c r="J251" s="345">
        <f t="shared" si="17"/>
        <v>-204.22560000000001</v>
      </c>
      <c r="K251" s="908">
        <f t="shared" si="18"/>
        <v>-204</v>
      </c>
      <c r="L251" s="346">
        <f>IFERROR(VLOOKUP(C251,'DE x PARA'!C245:K2411,7,FALSE),"SINTÉTICA")</f>
        <v>500001</v>
      </c>
      <c r="M251" s="346">
        <f>IFERROR(VLOOKUP(B251,'DE x PARA'!B245:K2411,10,FALSE),"SINTÉTICA")</f>
        <v>600019</v>
      </c>
      <c r="N251" s="346">
        <f>IFERROR(VLOOKUP(M251,'DE x PARA'!$K$2:$L$2168,2,FALSE),0)</f>
        <v>-1</v>
      </c>
      <c r="O251" s="344">
        <f t="shared" si="19"/>
        <v>204225.6</v>
      </c>
    </row>
    <row r="252" spans="1:15">
      <c r="A252" s="343" t="str">
        <f t="shared" si="16"/>
        <v>2.1.1.14</v>
      </c>
      <c r="B252" s="343" t="s">
        <v>80</v>
      </c>
      <c r="C252" s="347">
        <v>21114</v>
      </c>
      <c r="D252" s="94" t="s">
        <v>79</v>
      </c>
      <c r="E252" s="344">
        <v>-67194.98</v>
      </c>
      <c r="F252" s="344">
        <v>408896.32</v>
      </c>
      <c r="G252" s="344">
        <v>-409296.98</v>
      </c>
      <c r="H252" s="344">
        <v>-400.66</v>
      </c>
      <c r="I252" s="344">
        <v>-67595.64</v>
      </c>
      <c r="J252" s="345">
        <f t="shared" si="17"/>
        <v>-67.595640000000003</v>
      </c>
      <c r="K252" s="908">
        <f t="shared" si="18"/>
        <v>-68</v>
      </c>
      <c r="L252" s="346">
        <f>IFERROR(VLOOKUP(C252,'DE x PARA'!C246:K2412,7,FALSE),"SINTÉTICA")</f>
        <v>0</v>
      </c>
      <c r="M252" s="346">
        <f>IFERROR(VLOOKUP(B252,'DE x PARA'!B246:K2412,10,FALSE),"SINTÉTICA")</f>
        <v>0</v>
      </c>
      <c r="N252" s="346">
        <f>IFERROR(VLOOKUP(M252,'DE x PARA'!$K$2:$L$2168,2,FALSE),0)</f>
        <v>0</v>
      </c>
      <c r="O252" s="344">
        <f t="shared" si="19"/>
        <v>0</v>
      </c>
    </row>
    <row r="253" spans="1:15">
      <c r="A253" s="343" t="str">
        <f t="shared" si="16"/>
        <v>2.1.1.14.0005</v>
      </c>
      <c r="B253" s="343" t="s">
        <v>916</v>
      </c>
      <c r="C253" s="347">
        <v>211145</v>
      </c>
      <c r="D253" s="94" t="s">
        <v>917</v>
      </c>
      <c r="E253" s="344">
        <v>-32702.46</v>
      </c>
      <c r="F253" s="344">
        <v>189341.6</v>
      </c>
      <c r="G253" s="344">
        <v>-187592.13</v>
      </c>
      <c r="H253" s="344">
        <v>1749.47</v>
      </c>
      <c r="I253" s="344">
        <v>-30952.99</v>
      </c>
      <c r="J253" s="345">
        <f t="shared" si="17"/>
        <v>-30.952990000000003</v>
      </c>
      <c r="K253" s="908">
        <f t="shared" si="18"/>
        <v>-31</v>
      </c>
      <c r="L253" s="346">
        <f>IFERROR(VLOOKUP(C253,'DE x PARA'!C247:K2413,7,FALSE),"SINTÉTICA")</f>
        <v>500001</v>
      </c>
      <c r="M253" s="346">
        <f>IFERROR(VLOOKUP(B253,'DE x PARA'!B247:K2413,10,FALSE),"SINTÉTICA")</f>
        <v>600021</v>
      </c>
      <c r="N253" s="346">
        <f>IFERROR(VLOOKUP(M253,'DE x PARA'!$K$2:$L$2168,2,FALSE),0)</f>
        <v>-1</v>
      </c>
      <c r="O253" s="344">
        <f t="shared" si="19"/>
        <v>-1749.47</v>
      </c>
    </row>
    <row r="254" spans="1:15">
      <c r="A254" s="343" t="str">
        <f t="shared" si="16"/>
        <v>2.1.1.14.0008</v>
      </c>
      <c r="B254" s="343" t="s">
        <v>4818</v>
      </c>
      <c r="C254" s="347">
        <v>211148</v>
      </c>
      <c r="D254" s="94" t="s">
        <v>4819</v>
      </c>
      <c r="E254" s="344">
        <v>-34492.519999999997</v>
      </c>
      <c r="F254" s="344">
        <v>219554.72</v>
      </c>
      <c r="G254" s="344">
        <v>-221704.85</v>
      </c>
      <c r="H254" s="344">
        <v>-2150.13</v>
      </c>
      <c r="I254" s="344">
        <v>-36642.65</v>
      </c>
      <c r="J254" s="345">
        <f t="shared" si="17"/>
        <v>-36.642650000000003</v>
      </c>
      <c r="K254" s="908">
        <f t="shared" si="18"/>
        <v>-37</v>
      </c>
      <c r="L254" s="346">
        <f>IFERROR(VLOOKUP(C254,'DE x PARA'!C248:K2414,7,FALSE),"SINTÉTICA")</f>
        <v>500001</v>
      </c>
      <c r="M254" s="346">
        <f>IFERROR(VLOOKUP(B254,'DE x PARA'!B248:K2414,10,FALSE),"SINTÉTICA")</f>
        <v>600021</v>
      </c>
      <c r="N254" s="346">
        <f>IFERROR(VLOOKUP(M254,'DE x PARA'!$K$2:$L$2168,2,FALSE),0)</f>
        <v>-1</v>
      </c>
      <c r="O254" s="344">
        <f t="shared" si="19"/>
        <v>2150.13</v>
      </c>
    </row>
    <row r="255" spans="1:15">
      <c r="A255" s="343" t="str">
        <f t="shared" si="16"/>
        <v>2.1.1.15</v>
      </c>
      <c r="B255" s="343" t="s">
        <v>918</v>
      </c>
      <c r="C255" s="347">
        <v>21115</v>
      </c>
      <c r="D255" s="94" t="s">
        <v>907</v>
      </c>
      <c r="E255" s="344">
        <v>0</v>
      </c>
      <c r="F255" s="344">
        <v>2477085.86</v>
      </c>
      <c r="G255" s="344">
        <v>-3004199.41</v>
      </c>
      <c r="H255" s="344">
        <v>-527113.55000000005</v>
      </c>
      <c r="I255" s="344">
        <v>-527113.55000000005</v>
      </c>
      <c r="J255" s="345">
        <f t="shared" si="17"/>
        <v>-527.11355000000003</v>
      </c>
      <c r="K255" s="908">
        <f t="shared" si="18"/>
        <v>-527</v>
      </c>
      <c r="L255" s="346">
        <f>IFERROR(VLOOKUP(C255,'DE x PARA'!C249:K2415,7,FALSE),"SINTÉTICA")</f>
        <v>0</v>
      </c>
      <c r="M255" s="346">
        <f>IFERROR(VLOOKUP(B255,'DE x PARA'!B249:K2415,10,FALSE),"SINTÉTICA")</f>
        <v>0</v>
      </c>
      <c r="N255" s="346">
        <f>IFERROR(VLOOKUP(M255,'DE x PARA'!$K$2:$L$2168,2,FALSE),0)</f>
        <v>0</v>
      </c>
      <c r="O255" s="344">
        <f t="shared" si="19"/>
        <v>0</v>
      </c>
    </row>
    <row r="256" spans="1:15">
      <c r="A256" s="343" t="str">
        <f t="shared" si="16"/>
        <v>2.1.1.15.0001</v>
      </c>
      <c r="B256" s="343" t="s">
        <v>919</v>
      </c>
      <c r="C256" s="347">
        <v>211151</v>
      </c>
      <c r="D256" s="94" t="s">
        <v>920</v>
      </c>
      <c r="E256" s="344">
        <v>0</v>
      </c>
      <c r="F256" s="344">
        <v>2477085.86</v>
      </c>
      <c r="G256" s="344">
        <v>-3004199.41</v>
      </c>
      <c r="H256" s="344">
        <v>-527113.55000000005</v>
      </c>
      <c r="I256" s="344">
        <v>-527113.55000000005</v>
      </c>
      <c r="J256" s="345">
        <f t="shared" si="17"/>
        <v>-527.11355000000003</v>
      </c>
      <c r="K256" s="908">
        <f t="shared" si="18"/>
        <v>-527</v>
      </c>
      <c r="L256" s="346">
        <f>IFERROR(VLOOKUP(C256,'DE x PARA'!C250:K2416,7,FALSE),"SINTÉTICA")</f>
        <v>500001</v>
      </c>
      <c r="M256" s="346">
        <f>IFERROR(VLOOKUP(B256,'DE x PARA'!B250:K2416,10,FALSE),"SINTÉTICA")</f>
        <v>600032</v>
      </c>
      <c r="N256" s="346">
        <f>IFERROR(VLOOKUP(M256,'DE x PARA'!$K$2:$L$2168,2,FALSE),0)</f>
        <v>-1</v>
      </c>
      <c r="O256" s="344">
        <f t="shared" si="19"/>
        <v>527113.55000000005</v>
      </c>
    </row>
    <row r="257" spans="1:15">
      <c r="A257" s="343" t="str">
        <f t="shared" si="16"/>
        <v>2.1.1.16</v>
      </c>
      <c r="B257" s="343" t="s">
        <v>84</v>
      </c>
      <c r="C257" s="347">
        <v>21116</v>
      </c>
      <c r="D257" s="94" t="s">
        <v>181</v>
      </c>
      <c r="E257" s="344">
        <v>-3058998.09</v>
      </c>
      <c r="F257" s="344">
        <v>2139040.9300000002</v>
      </c>
      <c r="G257" s="344">
        <v>-2214582.6800000002</v>
      </c>
      <c r="H257" s="344">
        <v>-75541.75</v>
      </c>
      <c r="I257" s="344">
        <v>-3134539.84</v>
      </c>
      <c r="J257" s="345">
        <f t="shared" si="17"/>
        <v>-3134.5398399999999</v>
      </c>
      <c r="K257" s="908">
        <f t="shared" si="18"/>
        <v>-3135</v>
      </c>
      <c r="L257" s="346">
        <f>IFERROR(VLOOKUP(C257,'DE x PARA'!C251:K2417,7,FALSE),"SINTÉTICA")</f>
        <v>0</v>
      </c>
      <c r="M257" s="346">
        <f>IFERROR(VLOOKUP(B257,'DE x PARA'!B251:K2417,10,FALSE),"SINTÉTICA")</f>
        <v>0</v>
      </c>
      <c r="N257" s="346">
        <f>IFERROR(VLOOKUP(M257,'DE x PARA'!$K$2:$L$2168,2,FALSE),0)</f>
        <v>0</v>
      </c>
      <c r="O257" s="344">
        <f t="shared" si="19"/>
        <v>0</v>
      </c>
    </row>
    <row r="258" spans="1:15">
      <c r="A258" s="343" t="str">
        <f t="shared" si="16"/>
        <v>2.1.1.16.0001</v>
      </c>
      <c r="B258" s="343" t="s">
        <v>4820</v>
      </c>
      <c r="C258" s="347">
        <v>211161</v>
      </c>
      <c r="D258" s="94" t="s">
        <v>1677</v>
      </c>
      <c r="E258" s="344">
        <v>-3725426.64</v>
      </c>
      <c r="F258" s="344">
        <v>1862713.32</v>
      </c>
      <c r="G258" s="344">
        <v>-1862713.32</v>
      </c>
      <c r="H258" s="344">
        <v>0</v>
      </c>
      <c r="I258" s="344">
        <v>-3725426.64</v>
      </c>
      <c r="J258" s="345">
        <f t="shared" si="17"/>
        <v>-3725.4266400000001</v>
      </c>
      <c r="K258" s="908">
        <f t="shared" si="18"/>
        <v>-3725</v>
      </c>
      <c r="L258" s="346">
        <f>IFERROR(VLOOKUP(C258,'DE x PARA'!C252:K2418,7,FALSE),"SINTÉTICA")</f>
        <v>500001</v>
      </c>
      <c r="M258" s="346">
        <f>IFERROR(VLOOKUP(B258,'DE x PARA'!B252:K2418,10,FALSE),"SINTÉTICA")</f>
        <v>600026</v>
      </c>
      <c r="N258" s="346">
        <f>IFERROR(VLOOKUP(M258,'DE x PARA'!$K$2:$L$2168,2,FALSE),0)</f>
        <v>-1</v>
      </c>
      <c r="O258" s="344">
        <f t="shared" si="19"/>
        <v>0</v>
      </c>
    </row>
    <row r="259" spans="1:15">
      <c r="A259" s="343" t="str">
        <f t="shared" si="16"/>
        <v>2.1.1.16.0002</v>
      </c>
      <c r="B259" s="343" t="s">
        <v>4821</v>
      </c>
      <c r="C259" s="347">
        <v>211162</v>
      </c>
      <c r="D259" s="94" t="s">
        <v>4822</v>
      </c>
      <c r="E259" s="344">
        <v>666428.55000000005</v>
      </c>
      <c r="F259" s="344">
        <v>276327.61</v>
      </c>
      <c r="G259" s="344">
        <v>-351869.36</v>
      </c>
      <c r="H259" s="344">
        <v>-75541.75</v>
      </c>
      <c r="I259" s="344">
        <v>590886.80000000005</v>
      </c>
      <c r="J259" s="345">
        <f t="shared" si="17"/>
        <v>590.88679999999999</v>
      </c>
      <c r="K259" s="908">
        <f t="shared" si="18"/>
        <v>591</v>
      </c>
      <c r="L259" s="346">
        <f>IFERROR(VLOOKUP(C259,'DE x PARA'!C253:K2419,7,FALSE),"SINTÉTICA")</f>
        <v>500001</v>
      </c>
      <c r="M259" s="346">
        <f>IFERROR(VLOOKUP(B259,'DE x PARA'!B253:K2419,10,FALSE),"SINTÉTICA")</f>
        <v>600007</v>
      </c>
      <c r="N259" s="346">
        <f>IFERROR(VLOOKUP(M259,'DE x PARA'!$K$2:$L$2168,2,FALSE),0)</f>
        <v>-1</v>
      </c>
      <c r="O259" s="344">
        <f t="shared" si="19"/>
        <v>75541.75</v>
      </c>
    </row>
    <row r="260" spans="1:15">
      <c r="A260" s="343" t="str">
        <f t="shared" si="16"/>
        <v>2.1.1.99</v>
      </c>
      <c r="B260" s="343" t="s">
        <v>4825</v>
      </c>
      <c r="C260" s="347">
        <v>21199</v>
      </c>
      <c r="D260" s="94" t="s">
        <v>4826</v>
      </c>
      <c r="E260" s="344">
        <v>0</v>
      </c>
      <c r="F260" s="344">
        <v>1084829.8400000001</v>
      </c>
      <c r="G260" s="344">
        <v>-1084829.8400000001</v>
      </c>
      <c r="H260" s="344">
        <v>0</v>
      </c>
      <c r="I260" s="344">
        <v>0</v>
      </c>
      <c r="J260" s="345">
        <f t="shared" si="17"/>
        <v>0</v>
      </c>
      <c r="K260" s="908">
        <f t="shared" si="18"/>
        <v>0</v>
      </c>
      <c r="L260" s="346">
        <f>IFERROR(VLOOKUP(C260,'DE x PARA'!C254:K2420,7,FALSE),"SINTÉTICA")</f>
        <v>0</v>
      </c>
      <c r="M260" s="346">
        <f>IFERROR(VLOOKUP(B260,'DE x PARA'!B254:K2420,10,FALSE),"SINTÉTICA")</f>
        <v>0</v>
      </c>
      <c r="N260" s="346">
        <f>IFERROR(VLOOKUP(M260,'DE x PARA'!$K$2:$L$2168,2,FALSE),0)</f>
        <v>0</v>
      </c>
      <c r="O260" s="344">
        <f t="shared" si="19"/>
        <v>0</v>
      </c>
    </row>
    <row r="261" spans="1:15">
      <c r="A261" s="343" t="str">
        <f t="shared" si="16"/>
        <v>2.1.1.99.0999</v>
      </c>
      <c r="B261" s="343" t="s">
        <v>4839</v>
      </c>
      <c r="C261" s="347">
        <v>21199999</v>
      </c>
      <c r="D261" s="94" t="s">
        <v>4840</v>
      </c>
      <c r="E261" s="344">
        <v>0</v>
      </c>
      <c r="F261" s="344">
        <v>1084829.8400000001</v>
      </c>
      <c r="G261" s="344">
        <v>-1084829.8400000001</v>
      </c>
      <c r="H261" s="344">
        <v>0</v>
      </c>
      <c r="I261" s="344">
        <v>0</v>
      </c>
      <c r="J261" s="345">
        <f t="shared" si="17"/>
        <v>0</v>
      </c>
      <c r="K261" s="908">
        <f t="shared" si="18"/>
        <v>0</v>
      </c>
      <c r="L261" s="346">
        <f>IFERROR(VLOOKUP(C261,'DE x PARA'!C255:K2421,7,FALSE),"SINTÉTICA")</f>
        <v>500001</v>
      </c>
      <c r="M261" s="346">
        <f>IFERROR(VLOOKUP(B261,'DE x PARA'!B255:K2421,10,FALSE),"SINTÉTICA")</f>
        <v>600021</v>
      </c>
      <c r="N261" s="346">
        <f>IFERROR(VLOOKUP(M261,'DE x PARA'!$K$2:$L$2168,2,FALSE),0)</f>
        <v>-1</v>
      </c>
      <c r="O261" s="344">
        <f t="shared" si="19"/>
        <v>0</v>
      </c>
    </row>
    <row r="262" spans="1:15">
      <c r="A262" s="343" t="str">
        <f t="shared" si="16"/>
        <v>2.2</v>
      </c>
      <c r="B262" s="343" t="s">
        <v>921</v>
      </c>
      <c r="C262" s="347">
        <v>22</v>
      </c>
      <c r="D262" s="94" t="s">
        <v>369</v>
      </c>
      <c r="E262" s="344">
        <v>-24409733.289999999</v>
      </c>
      <c r="F262" s="344">
        <v>4974622.49</v>
      </c>
      <c r="G262" s="344">
        <v>-690547.72</v>
      </c>
      <c r="H262" s="344">
        <v>4284074.7699999996</v>
      </c>
      <c r="I262" s="344">
        <v>-20125658.52</v>
      </c>
      <c r="J262" s="345">
        <f t="shared" si="17"/>
        <v>-20125.658520000001</v>
      </c>
      <c r="K262" s="908">
        <f t="shared" si="18"/>
        <v>-20126</v>
      </c>
      <c r="L262" s="346">
        <f>IFERROR(VLOOKUP(C262,'DE x PARA'!C256:K2422,7,FALSE),"SINTÉTICA")</f>
        <v>0</v>
      </c>
      <c r="M262" s="346">
        <f>IFERROR(VLOOKUP(B262,'DE x PARA'!B256:K2422,10,FALSE),"SINTÉTICA")</f>
        <v>0</v>
      </c>
      <c r="N262" s="346">
        <f>IFERROR(VLOOKUP(M262,'DE x PARA'!$K$2:$L$2168,2,FALSE),0)</f>
        <v>0</v>
      </c>
      <c r="O262" s="344">
        <f t="shared" si="19"/>
        <v>0</v>
      </c>
    </row>
    <row r="263" spans="1:15">
      <c r="A263" s="343" t="str">
        <f t="shared" si="16"/>
        <v>2.2.1</v>
      </c>
      <c r="B263" s="343" t="s">
        <v>922</v>
      </c>
      <c r="C263" s="347">
        <v>221</v>
      </c>
      <c r="D263" s="94" t="s">
        <v>923</v>
      </c>
      <c r="E263" s="344">
        <v>-24409733.289999999</v>
      </c>
      <c r="F263" s="344">
        <v>4974622.49</v>
      </c>
      <c r="G263" s="344">
        <v>-690547.72</v>
      </c>
      <c r="H263" s="344">
        <v>4284074.7699999996</v>
      </c>
      <c r="I263" s="344">
        <v>-20125658.52</v>
      </c>
      <c r="J263" s="345">
        <f t="shared" si="17"/>
        <v>-20125.658520000001</v>
      </c>
      <c r="K263" s="908">
        <f t="shared" si="18"/>
        <v>-20126</v>
      </c>
      <c r="L263" s="346">
        <f>IFERROR(VLOOKUP(C263,'DE x PARA'!C257:K2423,7,FALSE),"SINTÉTICA")</f>
        <v>0</v>
      </c>
      <c r="M263" s="346">
        <f>IFERROR(VLOOKUP(B263,'DE x PARA'!B257:K2423,10,FALSE),"SINTÉTICA")</f>
        <v>0</v>
      </c>
      <c r="N263" s="346">
        <f>IFERROR(VLOOKUP(M263,'DE x PARA'!$K$2:$L$2168,2,FALSE),0)</f>
        <v>0</v>
      </c>
      <c r="O263" s="344">
        <f t="shared" si="19"/>
        <v>0</v>
      </c>
    </row>
    <row r="264" spans="1:15">
      <c r="A264" s="343" t="str">
        <f t="shared" ref="A264:A327" si="20">B264</f>
        <v>2.2.1.05</v>
      </c>
      <c r="B264" s="343" t="s">
        <v>85</v>
      </c>
      <c r="C264" s="347">
        <v>2215</v>
      </c>
      <c r="D264" s="94" t="s">
        <v>924</v>
      </c>
      <c r="E264" s="344">
        <v>-12447634.85</v>
      </c>
      <c r="F264" s="344">
        <v>3111909.17</v>
      </c>
      <c r="G264" s="344">
        <v>-414220.11</v>
      </c>
      <c r="H264" s="344">
        <v>2697689.06</v>
      </c>
      <c r="I264" s="344">
        <v>-9749945.7899999991</v>
      </c>
      <c r="J264" s="345">
        <f t="shared" si="17"/>
        <v>-9749.9457899999998</v>
      </c>
      <c r="K264" s="908">
        <f t="shared" si="18"/>
        <v>-9750</v>
      </c>
      <c r="L264" s="346">
        <f>IFERROR(VLOOKUP(C264,'DE x PARA'!C258:K2424,7,FALSE),"SINTÉTICA")</f>
        <v>0</v>
      </c>
      <c r="M264" s="346">
        <f>IFERROR(VLOOKUP(B264,'DE x PARA'!B258:K2424,10,FALSE),"SINTÉTICA")</f>
        <v>0</v>
      </c>
      <c r="N264" s="346">
        <f>IFERROR(VLOOKUP(M264,'DE x PARA'!$K$2:$L$2168,2,FALSE),0)</f>
        <v>0</v>
      </c>
      <c r="O264" s="344">
        <f t="shared" si="19"/>
        <v>0</v>
      </c>
    </row>
    <row r="265" spans="1:15">
      <c r="A265" s="343" t="str">
        <f t="shared" si="20"/>
        <v>2.2.1.05.0001</v>
      </c>
      <c r="B265" s="343" t="s">
        <v>925</v>
      </c>
      <c r="C265" s="347">
        <v>22151</v>
      </c>
      <c r="D265" s="94" t="s">
        <v>926</v>
      </c>
      <c r="E265" s="344">
        <v>-4497554.43</v>
      </c>
      <c r="F265" s="344">
        <v>76943.62</v>
      </c>
      <c r="G265" s="344">
        <v>-204224.84</v>
      </c>
      <c r="H265" s="344">
        <v>-127281.22</v>
      </c>
      <c r="I265" s="344">
        <v>-4624835.6500000004</v>
      </c>
      <c r="J265" s="345">
        <f t="shared" ref="J265:J328" si="21">I265/1000</f>
        <v>-4624.83565</v>
      </c>
      <c r="K265" s="908">
        <f t="shared" ref="K265:K328" si="22">ROUND(J265,0)</f>
        <v>-4625</v>
      </c>
      <c r="L265" s="346">
        <f>IFERROR(VLOOKUP(C265,'DE x PARA'!C259:K2425,7,FALSE),"SINTÉTICA")</f>
        <v>500001</v>
      </c>
      <c r="M265" s="346">
        <f>IFERROR(VLOOKUP(B265,'DE x PARA'!B259:K2425,10,FALSE),"SINTÉTICA")</f>
        <v>600008</v>
      </c>
      <c r="N265" s="346">
        <f>IFERROR(VLOOKUP(M265,'DE x PARA'!$K$2:$L$2168,2,FALSE),0)</f>
        <v>-1</v>
      </c>
      <c r="O265" s="344">
        <f t="shared" ref="O265:O328" si="23">+H265*N265</f>
        <v>127281.22</v>
      </c>
    </row>
    <row r="266" spans="1:15">
      <c r="A266" s="343" t="str">
        <f t="shared" si="20"/>
        <v>2.2.1.05.0002</v>
      </c>
      <c r="B266" s="343" t="s">
        <v>927</v>
      </c>
      <c r="C266" s="347">
        <v>22152</v>
      </c>
      <c r="D266" s="94" t="s">
        <v>928</v>
      </c>
      <c r="E266" s="344">
        <v>0</v>
      </c>
      <c r="F266" s="344">
        <v>0</v>
      </c>
      <c r="G266" s="344">
        <v>-108.38</v>
      </c>
      <c r="H266" s="344">
        <v>-108.38</v>
      </c>
      <c r="I266" s="344">
        <v>-108.38</v>
      </c>
      <c r="J266" s="345">
        <f t="shared" si="21"/>
        <v>-0.10837999999999999</v>
      </c>
      <c r="K266" s="908">
        <f t="shared" si="22"/>
        <v>0</v>
      </c>
      <c r="L266" s="346">
        <f>IFERROR(VLOOKUP(C266,'DE x PARA'!C260:K2426,7,FALSE),"SINTÉTICA")</f>
        <v>500001</v>
      </c>
      <c r="M266" s="346">
        <f>IFERROR(VLOOKUP(B266,'DE x PARA'!B260:K2426,10,FALSE),"SINTÉTICA")</f>
        <v>600008</v>
      </c>
      <c r="N266" s="346">
        <f>IFERROR(VLOOKUP(M266,'DE x PARA'!$K$2:$L$2168,2,FALSE),0)</f>
        <v>-1</v>
      </c>
      <c r="O266" s="344">
        <f t="shared" si="23"/>
        <v>108.38</v>
      </c>
    </row>
    <row r="267" spans="1:15">
      <c r="A267" s="343" t="str">
        <f t="shared" si="20"/>
        <v>2.2.1.05.0003</v>
      </c>
      <c r="B267" s="343" t="s">
        <v>929</v>
      </c>
      <c r="C267" s="347">
        <v>22153</v>
      </c>
      <c r="D267" s="94" t="s">
        <v>930</v>
      </c>
      <c r="E267" s="344">
        <v>-7950080.4199999999</v>
      </c>
      <c r="F267" s="344">
        <v>3034965.55</v>
      </c>
      <c r="G267" s="344">
        <v>-209886.89</v>
      </c>
      <c r="H267" s="344">
        <v>2825078.66</v>
      </c>
      <c r="I267" s="344">
        <v>-5125001.76</v>
      </c>
      <c r="J267" s="345">
        <f t="shared" si="21"/>
        <v>-5125.0017600000001</v>
      </c>
      <c r="K267" s="908">
        <f t="shared" si="22"/>
        <v>-5125</v>
      </c>
      <c r="L267" s="346">
        <f>IFERROR(VLOOKUP(C267,'DE x PARA'!C261:K2427,7,FALSE),"SINTÉTICA")</f>
        <v>500001</v>
      </c>
      <c r="M267" s="346">
        <f>IFERROR(VLOOKUP(B267,'DE x PARA'!B261:K2427,10,FALSE),"SINTÉTICA")</f>
        <v>600008</v>
      </c>
      <c r="N267" s="346">
        <f>IFERROR(VLOOKUP(M267,'DE x PARA'!$K$2:$L$2168,2,FALSE),0)</f>
        <v>-1</v>
      </c>
      <c r="O267" s="344">
        <f t="shared" si="23"/>
        <v>-2825078.66</v>
      </c>
    </row>
    <row r="268" spans="1:15">
      <c r="A268" s="343" t="str">
        <f t="shared" si="20"/>
        <v>2.2.1.08</v>
      </c>
      <c r="B268" s="343" t="s">
        <v>86</v>
      </c>
      <c r="C268" s="347">
        <v>2218</v>
      </c>
      <c r="D268" s="94" t="s">
        <v>181</v>
      </c>
      <c r="E268" s="344">
        <v>-11962098.439999999</v>
      </c>
      <c r="F268" s="344">
        <v>1862713.32</v>
      </c>
      <c r="G268" s="344">
        <v>-276327.61</v>
      </c>
      <c r="H268" s="344">
        <v>1586385.71</v>
      </c>
      <c r="I268" s="344">
        <v>-10375712.73</v>
      </c>
      <c r="J268" s="345">
        <f t="shared" si="21"/>
        <v>-10375.712730000001</v>
      </c>
      <c r="K268" s="908">
        <f t="shared" si="22"/>
        <v>-10376</v>
      </c>
      <c r="L268" s="346">
        <f>IFERROR(VLOOKUP(C268,'DE x PARA'!C262:K2428,7,FALSE),"SINTÉTICA")</f>
        <v>0</v>
      </c>
      <c r="M268" s="346">
        <f>IFERROR(VLOOKUP(B268,'DE x PARA'!B262:K2428,10,FALSE),"SINTÉTICA")</f>
        <v>0</v>
      </c>
      <c r="N268" s="346">
        <f>IFERROR(VLOOKUP(M268,'DE x PARA'!$K$2:$L$2168,2,FALSE),0)</f>
        <v>0</v>
      </c>
      <c r="O268" s="344">
        <f t="shared" si="23"/>
        <v>0</v>
      </c>
    </row>
    <row r="269" spans="1:15">
      <c r="A269" s="343" t="str">
        <f t="shared" si="20"/>
        <v>2.2.1.08.0001</v>
      </c>
      <c r="B269" s="343" t="s">
        <v>4856</v>
      </c>
      <c r="C269" s="347">
        <v>22181</v>
      </c>
      <c r="D269" s="94" t="s">
        <v>1677</v>
      </c>
      <c r="E269" s="344">
        <v>-13038993.24</v>
      </c>
      <c r="F269" s="344">
        <v>1862713.32</v>
      </c>
      <c r="G269" s="344">
        <v>0</v>
      </c>
      <c r="H269" s="344">
        <v>1862713.32</v>
      </c>
      <c r="I269" s="344">
        <v>-11176279.92</v>
      </c>
      <c r="J269" s="345">
        <f t="shared" si="21"/>
        <v>-11176.279919999999</v>
      </c>
      <c r="K269" s="908">
        <f t="shared" si="22"/>
        <v>-11176</v>
      </c>
      <c r="L269" s="346">
        <f>IFERROR(VLOOKUP(C269,'DE x PARA'!C263:K2429,7,FALSE),"SINTÉTICA")</f>
        <v>500001</v>
      </c>
      <c r="M269" s="346">
        <f>IFERROR(VLOOKUP(B269,'DE x PARA'!B263:K2429,10,FALSE),"SINTÉTICA")</f>
        <v>600026</v>
      </c>
      <c r="N269" s="346">
        <f>IFERROR(VLOOKUP(M269,'DE x PARA'!$K$2:$L$2168,2,FALSE),0)</f>
        <v>-1</v>
      </c>
      <c r="O269" s="344">
        <f t="shared" si="23"/>
        <v>-1862713.32</v>
      </c>
    </row>
    <row r="270" spans="1:15">
      <c r="A270" s="343" t="str">
        <f t="shared" si="20"/>
        <v>2.2.1.08.0002</v>
      </c>
      <c r="B270" s="343" t="s">
        <v>4857</v>
      </c>
      <c r="C270" s="347">
        <v>22182</v>
      </c>
      <c r="D270" s="94" t="s">
        <v>4858</v>
      </c>
      <c r="E270" s="344">
        <v>1076894.8</v>
      </c>
      <c r="F270" s="344">
        <v>0</v>
      </c>
      <c r="G270" s="344">
        <v>-276327.61</v>
      </c>
      <c r="H270" s="344">
        <v>-276327.61</v>
      </c>
      <c r="I270" s="344">
        <v>800567.19</v>
      </c>
      <c r="J270" s="345">
        <f t="shared" si="21"/>
        <v>800.56718999999998</v>
      </c>
      <c r="K270" s="908">
        <f t="shared" si="22"/>
        <v>801</v>
      </c>
      <c r="L270" s="346">
        <f>IFERROR(VLOOKUP(C270,'DE x PARA'!C264:K2430,7,FALSE),"SINTÉTICA")</f>
        <v>500001</v>
      </c>
      <c r="M270" s="346">
        <f>IFERROR(VLOOKUP(B270,'DE x PARA'!B264:K2430,10,FALSE),"SINTÉTICA")</f>
        <v>600007</v>
      </c>
      <c r="N270" s="346">
        <f>IFERROR(VLOOKUP(M270,'DE x PARA'!$K$2:$L$2168,2,FALSE),0)</f>
        <v>-1</v>
      </c>
      <c r="O270" s="344">
        <f t="shared" si="23"/>
        <v>276327.61</v>
      </c>
    </row>
    <row r="271" spans="1:15">
      <c r="A271" s="343" t="str">
        <f t="shared" si="20"/>
        <v>2.4</v>
      </c>
      <c r="B271" s="343" t="s">
        <v>931</v>
      </c>
      <c r="C271" s="347" t="s">
        <v>932</v>
      </c>
      <c r="D271" s="94" t="s">
        <v>371</v>
      </c>
      <c r="E271" s="344">
        <v>-24668651.390000001</v>
      </c>
      <c r="F271" s="344">
        <v>29195036.5</v>
      </c>
      <c r="G271" s="344">
        <v>-16201306.869999999</v>
      </c>
      <c r="H271" s="344">
        <v>12993729.630000001</v>
      </c>
      <c r="I271" s="344">
        <v>-11674921.76</v>
      </c>
      <c r="J271" s="345">
        <f t="shared" si="21"/>
        <v>-11674.921759999999</v>
      </c>
      <c r="K271" s="908">
        <f t="shared" si="22"/>
        <v>-11675</v>
      </c>
      <c r="L271" s="346">
        <f>IFERROR(VLOOKUP(C271,'DE x PARA'!C265:K2431,7,FALSE),"SINTÉTICA")</f>
        <v>0</v>
      </c>
      <c r="M271" s="346">
        <f>IFERROR(VLOOKUP(B271,'DE x PARA'!B265:K2431,10,FALSE),"SINTÉTICA")</f>
        <v>0</v>
      </c>
      <c r="N271" s="346">
        <f>IFERROR(VLOOKUP(M271,'DE x PARA'!$K$2:$L$2168,2,FALSE),0)</f>
        <v>0</v>
      </c>
      <c r="O271" s="344">
        <f t="shared" si="23"/>
        <v>0</v>
      </c>
    </row>
    <row r="272" spans="1:15">
      <c r="A272" s="343" t="str">
        <f t="shared" si="20"/>
        <v>2.4.1</v>
      </c>
      <c r="B272" s="343" t="s">
        <v>89</v>
      </c>
      <c r="C272" s="347">
        <v>241</v>
      </c>
      <c r="D272" s="94" t="s">
        <v>88</v>
      </c>
      <c r="E272" s="344">
        <v>-34443159.609999999</v>
      </c>
      <c r="F272" s="344">
        <v>0</v>
      </c>
      <c r="G272" s="344">
        <v>-1710574.4</v>
      </c>
      <c r="H272" s="344">
        <v>-1710574.4</v>
      </c>
      <c r="I272" s="344">
        <v>-36153734.009999998</v>
      </c>
      <c r="J272" s="345">
        <f t="shared" si="21"/>
        <v>-36153.73401</v>
      </c>
      <c r="K272" s="908">
        <f t="shared" si="22"/>
        <v>-36154</v>
      </c>
      <c r="L272" s="346">
        <f>IFERROR(VLOOKUP(C272,'DE x PARA'!C266:K2432,7,FALSE),"SINTÉTICA")</f>
        <v>0</v>
      </c>
      <c r="M272" s="346">
        <f>IFERROR(VLOOKUP(B272,'DE x PARA'!B266:K2432,10,FALSE),"SINTÉTICA")</f>
        <v>0</v>
      </c>
      <c r="N272" s="346">
        <f>IFERROR(VLOOKUP(M272,'DE x PARA'!$K$2:$L$2168,2,FALSE),0)</f>
        <v>0</v>
      </c>
      <c r="O272" s="344">
        <f t="shared" si="23"/>
        <v>0</v>
      </c>
    </row>
    <row r="273" spans="1:15">
      <c r="A273" s="343" t="str">
        <f t="shared" si="20"/>
        <v>2.4.1.01</v>
      </c>
      <c r="B273" s="343" t="s">
        <v>933</v>
      </c>
      <c r="C273" s="347">
        <v>2411</v>
      </c>
      <c r="D273" s="94" t="s">
        <v>934</v>
      </c>
      <c r="E273" s="344">
        <v>-34443159.609999999</v>
      </c>
      <c r="F273" s="344">
        <v>0</v>
      </c>
      <c r="G273" s="344">
        <v>-1710574.4</v>
      </c>
      <c r="H273" s="344">
        <v>-1710574.4</v>
      </c>
      <c r="I273" s="344">
        <v>-36153734.009999998</v>
      </c>
      <c r="J273" s="345">
        <f t="shared" si="21"/>
        <v>-36153.73401</v>
      </c>
      <c r="K273" s="908">
        <f t="shared" si="22"/>
        <v>-36154</v>
      </c>
      <c r="L273" s="346">
        <f>IFERROR(VLOOKUP(C273,'DE x PARA'!C267:K2433,7,FALSE),"SINTÉTICA")</f>
        <v>0</v>
      </c>
      <c r="M273" s="346">
        <f>IFERROR(VLOOKUP(B273,'DE x PARA'!B267:K2433,10,FALSE),"SINTÉTICA")</f>
        <v>0</v>
      </c>
      <c r="N273" s="346">
        <f>IFERROR(VLOOKUP(M273,'DE x PARA'!$K$2:$L$2168,2,FALSE),0)</f>
        <v>0</v>
      </c>
      <c r="O273" s="344">
        <f t="shared" si="23"/>
        <v>0</v>
      </c>
    </row>
    <row r="274" spans="1:15">
      <c r="A274" s="343" t="str">
        <f t="shared" si="20"/>
        <v>2.4.1.01.0001</v>
      </c>
      <c r="B274" s="343" t="s">
        <v>935</v>
      </c>
      <c r="C274" s="347">
        <v>24111</v>
      </c>
      <c r="D274" s="94" t="s">
        <v>934</v>
      </c>
      <c r="E274" s="344">
        <v>-34443159.609999999</v>
      </c>
      <c r="F274" s="344">
        <v>0</v>
      </c>
      <c r="G274" s="344">
        <v>-1710574.4</v>
      </c>
      <c r="H274" s="344">
        <v>-1710574.4</v>
      </c>
      <c r="I274" s="344">
        <v>-36153734.009999998</v>
      </c>
      <c r="J274" s="345">
        <f t="shared" si="21"/>
        <v>-36153.73401</v>
      </c>
      <c r="K274" s="908">
        <f t="shared" si="22"/>
        <v>-36154</v>
      </c>
      <c r="L274" s="346">
        <f>IFERROR(VLOOKUP(C274,'DE x PARA'!C268:K2434,7,FALSE),"SINTÉTICA")</f>
        <v>500001</v>
      </c>
      <c r="M274" s="346">
        <f>IFERROR(VLOOKUP(B274,'DE x PARA'!B268:K2434,10,FALSE),"SINTÉTICA")</f>
        <v>600028</v>
      </c>
      <c r="N274" s="346">
        <f>IFERROR(VLOOKUP(M274,'DE x PARA'!$K$2:$L$2168,2,FALSE),0)</f>
        <v>-1</v>
      </c>
      <c r="O274" s="344">
        <f t="shared" si="23"/>
        <v>1710574.4</v>
      </c>
    </row>
    <row r="275" spans="1:15">
      <c r="A275" s="343" t="str">
        <f t="shared" si="20"/>
        <v>2.4.3</v>
      </c>
      <c r="B275" s="343" t="s">
        <v>936</v>
      </c>
      <c r="C275" s="347">
        <v>243</v>
      </c>
      <c r="D275" s="94" t="s">
        <v>937</v>
      </c>
      <c r="E275" s="344">
        <v>63.28</v>
      </c>
      <c r="F275" s="344">
        <v>25.92</v>
      </c>
      <c r="G275" s="344">
        <v>-34.32</v>
      </c>
      <c r="H275" s="344">
        <v>-8.4</v>
      </c>
      <c r="I275" s="344">
        <v>54.88</v>
      </c>
      <c r="J275" s="345">
        <f t="shared" si="21"/>
        <v>5.4880000000000005E-2</v>
      </c>
      <c r="K275" s="908">
        <f t="shared" si="22"/>
        <v>0</v>
      </c>
      <c r="L275" s="346">
        <f>IFERROR(VLOOKUP(C275,'DE x PARA'!C269:K2435,7,FALSE),"SINTÉTICA")</f>
        <v>0</v>
      </c>
      <c r="M275" s="346">
        <f>IFERROR(VLOOKUP(B275,'DE x PARA'!B269:K2435,10,FALSE),"SINTÉTICA")</f>
        <v>0</v>
      </c>
      <c r="N275" s="346">
        <f>IFERROR(VLOOKUP(M275,'DE x PARA'!$K$2:$L$2168,2,FALSE),0)</f>
        <v>0</v>
      </c>
      <c r="O275" s="344">
        <f t="shared" si="23"/>
        <v>0</v>
      </c>
    </row>
    <row r="276" spans="1:15">
      <c r="A276" s="343" t="str">
        <f t="shared" si="20"/>
        <v>2.4.3.01</v>
      </c>
      <c r="B276" s="343" t="s">
        <v>938</v>
      </c>
      <c r="C276" s="347">
        <v>2431</v>
      </c>
      <c r="D276" s="94" t="s">
        <v>939</v>
      </c>
      <c r="E276" s="344">
        <v>63.28</v>
      </c>
      <c r="F276" s="344">
        <v>25.92</v>
      </c>
      <c r="G276" s="344">
        <v>-34.32</v>
      </c>
      <c r="H276" s="344">
        <v>-8.4</v>
      </c>
      <c r="I276" s="344">
        <v>54.88</v>
      </c>
      <c r="J276" s="345">
        <f t="shared" si="21"/>
        <v>5.4880000000000005E-2</v>
      </c>
      <c r="K276" s="908">
        <f t="shared" si="22"/>
        <v>0</v>
      </c>
      <c r="L276" s="346">
        <f>IFERROR(VLOOKUP(C276,'DE x PARA'!C270:K2436,7,FALSE),"SINTÉTICA")</f>
        <v>0</v>
      </c>
      <c r="M276" s="346">
        <f>IFERROR(VLOOKUP(B276,'DE x PARA'!B270:K2436,10,FALSE),"SINTÉTICA")</f>
        <v>0</v>
      </c>
      <c r="N276" s="346">
        <f>IFERROR(VLOOKUP(M276,'DE x PARA'!$K$2:$L$2168,2,FALSE),0)</f>
        <v>0</v>
      </c>
      <c r="O276" s="344">
        <f t="shared" si="23"/>
        <v>0</v>
      </c>
    </row>
    <row r="277" spans="1:15">
      <c r="A277" s="343" t="str">
        <f t="shared" si="20"/>
        <v>2.4.3.01.0001</v>
      </c>
      <c r="B277" s="343" t="s">
        <v>940</v>
      </c>
      <c r="C277" s="347">
        <v>24311</v>
      </c>
      <c r="D277" s="94" t="s">
        <v>941</v>
      </c>
      <c r="E277" s="344">
        <v>63.28</v>
      </c>
      <c r="F277" s="344">
        <v>25.92</v>
      </c>
      <c r="G277" s="344">
        <v>-34.32</v>
      </c>
      <c r="H277" s="344">
        <v>-8.4</v>
      </c>
      <c r="I277" s="344">
        <v>54.88</v>
      </c>
      <c r="J277" s="345">
        <f t="shared" si="21"/>
        <v>5.4880000000000005E-2</v>
      </c>
      <c r="K277" s="908">
        <f t="shared" si="22"/>
        <v>0</v>
      </c>
      <c r="L277" s="346">
        <f>IFERROR(VLOOKUP(C277,'DE x PARA'!C271:K2437,7,FALSE),"SINTÉTICA")</f>
        <v>500001</v>
      </c>
      <c r="M277" s="346">
        <f>IFERROR(VLOOKUP(B277,'DE x PARA'!B271:K2437,10,FALSE),"SINTÉTICA")</f>
        <v>600021</v>
      </c>
      <c r="N277" s="346">
        <f>IFERROR(VLOOKUP(M277,'DE x PARA'!$K$2:$L$2168,2,FALSE),0)</f>
        <v>-1</v>
      </c>
      <c r="O277" s="344">
        <f t="shared" si="23"/>
        <v>8.4</v>
      </c>
    </row>
    <row r="278" spans="1:15">
      <c r="A278" s="343" t="str">
        <f t="shared" si="20"/>
        <v>2.4.6</v>
      </c>
      <c r="B278" s="343" t="s">
        <v>94</v>
      </c>
      <c r="C278" s="347">
        <v>246</v>
      </c>
      <c r="D278" s="94" t="s">
        <v>942</v>
      </c>
      <c r="E278" s="344">
        <v>11485019.34</v>
      </c>
      <c r="F278" s="344">
        <v>27484436.18</v>
      </c>
      <c r="G278" s="344">
        <v>-12803544.109999999</v>
      </c>
      <c r="H278" s="344">
        <v>14680892.07</v>
      </c>
      <c r="I278" s="344">
        <v>26165911.41</v>
      </c>
      <c r="J278" s="345">
        <f t="shared" si="21"/>
        <v>26165.911410000001</v>
      </c>
      <c r="K278" s="908">
        <f t="shared" si="22"/>
        <v>26166</v>
      </c>
      <c r="L278" s="346">
        <f>IFERROR(VLOOKUP(C278,'DE x PARA'!C272:K2438,7,FALSE),"SINTÉTICA")</f>
        <v>0</v>
      </c>
      <c r="M278" s="346">
        <f>IFERROR(VLOOKUP(B278,'DE x PARA'!B272:K2438,10,FALSE),"SINTÉTICA")</f>
        <v>0</v>
      </c>
      <c r="N278" s="346">
        <f>IFERROR(VLOOKUP(M278,'DE x PARA'!$K$2:$L$2168,2,FALSE),0)</f>
        <v>0</v>
      </c>
      <c r="O278" s="344">
        <f t="shared" si="23"/>
        <v>0</v>
      </c>
    </row>
    <row r="279" spans="1:15">
      <c r="A279" s="343" t="str">
        <f t="shared" si="20"/>
        <v>2.4.6.02</v>
      </c>
      <c r="B279" s="343" t="s">
        <v>943</v>
      </c>
      <c r="C279" s="347">
        <v>2462</v>
      </c>
      <c r="D279" s="94" t="s">
        <v>944</v>
      </c>
      <c r="E279" s="344">
        <v>2833698.9</v>
      </c>
      <c r="F279" s="344">
        <v>0</v>
      </c>
      <c r="G279" s="344">
        <v>0</v>
      </c>
      <c r="H279" s="344">
        <v>0</v>
      </c>
      <c r="I279" s="344">
        <v>2833698.9</v>
      </c>
      <c r="J279" s="345">
        <f t="shared" si="21"/>
        <v>2833.6988999999999</v>
      </c>
      <c r="K279" s="908">
        <f t="shared" si="22"/>
        <v>2834</v>
      </c>
      <c r="L279" s="346">
        <f>IFERROR(VLOOKUP(C279,'DE x PARA'!C273:K2439,7,FALSE),"SINTÉTICA")</f>
        <v>0</v>
      </c>
      <c r="M279" s="346">
        <f>IFERROR(VLOOKUP(B279,'DE x PARA'!B273:K2439,10,FALSE),"SINTÉTICA")</f>
        <v>0</v>
      </c>
      <c r="N279" s="346">
        <f>IFERROR(VLOOKUP(M279,'DE x PARA'!$K$2:$L$2168,2,FALSE),0)</f>
        <v>0</v>
      </c>
      <c r="O279" s="344">
        <f t="shared" si="23"/>
        <v>0</v>
      </c>
    </row>
    <row r="280" spans="1:15">
      <c r="A280" s="343" t="str">
        <f t="shared" si="20"/>
        <v>2.4.6.02.0002</v>
      </c>
      <c r="B280" s="343" t="s">
        <v>945</v>
      </c>
      <c r="C280" s="347">
        <v>24622</v>
      </c>
      <c r="D280" s="94" t="s">
        <v>946</v>
      </c>
      <c r="E280" s="344">
        <v>2833698.9</v>
      </c>
      <c r="F280" s="344">
        <v>0</v>
      </c>
      <c r="G280" s="344">
        <v>0</v>
      </c>
      <c r="H280" s="344">
        <v>0</v>
      </c>
      <c r="I280" s="344">
        <v>2833698.9</v>
      </c>
      <c r="J280" s="345">
        <f t="shared" si="21"/>
        <v>2833.6988999999999</v>
      </c>
      <c r="K280" s="908">
        <f t="shared" si="22"/>
        <v>2834</v>
      </c>
      <c r="L280" s="346">
        <f>IFERROR(VLOOKUP(C280,'DE x PARA'!C274:K2440,7,FALSE),"SINTÉTICA")</f>
        <v>500001</v>
      </c>
      <c r="M280" s="346">
        <f>IFERROR(VLOOKUP(B280,'DE x PARA'!B274:K2440,10,FALSE),"SINTÉTICA")</f>
        <v>600002</v>
      </c>
      <c r="N280" s="346">
        <f>IFERROR(VLOOKUP(M280,'DE x PARA'!$K$2:$L$2168,2,FALSE),0)</f>
        <v>-1</v>
      </c>
      <c r="O280" s="344">
        <f t="shared" si="23"/>
        <v>0</v>
      </c>
    </row>
    <row r="281" spans="1:15">
      <c r="A281" s="343" t="str">
        <f t="shared" si="20"/>
        <v>2.4.6.99</v>
      </c>
      <c r="B281" s="343" t="s">
        <v>947</v>
      </c>
      <c r="C281" s="347">
        <v>24699</v>
      </c>
      <c r="D281" s="94" t="s">
        <v>121</v>
      </c>
      <c r="E281" s="344">
        <v>8651320.4399999995</v>
      </c>
      <c r="F281" s="344">
        <v>27484436.18</v>
      </c>
      <c r="G281" s="344">
        <v>-12803544.109999999</v>
      </c>
      <c r="H281" s="344">
        <v>14680892.07</v>
      </c>
      <c r="I281" s="344">
        <v>23332212.510000002</v>
      </c>
      <c r="J281" s="345">
        <f t="shared" si="21"/>
        <v>23332.212510000001</v>
      </c>
      <c r="K281" s="908">
        <f t="shared" si="22"/>
        <v>23332</v>
      </c>
      <c r="L281" s="346">
        <f>IFERROR(VLOOKUP(C281,'DE x PARA'!C275:K2441,7,FALSE),"SINTÉTICA")</f>
        <v>0</v>
      </c>
      <c r="M281" s="346">
        <f>IFERROR(VLOOKUP(B281,'DE x PARA'!B275:K2441,10,FALSE),"SINTÉTICA")</f>
        <v>0</v>
      </c>
      <c r="N281" s="346">
        <f>IFERROR(VLOOKUP(M281,'DE x PARA'!$K$2:$L$2168,2,FALSE),0)</f>
        <v>0</v>
      </c>
      <c r="O281" s="344">
        <f t="shared" si="23"/>
        <v>0</v>
      </c>
    </row>
    <row r="282" spans="1:15">
      <c r="A282" s="343" t="str">
        <f t="shared" si="20"/>
        <v>2.4.6.99.0001</v>
      </c>
      <c r="B282" s="343" t="s">
        <v>948</v>
      </c>
      <c r="C282" s="347">
        <v>246991</v>
      </c>
      <c r="D282" s="94" t="s">
        <v>121</v>
      </c>
      <c r="E282" s="344">
        <v>8651320.4399999995</v>
      </c>
      <c r="F282" s="344">
        <v>27484436.18</v>
      </c>
      <c r="G282" s="344">
        <v>-12803544.109999999</v>
      </c>
      <c r="H282" s="344">
        <v>14680892.07</v>
      </c>
      <c r="I282" s="344">
        <v>23332212.510000002</v>
      </c>
      <c r="J282" s="345">
        <f t="shared" si="21"/>
        <v>23332.212510000001</v>
      </c>
      <c r="K282" s="908">
        <f t="shared" si="22"/>
        <v>23332</v>
      </c>
      <c r="L282" s="346">
        <f>IFERROR(VLOOKUP(C282,'DE x PARA'!C276:K2442,7,FALSE),"SINTÉTICA")</f>
        <v>500001</v>
      </c>
      <c r="M282" s="346">
        <f>IFERROR(VLOOKUP(B282,'DE x PARA'!B276:K2442,10,FALSE),"SINTÉTICA")</f>
        <v>600002</v>
      </c>
      <c r="N282" s="346">
        <f>IFERROR(VLOOKUP(M282,'DE x PARA'!$K$2:$L$2168,2,FALSE),0)</f>
        <v>-1</v>
      </c>
      <c r="O282" s="344">
        <f t="shared" si="23"/>
        <v>-14680892.07</v>
      </c>
    </row>
    <row r="283" spans="1:15">
      <c r="A283" s="343" t="str">
        <f t="shared" si="20"/>
        <v>2.4.7</v>
      </c>
      <c r="B283" s="343" t="s">
        <v>92</v>
      </c>
      <c r="C283" s="347">
        <v>247</v>
      </c>
      <c r="D283" s="94" t="s">
        <v>949</v>
      </c>
      <c r="E283" s="344">
        <v>-1710574.4</v>
      </c>
      <c r="F283" s="344">
        <v>1710574.4</v>
      </c>
      <c r="G283" s="344">
        <v>-1687154.04</v>
      </c>
      <c r="H283" s="344">
        <v>23420.36</v>
      </c>
      <c r="I283" s="344">
        <v>-1687154.04</v>
      </c>
      <c r="J283" s="345">
        <f t="shared" si="21"/>
        <v>-1687.1540400000001</v>
      </c>
      <c r="K283" s="908">
        <f t="shared" si="22"/>
        <v>-1687</v>
      </c>
      <c r="L283" s="346">
        <f>IFERROR(VLOOKUP(C283,'DE x PARA'!C277:K2443,7,FALSE),"SINTÉTICA")</f>
        <v>0</v>
      </c>
      <c r="M283" s="346">
        <f>IFERROR(VLOOKUP(B283,'DE x PARA'!B277:K2443,10,FALSE),"SINTÉTICA")</f>
        <v>0</v>
      </c>
      <c r="N283" s="346">
        <f>IFERROR(VLOOKUP(M283,'DE x PARA'!$K$2:$L$2168,2,FALSE),0)</f>
        <v>0</v>
      </c>
      <c r="O283" s="344">
        <f t="shared" si="23"/>
        <v>0</v>
      </c>
    </row>
    <row r="284" spans="1:15">
      <c r="A284" s="343" t="str">
        <f t="shared" si="20"/>
        <v>2.4.7.01</v>
      </c>
      <c r="B284" s="343" t="s">
        <v>950</v>
      </c>
      <c r="C284" s="347">
        <v>2471</v>
      </c>
      <c r="D284" s="94" t="s">
        <v>949</v>
      </c>
      <c r="E284" s="344">
        <v>-1710574.4</v>
      </c>
      <c r="F284" s="344">
        <v>1710574.4</v>
      </c>
      <c r="G284" s="344">
        <v>-1687154.04</v>
      </c>
      <c r="H284" s="344">
        <v>23420.36</v>
      </c>
      <c r="I284" s="344">
        <v>-1687154.04</v>
      </c>
      <c r="J284" s="345">
        <f t="shared" si="21"/>
        <v>-1687.1540400000001</v>
      </c>
      <c r="K284" s="908">
        <f t="shared" si="22"/>
        <v>-1687</v>
      </c>
      <c r="L284" s="346">
        <f>IFERROR(VLOOKUP(C284,'DE x PARA'!C278:K2444,7,FALSE),"SINTÉTICA")</f>
        <v>0</v>
      </c>
      <c r="M284" s="346">
        <f>IFERROR(VLOOKUP(B284,'DE x PARA'!B278:K2444,10,FALSE),"SINTÉTICA")</f>
        <v>0</v>
      </c>
      <c r="N284" s="346">
        <f>IFERROR(VLOOKUP(M284,'DE x PARA'!$K$2:$L$2168,2,FALSE),0)</f>
        <v>0</v>
      </c>
      <c r="O284" s="344">
        <f t="shared" si="23"/>
        <v>0</v>
      </c>
    </row>
    <row r="285" spans="1:15">
      <c r="A285" s="343" t="str">
        <f t="shared" si="20"/>
        <v>2.4.7.01.0001</v>
      </c>
      <c r="B285" s="343" t="s">
        <v>951</v>
      </c>
      <c r="C285" s="347">
        <v>24711</v>
      </c>
      <c r="D285" s="94" t="s">
        <v>949</v>
      </c>
      <c r="E285" s="344">
        <v>-1710574.4</v>
      </c>
      <c r="F285" s="344">
        <v>1710574.4</v>
      </c>
      <c r="G285" s="344">
        <v>-1687154.04</v>
      </c>
      <c r="H285" s="344">
        <v>23420.36</v>
      </c>
      <c r="I285" s="344">
        <v>-1687154.04</v>
      </c>
      <c r="J285" s="345">
        <f t="shared" si="21"/>
        <v>-1687.1540400000001</v>
      </c>
      <c r="K285" s="908">
        <f t="shared" si="22"/>
        <v>-1687</v>
      </c>
      <c r="L285" s="346">
        <f>IFERROR(VLOOKUP(C285,'DE x PARA'!C279:K2445,7,FALSE),"SINTÉTICA")</f>
        <v>500001</v>
      </c>
      <c r="M285" s="346">
        <f>IFERROR(VLOOKUP(B285,'DE x PARA'!B279:K2445,10,FALSE),"SINTÉTICA")</f>
        <v>600028</v>
      </c>
      <c r="N285" s="346">
        <f>IFERROR(VLOOKUP(M285,'DE x PARA'!$K$2:$L$2168,2,FALSE),0)</f>
        <v>-1</v>
      </c>
      <c r="O285" s="344">
        <f t="shared" si="23"/>
        <v>-23420.36</v>
      </c>
    </row>
    <row r="286" spans="1:15">
      <c r="A286" s="343">
        <f t="shared" si="20"/>
        <v>3</v>
      </c>
      <c r="B286" s="343">
        <v>3</v>
      </c>
      <c r="C286" s="347">
        <v>3</v>
      </c>
      <c r="D286" s="94" t="s">
        <v>184</v>
      </c>
      <c r="E286" s="344">
        <v>0</v>
      </c>
      <c r="F286" s="344">
        <v>2485548.2400000002</v>
      </c>
      <c r="G286" s="344">
        <v>-85925849.280000001</v>
      </c>
      <c r="H286" s="344">
        <v>-83440301.040000007</v>
      </c>
      <c r="I286" s="344">
        <v>-83440301.040000007</v>
      </c>
      <c r="J286" s="345">
        <f t="shared" si="21"/>
        <v>-83440.301040000006</v>
      </c>
      <c r="K286" s="908">
        <f t="shared" si="22"/>
        <v>-83440</v>
      </c>
      <c r="L286" s="346">
        <f>IFERROR(VLOOKUP(C286,'DE x PARA'!C280:K2446,7,FALSE),"SINTÉTICA")</f>
        <v>0</v>
      </c>
      <c r="M286" s="346">
        <f>IFERROR(VLOOKUP(B286,'DE x PARA'!B280:K2446,10,FALSE),"SINTÉTICA")</f>
        <v>0</v>
      </c>
      <c r="N286" s="346">
        <f>IFERROR(VLOOKUP(M286,'DE x PARA'!$K$2:$L$2168,2,FALSE),0)</f>
        <v>0</v>
      </c>
      <c r="O286" s="344">
        <f t="shared" si="23"/>
        <v>0</v>
      </c>
    </row>
    <row r="287" spans="1:15">
      <c r="A287" s="343" t="str">
        <f t="shared" si="20"/>
        <v>3.1</v>
      </c>
      <c r="B287" s="343" t="s">
        <v>952</v>
      </c>
      <c r="C287" s="347">
        <v>31</v>
      </c>
      <c r="D287" s="94" t="s">
        <v>185</v>
      </c>
      <c r="E287" s="344">
        <v>0</v>
      </c>
      <c r="F287" s="344">
        <v>1400013.35</v>
      </c>
      <c r="G287" s="344">
        <v>-77365962.569999993</v>
      </c>
      <c r="H287" s="344">
        <v>-75965949.219999999</v>
      </c>
      <c r="I287" s="344">
        <v>-75965949.219999999</v>
      </c>
      <c r="J287" s="345">
        <f t="shared" si="21"/>
        <v>-75965.949219999995</v>
      </c>
      <c r="K287" s="908">
        <f t="shared" si="22"/>
        <v>-75966</v>
      </c>
      <c r="L287" s="346">
        <f>IFERROR(VLOOKUP(C287,'DE x PARA'!C281:K2447,7,FALSE),"SINTÉTICA")</f>
        <v>0</v>
      </c>
      <c r="M287" s="346">
        <f>IFERROR(VLOOKUP(B287,'DE x PARA'!B281:K2447,10,FALSE),"SINTÉTICA")</f>
        <v>0</v>
      </c>
      <c r="N287" s="346">
        <f>IFERROR(VLOOKUP(M287,'DE x PARA'!$K$2:$L$2168,2,FALSE),0)</f>
        <v>0</v>
      </c>
      <c r="O287" s="344">
        <f t="shared" si="23"/>
        <v>0</v>
      </c>
    </row>
    <row r="288" spans="1:15">
      <c r="A288" s="343" t="str">
        <f t="shared" si="20"/>
        <v>3.1.1</v>
      </c>
      <c r="B288" s="343" t="s">
        <v>953</v>
      </c>
      <c r="C288" s="347">
        <v>311</v>
      </c>
      <c r="D288" s="94" t="s">
        <v>954</v>
      </c>
      <c r="E288" s="344">
        <v>0</v>
      </c>
      <c r="F288" s="344">
        <v>1400013.35</v>
      </c>
      <c r="G288" s="344">
        <v>-77365962.569999993</v>
      </c>
      <c r="H288" s="344">
        <v>-75965949.219999999</v>
      </c>
      <c r="I288" s="344">
        <v>-75965949.219999999</v>
      </c>
      <c r="J288" s="345">
        <f t="shared" si="21"/>
        <v>-75965.949219999995</v>
      </c>
      <c r="K288" s="908">
        <f t="shared" si="22"/>
        <v>-75966</v>
      </c>
      <c r="L288" s="346">
        <f>IFERROR(VLOOKUP(C288,'DE x PARA'!C282:K2448,7,FALSE),"SINTÉTICA")</f>
        <v>0</v>
      </c>
      <c r="M288" s="346">
        <f>IFERROR(VLOOKUP(B288,'DE x PARA'!B282:K2448,10,FALSE),"SINTÉTICA")</f>
        <v>0</v>
      </c>
      <c r="N288" s="346">
        <f>IFERROR(VLOOKUP(M288,'DE x PARA'!$K$2:$L$2168,2,FALSE),0)</f>
        <v>0</v>
      </c>
      <c r="O288" s="344">
        <f t="shared" si="23"/>
        <v>0</v>
      </c>
    </row>
    <row r="289" spans="1:15">
      <c r="A289" s="343" t="str">
        <f t="shared" si="20"/>
        <v>3.1.1.01</v>
      </c>
      <c r="B289" s="343" t="s">
        <v>30</v>
      </c>
      <c r="C289" s="347">
        <v>3111</v>
      </c>
      <c r="D289" s="94" t="s">
        <v>954</v>
      </c>
      <c r="E289" s="344">
        <v>0</v>
      </c>
      <c r="F289" s="344">
        <v>1400013.35</v>
      </c>
      <c r="G289" s="344">
        <v>-77365962.569999993</v>
      </c>
      <c r="H289" s="344">
        <v>-75965949.219999999</v>
      </c>
      <c r="I289" s="344">
        <v>-75965949.219999999</v>
      </c>
      <c r="J289" s="345">
        <f t="shared" si="21"/>
        <v>-75965.949219999995</v>
      </c>
      <c r="K289" s="908">
        <f t="shared" si="22"/>
        <v>-75966</v>
      </c>
      <c r="L289" s="346">
        <f>IFERROR(VLOOKUP(C289,'DE x PARA'!C283:K2449,7,FALSE),"SINTÉTICA")</f>
        <v>0</v>
      </c>
      <c r="M289" s="346">
        <f>IFERROR(VLOOKUP(B289,'DE x PARA'!B283:K2449,10,FALSE),"SINTÉTICA")</f>
        <v>0</v>
      </c>
      <c r="N289" s="346">
        <f>IFERROR(VLOOKUP(M289,'DE x PARA'!$K$2:$L$2168,2,FALSE),0)</f>
        <v>0</v>
      </c>
      <c r="O289" s="344">
        <f t="shared" si="23"/>
        <v>0</v>
      </c>
    </row>
    <row r="290" spans="1:15">
      <c r="A290" s="343" t="str">
        <f t="shared" si="20"/>
        <v>3.1.1.01.0001</v>
      </c>
      <c r="B290" s="343" t="s">
        <v>955</v>
      </c>
      <c r="C290" s="347">
        <v>31111</v>
      </c>
      <c r="D290" s="94" t="s">
        <v>29</v>
      </c>
      <c r="E290" s="344">
        <v>0</v>
      </c>
      <c r="F290" s="344">
        <v>1400013.35</v>
      </c>
      <c r="G290" s="344">
        <v>-77365962.569999993</v>
      </c>
      <c r="H290" s="344">
        <v>-75965949.219999999</v>
      </c>
      <c r="I290" s="344">
        <v>-75965949.219999999</v>
      </c>
      <c r="J290" s="345">
        <f t="shared" si="21"/>
        <v>-75965.949219999995</v>
      </c>
      <c r="K290" s="908">
        <f t="shared" si="22"/>
        <v>-75966</v>
      </c>
      <c r="L290" s="346">
        <f>IFERROR(VLOOKUP(C290,'DE x PARA'!C284:K2450,7,FALSE),"SINTÉTICA")</f>
        <v>500002</v>
      </c>
      <c r="M290" s="346">
        <f>IFERROR(VLOOKUP(B290,'DE x PARA'!B284:K2450,10,FALSE),"SINTÉTICA")</f>
        <v>600003</v>
      </c>
      <c r="N290" s="346">
        <f>IFERROR(VLOOKUP(M290,'DE x PARA'!$K$2:$L$2168,2,FALSE),0)</f>
        <v>1</v>
      </c>
      <c r="O290" s="344">
        <f t="shared" si="23"/>
        <v>-75965949.219999999</v>
      </c>
    </row>
    <row r="291" spans="1:15">
      <c r="A291" s="343" t="str">
        <f t="shared" si="20"/>
        <v>3.3</v>
      </c>
      <c r="B291" s="343" t="s">
        <v>956</v>
      </c>
      <c r="C291" s="347">
        <v>33</v>
      </c>
      <c r="D291" s="94" t="s">
        <v>957</v>
      </c>
      <c r="E291" s="344">
        <v>0</v>
      </c>
      <c r="F291" s="344">
        <v>1085534.8899999999</v>
      </c>
      <c r="G291" s="344">
        <v>-8559886.7100000009</v>
      </c>
      <c r="H291" s="344">
        <v>-7474351.8200000003</v>
      </c>
      <c r="I291" s="344">
        <v>-7474351.8200000003</v>
      </c>
      <c r="J291" s="345">
        <f t="shared" si="21"/>
        <v>-7474.3518199999999</v>
      </c>
      <c r="K291" s="908">
        <f t="shared" si="22"/>
        <v>-7474</v>
      </c>
      <c r="L291" s="346">
        <f>IFERROR(VLOOKUP(C291,'DE x PARA'!C285:K2451,7,FALSE),"SINTÉTICA")</f>
        <v>0</v>
      </c>
      <c r="M291" s="346">
        <f>IFERROR(VLOOKUP(B291,'DE x PARA'!B285:K2451,10,FALSE),"SINTÉTICA")</f>
        <v>0</v>
      </c>
      <c r="N291" s="346">
        <f>IFERROR(VLOOKUP(M291,'DE x PARA'!$K$2:$L$2168,2,FALSE),0)</f>
        <v>0</v>
      </c>
      <c r="O291" s="344">
        <f t="shared" si="23"/>
        <v>0</v>
      </c>
    </row>
    <row r="292" spans="1:15">
      <c r="A292" s="343" t="str">
        <f t="shared" si="20"/>
        <v>3.3.1</v>
      </c>
      <c r="B292" s="343" t="s">
        <v>37</v>
      </c>
      <c r="C292" s="347">
        <v>331</v>
      </c>
      <c r="D292" s="94" t="s">
        <v>36</v>
      </c>
      <c r="E292" s="344">
        <v>0</v>
      </c>
      <c r="F292" s="344">
        <v>705.05</v>
      </c>
      <c r="G292" s="344">
        <v>-539768.12</v>
      </c>
      <c r="H292" s="344">
        <v>-539063.06999999995</v>
      </c>
      <c r="I292" s="344">
        <v>-539063.06999999995</v>
      </c>
      <c r="J292" s="345">
        <f t="shared" si="21"/>
        <v>-539.06306999999993</v>
      </c>
      <c r="K292" s="908">
        <f t="shared" si="22"/>
        <v>-539</v>
      </c>
      <c r="L292" s="346">
        <f>IFERROR(VLOOKUP(C292,'DE x PARA'!C286:K2452,7,FALSE),"SINTÉTICA")</f>
        <v>0</v>
      </c>
      <c r="M292" s="346">
        <f>IFERROR(VLOOKUP(B292,'DE x PARA'!B286:K2452,10,FALSE),"SINTÉTICA")</f>
        <v>0</v>
      </c>
      <c r="N292" s="346">
        <f>IFERROR(VLOOKUP(M292,'DE x PARA'!$K$2:$L$2168,2,FALSE),0)</f>
        <v>0</v>
      </c>
      <c r="O292" s="344">
        <f t="shared" si="23"/>
        <v>0</v>
      </c>
    </row>
    <row r="293" spans="1:15">
      <c r="A293" s="343" t="str">
        <f t="shared" si="20"/>
        <v>3.3.1.01</v>
      </c>
      <c r="B293" s="343" t="s">
        <v>958</v>
      </c>
      <c r="C293" s="347">
        <v>3311</v>
      </c>
      <c r="D293" s="94" t="s">
        <v>959</v>
      </c>
      <c r="E293" s="344">
        <v>0</v>
      </c>
      <c r="F293" s="344">
        <v>705.05</v>
      </c>
      <c r="G293" s="344">
        <v>-539768.12</v>
      </c>
      <c r="H293" s="344">
        <v>-539063.06999999995</v>
      </c>
      <c r="I293" s="344">
        <v>-539063.06999999995</v>
      </c>
      <c r="J293" s="345">
        <f t="shared" si="21"/>
        <v>-539.06306999999993</v>
      </c>
      <c r="K293" s="908">
        <f t="shared" si="22"/>
        <v>-539</v>
      </c>
      <c r="L293" s="346">
        <f>IFERROR(VLOOKUP(C293,'DE x PARA'!C287:K2453,7,FALSE),"SINTÉTICA")</f>
        <v>0</v>
      </c>
      <c r="M293" s="346">
        <f>IFERROR(VLOOKUP(B293,'DE x PARA'!B287:K2453,10,FALSE),"SINTÉTICA")</f>
        <v>0</v>
      </c>
      <c r="N293" s="346">
        <f>IFERROR(VLOOKUP(M293,'DE x PARA'!$K$2:$L$2168,2,FALSE),0)</f>
        <v>0</v>
      </c>
      <c r="O293" s="344">
        <f t="shared" si="23"/>
        <v>0</v>
      </c>
    </row>
    <row r="294" spans="1:15">
      <c r="A294" s="343" t="str">
        <f t="shared" si="20"/>
        <v>3.3.1.01.0005</v>
      </c>
      <c r="B294" s="343" t="s">
        <v>4958</v>
      </c>
      <c r="C294" s="343">
        <v>33115</v>
      </c>
      <c r="D294" s="94" t="s">
        <v>4959</v>
      </c>
      <c r="E294" s="344">
        <v>0</v>
      </c>
      <c r="F294" s="344">
        <v>541.85</v>
      </c>
      <c r="G294" s="344">
        <v>-221498.82</v>
      </c>
      <c r="H294" s="344">
        <v>-220956.97</v>
      </c>
      <c r="I294" s="344">
        <v>-220956.97</v>
      </c>
      <c r="J294" s="345">
        <f t="shared" si="21"/>
        <v>-220.95697000000001</v>
      </c>
      <c r="K294" s="908">
        <f t="shared" si="22"/>
        <v>-221</v>
      </c>
      <c r="L294" s="346">
        <f>IFERROR(VLOOKUP(C294,'DE x PARA'!C288:K2454,7,FALSE),"SINTÉTICA")</f>
        <v>500006</v>
      </c>
      <c r="M294" s="346">
        <f>IFERROR(VLOOKUP(B294,'DE x PARA'!B288:K2454,10,FALSE),"SINTÉTICA")</f>
        <v>600001</v>
      </c>
      <c r="N294" s="346">
        <f>IFERROR(VLOOKUP(M294,'DE x PARA'!$K$2:$L$2168,2,FALSE),0)</f>
        <v>0</v>
      </c>
      <c r="O294" s="344">
        <f t="shared" si="23"/>
        <v>0</v>
      </c>
    </row>
    <row r="295" spans="1:15">
      <c r="A295" s="343" t="str">
        <f t="shared" si="20"/>
        <v>3.3.1.01.0006</v>
      </c>
      <c r="B295" s="343" t="s">
        <v>4960</v>
      </c>
      <c r="C295" s="343">
        <v>33116</v>
      </c>
      <c r="D295" s="94" t="s">
        <v>4961</v>
      </c>
      <c r="E295" s="344">
        <v>0</v>
      </c>
      <c r="F295" s="344">
        <v>163.19999999999999</v>
      </c>
      <c r="G295" s="344">
        <v>-207498.8</v>
      </c>
      <c r="H295" s="344">
        <v>-207335.6</v>
      </c>
      <c r="I295" s="344">
        <v>-207335.6</v>
      </c>
      <c r="J295" s="345">
        <f t="shared" si="21"/>
        <v>-207.3356</v>
      </c>
      <c r="K295" s="908">
        <f t="shared" si="22"/>
        <v>-207</v>
      </c>
      <c r="L295" s="346">
        <f>IFERROR(VLOOKUP(C295,'DE x PARA'!C289:K2455,7,FALSE),"SINTÉTICA")</f>
        <v>500006</v>
      </c>
      <c r="M295" s="346">
        <f>IFERROR(VLOOKUP(B295,'DE x PARA'!B289:K2455,10,FALSE),"SINTÉTICA")</f>
        <v>600001</v>
      </c>
      <c r="N295" s="346">
        <f>IFERROR(VLOOKUP(M295,'DE x PARA'!$K$2:$L$2168,2,FALSE),0)</f>
        <v>0</v>
      </c>
      <c r="O295" s="344">
        <f t="shared" si="23"/>
        <v>0</v>
      </c>
    </row>
    <row r="296" spans="1:15">
      <c r="A296" s="343" t="str">
        <f t="shared" si="20"/>
        <v>3.3.1.01.0007</v>
      </c>
      <c r="B296" s="343" t="s">
        <v>4962</v>
      </c>
      <c r="C296" s="343">
        <v>33117</v>
      </c>
      <c r="D296" s="94" t="s">
        <v>4963</v>
      </c>
      <c r="E296" s="344">
        <v>0</v>
      </c>
      <c r="F296" s="344">
        <v>0</v>
      </c>
      <c r="G296" s="344">
        <v>-110770.5</v>
      </c>
      <c r="H296" s="344">
        <v>-110770.5</v>
      </c>
      <c r="I296" s="344">
        <v>-110770.5</v>
      </c>
      <c r="J296" s="345">
        <f t="shared" si="21"/>
        <v>-110.7705</v>
      </c>
      <c r="K296" s="908">
        <f t="shared" si="22"/>
        <v>-111</v>
      </c>
      <c r="L296" s="346">
        <f>IFERROR(VLOOKUP(C296,'DE x PARA'!C290:K2456,7,FALSE),"SINTÉTICA")</f>
        <v>500006</v>
      </c>
      <c r="M296" s="346">
        <f>IFERROR(VLOOKUP(B296,'DE x PARA'!B290:K2456,10,FALSE),"SINTÉTICA")</f>
        <v>600001</v>
      </c>
      <c r="N296" s="346">
        <f>IFERROR(VLOOKUP(M296,'DE x PARA'!$K$2:$L$2168,2,FALSE),0)</f>
        <v>0</v>
      </c>
      <c r="O296" s="344">
        <f t="shared" si="23"/>
        <v>0</v>
      </c>
    </row>
    <row r="297" spans="1:15">
      <c r="A297" s="343" t="str">
        <f t="shared" si="20"/>
        <v>3.3.2</v>
      </c>
      <c r="B297" s="343" t="s">
        <v>963</v>
      </c>
      <c r="C297" s="343">
        <v>332</v>
      </c>
      <c r="D297" s="94" t="s">
        <v>964</v>
      </c>
      <c r="E297" s="344">
        <v>0</v>
      </c>
      <c r="F297" s="344">
        <v>0</v>
      </c>
      <c r="G297" s="344">
        <v>-3823379.58</v>
      </c>
      <c r="H297" s="344">
        <v>-3823379.58</v>
      </c>
      <c r="I297" s="344">
        <v>-3823379.58</v>
      </c>
      <c r="J297" s="345">
        <f t="shared" si="21"/>
        <v>-3823.3795800000003</v>
      </c>
      <c r="K297" s="908">
        <f t="shared" si="22"/>
        <v>-3823</v>
      </c>
      <c r="L297" s="346">
        <f>IFERROR(VLOOKUP(C297,'DE x PARA'!C291:K2457,7,FALSE),"SINTÉTICA")</f>
        <v>0</v>
      </c>
      <c r="M297" s="346">
        <f>IFERROR(VLOOKUP(B297,'DE x PARA'!B291:K2457,10,FALSE),"SINTÉTICA")</f>
        <v>0</v>
      </c>
      <c r="N297" s="346">
        <f>IFERROR(VLOOKUP(M297,'DE x PARA'!$K$2:$L$2168,2,FALSE),0)</f>
        <v>0</v>
      </c>
      <c r="O297" s="344">
        <f t="shared" si="23"/>
        <v>0</v>
      </c>
    </row>
    <row r="298" spans="1:15">
      <c r="A298" s="343" t="str">
        <f t="shared" si="20"/>
        <v>3.3.2.01</v>
      </c>
      <c r="B298" s="343" t="s">
        <v>965</v>
      </c>
      <c r="C298" s="343">
        <v>3321</v>
      </c>
      <c r="D298" s="94" t="s">
        <v>193</v>
      </c>
      <c r="E298" s="344">
        <v>0</v>
      </c>
      <c r="F298" s="344">
        <v>0</v>
      </c>
      <c r="G298" s="344">
        <v>-3823379.58</v>
      </c>
      <c r="H298" s="344">
        <v>-3823379.58</v>
      </c>
      <c r="I298" s="344">
        <v>-3823379.58</v>
      </c>
      <c r="J298" s="345">
        <f t="shared" si="21"/>
        <v>-3823.3795800000003</v>
      </c>
      <c r="K298" s="908">
        <f t="shared" si="22"/>
        <v>-3823</v>
      </c>
      <c r="L298" s="346">
        <f>IFERROR(VLOOKUP(C298,'DE x PARA'!C292:K2458,7,FALSE),"SINTÉTICA")</f>
        <v>0</v>
      </c>
      <c r="M298" s="346">
        <f>IFERROR(VLOOKUP(B298,'DE x PARA'!B292:K2458,10,FALSE),"SINTÉTICA")</f>
        <v>0</v>
      </c>
      <c r="N298" s="346">
        <f>IFERROR(VLOOKUP(M298,'DE x PARA'!$K$2:$L$2168,2,FALSE),0)</f>
        <v>0</v>
      </c>
      <c r="O298" s="344">
        <f t="shared" si="23"/>
        <v>0</v>
      </c>
    </row>
    <row r="299" spans="1:15">
      <c r="A299" s="343" t="str">
        <f t="shared" si="20"/>
        <v>3.3.2.01.0002</v>
      </c>
      <c r="B299" s="343" t="s">
        <v>966</v>
      </c>
      <c r="C299" s="343">
        <v>33212</v>
      </c>
      <c r="D299" s="94" t="s">
        <v>967</v>
      </c>
      <c r="E299" s="344">
        <v>0</v>
      </c>
      <c r="F299" s="344">
        <v>0</v>
      </c>
      <c r="G299" s="344">
        <v>-3817873.92</v>
      </c>
      <c r="H299" s="344">
        <v>-3817873.92</v>
      </c>
      <c r="I299" s="344">
        <v>-3817873.92</v>
      </c>
      <c r="J299" s="345">
        <f t="shared" si="21"/>
        <v>-3817.87392</v>
      </c>
      <c r="K299" s="908">
        <f t="shared" si="22"/>
        <v>-3818</v>
      </c>
      <c r="L299" s="346">
        <f>IFERROR(VLOOKUP(C299,'DE x PARA'!C293:K2459,7,FALSE),"SINTÉTICA")</f>
        <v>500003</v>
      </c>
      <c r="M299" s="346">
        <f>IFERROR(VLOOKUP(B299,'DE x PARA'!B293:K2459,10,FALSE),"SINTÉTICA")</f>
        <v>600001</v>
      </c>
      <c r="N299" s="346">
        <f>IFERROR(VLOOKUP(M299,'DE x PARA'!$K$2:$L$2168,2,FALSE),0)</f>
        <v>0</v>
      </c>
      <c r="O299" s="344">
        <f t="shared" si="23"/>
        <v>0</v>
      </c>
    </row>
    <row r="300" spans="1:15">
      <c r="A300" s="343" t="str">
        <f t="shared" si="20"/>
        <v>3.3.2.01.0003</v>
      </c>
      <c r="B300" s="343" t="s">
        <v>968</v>
      </c>
      <c r="C300" s="343">
        <v>33213</v>
      </c>
      <c r="D300" s="94" t="s">
        <v>969</v>
      </c>
      <c r="E300" s="344">
        <v>0</v>
      </c>
      <c r="F300" s="344">
        <v>0</v>
      </c>
      <c r="G300" s="344">
        <v>-5505.66</v>
      </c>
      <c r="H300" s="344">
        <v>-5505.66</v>
      </c>
      <c r="I300" s="344">
        <v>-5505.66</v>
      </c>
      <c r="J300" s="345">
        <f t="shared" si="21"/>
        <v>-5.5056599999999998</v>
      </c>
      <c r="K300" s="908">
        <f t="shared" si="22"/>
        <v>-6</v>
      </c>
      <c r="L300" s="346">
        <f>IFERROR(VLOOKUP(C300,'DE x PARA'!C294:K2460,7,FALSE),"SINTÉTICA")</f>
        <v>500003</v>
      </c>
      <c r="M300" s="346">
        <f>IFERROR(VLOOKUP(B300,'DE x PARA'!B294:K2460,10,FALSE),"SINTÉTICA")</f>
        <v>600001</v>
      </c>
      <c r="N300" s="346">
        <f>IFERROR(VLOOKUP(M300,'DE x PARA'!$K$2:$L$2168,2,FALSE),0)</f>
        <v>0</v>
      </c>
      <c r="O300" s="344">
        <f t="shared" si="23"/>
        <v>0</v>
      </c>
    </row>
    <row r="301" spans="1:15">
      <c r="A301" s="343" t="str">
        <f t="shared" si="20"/>
        <v>3.3.6</v>
      </c>
      <c r="B301" s="343" t="s">
        <v>33</v>
      </c>
      <c r="C301" s="343">
        <v>336</v>
      </c>
      <c r="D301" s="94" t="s">
        <v>4990</v>
      </c>
      <c r="E301" s="344">
        <v>0</v>
      </c>
      <c r="F301" s="344">
        <v>0</v>
      </c>
      <c r="G301" s="344">
        <v>-3111909.17</v>
      </c>
      <c r="H301" s="344">
        <v>-3111909.17</v>
      </c>
      <c r="I301" s="344">
        <v>-3111909.17</v>
      </c>
      <c r="J301" s="345">
        <f t="shared" si="21"/>
        <v>-3111.9091699999999</v>
      </c>
      <c r="K301" s="908">
        <f t="shared" si="22"/>
        <v>-3112</v>
      </c>
      <c r="L301" s="346">
        <f>IFERROR(VLOOKUP(C301,'DE x PARA'!C295:K2461,7,FALSE),"SINTÉTICA")</f>
        <v>0</v>
      </c>
      <c r="M301" s="346">
        <f>IFERROR(VLOOKUP(B301,'DE x PARA'!B295:K2461,10,FALSE),"SINTÉTICA")</f>
        <v>0</v>
      </c>
      <c r="N301" s="346">
        <f>IFERROR(VLOOKUP(M301,'DE x PARA'!$K$2:$L$2168,2,FALSE),0)</f>
        <v>0</v>
      </c>
      <c r="O301" s="344">
        <f t="shared" si="23"/>
        <v>0</v>
      </c>
    </row>
    <row r="302" spans="1:15">
      <c r="A302" s="343" t="str">
        <f t="shared" si="20"/>
        <v>3.3.6.01</v>
      </c>
      <c r="B302" s="343" t="s">
        <v>4991</v>
      </c>
      <c r="C302" s="343">
        <v>3361</v>
      </c>
      <c r="D302" s="94" t="s">
        <v>4992</v>
      </c>
      <c r="E302" s="344">
        <v>0</v>
      </c>
      <c r="F302" s="344">
        <v>0</v>
      </c>
      <c r="G302" s="344">
        <v>-3111909.17</v>
      </c>
      <c r="H302" s="344">
        <v>-3111909.17</v>
      </c>
      <c r="I302" s="344">
        <v>-3111909.17</v>
      </c>
      <c r="J302" s="345">
        <f t="shared" si="21"/>
        <v>-3111.9091699999999</v>
      </c>
      <c r="K302" s="908">
        <f t="shared" si="22"/>
        <v>-3112</v>
      </c>
      <c r="L302" s="346">
        <f>IFERROR(VLOOKUP(C302,'DE x PARA'!C296:K2462,7,FALSE),"SINTÉTICA")</f>
        <v>0</v>
      </c>
      <c r="M302" s="346">
        <f>IFERROR(VLOOKUP(B302,'DE x PARA'!B296:K2462,10,FALSE),"SINTÉTICA")</f>
        <v>0</v>
      </c>
      <c r="N302" s="346">
        <f>IFERROR(VLOOKUP(M302,'DE x PARA'!$K$2:$L$2168,2,FALSE),0)</f>
        <v>0</v>
      </c>
      <c r="O302" s="344">
        <f t="shared" si="23"/>
        <v>0</v>
      </c>
    </row>
    <row r="303" spans="1:15">
      <c r="A303" s="343" t="str">
        <f t="shared" si="20"/>
        <v>3.3.6.01.0001</v>
      </c>
      <c r="B303" s="343" t="s">
        <v>4993</v>
      </c>
      <c r="C303" s="343">
        <v>33611</v>
      </c>
      <c r="D303" s="94" t="s">
        <v>4994</v>
      </c>
      <c r="E303" s="344">
        <v>0</v>
      </c>
      <c r="F303" s="344">
        <v>0</v>
      </c>
      <c r="G303" s="344">
        <v>-76943.62</v>
      </c>
      <c r="H303" s="344">
        <v>-76943.62</v>
      </c>
      <c r="I303" s="344">
        <v>-76943.62</v>
      </c>
      <c r="J303" s="345">
        <f t="shared" si="21"/>
        <v>-76.943619999999996</v>
      </c>
      <c r="K303" s="908">
        <f t="shared" si="22"/>
        <v>-77</v>
      </c>
      <c r="L303" s="346">
        <f>IFERROR(VLOOKUP(C303,'DE x PARA'!C297:K2463,7,FALSE),"SINTÉTICA")</f>
        <v>500003</v>
      </c>
      <c r="M303" s="346">
        <f>IFERROR(VLOOKUP(B303,'DE x PARA'!B297:K2463,10,FALSE),"SINTÉTICA")</f>
        <v>600001</v>
      </c>
      <c r="N303" s="346">
        <f>IFERROR(VLOOKUP(M303,'DE x PARA'!$K$2:$L$2168,2,FALSE),0)</f>
        <v>0</v>
      </c>
      <c r="O303" s="344">
        <f t="shared" si="23"/>
        <v>0</v>
      </c>
    </row>
    <row r="304" spans="1:15">
      <c r="A304" s="343" t="str">
        <f t="shared" si="20"/>
        <v>3.3.6.01.0003</v>
      </c>
      <c r="B304" s="343" t="s">
        <v>4997</v>
      </c>
      <c r="C304" s="343">
        <v>33613</v>
      </c>
      <c r="D304" s="94" t="s">
        <v>4998</v>
      </c>
      <c r="E304" s="344">
        <v>0</v>
      </c>
      <c r="F304" s="344">
        <v>0</v>
      </c>
      <c r="G304" s="344">
        <v>-3034965.55</v>
      </c>
      <c r="H304" s="344">
        <v>-3034965.55</v>
      </c>
      <c r="I304" s="344">
        <v>-3034965.55</v>
      </c>
      <c r="J304" s="345">
        <f t="shared" si="21"/>
        <v>-3034.9655499999999</v>
      </c>
      <c r="K304" s="908">
        <f t="shared" si="22"/>
        <v>-3035</v>
      </c>
      <c r="L304" s="346">
        <f>IFERROR(VLOOKUP(C304,'DE x PARA'!C298:K2464,7,FALSE),"SINTÉTICA")</f>
        <v>500003</v>
      </c>
      <c r="M304" s="346">
        <f>IFERROR(VLOOKUP(B304,'DE x PARA'!B298:K2464,10,FALSE),"SINTÉTICA")</f>
        <v>600001</v>
      </c>
      <c r="N304" s="346">
        <f>IFERROR(VLOOKUP(M304,'DE x PARA'!$K$2:$L$2168,2,FALSE),0)</f>
        <v>0</v>
      </c>
      <c r="O304" s="344">
        <f t="shared" si="23"/>
        <v>0</v>
      </c>
    </row>
    <row r="305" spans="1:15">
      <c r="A305" s="343" t="str">
        <f t="shared" si="20"/>
        <v>3.3.9</v>
      </c>
      <c r="B305" s="343" t="s">
        <v>5003</v>
      </c>
      <c r="C305" s="343">
        <v>339</v>
      </c>
      <c r="D305" s="94" t="s">
        <v>186</v>
      </c>
      <c r="E305" s="344">
        <v>0</v>
      </c>
      <c r="F305" s="344">
        <v>1084829.8400000001</v>
      </c>
      <c r="G305" s="344">
        <v>-1084829.8400000001</v>
      </c>
      <c r="H305" s="344">
        <v>0</v>
      </c>
      <c r="I305" s="344">
        <v>0</v>
      </c>
      <c r="J305" s="345">
        <f t="shared" si="21"/>
        <v>0</v>
      </c>
      <c r="K305" s="908">
        <f t="shared" si="22"/>
        <v>0</v>
      </c>
      <c r="L305" s="346">
        <f>IFERROR(VLOOKUP(C305,'DE x PARA'!C299:K2465,7,FALSE),"SINTÉTICA")</f>
        <v>0</v>
      </c>
      <c r="M305" s="346">
        <f>IFERROR(VLOOKUP(B305,'DE x PARA'!B299:K2465,10,FALSE),"SINTÉTICA")</f>
        <v>0</v>
      </c>
      <c r="N305" s="346">
        <f>IFERROR(VLOOKUP(M305,'DE x PARA'!$K$2:$L$2168,2,FALSE),0)</f>
        <v>0</v>
      </c>
      <c r="O305" s="344">
        <f t="shared" si="23"/>
        <v>0</v>
      </c>
    </row>
    <row r="306" spans="1:15">
      <c r="A306" s="343" t="str">
        <f t="shared" si="20"/>
        <v>3.3.9.99</v>
      </c>
      <c r="B306" s="343" t="s">
        <v>5044</v>
      </c>
      <c r="C306" s="343">
        <v>33999</v>
      </c>
      <c r="D306" s="94" t="s">
        <v>186</v>
      </c>
      <c r="E306" s="344">
        <v>0</v>
      </c>
      <c r="F306" s="344">
        <v>1084829.8400000001</v>
      </c>
      <c r="G306" s="344">
        <v>-1084829.8400000001</v>
      </c>
      <c r="H306" s="344">
        <v>0</v>
      </c>
      <c r="I306" s="344">
        <v>0</v>
      </c>
      <c r="J306" s="345">
        <f t="shared" si="21"/>
        <v>0</v>
      </c>
      <c r="K306" s="908">
        <f t="shared" si="22"/>
        <v>0</v>
      </c>
      <c r="L306" s="346">
        <f>IFERROR(VLOOKUP(C306,'DE x PARA'!C300:K2466,7,FALSE),"SINTÉTICA")</f>
        <v>0</v>
      </c>
      <c r="M306" s="346">
        <f>IFERROR(VLOOKUP(B306,'DE x PARA'!B300:K2466,10,FALSE),"SINTÉTICA")</f>
        <v>0</v>
      </c>
      <c r="N306" s="346">
        <f>IFERROR(VLOOKUP(M306,'DE x PARA'!$K$2:$L$2168,2,FALSE),0)</f>
        <v>0</v>
      </c>
      <c r="O306" s="344">
        <f t="shared" si="23"/>
        <v>0</v>
      </c>
    </row>
    <row r="307" spans="1:15">
      <c r="A307" s="343" t="str">
        <f t="shared" si="20"/>
        <v>3.3.9.99.0001</v>
      </c>
      <c r="B307" s="343" t="s">
        <v>5045</v>
      </c>
      <c r="C307" s="343">
        <v>339991</v>
      </c>
      <c r="D307" s="94" t="s">
        <v>186</v>
      </c>
      <c r="E307" s="344">
        <v>0</v>
      </c>
      <c r="F307" s="344">
        <v>1084829.8400000001</v>
      </c>
      <c r="G307" s="344">
        <v>-1084829.8400000001</v>
      </c>
      <c r="H307" s="344">
        <v>0</v>
      </c>
      <c r="I307" s="344">
        <v>0</v>
      </c>
      <c r="J307" s="345">
        <f t="shared" si="21"/>
        <v>0</v>
      </c>
      <c r="K307" s="908">
        <f t="shared" si="22"/>
        <v>0</v>
      </c>
      <c r="L307" s="346">
        <f>IFERROR(VLOOKUP(C307,'DE x PARA'!C301:K2467,7,FALSE),"SINTÉTICA")</f>
        <v>500003</v>
      </c>
      <c r="M307" s="346">
        <f>IFERROR(VLOOKUP(B307,'DE x PARA'!B301:K2467,10,FALSE),"SINTÉTICA")</f>
        <v>600001</v>
      </c>
      <c r="N307" s="346">
        <f>IFERROR(VLOOKUP(M307,'DE x PARA'!$K$2:$L$2168,2,FALSE),0)</f>
        <v>0</v>
      </c>
      <c r="O307" s="344">
        <f t="shared" si="23"/>
        <v>0</v>
      </c>
    </row>
    <row r="308" spans="1:15">
      <c r="A308" s="343">
        <f t="shared" si="20"/>
        <v>4</v>
      </c>
      <c r="B308" s="343">
        <v>4</v>
      </c>
      <c r="C308" s="343">
        <v>4</v>
      </c>
      <c r="D308" s="94" t="s">
        <v>970</v>
      </c>
      <c r="E308" s="344">
        <v>0</v>
      </c>
      <c r="F308" s="344">
        <v>103615443.20999999</v>
      </c>
      <c r="G308" s="344">
        <v>-5494250.0999999996</v>
      </c>
      <c r="H308" s="344">
        <v>98121193.109999999</v>
      </c>
      <c r="I308" s="344">
        <v>98121193.109999999</v>
      </c>
      <c r="J308" s="345">
        <f t="shared" si="21"/>
        <v>98121.193109999993</v>
      </c>
      <c r="K308" s="908">
        <f t="shared" si="22"/>
        <v>98121</v>
      </c>
      <c r="L308" s="346">
        <f>IFERROR(VLOOKUP(C308,'DE x PARA'!C302:K2468,7,FALSE),"SINTÉTICA")</f>
        <v>0</v>
      </c>
      <c r="M308" s="346">
        <f>IFERROR(VLOOKUP(B308,'DE x PARA'!B302:K2468,10,FALSE),"SINTÉTICA")</f>
        <v>0</v>
      </c>
      <c r="N308" s="346">
        <f>IFERROR(VLOOKUP(M308,'DE x PARA'!$K$2:$L$2168,2,FALSE),0)</f>
        <v>0</v>
      </c>
      <c r="O308" s="344">
        <f t="shared" si="23"/>
        <v>0</v>
      </c>
    </row>
    <row r="309" spans="1:15">
      <c r="A309" s="343" t="str">
        <f t="shared" si="20"/>
        <v>4.1</v>
      </c>
      <c r="B309" s="343" t="s">
        <v>971</v>
      </c>
      <c r="C309" s="343">
        <v>41</v>
      </c>
      <c r="D309" s="94" t="s">
        <v>972</v>
      </c>
      <c r="E309" s="344">
        <v>0</v>
      </c>
      <c r="F309" s="344">
        <v>65471324.649999999</v>
      </c>
      <c r="G309" s="344">
        <v>-3675122.5</v>
      </c>
      <c r="H309" s="344">
        <v>61796202.149999999</v>
      </c>
      <c r="I309" s="344">
        <v>61796202.149999999</v>
      </c>
      <c r="J309" s="345">
        <f t="shared" si="21"/>
        <v>61796.202149999997</v>
      </c>
      <c r="K309" s="908">
        <f t="shared" si="22"/>
        <v>61796</v>
      </c>
      <c r="L309" s="346">
        <f>IFERROR(VLOOKUP(C309,'DE x PARA'!C303:K2469,7,FALSE),"SINTÉTICA")</f>
        <v>0</v>
      </c>
      <c r="M309" s="346">
        <f>IFERROR(VLOOKUP(B309,'DE x PARA'!B303:K2469,10,FALSE),"SINTÉTICA")</f>
        <v>0</v>
      </c>
      <c r="N309" s="346">
        <f>IFERROR(VLOOKUP(M309,'DE x PARA'!$K$2:$L$2168,2,FALSE),0)</f>
        <v>0</v>
      </c>
      <c r="O309" s="344">
        <f t="shared" si="23"/>
        <v>0</v>
      </c>
    </row>
    <row r="310" spans="1:15">
      <c r="A310" s="343" t="str">
        <f t="shared" si="20"/>
        <v>4.1.1</v>
      </c>
      <c r="B310" s="348" t="s">
        <v>973</v>
      </c>
      <c r="C310" s="346">
        <v>411</v>
      </c>
      <c r="D310" s="346" t="s">
        <v>974</v>
      </c>
      <c r="E310" s="346">
        <v>0</v>
      </c>
      <c r="F310" s="1026">
        <v>55210890.840000004</v>
      </c>
      <c r="G310" s="1026">
        <v>-2759424.81</v>
      </c>
      <c r="H310" s="349">
        <v>52451466.030000001</v>
      </c>
      <c r="I310" s="1026">
        <v>52451466.030000001</v>
      </c>
      <c r="J310" s="345">
        <f t="shared" si="21"/>
        <v>52451.466030000003</v>
      </c>
      <c r="K310" s="908">
        <f t="shared" si="22"/>
        <v>52451</v>
      </c>
      <c r="L310" s="346">
        <f>IFERROR(VLOOKUP(C310,'DE x PARA'!C304:K2470,7,FALSE),"SINTÉTICA")</f>
        <v>0</v>
      </c>
      <c r="M310" s="346">
        <f>IFERROR(VLOOKUP(B310,'DE x PARA'!B304:K2470,10,FALSE),"SINTÉTICA")</f>
        <v>0</v>
      </c>
      <c r="N310" s="346">
        <f>IFERROR(VLOOKUP(M310,'DE x PARA'!$K$2:$L$2168,2,FALSE),0)</f>
        <v>0</v>
      </c>
      <c r="O310" s="344">
        <f t="shared" si="23"/>
        <v>0</v>
      </c>
    </row>
    <row r="311" spans="1:15">
      <c r="A311" s="343" t="str">
        <f t="shared" si="20"/>
        <v>4.1.1.01</v>
      </c>
      <c r="B311" s="348" t="s">
        <v>975</v>
      </c>
      <c r="C311" s="346">
        <v>4111</v>
      </c>
      <c r="D311" s="346" t="s">
        <v>976</v>
      </c>
      <c r="E311" s="346">
        <v>0</v>
      </c>
      <c r="F311" s="1026">
        <v>37947602.229999997</v>
      </c>
      <c r="G311" s="1026">
        <v>-2266382.91</v>
      </c>
      <c r="H311" s="349">
        <v>35681219.32</v>
      </c>
      <c r="I311" s="1026">
        <v>35681219.32</v>
      </c>
      <c r="J311" s="345">
        <f t="shared" si="21"/>
        <v>35681.219320000004</v>
      </c>
      <c r="K311" s="908">
        <f t="shared" si="22"/>
        <v>35681</v>
      </c>
      <c r="L311" s="346">
        <f>IFERROR(VLOOKUP(C311,'DE x PARA'!C305:K2471,7,FALSE),"SINTÉTICA")</f>
        <v>0</v>
      </c>
      <c r="M311" s="346">
        <f>IFERROR(VLOOKUP(B311,'DE x PARA'!B305:K2471,10,FALSE),"SINTÉTICA")</f>
        <v>0</v>
      </c>
      <c r="N311" s="346">
        <f>IFERROR(VLOOKUP(M311,'DE x PARA'!$K$2:$L$2168,2,FALSE),0)</f>
        <v>0</v>
      </c>
      <c r="O311" s="344">
        <f t="shared" si="23"/>
        <v>0</v>
      </c>
    </row>
    <row r="312" spans="1:15">
      <c r="A312" s="343" t="str">
        <f t="shared" si="20"/>
        <v>4.1.1.01.0001</v>
      </c>
      <c r="B312" s="348" t="s">
        <v>977</v>
      </c>
      <c r="C312" s="346">
        <v>41111</v>
      </c>
      <c r="D312" s="346" t="s">
        <v>978</v>
      </c>
      <c r="E312" s="346">
        <v>0</v>
      </c>
      <c r="F312" s="1026">
        <v>29414219.260000002</v>
      </c>
      <c r="G312" s="1026">
        <v>-845830.42</v>
      </c>
      <c r="H312" s="349">
        <v>28568388.84</v>
      </c>
      <c r="I312" s="1026">
        <v>28568388.84</v>
      </c>
      <c r="J312" s="345">
        <f t="shared" si="21"/>
        <v>28568.38884</v>
      </c>
      <c r="K312" s="908">
        <f t="shared" si="22"/>
        <v>28568</v>
      </c>
      <c r="L312" s="346">
        <f>IFERROR(VLOOKUP(C312,'DE x PARA'!C306:K2472,7,FALSE),"SINTÉTICA")</f>
        <v>500008</v>
      </c>
      <c r="M312" s="346">
        <f>IFERROR(VLOOKUP(B312,'DE x PARA'!B306:K2472,10,FALSE),"SINTÉTICA")</f>
        <v>600001</v>
      </c>
      <c r="N312" s="346">
        <f>IFERROR(VLOOKUP(M312,'DE x PARA'!$K$2:$L$2168,2,FALSE),0)</f>
        <v>0</v>
      </c>
      <c r="O312" s="344">
        <f t="shared" si="23"/>
        <v>0</v>
      </c>
    </row>
    <row r="313" spans="1:15">
      <c r="A313" s="343" t="str">
        <f t="shared" si="20"/>
        <v>4.1.1.01.0007</v>
      </c>
      <c r="B313" s="348" t="s">
        <v>979</v>
      </c>
      <c r="C313" s="346">
        <v>41117</v>
      </c>
      <c r="D313" s="346" t="s">
        <v>980</v>
      </c>
      <c r="E313" s="346">
        <v>0</v>
      </c>
      <c r="F313" s="1026">
        <v>5129777.41</v>
      </c>
      <c r="G313" s="1026">
        <v>-1420158.83</v>
      </c>
      <c r="H313" s="349">
        <v>3709618.58</v>
      </c>
      <c r="I313" s="1026">
        <v>3709618.58</v>
      </c>
      <c r="J313" s="345">
        <f t="shared" si="21"/>
        <v>3709.6185800000003</v>
      </c>
      <c r="K313" s="908">
        <f t="shared" si="22"/>
        <v>3710</v>
      </c>
      <c r="L313" s="346">
        <f>IFERROR(VLOOKUP(C313,'DE x PARA'!C307:K2473,7,FALSE),"SINTÉTICA")</f>
        <v>500008</v>
      </c>
      <c r="M313" s="346">
        <f>IFERROR(VLOOKUP(B313,'DE x PARA'!B307:K2473,10,FALSE),"SINTÉTICA")</f>
        <v>600001</v>
      </c>
      <c r="N313" s="346">
        <f>IFERROR(VLOOKUP(M313,'DE x PARA'!$K$2:$L$2168,2,FALSE),0)</f>
        <v>0</v>
      </c>
      <c r="O313" s="344">
        <f t="shared" si="23"/>
        <v>0</v>
      </c>
    </row>
    <row r="314" spans="1:15">
      <c r="A314" s="343" t="str">
        <f t="shared" si="20"/>
        <v>4.1.1.01.0008</v>
      </c>
      <c r="B314" s="348" t="s">
        <v>981</v>
      </c>
      <c r="C314" s="346">
        <v>41118</v>
      </c>
      <c r="D314" s="346" t="s">
        <v>982</v>
      </c>
      <c r="E314" s="346">
        <v>0</v>
      </c>
      <c r="F314" s="1026">
        <v>533394.57999999996</v>
      </c>
      <c r="G314" s="346">
        <v>0</v>
      </c>
      <c r="H314" s="349">
        <v>533394.57999999996</v>
      </c>
      <c r="I314" s="1026">
        <v>533394.57999999996</v>
      </c>
      <c r="J314" s="345">
        <f t="shared" si="21"/>
        <v>533.39457999999991</v>
      </c>
      <c r="K314" s="908">
        <f t="shared" si="22"/>
        <v>533</v>
      </c>
      <c r="L314" s="346">
        <f>IFERROR(VLOOKUP(C314,'DE x PARA'!C308:K2474,7,FALSE),"SINTÉTICA")</f>
        <v>500008</v>
      </c>
      <c r="M314" s="346">
        <f>IFERROR(VLOOKUP(B314,'DE x PARA'!B308:K2474,10,FALSE),"SINTÉTICA")</f>
        <v>600001</v>
      </c>
      <c r="N314" s="346">
        <f>IFERROR(VLOOKUP(M314,'DE x PARA'!$K$2:$L$2168,2,FALSE),0)</f>
        <v>0</v>
      </c>
      <c r="O314" s="344">
        <f t="shared" si="23"/>
        <v>0</v>
      </c>
    </row>
    <row r="315" spans="1:15">
      <c r="A315" s="343" t="str">
        <f t="shared" si="20"/>
        <v>4.1.1.01.0009</v>
      </c>
      <c r="B315" s="348" t="s">
        <v>983</v>
      </c>
      <c r="C315" s="346">
        <v>41119</v>
      </c>
      <c r="D315" s="346" t="s">
        <v>984</v>
      </c>
      <c r="E315" s="346">
        <v>0</v>
      </c>
      <c r="F315" s="1026">
        <v>2731679.22</v>
      </c>
      <c r="G315" s="1026">
        <v>-393.66</v>
      </c>
      <c r="H315" s="349">
        <v>2731285.56</v>
      </c>
      <c r="I315" s="1026">
        <v>2731285.56</v>
      </c>
      <c r="J315" s="345">
        <f t="shared" si="21"/>
        <v>2731.2855600000003</v>
      </c>
      <c r="K315" s="908">
        <f t="shared" si="22"/>
        <v>2731</v>
      </c>
      <c r="L315" s="346">
        <f>IFERROR(VLOOKUP(C315,'DE x PARA'!C309:K2475,7,FALSE),"SINTÉTICA")</f>
        <v>500008</v>
      </c>
      <c r="M315" s="346">
        <f>IFERROR(VLOOKUP(B315,'DE x PARA'!B309:K2475,10,FALSE),"SINTÉTICA")</f>
        <v>600001</v>
      </c>
      <c r="N315" s="346">
        <f>IFERROR(VLOOKUP(M315,'DE x PARA'!$K$2:$L$2168,2,FALSE),0)</f>
        <v>0</v>
      </c>
      <c r="O315" s="344">
        <f t="shared" si="23"/>
        <v>0</v>
      </c>
    </row>
    <row r="316" spans="1:15">
      <c r="A316" s="343" t="str">
        <f t="shared" si="20"/>
        <v>4.1.1.01.0013</v>
      </c>
      <c r="B316" s="348" t="s">
        <v>987</v>
      </c>
      <c r="C316" s="346">
        <v>411113</v>
      </c>
      <c r="D316" s="346" t="s">
        <v>988</v>
      </c>
      <c r="E316" s="346">
        <v>0</v>
      </c>
      <c r="F316" s="1026">
        <v>60943.23</v>
      </c>
      <c r="G316" s="1026">
        <v>0</v>
      </c>
      <c r="H316" s="349">
        <v>60943.23</v>
      </c>
      <c r="I316" s="1026">
        <v>60943.23</v>
      </c>
      <c r="J316" s="345">
        <f t="shared" si="21"/>
        <v>60.94323</v>
      </c>
      <c r="K316" s="908">
        <f t="shared" si="22"/>
        <v>61</v>
      </c>
      <c r="L316" s="346">
        <f>IFERROR(VLOOKUP(C316,'DE x PARA'!C310:K2476,7,FALSE),"SINTÉTICA")</f>
        <v>500008</v>
      </c>
      <c r="M316" s="346">
        <f>IFERROR(VLOOKUP(B316,'DE x PARA'!B310:K2476,10,FALSE),"SINTÉTICA")</f>
        <v>600001</v>
      </c>
      <c r="N316" s="346">
        <f>IFERROR(VLOOKUP(M316,'DE x PARA'!$K$2:$L$2168,2,FALSE),0)</f>
        <v>0</v>
      </c>
      <c r="O316" s="344">
        <f t="shared" si="23"/>
        <v>0</v>
      </c>
    </row>
    <row r="317" spans="1:15">
      <c r="A317" s="343" t="str">
        <f t="shared" si="20"/>
        <v>4.1.1.01.0014</v>
      </c>
      <c r="B317" s="348" t="s">
        <v>989</v>
      </c>
      <c r="C317" s="346">
        <v>411114</v>
      </c>
      <c r="D317" s="346" t="s">
        <v>990</v>
      </c>
      <c r="E317" s="346">
        <v>0</v>
      </c>
      <c r="F317" s="1026">
        <v>77588.53</v>
      </c>
      <c r="G317" s="1026">
        <v>0</v>
      </c>
      <c r="H317" s="349">
        <v>77588.53</v>
      </c>
      <c r="I317" s="1026">
        <v>77588.53</v>
      </c>
      <c r="J317" s="345">
        <f t="shared" si="21"/>
        <v>77.588530000000006</v>
      </c>
      <c r="K317" s="908">
        <f t="shared" si="22"/>
        <v>78</v>
      </c>
      <c r="L317" s="346">
        <f>IFERROR(VLOOKUP(C317,'DE x PARA'!C311:K2477,7,FALSE),"SINTÉTICA")</f>
        <v>500008</v>
      </c>
      <c r="M317" s="346">
        <f>IFERROR(VLOOKUP(B317,'DE x PARA'!B311:K2477,10,FALSE),"SINTÉTICA")</f>
        <v>600001</v>
      </c>
      <c r="N317" s="346">
        <f>IFERROR(VLOOKUP(M317,'DE x PARA'!$K$2:$L$2168,2,FALSE),0)</f>
        <v>0</v>
      </c>
      <c r="O317" s="344">
        <f t="shared" si="23"/>
        <v>0</v>
      </c>
    </row>
    <row r="318" spans="1:15">
      <c r="A318" s="343" t="str">
        <f t="shared" si="20"/>
        <v>4.1.1.02</v>
      </c>
      <c r="B318" s="348" t="s">
        <v>991</v>
      </c>
      <c r="C318" s="346">
        <v>4112</v>
      </c>
      <c r="D318" s="346" t="s">
        <v>8</v>
      </c>
      <c r="E318" s="346">
        <v>0</v>
      </c>
      <c r="F318" s="1026">
        <v>11447455.619999999</v>
      </c>
      <c r="G318" s="1026">
        <v>-472618.39</v>
      </c>
      <c r="H318" s="349">
        <v>10974837.23</v>
      </c>
      <c r="I318" s="1026">
        <v>10974837.23</v>
      </c>
      <c r="J318" s="345">
        <f t="shared" si="21"/>
        <v>10974.837230000001</v>
      </c>
      <c r="K318" s="908">
        <f t="shared" si="22"/>
        <v>10975</v>
      </c>
      <c r="L318" s="346">
        <f>IFERROR(VLOOKUP(C318,'DE x PARA'!C312:K2478,7,FALSE),"SINTÉTICA")</f>
        <v>0</v>
      </c>
      <c r="M318" s="346">
        <f>IFERROR(VLOOKUP(B318,'DE x PARA'!B312:K2478,10,FALSE),"SINTÉTICA")</f>
        <v>0</v>
      </c>
      <c r="N318" s="346">
        <f>IFERROR(VLOOKUP(M318,'DE x PARA'!$K$2:$L$2168,2,FALSE),0)</f>
        <v>0</v>
      </c>
      <c r="O318" s="344">
        <f t="shared" si="23"/>
        <v>0</v>
      </c>
    </row>
    <row r="319" spans="1:15">
      <c r="A319" s="343" t="str">
        <f t="shared" si="20"/>
        <v>4.1.1.02.0001</v>
      </c>
      <c r="B319" s="348" t="s">
        <v>992</v>
      </c>
      <c r="C319" s="346">
        <v>41121</v>
      </c>
      <c r="D319" s="346" t="s">
        <v>874</v>
      </c>
      <c r="E319" s="346">
        <v>0</v>
      </c>
      <c r="F319" s="1026">
        <v>6698474.7699999996</v>
      </c>
      <c r="G319" s="1026">
        <v>-0.75</v>
      </c>
      <c r="H319" s="349">
        <v>6698474.0199999996</v>
      </c>
      <c r="I319" s="1026">
        <v>6698474.0199999996</v>
      </c>
      <c r="J319" s="345">
        <f t="shared" si="21"/>
        <v>6698.4740199999997</v>
      </c>
      <c r="K319" s="908">
        <f t="shared" si="22"/>
        <v>6698</v>
      </c>
      <c r="L319" s="346">
        <f>IFERROR(VLOOKUP(C319,'DE x PARA'!C313:K2479,7,FALSE),"SINTÉTICA")</f>
        <v>500012</v>
      </c>
      <c r="M319" s="346">
        <f>IFERROR(VLOOKUP(B319,'DE x PARA'!B313:K2479,10,FALSE),"SINTÉTICA")</f>
        <v>600001</v>
      </c>
      <c r="N319" s="346">
        <f>IFERROR(VLOOKUP(M319,'DE x PARA'!$K$2:$L$2168,2,FALSE),0)</f>
        <v>0</v>
      </c>
      <c r="O319" s="344">
        <f t="shared" si="23"/>
        <v>0</v>
      </c>
    </row>
    <row r="320" spans="1:15">
      <c r="A320" s="343" t="str">
        <f t="shared" si="20"/>
        <v>4.1.1.02.0002</v>
      </c>
      <c r="B320" s="348" t="s">
        <v>993</v>
      </c>
      <c r="C320" s="346">
        <v>41122</v>
      </c>
      <c r="D320" s="346" t="s">
        <v>198</v>
      </c>
      <c r="E320" s="346">
        <v>0</v>
      </c>
      <c r="F320" s="1026">
        <v>2391062.66</v>
      </c>
      <c r="G320" s="1026">
        <v>-5.26</v>
      </c>
      <c r="H320" s="349">
        <v>2391057.4</v>
      </c>
      <c r="I320" s="1026">
        <v>2391057.4</v>
      </c>
      <c r="J320" s="345">
        <f t="shared" si="21"/>
        <v>2391.0573999999997</v>
      </c>
      <c r="K320" s="908">
        <f t="shared" si="22"/>
        <v>2391</v>
      </c>
      <c r="L320" s="346">
        <f>IFERROR(VLOOKUP(C320,'DE x PARA'!C314:K2480,7,FALSE),"SINTÉTICA")</f>
        <v>500010</v>
      </c>
      <c r="M320" s="346">
        <f>IFERROR(VLOOKUP(B320,'DE x PARA'!B314:K2480,10,FALSE),"SINTÉTICA")</f>
        <v>600001</v>
      </c>
      <c r="N320" s="346">
        <f>IFERROR(VLOOKUP(M320,'DE x PARA'!$K$2:$L$2168,2,FALSE),0)</f>
        <v>0</v>
      </c>
      <c r="O320" s="344">
        <f t="shared" si="23"/>
        <v>0</v>
      </c>
    </row>
    <row r="321" spans="1:15">
      <c r="A321" s="343" t="str">
        <f t="shared" si="20"/>
        <v>4.1.1.02.0004</v>
      </c>
      <c r="B321" s="348" t="s">
        <v>994</v>
      </c>
      <c r="C321" s="346">
        <v>41124</v>
      </c>
      <c r="D321" s="346" t="s">
        <v>995</v>
      </c>
      <c r="E321" s="346">
        <v>0</v>
      </c>
      <c r="F321" s="1026">
        <v>614103.6</v>
      </c>
      <c r="G321" s="1026">
        <v>-0.54</v>
      </c>
      <c r="H321" s="349">
        <v>614103.06000000006</v>
      </c>
      <c r="I321" s="1026">
        <v>614103.06000000006</v>
      </c>
      <c r="J321" s="345">
        <f t="shared" si="21"/>
        <v>614.10306000000003</v>
      </c>
      <c r="K321" s="908">
        <f t="shared" si="22"/>
        <v>614</v>
      </c>
      <c r="L321" s="346">
        <f>IFERROR(VLOOKUP(C321,'DE x PARA'!C315:K2481,7,FALSE),"SINTÉTICA")</f>
        <v>500012</v>
      </c>
      <c r="M321" s="346">
        <f>IFERROR(VLOOKUP(B321,'DE x PARA'!B315:K2481,10,FALSE),"SINTÉTICA")</f>
        <v>600001</v>
      </c>
      <c r="N321" s="346">
        <f>IFERROR(VLOOKUP(M321,'DE x PARA'!$K$2:$L$2168,2,FALSE),0)</f>
        <v>0</v>
      </c>
      <c r="O321" s="344">
        <f t="shared" si="23"/>
        <v>0</v>
      </c>
    </row>
    <row r="322" spans="1:15">
      <c r="A322" s="343" t="str">
        <f t="shared" si="20"/>
        <v>4.1.1.02.0005</v>
      </c>
      <c r="B322" s="348" t="s">
        <v>996</v>
      </c>
      <c r="C322" s="346">
        <v>41125</v>
      </c>
      <c r="D322" s="346" t="s">
        <v>997</v>
      </c>
      <c r="E322" s="346">
        <v>0</v>
      </c>
      <c r="F322" s="1026">
        <v>1120814.49</v>
      </c>
      <c r="G322" s="1026">
        <v>-350592.88</v>
      </c>
      <c r="H322" s="349">
        <v>770221.61</v>
      </c>
      <c r="I322" s="1026">
        <v>770221.61</v>
      </c>
      <c r="J322" s="345">
        <f t="shared" si="21"/>
        <v>770.22160999999994</v>
      </c>
      <c r="K322" s="908">
        <f t="shared" si="22"/>
        <v>770</v>
      </c>
      <c r="L322" s="346">
        <f>IFERROR(VLOOKUP(C322,'DE x PARA'!C316:K2482,7,FALSE),"SINTÉTICA")</f>
        <v>500012</v>
      </c>
      <c r="M322" s="346">
        <f>IFERROR(VLOOKUP(B322,'DE x PARA'!B316:K2482,10,FALSE),"SINTÉTICA")</f>
        <v>600001</v>
      </c>
      <c r="N322" s="346">
        <f>IFERROR(VLOOKUP(M322,'DE x PARA'!$K$2:$L$2168,2,FALSE),0)</f>
        <v>0</v>
      </c>
      <c r="O322" s="344">
        <f t="shared" si="23"/>
        <v>0</v>
      </c>
    </row>
    <row r="323" spans="1:15">
      <c r="A323" s="343" t="str">
        <f t="shared" si="20"/>
        <v>4.1.1.02.0006</v>
      </c>
      <c r="B323" s="348" t="s">
        <v>998</v>
      </c>
      <c r="C323" s="346">
        <v>41126</v>
      </c>
      <c r="D323" s="346" t="s">
        <v>999</v>
      </c>
      <c r="E323" s="346">
        <v>0</v>
      </c>
      <c r="F323" s="1026">
        <v>397675.15</v>
      </c>
      <c r="G323" s="1026">
        <v>-122018.1</v>
      </c>
      <c r="H323" s="349">
        <v>275657.05</v>
      </c>
      <c r="I323" s="1026">
        <v>275657.05</v>
      </c>
      <c r="J323" s="345">
        <f t="shared" si="21"/>
        <v>275.65704999999997</v>
      </c>
      <c r="K323" s="908">
        <f t="shared" si="22"/>
        <v>276</v>
      </c>
      <c r="L323" s="346">
        <f>IFERROR(VLOOKUP(C323,'DE x PARA'!C317:K2483,7,FALSE),"SINTÉTICA")</f>
        <v>500010</v>
      </c>
      <c r="M323" s="346">
        <f>IFERROR(VLOOKUP(B323,'DE x PARA'!B317:K2483,10,FALSE),"SINTÉTICA")</f>
        <v>600001</v>
      </c>
      <c r="N323" s="346">
        <f>IFERROR(VLOOKUP(M323,'DE x PARA'!$K$2:$L$2168,2,FALSE),0)</f>
        <v>0</v>
      </c>
      <c r="O323" s="344">
        <f t="shared" si="23"/>
        <v>0</v>
      </c>
    </row>
    <row r="324" spans="1:15">
      <c r="A324" s="343" t="str">
        <f t="shared" si="20"/>
        <v>4.1.1.02.0007</v>
      </c>
      <c r="B324" s="348" t="s">
        <v>1000</v>
      </c>
      <c r="C324" s="346">
        <v>41127</v>
      </c>
      <c r="D324" s="346" t="s">
        <v>1001</v>
      </c>
      <c r="E324" s="346">
        <v>0</v>
      </c>
      <c r="F324" s="1026">
        <v>225324.95</v>
      </c>
      <c r="G324" s="1026">
        <v>-0.86</v>
      </c>
      <c r="H324" s="349">
        <v>225324.09</v>
      </c>
      <c r="I324" s="1026">
        <v>225324.09</v>
      </c>
      <c r="J324" s="345">
        <f t="shared" si="21"/>
        <v>225.32408999999998</v>
      </c>
      <c r="K324" s="908">
        <f t="shared" si="22"/>
        <v>225</v>
      </c>
      <c r="L324" s="346">
        <f>IFERROR(VLOOKUP(C324,'DE x PARA'!C318:K2484,7,FALSE),"SINTÉTICA")</f>
        <v>500010</v>
      </c>
      <c r="M324" s="346">
        <f>IFERROR(VLOOKUP(B324,'DE x PARA'!B318:K2484,10,FALSE),"SINTÉTICA")</f>
        <v>600001</v>
      </c>
      <c r="N324" s="346">
        <f>IFERROR(VLOOKUP(M324,'DE x PARA'!$K$2:$L$2168,2,FALSE),0)</f>
        <v>0</v>
      </c>
      <c r="O324" s="344">
        <f t="shared" si="23"/>
        <v>0</v>
      </c>
    </row>
    <row r="325" spans="1:15">
      <c r="A325" s="343" t="str">
        <f t="shared" si="20"/>
        <v>4.1.1.03</v>
      </c>
      <c r="B325" s="348" t="s">
        <v>1002</v>
      </c>
      <c r="C325" s="346">
        <v>4113</v>
      </c>
      <c r="D325" s="346" t="s">
        <v>9</v>
      </c>
      <c r="E325" s="346">
        <v>0</v>
      </c>
      <c r="F325" s="1026">
        <v>5815832.9900000002</v>
      </c>
      <c r="G325" s="1026">
        <v>-20423.509999999998</v>
      </c>
      <c r="H325" s="349">
        <v>5795409.4800000004</v>
      </c>
      <c r="I325" s="1026">
        <v>5795409.4800000004</v>
      </c>
      <c r="J325" s="345">
        <f t="shared" si="21"/>
        <v>5795.4094800000003</v>
      </c>
      <c r="K325" s="908">
        <f t="shared" si="22"/>
        <v>5795</v>
      </c>
      <c r="L325" s="346">
        <f>IFERROR(VLOOKUP(C325,'DE x PARA'!C319:K2485,7,FALSE),"SINTÉTICA")</f>
        <v>0</v>
      </c>
      <c r="M325" s="346">
        <f>IFERROR(VLOOKUP(B325,'DE x PARA'!B319:K2485,10,FALSE),"SINTÉTICA")</f>
        <v>0</v>
      </c>
      <c r="N325" s="346">
        <f>IFERROR(VLOOKUP(M325,'DE x PARA'!$K$2:$L$2168,2,FALSE),0)</f>
        <v>0</v>
      </c>
      <c r="O325" s="344">
        <f t="shared" si="23"/>
        <v>0</v>
      </c>
    </row>
    <row r="326" spans="1:15">
      <c r="A326" s="343" t="str">
        <f t="shared" si="20"/>
        <v>4.1.1.03.0001</v>
      </c>
      <c r="B326" s="348" t="s">
        <v>1003</v>
      </c>
      <c r="C326" s="346">
        <v>41131</v>
      </c>
      <c r="D326" s="346" t="s">
        <v>907</v>
      </c>
      <c r="E326" s="346">
        <v>0</v>
      </c>
      <c r="F326" s="1026">
        <v>2092945.44</v>
      </c>
      <c r="G326" s="1026">
        <v>-3722.65</v>
      </c>
      <c r="H326" s="349">
        <v>2089222.79</v>
      </c>
      <c r="I326" s="1026">
        <v>2089222.79</v>
      </c>
      <c r="J326" s="345">
        <f t="shared" si="21"/>
        <v>2089.2227900000003</v>
      </c>
      <c r="K326" s="908">
        <f t="shared" si="22"/>
        <v>2089</v>
      </c>
      <c r="L326" s="346">
        <f>IFERROR(VLOOKUP(C326,'DE x PARA'!C320:K2486,7,FALSE),"SINTÉTICA")</f>
        <v>500009</v>
      </c>
      <c r="M326" s="346">
        <f>IFERROR(VLOOKUP(B326,'DE x PARA'!B320:K2486,10,FALSE),"SINTÉTICA")</f>
        <v>600001</v>
      </c>
      <c r="N326" s="346">
        <f>IFERROR(VLOOKUP(M326,'DE x PARA'!$K$2:$L$2168,2,FALSE),0)</f>
        <v>0</v>
      </c>
      <c r="O326" s="344">
        <f t="shared" si="23"/>
        <v>0</v>
      </c>
    </row>
    <row r="327" spans="1:15">
      <c r="A327" s="343" t="str">
        <f t="shared" si="20"/>
        <v>4.1.1.03.0002</v>
      </c>
      <c r="B327" s="348" t="s">
        <v>1004</v>
      </c>
      <c r="C327" s="346">
        <v>41132</v>
      </c>
      <c r="D327" s="346" t="s">
        <v>1005</v>
      </c>
      <c r="E327" s="346">
        <v>0</v>
      </c>
      <c r="F327" s="1026">
        <v>2019558.95</v>
      </c>
      <c r="G327" s="1026">
        <v>-392.69</v>
      </c>
      <c r="H327" s="349">
        <v>2019166.26</v>
      </c>
      <c r="I327" s="1026">
        <v>2019166.26</v>
      </c>
      <c r="J327" s="345">
        <f t="shared" si="21"/>
        <v>2019.16626</v>
      </c>
      <c r="K327" s="908">
        <f t="shared" si="22"/>
        <v>2019</v>
      </c>
      <c r="L327" s="346">
        <f>IFERROR(VLOOKUP(C327,'DE x PARA'!C321:K2487,7,FALSE),"SINTÉTICA")</f>
        <v>500009</v>
      </c>
      <c r="M327" s="346">
        <f>IFERROR(VLOOKUP(B327,'DE x PARA'!B321:K2487,10,FALSE),"SINTÉTICA")</f>
        <v>600001</v>
      </c>
      <c r="N327" s="346">
        <f>IFERROR(VLOOKUP(M327,'DE x PARA'!$K$2:$L$2168,2,FALSE),0)</f>
        <v>0</v>
      </c>
      <c r="O327" s="344">
        <f t="shared" si="23"/>
        <v>0</v>
      </c>
    </row>
    <row r="328" spans="1:15">
      <c r="A328" s="343" t="str">
        <f t="shared" ref="A328:A391" si="24">B328</f>
        <v>4.1.1.03.0003</v>
      </c>
      <c r="B328" s="348" t="s">
        <v>1006</v>
      </c>
      <c r="C328" s="346">
        <v>41133</v>
      </c>
      <c r="D328" s="346" t="s">
        <v>1007</v>
      </c>
      <c r="E328" s="346">
        <v>0</v>
      </c>
      <c r="F328" s="1026">
        <v>5000.67</v>
      </c>
      <c r="G328" s="1026">
        <v>-5000.67</v>
      </c>
      <c r="H328" s="349">
        <v>0</v>
      </c>
      <c r="I328" s="1026">
        <v>0</v>
      </c>
      <c r="J328" s="345">
        <f t="shared" si="21"/>
        <v>0</v>
      </c>
      <c r="K328" s="908">
        <f t="shared" si="22"/>
        <v>0</v>
      </c>
      <c r="L328" s="346">
        <f>IFERROR(VLOOKUP(C328,'DE x PARA'!C322:K2488,7,FALSE),"SINTÉTICA")</f>
        <v>500009</v>
      </c>
      <c r="M328" s="346">
        <f>IFERROR(VLOOKUP(B328,'DE x PARA'!B322:K2488,10,FALSE),"SINTÉTICA")</f>
        <v>600001</v>
      </c>
      <c r="N328" s="346">
        <f>IFERROR(VLOOKUP(M328,'DE x PARA'!$K$2:$L$2168,2,FALSE),0)</f>
        <v>0</v>
      </c>
      <c r="O328" s="344">
        <f t="shared" si="23"/>
        <v>0</v>
      </c>
    </row>
    <row r="329" spans="1:15">
      <c r="A329" s="343" t="str">
        <f t="shared" si="24"/>
        <v>4.1.1.03.0005</v>
      </c>
      <c r="B329" s="348" t="s">
        <v>1008</v>
      </c>
      <c r="C329" s="346">
        <v>41135</v>
      </c>
      <c r="D329" s="346" t="s">
        <v>1009</v>
      </c>
      <c r="E329" s="346">
        <v>0</v>
      </c>
      <c r="F329" s="1026">
        <v>470237.62</v>
      </c>
      <c r="G329" s="1026">
        <v>0</v>
      </c>
      <c r="H329" s="349">
        <v>470237.62</v>
      </c>
      <c r="I329" s="1026">
        <v>470237.62</v>
      </c>
      <c r="J329" s="345">
        <f t="shared" ref="J329:J392" si="25">I329/1000</f>
        <v>470.23761999999999</v>
      </c>
      <c r="K329" s="908">
        <f t="shared" ref="K329:K392" si="26">ROUND(J329,0)</f>
        <v>470</v>
      </c>
      <c r="L329" s="346">
        <f>IFERROR(VLOOKUP(C329,'DE x PARA'!C323:K2489,7,FALSE),"SINTÉTICA")</f>
        <v>500009</v>
      </c>
      <c r="M329" s="346">
        <f>IFERROR(VLOOKUP(B329,'DE x PARA'!B323:K2489,10,FALSE),"SINTÉTICA")</f>
        <v>600001</v>
      </c>
      <c r="N329" s="346">
        <f>IFERROR(VLOOKUP(M329,'DE x PARA'!$K$2:$L$2168,2,FALSE),0)</f>
        <v>0</v>
      </c>
      <c r="O329" s="344">
        <f t="shared" ref="O329:O392" si="27">+H329*N329</f>
        <v>0</v>
      </c>
    </row>
    <row r="330" spans="1:15">
      <c r="A330" s="343" t="str">
        <f t="shared" si="24"/>
        <v>4.1.1.03.0006</v>
      </c>
      <c r="B330" s="348" t="s">
        <v>1010</v>
      </c>
      <c r="C330" s="346">
        <v>41136</v>
      </c>
      <c r="D330" s="346" t="s">
        <v>1011</v>
      </c>
      <c r="E330" s="346">
        <v>0</v>
      </c>
      <c r="F330" s="1026">
        <v>1158040.92</v>
      </c>
      <c r="G330" s="1026">
        <v>0</v>
      </c>
      <c r="H330" s="349">
        <v>1158040.92</v>
      </c>
      <c r="I330" s="1026">
        <v>1158040.92</v>
      </c>
      <c r="J330" s="345">
        <f t="shared" si="25"/>
        <v>1158.0409199999999</v>
      </c>
      <c r="K330" s="908">
        <f t="shared" si="26"/>
        <v>1158</v>
      </c>
      <c r="L330" s="346">
        <f>IFERROR(VLOOKUP(C330,'DE x PARA'!C324:K2490,7,FALSE),"SINTÉTICA")</f>
        <v>500009</v>
      </c>
      <c r="M330" s="346">
        <f>IFERROR(VLOOKUP(B330,'DE x PARA'!B324:K2490,10,FALSE),"SINTÉTICA")</f>
        <v>600001</v>
      </c>
      <c r="N330" s="346">
        <f>IFERROR(VLOOKUP(M330,'DE x PARA'!$K$2:$L$2168,2,FALSE),0)</f>
        <v>0</v>
      </c>
      <c r="O330" s="344">
        <f t="shared" si="27"/>
        <v>0</v>
      </c>
    </row>
    <row r="331" spans="1:15">
      <c r="A331" s="343" t="str">
        <f t="shared" si="24"/>
        <v>4.1.1.03.0010</v>
      </c>
      <c r="B331" s="348" t="s">
        <v>1012</v>
      </c>
      <c r="C331" s="346">
        <v>411310</v>
      </c>
      <c r="D331" s="346" t="s">
        <v>1013</v>
      </c>
      <c r="E331" s="346">
        <v>0</v>
      </c>
      <c r="F331" s="1026">
        <v>26064.02</v>
      </c>
      <c r="G331" s="1026">
        <v>-11307.5</v>
      </c>
      <c r="H331" s="349">
        <v>14756.52</v>
      </c>
      <c r="I331" s="1026">
        <v>14756.52</v>
      </c>
      <c r="J331" s="345">
        <f t="shared" si="25"/>
        <v>14.75652</v>
      </c>
      <c r="K331" s="908">
        <f t="shared" si="26"/>
        <v>15</v>
      </c>
      <c r="L331" s="346">
        <f>IFERROR(VLOOKUP(C331,'DE x PARA'!C325:K2491,7,FALSE),"SINTÉTICA")</f>
        <v>500009</v>
      </c>
      <c r="M331" s="346">
        <f>IFERROR(VLOOKUP(B331,'DE x PARA'!B325:K2491,10,FALSE),"SINTÉTICA")</f>
        <v>600001</v>
      </c>
      <c r="N331" s="346">
        <f>IFERROR(VLOOKUP(M331,'DE x PARA'!$K$2:$L$2168,2,FALSE),0)</f>
        <v>0</v>
      </c>
      <c r="O331" s="344">
        <f t="shared" si="27"/>
        <v>0</v>
      </c>
    </row>
    <row r="332" spans="1:15">
      <c r="A332" s="343" t="str">
        <f t="shared" si="24"/>
        <v>4.1.1.03.0011</v>
      </c>
      <c r="B332" s="348" t="s">
        <v>1014</v>
      </c>
      <c r="C332" s="346">
        <v>411311</v>
      </c>
      <c r="D332" s="346" t="s">
        <v>1015</v>
      </c>
      <c r="E332" s="346">
        <v>0</v>
      </c>
      <c r="F332" s="1026">
        <v>31959.37</v>
      </c>
      <c r="G332" s="346">
        <v>0</v>
      </c>
      <c r="H332" s="349">
        <v>31959.37</v>
      </c>
      <c r="I332" s="1026">
        <v>31959.37</v>
      </c>
      <c r="J332" s="345">
        <f t="shared" si="25"/>
        <v>31.95937</v>
      </c>
      <c r="K332" s="908">
        <f t="shared" si="26"/>
        <v>32</v>
      </c>
      <c r="L332" s="346">
        <f>IFERROR(VLOOKUP(C332,'DE x PARA'!C326:K2492,7,FALSE),"SINTÉTICA")</f>
        <v>500009</v>
      </c>
      <c r="M332" s="346">
        <f>IFERROR(VLOOKUP(B332,'DE x PARA'!B326:K2492,10,FALSE),"SINTÉTICA")</f>
        <v>600001</v>
      </c>
      <c r="N332" s="346">
        <f>IFERROR(VLOOKUP(M332,'DE x PARA'!$K$2:$L$2168,2,FALSE),0)</f>
        <v>0</v>
      </c>
      <c r="O332" s="344">
        <f t="shared" si="27"/>
        <v>0</v>
      </c>
    </row>
    <row r="333" spans="1:15">
      <c r="A333" s="343" t="str">
        <f t="shared" si="24"/>
        <v>4.1.1.03.0013</v>
      </c>
      <c r="B333" s="348" t="s">
        <v>5072</v>
      </c>
      <c r="C333" s="346">
        <v>411313</v>
      </c>
      <c r="D333" s="346" t="s">
        <v>5073</v>
      </c>
      <c r="E333" s="346">
        <v>0</v>
      </c>
      <c r="F333" s="1026">
        <v>12026</v>
      </c>
      <c r="G333" s="1026">
        <v>0</v>
      </c>
      <c r="H333" s="349">
        <v>12026</v>
      </c>
      <c r="I333" s="1026">
        <v>12026</v>
      </c>
      <c r="J333" s="345">
        <f t="shared" si="25"/>
        <v>12.026</v>
      </c>
      <c r="K333" s="908">
        <f t="shared" si="26"/>
        <v>12</v>
      </c>
      <c r="L333" s="346">
        <f>IFERROR(VLOOKUP(C333,'DE x PARA'!C327:K2493,7,FALSE),"SINTÉTICA")</f>
        <v>500009</v>
      </c>
      <c r="M333" s="346">
        <f>IFERROR(VLOOKUP(B333,'DE x PARA'!B327:K2493,10,FALSE),"SINTÉTICA")</f>
        <v>600001</v>
      </c>
      <c r="N333" s="346">
        <f>IFERROR(VLOOKUP(M333,'DE x PARA'!$K$2:$L$2168,2,FALSE),0)</f>
        <v>0</v>
      </c>
      <c r="O333" s="344">
        <f t="shared" si="27"/>
        <v>0</v>
      </c>
    </row>
    <row r="334" spans="1:15">
      <c r="A334" s="343" t="str">
        <f t="shared" si="24"/>
        <v>4.1.3</v>
      </c>
      <c r="B334" s="348" t="s">
        <v>1020</v>
      </c>
      <c r="C334" s="346">
        <v>413</v>
      </c>
      <c r="D334" s="346" t="s">
        <v>1021</v>
      </c>
      <c r="E334" s="346">
        <v>0</v>
      </c>
      <c r="F334" s="1026">
        <v>5552919.5099999998</v>
      </c>
      <c r="G334" s="1026">
        <v>-240000</v>
      </c>
      <c r="H334" s="349">
        <v>5312919.51</v>
      </c>
      <c r="I334" s="1026">
        <v>5312919.51</v>
      </c>
      <c r="J334" s="345">
        <f t="shared" si="25"/>
        <v>5312.9195099999997</v>
      </c>
      <c r="K334" s="908">
        <f t="shared" si="26"/>
        <v>5313</v>
      </c>
      <c r="L334" s="346">
        <f>IFERROR(VLOOKUP(C334,'DE x PARA'!C328:K2494,7,FALSE),"SINTÉTICA")</f>
        <v>0</v>
      </c>
      <c r="M334" s="346">
        <f>IFERROR(VLOOKUP(B334,'DE x PARA'!B328:K2494,10,FALSE),"SINTÉTICA")</f>
        <v>0</v>
      </c>
      <c r="N334" s="346">
        <f>IFERROR(VLOOKUP(M334,'DE x PARA'!$K$2:$L$2168,2,FALSE),0)</f>
        <v>0</v>
      </c>
      <c r="O334" s="344">
        <f t="shared" si="27"/>
        <v>0</v>
      </c>
    </row>
    <row r="335" spans="1:15">
      <c r="A335" s="343" t="str">
        <f t="shared" si="24"/>
        <v>4.1.3.01</v>
      </c>
      <c r="B335" s="348" t="s">
        <v>12</v>
      </c>
      <c r="C335" s="346">
        <v>4131</v>
      </c>
      <c r="D335" s="346" t="s">
        <v>11</v>
      </c>
      <c r="E335" s="346">
        <v>0</v>
      </c>
      <c r="F335" s="1026">
        <v>5552919.5099999998</v>
      </c>
      <c r="G335" s="1026">
        <v>-240000</v>
      </c>
      <c r="H335" s="349">
        <v>5312919.51</v>
      </c>
      <c r="I335" s="1026">
        <v>5312919.51</v>
      </c>
      <c r="J335" s="345">
        <f t="shared" si="25"/>
        <v>5312.9195099999997</v>
      </c>
      <c r="K335" s="908">
        <f t="shared" si="26"/>
        <v>5313</v>
      </c>
      <c r="L335" s="346">
        <f>IFERROR(VLOOKUP(C335,'DE x PARA'!C329:K2495,7,FALSE),"SINTÉTICA")</f>
        <v>0</v>
      </c>
      <c r="M335" s="346">
        <f>IFERROR(VLOOKUP(B335,'DE x PARA'!B329:K2495,10,FALSE),"SINTÉTICA")</f>
        <v>0</v>
      </c>
      <c r="N335" s="346">
        <f>IFERROR(VLOOKUP(M335,'DE x PARA'!$K$2:$L$2168,2,FALSE),0)</f>
        <v>0</v>
      </c>
      <c r="O335" s="344">
        <f t="shared" si="27"/>
        <v>0</v>
      </c>
    </row>
    <row r="336" spans="1:15">
      <c r="A336" s="343" t="str">
        <f t="shared" si="24"/>
        <v>4.1.3.01.0001</v>
      </c>
      <c r="B336" s="348" t="s">
        <v>1022</v>
      </c>
      <c r="C336" s="346">
        <v>41311</v>
      </c>
      <c r="D336" s="346" t="s">
        <v>1023</v>
      </c>
      <c r="E336" s="346">
        <v>0</v>
      </c>
      <c r="F336" s="1026">
        <v>852065.52</v>
      </c>
      <c r="G336" s="1026">
        <v>0</v>
      </c>
      <c r="H336" s="349">
        <v>852065.52</v>
      </c>
      <c r="I336" s="1026">
        <v>852065.52</v>
      </c>
      <c r="J336" s="345">
        <f t="shared" si="25"/>
        <v>852.06551999999999</v>
      </c>
      <c r="K336" s="908">
        <f t="shared" si="26"/>
        <v>852</v>
      </c>
      <c r="L336" s="346">
        <f>IFERROR(VLOOKUP(C336,'DE x PARA'!C330:K2496,7,FALSE),"SINTÉTICA")</f>
        <v>500004</v>
      </c>
      <c r="M336" s="346">
        <f>IFERROR(VLOOKUP(B336,'DE x PARA'!B330:K2496,10,FALSE),"SINTÉTICA")</f>
        <v>600001</v>
      </c>
      <c r="N336" s="346">
        <f>IFERROR(VLOOKUP(M336,'DE x PARA'!$K$2:$L$2168,2,FALSE),0)</f>
        <v>0</v>
      </c>
      <c r="O336" s="344">
        <f t="shared" si="27"/>
        <v>0</v>
      </c>
    </row>
    <row r="337" spans="1:15">
      <c r="A337" s="343" t="str">
        <f t="shared" si="24"/>
        <v>4.1.3.01.0002</v>
      </c>
      <c r="B337" s="348" t="s">
        <v>1024</v>
      </c>
      <c r="C337" s="346">
        <v>41312</v>
      </c>
      <c r="D337" s="346" t="s">
        <v>1025</v>
      </c>
      <c r="E337" s="346">
        <v>0</v>
      </c>
      <c r="F337" s="1026">
        <v>825025.99</v>
      </c>
      <c r="G337" s="1026">
        <v>-240000</v>
      </c>
      <c r="H337" s="349">
        <v>585025.99</v>
      </c>
      <c r="I337" s="1026">
        <v>585025.99</v>
      </c>
      <c r="J337" s="345">
        <f t="shared" si="25"/>
        <v>585.02598999999998</v>
      </c>
      <c r="K337" s="908">
        <f t="shared" si="26"/>
        <v>585</v>
      </c>
      <c r="L337" s="346">
        <f>IFERROR(VLOOKUP(C337,'DE x PARA'!C331:K2497,7,FALSE),"SINTÉTICA")</f>
        <v>500004</v>
      </c>
      <c r="M337" s="346">
        <f>IFERROR(VLOOKUP(B337,'DE x PARA'!B331:K2497,10,FALSE),"SINTÉTICA")</f>
        <v>600001</v>
      </c>
      <c r="N337" s="346">
        <f>IFERROR(VLOOKUP(M337,'DE x PARA'!$K$2:$L$2168,2,FALSE),0)</f>
        <v>0</v>
      </c>
      <c r="O337" s="344">
        <f t="shared" si="27"/>
        <v>0</v>
      </c>
    </row>
    <row r="338" spans="1:15">
      <c r="A338" s="343" t="str">
        <f t="shared" si="24"/>
        <v>4.1.3.01.0005</v>
      </c>
      <c r="B338" s="348" t="s">
        <v>1026</v>
      </c>
      <c r="C338" s="346">
        <v>41315</v>
      </c>
      <c r="D338" s="346" t="s">
        <v>1027</v>
      </c>
      <c r="E338" s="346">
        <v>0</v>
      </c>
      <c r="F338" s="1026">
        <v>719110.04</v>
      </c>
      <c r="G338" s="1026">
        <v>0</v>
      </c>
      <c r="H338" s="349">
        <v>719110.04</v>
      </c>
      <c r="I338" s="1026">
        <v>719110.04</v>
      </c>
      <c r="J338" s="345">
        <f t="shared" si="25"/>
        <v>719.11004000000003</v>
      </c>
      <c r="K338" s="908">
        <f t="shared" si="26"/>
        <v>719</v>
      </c>
      <c r="L338" s="346">
        <f>IFERROR(VLOOKUP(C338,'DE x PARA'!C332:K2498,7,FALSE),"SINTÉTICA")</f>
        <v>500004</v>
      </c>
      <c r="M338" s="346">
        <f>IFERROR(VLOOKUP(B338,'DE x PARA'!B332:K2498,10,FALSE),"SINTÉTICA")</f>
        <v>600001</v>
      </c>
      <c r="N338" s="346">
        <f>IFERROR(VLOOKUP(M338,'DE x PARA'!$K$2:$L$2168,2,FALSE),0)</f>
        <v>0</v>
      </c>
      <c r="O338" s="344">
        <f t="shared" si="27"/>
        <v>0</v>
      </c>
    </row>
    <row r="339" spans="1:15">
      <c r="A339" s="343" t="str">
        <f t="shared" si="24"/>
        <v>4.1.3.01.0014</v>
      </c>
      <c r="B339" s="348" t="s">
        <v>1028</v>
      </c>
      <c r="C339" s="346">
        <v>413114</v>
      </c>
      <c r="D339" s="346" t="s">
        <v>1029</v>
      </c>
      <c r="E339" s="346">
        <v>0</v>
      </c>
      <c r="F339" s="1026">
        <v>2888975.22</v>
      </c>
      <c r="G339" s="1026">
        <v>0</v>
      </c>
      <c r="H339" s="349">
        <v>2888975.22</v>
      </c>
      <c r="I339" s="1026">
        <v>2888975.22</v>
      </c>
      <c r="J339" s="345">
        <f t="shared" si="25"/>
        <v>2888.9752200000003</v>
      </c>
      <c r="K339" s="908">
        <f t="shared" si="26"/>
        <v>2889</v>
      </c>
      <c r="L339" s="346">
        <f>IFERROR(VLOOKUP(C339,'DE x PARA'!C333:K2499,7,FALSE),"SINTÉTICA")</f>
        <v>500004</v>
      </c>
      <c r="M339" s="346">
        <f>IFERROR(VLOOKUP(B339,'DE x PARA'!B333:K2499,10,FALSE),"SINTÉTICA")</f>
        <v>600001</v>
      </c>
      <c r="N339" s="346">
        <f>IFERROR(VLOOKUP(M339,'DE x PARA'!$K$2:$L$2168,2,FALSE),0)</f>
        <v>0</v>
      </c>
      <c r="O339" s="344">
        <f t="shared" si="27"/>
        <v>0</v>
      </c>
    </row>
    <row r="340" spans="1:15">
      <c r="A340" s="343" t="str">
        <f t="shared" si="24"/>
        <v>4.1.3.01.0017</v>
      </c>
      <c r="B340" s="348" t="s">
        <v>1030</v>
      </c>
      <c r="C340" s="346">
        <v>413117</v>
      </c>
      <c r="D340" s="346" t="s">
        <v>1031</v>
      </c>
      <c r="E340" s="346">
        <v>0</v>
      </c>
      <c r="F340" s="1026">
        <v>265337.53000000003</v>
      </c>
      <c r="G340" s="346">
        <v>0</v>
      </c>
      <c r="H340" s="349">
        <v>265337.53000000003</v>
      </c>
      <c r="I340" s="1026">
        <v>265337.53000000003</v>
      </c>
      <c r="J340" s="345">
        <f t="shared" si="25"/>
        <v>265.33753000000002</v>
      </c>
      <c r="K340" s="908">
        <f t="shared" si="26"/>
        <v>265</v>
      </c>
      <c r="L340" s="346">
        <f>IFERROR(VLOOKUP(C340,'DE x PARA'!C334:K2500,7,FALSE),"SINTÉTICA")</f>
        <v>500008</v>
      </c>
      <c r="M340" s="346">
        <f>IFERROR(VLOOKUP(B340,'DE x PARA'!B334:K2500,10,FALSE),"SINTÉTICA")</f>
        <v>600001</v>
      </c>
      <c r="N340" s="346">
        <f>IFERROR(VLOOKUP(M340,'DE x PARA'!$K$2:$L$2168,2,FALSE),0)</f>
        <v>0</v>
      </c>
      <c r="O340" s="344">
        <f t="shared" si="27"/>
        <v>0</v>
      </c>
    </row>
    <row r="341" spans="1:15">
      <c r="A341" s="343" t="str">
        <f t="shared" si="24"/>
        <v>4.1.3.01.0997</v>
      </c>
      <c r="B341" s="348" t="s">
        <v>1032</v>
      </c>
      <c r="C341" s="346">
        <v>4131997</v>
      </c>
      <c r="D341" s="346" t="s">
        <v>1033</v>
      </c>
      <c r="E341" s="346">
        <v>0</v>
      </c>
      <c r="F341" s="1026">
        <v>2405.21</v>
      </c>
      <c r="G341" s="1026">
        <v>0</v>
      </c>
      <c r="H341" s="349">
        <v>2405.21</v>
      </c>
      <c r="I341" s="1026">
        <v>2405.21</v>
      </c>
      <c r="J341" s="345">
        <f t="shared" si="25"/>
        <v>2.4052099999999998</v>
      </c>
      <c r="K341" s="908">
        <f t="shared" si="26"/>
        <v>2</v>
      </c>
      <c r="L341" s="346">
        <f>IFERROR(VLOOKUP(C341,'DE x PARA'!C335:K2501,7,FALSE),"SINTÉTICA")</f>
        <v>500004</v>
      </c>
      <c r="M341" s="346">
        <f>IFERROR(VLOOKUP(B341,'DE x PARA'!B335:K2501,10,FALSE),"SINTÉTICA")</f>
        <v>600001</v>
      </c>
      <c r="N341" s="346">
        <f>IFERROR(VLOOKUP(M341,'DE x PARA'!$K$2:$L$2168,2,FALSE),0)</f>
        <v>0</v>
      </c>
      <c r="O341" s="344">
        <f t="shared" si="27"/>
        <v>0</v>
      </c>
    </row>
    <row r="342" spans="1:15">
      <c r="A342" s="343" t="str">
        <f t="shared" si="24"/>
        <v>4.1.4</v>
      </c>
      <c r="B342" s="348" t="s">
        <v>18</v>
      </c>
      <c r="C342" s="346">
        <v>414</v>
      </c>
      <c r="D342" s="346" t="s">
        <v>1034</v>
      </c>
      <c r="E342" s="346">
        <v>0</v>
      </c>
      <c r="F342" s="1026">
        <v>185805.8</v>
      </c>
      <c r="G342" s="1026">
        <v>0</v>
      </c>
      <c r="H342" s="349">
        <v>185805.8</v>
      </c>
      <c r="I342" s="1026">
        <v>185805.8</v>
      </c>
      <c r="J342" s="345">
        <f t="shared" si="25"/>
        <v>185.80579999999998</v>
      </c>
      <c r="K342" s="908">
        <f t="shared" si="26"/>
        <v>186</v>
      </c>
      <c r="L342" s="346">
        <f>IFERROR(VLOOKUP(C342,'DE x PARA'!C336:K2502,7,FALSE),"SINTÉTICA")</f>
        <v>0</v>
      </c>
      <c r="M342" s="346">
        <f>IFERROR(VLOOKUP(B342,'DE x PARA'!B336:K2502,10,FALSE),"SINTÉTICA")</f>
        <v>0</v>
      </c>
      <c r="N342" s="346">
        <f>IFERROR(VLOOKUP(M342,'DE x PARA'!$K$2:$L$2168,2,FALSE),0)</f>
        <v>0</v>
      </c>
      <c r="O342" s="344">
        <f t="shared" si="27"/>
        <v>0</v>
      </c>
    </row>
    <row r="343" spans="1:15">
      <c r="A343" s="343" t="str">
        <f t="shared" si="24"/>
        <v>4.1.4.01</v>
      </c>
      <c r="B343" s="348" t="s">
        <v>1035</v>
      </c>
      <c r="C343" s="346">
        <v>4141</v>
      </c>
      <c r="D343" s="346" t="s">
        <v>17</v>
      </c>
      <c r="E343" s="346">
        <v>0</v>
      </c>
      <c r="F343" s="1026">
        <v>185805.8</v>
      </c>
      <c r="G343" s="1026">
        <v>0</v>
      </c>
      <c r="H343" s="349">
        <v>185805.8</v>
      </c>
      <c r="I343" s="1026">
        <v>185805.8</v>
      </c>
      <c r="J343" s="345">
        <f t="shared" si="25"/>
        <v>185.80579999999998</v>
      </c>
      <c r="K343" s="908">
        <f t="shared" si="26"/>
        <v>186</v>
      </c>
      <c r="L343" s="346">
        <f>IFERROR(VLOOKUP(C343,'DE x PARA'!C337:K2503,7,FALSE),"SINTÉTICA")</f>
        <v>0</v>
      </c>
      <c r="M343" s="346">
        <f>IFERROR(VLOOKUP(B343,'DE x PARA'!B337:K2503,10,FALSE),"SINTÉTICA")</f>
        <v>0</v>
      </c>
      <c r="N343" s="346">
        <f>IFERROR(VLOOKUP(M343,'DE x PARA'!$K$2:$L$2168,2,FALSE),0)</f>
        <v>0</v>
      </c>
      <c r="O343" s="344">
        <f t="shared" si="27"/>
        <v>0</v>
      </c>
    </row>
    <row r="344" spans="1:15">
      <c r="A344" s="343" t="str">
        <f t="shared" si="24"/>
        <v>4.1.4.01.0002</v>
      </c>
      <c r="B344" s="348" t="s">
        <v>1036</v>
      </c>
      <c r="C344" s="346">
        <v>41412</v>
      </c>
      <c r="D344" s="346" t="s">
        <v>1037</v>
      </c>
      <c r="E344" s="346">
        <v>0</v>
      </c>
      <c r="F344" s="1026">
        <v>170804.84</v>
      </c>
      <c r="G344" s="1026">
        <v>0</v>
      </c>
      <c r="H344" s="349">
        <v>170804.84</v>
      </c>
      <c r="I344" s="1026">
        <v>170804.84</v>
      </c>
      <c r="J344" s="345">
        <f t="shared" si="25"/>
        <v>170.80483999999998</v>
      </c>
      <c r="K344" s="908">
        <f t="shared" si="26"/>
        <v>171</v>
      </c>
      <c r="L344" s="346">
        <f>IFERROR(VLOOKUP(C344,'DE x PARA'!C338:K2504,7,FALSE),"SINTÉTICA")</f>
        <v>500014</v>
      </c>
      <c r="M344" s="346">
        <f>IFERROR(VLOOKUP(B344,'DE x PARA'!B338:K2504,10,FALSE),"SINTÉTICA")</f>
        <v>600001</v>
      </c>
      <c r="N344" s="346">
        <f>IFERROR(VLOOKUP(M344,'DE x PARA'!$K$2:$L$2168,2,FALSE),0)</f>
        <v>0</v>
      </c>
      <c r="O344" s="344">
        <f t="shared" si="27"/>
        <v>0</v>
      </c>
    </row>
    <row r="345" spans="1:15">
      <c r="A345" s="343" t="str">
        <f t="shared" si="24"/>
        <v>4.1.4.01.0008</v>
      </c>
      <c r="B345" s="348" t="s">
        <v>1038</v>
      </c>
      <c r="C345" s="346">
        <v>41418</v>
      </c>
      <c r="D345" s="346" t="s">
        <v>1039</v>
      </c>
      <c r="E345" s="346">
        <v>0</v>
      </c>
      <c r="F345" s="1026">
        <v>15000.96</v>
      </c>
      <c r="G345" s="1026">
        <v>0</v>
      </c>
      <c r="H345" s="349">
        <v>15000.96</v>
      </c>
      <c r="I345" s="1026">
        <v>15000.96</v>
      </c>
      <c r="J345" s="345">
        <f t="shared" si="25"/>
        <v>15.000959999999999</v>
      </c>
      <c r="K345" s="908">
        <f t="shared" si="26"/>
        <v>15</v>
      </c>
      <c r="L345" s="346">
        <f>IFERROR(VLOOKUP(C345,'DE x PARA'!C339:K2505,7,FALSE),"SINTÉTICA")</f>
        <v>500013</v>
      </c>
      <c r="M345" s="346">
        <f>IFERROR(VLOOKUP(B345,'DE x PARA'!B339:K2505,10,FALSE),"SINTÉTICA")</f>
        <v>600001</v>
      </c>
      <c r="N345" s="346">
        <f>IFERROR(VLOOKUP(M345,'DE x PARA'!$K$2:$L$2168,2,FALSE),0)</f>
        <v>0</v>
      </c>
      <c r="O345" s="344">
        <f t="shared" si="27"/>
        <v>0</v>
      </c>
    </row>
    <row r="346" spans="1:15">
      <c r="A346" s="343" t="str">
        <f t="shared" si="24"/>
        <v>4.1.6</v>
      </c>
      <c r="B346" s="348" t="s">
        <v>1040</v>
      </c>
      <c r="C346" s="346">
        <v>416</v>
      </c>
      <c r="D346" s="346" t="s">
        <v>1041</v>
      </c>
      <c r="E346" s="346">
        <v>0</v>
      </c>
      <c r="F346" s="1026">
        <v>4521708.5</v>
      </c>
      <c r="G346" s="1026">
        <v>-675697.69</v>
      </c>
      <c r="H346" s="349">
        <v>3846010.81</v>
      </c>
      <c r="I346" s="1026">
        <v>3846010.81</v>
      </c>
      <c r="J346" s="345">
        <f t="shared" si="25"/>
        <v>3846.0108100000002</v>
      </c>
      <c r="K346" s="908">
        <f t="shared" si="26"/>
        <v>3846</v>
      </c>
      <c r="L346" s="346">
        <f>IFERROR(VLOOKUP(C346,'DE x PARA'!C340:K2506,7,FALSE),"SINTÉTICA")</f>
        <v>0</v>
      </c>
      <c r="M346" s="346">
        <f>IFERROR(VLOOKUP(B346,'DE x PARA'!B340:K2506,10,FALSE),"SINTÉTICA")</f>
        <v>0</v>
      </c>
      <c r="N346" s="346">
        <f>IFERROR(VLOOKUP(M346,'DE x PARA'!$K$2:$L$2168,2,FALSE),0)</f>
        <v>0</v>
      </c>
      <c r="O346" s="344">
        <f t="shared" si="27"/>
        <v>0</v>
      </c>
    </row>
    <row r="347" spans="1:15">
      <c r="A347" s="343" t="str">
        <f t="shared" si="24"/>
        <v>4.1.6.01</v>
      </c>
      <c r="B347" s="348" t="s">
        <v>14</v>
      </c>
      <c r="C347" s="346">
        <v>4161</v>
      </c>
      <c r="D347" s="346" t="s">
        <v>1042</v>
      </c>
      <c r="E347" s="346">
        <v>0</v>
      </c>
      <c r="F347" s="1026">
        <v>1675111.19</v>
      </c>
      <c r="G347" s="1026">
        <v>-383500.39</v>
      </c>
      <c r="H347" s="349">
        <v>1291610.8</v>
      </c>
      <c r="I347" s="1026">
        <v>1291610.8</v>
      </c>
      <c r="J347" s="345">
        <f t="shared" si="25"/>
        <v>1291.6108000000002</v>
      </c>
      <c r="K347" s="908">
        <f t="shared" si="26"/>
        <v>1292</v>
      </c>
      <c r="L347" s="346">
        <f>IFERROR(VLOOKUP(C347,'DE x PARA'!C341:K2507,7,FALSE),"SINTÉTICA")</f>
        <v>0</v>
      </c>
      <c r="M347" s="346">
        <f>IFERROR(VLOOKUP(B347,'DE x PARA'!B341:K2507,10,FALSE),"SINTÉTICA")</f>
        <v>0</v>
      </c>
      <c r="N347" s="346">
        <f>IFERROR(VLOOKUP(M347,'DE x PARA'!$K$2:$L$2168,2,FALSE),0)</f>
        <v>0</v>
      </c>
      <c r="O347" s="344">
        <f t="shared" si="27"/>
        <v>0</v>
      </c>
    </row>
    <row r="348" spans="1:15">
      <c r="A348" s="343" t="str">
        <f t="shared" si="24"/>
        <v>4.1.6.01.0004</v>
      </c>
      <c r="B348" s="348" t="s">
        <v>1045</v>
      </c>
      <c r="C348" s="346">
        <v>41614</v>
      </c>
      <c r="D348" s="346" t="s">
        <v>1046</v>
      </c>
      <c r="E348" s="346">
        <v>0</v>
      </c>
      <c r="F348" s="1026">
        <v>314239.40000000002</v>
      </c>
      <c r="G348" s="1026">
        <v>-63657</v>
      </c>
      <c r="H348" s="349">
        <v>250582.39999999999</v>
      </c>
      <c r="I348" s="1026">
        <v>250582.39999999999</v>
      </c>
      <c r="J348" s="345">
        <f t="shared" si="25"/>
        <v>250.58240000000001</v>
      </c>
      <c r="K348" s="908">
        <f t="shared" si="26"/>
        <v>251</v>
      </c>
      <c r="L348" s="346">
        <f>IFERROR(VLOOKUP(C348,'DE x PARA'!C342:K2508,7,FALSE),"SINTÉTICA")</f>
        <v>500004</v>
      </c>
      <c r="M348" s="346">
        <f>IFERROR(VLOOKUP(B348,'DE x PARA'!B342:K2508,10,FALSE),"SINTÉTICA")</f>
        <v>600001</v>
      </c>
      <c r="N348" s="346">
        <f>IFERROR(VLOOKUP(M348,'DE x PARA'!$K$2:$L$2168,2,FALSE),0)</f>
        <v>0</v>
      </c>
      <c r="O348" s="344">
        <f t="shared" si="27"/>
        <v>0</v>
      </c>
    </row>
    <row r="349" spans="1:15">
      <c r="A349" s="343" t="str">
        <f t="shared" si="24"/>
        <v>4.1.6.01.0006</v>
      </c>
      <c r="B349" s="348" t="s">
        <v>1047</v>
      </c>
      <c r="C349" s="346">
        <v>41616</v>
      </c>
      <c r="D349" s="346" t="s">
        <v>1048</v>
      </c>
      <c r="E349" s="346">
        <v>0</v>
      </c>
      <c r="F349" s="1026">
        <v>13243.31</v>
      </c>
      <c r="G349" s="1026">
        <v>-844</v>
      </c>
      <c r="H349" s="349">
        <v>12399.31</v>
      </c>
      <c r="I349" s="1026">
        <v>12399.31</v>
      </c>
      <c r="J349" s="345">
        <f t="shared" si="25"/>
        <v>12.39931</v>
      </c>
      <c r="K349" s="908">
        <f t="shared" si="26"/>
        <v>12</v>
      </c>
      <c r="L349" s="346">
        <f>IFERROR(VLOOKUP(C349,'DE x PARA'!C343:K2509,7,FALSE),"SINTÉTICA")</f>
        <v>500004</v>
      </c>
      <c r="M349" s="346">
        <f>IFERROR(VLOOKUP(B349,'DE x PARA'!B343:K2509,10,FALSE),"SINTÉTICA")</f>
        <v>600001</v>
      </c>
      <c r="N349" s="346">
        <f>IFERROR(VLOOKUP(M349,'DE x PARA'!$K$2:$L$2168,2,FALSE),0)</f>
        <v>0</v>
      </c>
      <c r="O349" s="344">
        <f t="shared" si="27"/>
        <v>0</v>
      </c>
    </row>
    <row r="350" spans="1:15">
      <c r="A350" s="343" t="str">
        <f t="shared" si="24"/>
        <v>4.1.6.01.0012</v>
      </c>
      <c r="B350" s="348" t="s">
        <v>1051</v>
      </c>
      <c r="C350" s="346">
        <v>416112</v>
      </c>
      <c r="D350" s="346" t="s">
        <v>1052</v>
      </c>
      <c r="E350" s="346">
        <v>0</v>
      </c>
      <c r="F350" s="1026">
        <v>2826.96</v>
      </c>
      <c r="G350" s="1026">
        <v>-706.74</v>
      </c>
      <c r="H350" s="349">
        <v>2120.2199999999998</v>
      </c>
      <c r="I350" s="1026">
        <v>2120.2199999999998</v>
      </c>
      <c r="J350" s="345">
        <f t="shared" si="25"/>
        <v>2.1202199999999998</v>
      </c>
      <c r="K350" s="908">
        <f t="shared" si="26"/>
        <v>2</v>
      </c>
      <c r="L350" s="346">
        <f>IFERROR(VLOOKUP(C350,'DE x PARA'!C344:K2510,7,FALSE),"SINTÉTICA")</f>
        <v>500017</v>
      </c>
      <c r="M350" s="346">
        <f>IFERROR(VLOOKUP(B350,'DE x PARA'!B344:K2510,10,FALSE),"SINTÉTICA")</f>
        <v>600001</v>
      </c>
      <c r="N350" s="346">
        <f>IFERROR(VLOOKUP(M350,'DE x PARA'!$K$2:$L$2168,2,FALSE),0)</f>
        <v>0</v>
      </c>
      <c r="O350" s="344">
        <f t="shared" si="27"/>
        <v>0</v>
      </c>
    </row>
    <row r="351" spans="1:15">
      <c r="A351" s="343" t="str">
        <f t="shared" si="24"/>
        <v>4.1.6.01.0014</v>
      </c>
      <c r="B351" s="348" t="s">
        <v>1053</v>
      </c>
      <c r="C351" s="346">
        <v>416114</v>
      </c>
      <c r="D351" s="346" t="s">
        <v>1054</v>
      </c>
      <c r="E351" s="346">
        <v>0</v>
      </c>
      <c r="F351" s="1026">
        <v>508589.47</v>
      </c>
      <c r="G351" s="1026">
        <v>-212195.1</v>
      </c>
      <c r="H351" s="349">
        <v>296394.37</v>
      </c>
      <c r="I351" s="1026">
        <v>296394.37</v>
      </c>
      <c r="J351" s="345">
        <f t="shared" si="25"/>
        <v>296.39436999999998</v>
      </c>
      <c r="K351" s="908">
        <f t="shared" si="26"/>
        <v>296</v>
      </c>
      <c r="L351" s="346">
        <f>IFERROR(VLOOKUP(C351,'DE x PARA'!C345:K2511,7,FALSE),"SINTÉTICA")</f>
        <v>500004</v>
      </c>
      <c r="M351" s="346">
        <f>IFERROR(VLOOKUP(B351,'DE x PARA'!B345:K2511,10,FALSE),"SINTÉTICA")</f>
        <v>600001</v>
      </c>
      <c r="N351" s="346">
        <f>IFERROR(VLOOKUP(M351,'DE x PARA'!$K$2:$L$2168,2,FALSE),0)</f>
        <v>0</v>
      </c>
      <c r="O351" s="344">
        <f t="shared" si="27"/>
        <v>0</v>
      </c>
    </row>
    <row r="352" spans="1:15">
      <c r="A352" s="343" t="str">
        <f t="shared" si="24"/>
        <v>4.1.6.01.0015</v>
      </c>
      <c r="B352" s="348" t="s">
        <v>1055</v>
      </c>
      <c r="C352" s="346">
        <v>416115</v>
      </c>
      <c r="D352" s="346" t="s">
        <v>1056</v>
      </c>
      <c r="E352" s="346">
        <v>0</v>
      </c>
      <c r="F352" s="1026">
        <v>302498.56</v>
      </c>
      <c r="G352" s="1026">
        <v>-106097.55</v>
      </c>
      <c r="H352" s="349">
        <v>196401.01</v>
      </c>
      <c r="I352" s="1026">
        <v>196401.01</v>
      </c>
      <c r="J352" s="345">
        <f t="shared" si="25"/>
        <v>196.40101000000001</v>
      </c>
      <c r="K352" s="908">
        <f t="shared" si="26"/>
        <v>196</v>
      </c>
      <c r="L352" s="346">
        <f>IFERROR(VLOOKUP(C352,'DE x PARA'!C346:K2512,7,FALSE),"SINTÉTICA")</f>
        <v>500004</v>
      </c>
      <c r="M352" s="346">
        <f>IFERROR(VLOOKUP(B352,'DE x PARA'!B346:K2512,10,FALSE),"SINTÉTICA")</f>
        <v>600001</v>
      </c>
      <c r="N352" s="346">
        <f>IFERROR(VLOOKUP(M352,'DE x PARA'!$K$2:$L$2168,2,FALSE),0)</f>
        <v>0</v>
      </c>
      <c r="O352" s="344">
        <f t="shared" si="27"/>
        <v>0</v>
      </c>
    </row>
    <row r="353" spans="1:15">
      <c r="A353" s="343" t="str">
        <f t="shared" si="24"/>
        <v>4.1.6.01.0016</v>
      </c>
      <c r="B353" s="348" t="s">
        <v>1057</v>
      </c>
      <c r="C353" s="346">
        <v>416116</v>
      </c>
      <c r="D353" s="346" t="s">
        <v>1058</v>
      </c>
      <c r="E353" s="346">
        <v>0</v>
      </c>
      <c r="F353" s="1026">
        <v>533713.49</v>
      </c>
      <c r="G353" s="1026">
        <v>0</v>
      </c>
      <c r="H353" s="349">
        <v>533713.49</v>
      </c>
      <c r="I353" s="1026">
        <v>533713.49</v>
      </c>
      <c r="J353" s="345">
        <f t="shared" si="25"/>
        <v>533.71348999999998</v>
      </c>
      <c r="K353" s="908">
        <f t="shared" si="26"/>
        <v>534</v>
      </c>
      <c r="L353" s="346">
        <f>IFERROR(VLOOKUP(C353,'DE x PARA'!C347:K2513,7,FALSE),"SINTÉTICA")</f>
        <v>500004</v>
      </c>
      <c r="M353" s="346">
        <f>IFERROR(VLOOKUP(B353,'DE x PARA'!B347:K2513,10,FALSE),"SINTÉTICA")</f>
        <v>600001</v>
      </c>
      <c r="N353" s="346">
        <f>IFERROR(VLOOKUP(M353,'DE x PARA'!$K$2:$L$2168,2,FALSE),0)</f>
        <v>0</v>
      </c>
      <c r="O353" s="344">
        <f t="shared" si="27"/>
        <v>0</v>
      </c>
    </row>
    <row r="354" spans="1:15">
      <c r="A354" s="343" t="str">
        <f t="shared" si="24"/>
        <v>4.1.6.02</v>
      </c>
      <c r="B354" s="348" t="s">
        <v>16</v>
      </c>
      <c r="C354" s="346">
        <v>4162</v>
      </c>
      <c r="D354" s="346" t="s">
        <v>1059</v>
      </c>
      <c r="E354" s="346">
        <v>0</v>
      </c>
      <c r="F354" s="1026">
        <v>2846597.31</v>
      </c>
      <c r="G354" s="1026">
        <v>-292197.3</v>
      </c>
      <c r="H354" s="349">
        <v>2554400.0099999998</v>
      </c>
      <c r="I354" s="1026">
        <v>2554400.0099999998</v>
      </c>
      <c r="J354" s="345">
        <f t="shared" si="25"/>
        <v>2554.4000099999998</v>
      </c>
      <c r="K354" s="908">
        <f t="shared" si="26"/>
        <v>2554</v>
      </c>
      <c r="L354" s="346">
        <f>IFERROR(VLOOKUP(C354,'DE x PARA'!C348:K2514,7,FALSE),"SINTÉTICA")</f>
        <v>0</v>
      </c>
      <c r="M354" s="346">
        <f>IFERROR(VLOOKUP(B354,'DE x PARA'!B348:K2514,10,FALSE),"SINTÉTICA")</f>
        <v>0</v>
      </c>
      <c r="N354" s="346">
        <f>IFERROR(VLOOKUP(M354,'DE x PARA'!$K$2:$L$2168,2,FALSE),0)</f>
        <v>0</v>
      </c>
      <c r="O354" s="344">
        <f t="shared" si="27"/>
        <v>0</v>
      </c>
    </row>
    <row r="355" spans="1:15">
      <c r="A355" s="343" t="str">
        <f t="shared" si="24"/>
        <v>4.1.6.02.0001</v>
      </c>
      <c r="B355" s="348" t="s">
        <v>1060</v>
      </c>
      <c r="C355" s="346">
        <v>41621</v>
      </c>
      <c r="D355" s="346" t="s">
        <v>1061</v>
      </c>
      <c r="E355" s="346">
        <v>0</v>
      </c>
      <c r="F355" s="1026">
        <v>379056.01</v>
      </c>
      <c r="G355" s="1026">
        <v>0</v>
      </c>
      <c r="H355" s="349">
        <v>379056.01</v>
      </c>
      <c r="I355" s="1026">
        <v>379056.01</v>
      </c>
      <c r="J355" s="345">
        <f t="shared" si="25"/>
        <v>379.05601000000001</v>
      </c>
      <c r="K355" s="908">
        <f t="shared" si="26"/>
        <v>379</v>
      </c>
      <c r="L355" s="346">
        <f>IFERROR(VLOOKUP(C355,'DE x PARA'!C349:K2515,7,FALSE),"SINTÉTICA")</f>
        <v>500008</v>
      </c>
      <c r="M355" s="346">
        <f>IFERROR(VLOOKUP(B355,'DE x PARA'!B349:K2515,10,FALSE),"SINTÉTICA")</f>
        <v>600001</v>
      </c>
      <c r="N355" s="346">
        <f>IFERROR(VLOOKUP(M355,'DE x PARA'!$K$2:$L$2168,2,FALSE),0)</f>
        <v>0</v>
      </c>
      <c r="O355" s="344">
        <f t="shared" si="27"/>
        <v>0</v>
      </c>
    </row>
    <row r="356" spans="1:15">
      <c r="A356" s="343" t="str">
        <f t="shared" si="24"/>
        <v>4.1.6.02.0002</v>
      </c>
      <c r="B356" s="348" t="s">
        <v>1062</v>
      </c>
      <c r="C356" s="346">
        <v>41622</v>
      </c>
      <c r="D356" s="346" t="s">
        <v>1063</v>
      </c>
      <c r="E356" s="346">
        <v>0</v>
      </c>
      <c r="F356" s="1026">
        <v>12898.91</v>
      </c>
      <c r="G356" s="1026">
        <v>-12898.91</v>
      </c>
      <c r="H356" s="349">
        <v>0</v>
      </c>
      <c r="I356" s="1026">
        <v>0</v>
      </c>
      <c r="J356" s="345">
        <f t="shared" si="25"/>
        <v>0</v>
      </c>
      <c r="K356" s="908">
        <f t="shared" si="26"/>
        <v>0</v>
      </c>
      <c r="L356" s="346">
        <f>IFERROR(VLOOKUP(C356,'DE x PARA'!C350:K2516,7,FALSE),"SINTÉTICA")</f>
        <v>500008</v>
      </c>
      <c r="M356" s="346">
        <f>IFERROR(VLOOKUP(B356,'DE x PARA'!B350:K2516,10,FALSE),"SINTÉTICA")</f>
        <v>600001</v>
      </c>
      <c r="N356" s="346">
        <f>IFERROR(VLOOKUP(M356,'DE x PARA'!$K$2:$L$2168,2,FALSE),0)</f>
        <v>0</v>
      </c>
      <c r="O356" s="344">
        <f t="shared" si="27"/>
        <v>0</v>
      </c>
    </row>
    <row r="357" spans="1:15">
      <c r="A357" s="343" t="str">
        <f t="shared" si="24"/>
        <v>4.1.6.02.0004</v>
      </c>
      <c r="B357" s="348" t="s">
        <v>1064</v>
      </c>
      <c r="C357" s="346">
        <v>41624</v>
      </c>
      <c r="D357" s="346" t="s">
        <v>1065</v>
      </c>
      <c r="E357" s="346">
        <v>0</v>
      </c>
      <c r="F357" s="1026">
        <v>608324.98</v>
      </c>
      <c r="G357" s="1026">
        <v>0</v>
      </c>
      <c r="H357" s="349">
        <v>608324.98</v>
      </c>
      <c r="I357" s="1026">
        <v>608324.98</v>
      </c>
      <c r="J357" s="345">
        <f t="shared" si="25"/>
        <v>608.32497999999998</v>
      </c>
      <c r="K357" s="908">
        <f t="shared" si="26"/>
        <v>608</v>
      </c>
      <c r="L357" s="346">
        <f>IFERROR(VLOOKUP(C357,'DE x PARA'!C351:K2517,7,FALSE),"SINTÉTICA")</f>
        <v>500004</v>
      </c>
      <c r="M357" s="346">
        <f>IFERROR(VLOOKUP(B357,'DE x PARA'!B351:K2517,10,FALSE),"SINTÉTICA")</f>
        <v>600001</v>
      </c>
      <c r="N357" s="346">
        <f>IFERROR(VLOOKUP(M357,'DE x PARA'!$K$2:$L$2168,2,FALSE),0)</f>
        <v>0</v>
      </c>
      <c r="O357" s="344">
        <f t="shared" si="27"/>
        <v>0</v>
      </c>
    </row>
    <row r="358" spans="1:15">
      <c r="A358" s="343" t="str">
        <f t="shared" si="24"/>
        <v>4.1.6.02.0006</v>
      </c>
      <c r="B358" s="348" t="s">
        <v>1066</v>
      </c>
      <c r="C358" s="346">
        <v>41626</v>
      </c>
      <c r="D358" s="346" t="s">
        <v>1067</v>
      </c>
      <c r="E358" s="346">
        <v>0</v>
      </c>
      <c r="F358" s="1026">
        <v>355749.92</v>
      </c>
      <c r="G358" s="1026">
        <v>-25747.7</v>
      </c>
      <c r="H358" s="349">
        <v>330002.21999999997</v>
      </c>
      <c r="I358" s="1026">
        <v>330002.21999999997</v>
      </c>
      <c r="J358" s="345">
        <f t="shared" si="25"/>
        <v>330.00221999999997</v>
      </c>
      <c r="K358" s="908">
        <f t="shared" si="26"/>
        <v>330</v>
      </c>
      <c r="L358" s="346">
        <f>IFERROR(VLOOKUP(C358,'DE x PARA'!C352:K2518,7,FALSE),"SINTÉTICA")</f>
        <v>500004</v>
      </c>
      <c r="M358" s="346">
        <f>IFERROR(VLOOKUP(B358,'DE x PARA'!B352:K2518,10,FALSE),"SINTÉTICA")</f>
        <v>600001</v>
      </c>
      <c r="N358" s="346">
        <f>IFERROR(VLOOKUP(M358,'DE x PARA'!$K$2:$L$2168,2,FALSE),0)</f>
        <v>0</v>
      </c>
      <c r="O358" s="344">
        <f t="shared" si="27"/>
        <v>0</v>
      </c>
    </row>
    <row r="359" spans="1:15">
      <c r="A359" s="343" t="str">
        <f t="shared" si="24"/>
        <v>4.1.6.02.0007</v>
      </c>
      <c r="B359" s="348" t="s">
        <v>1068</v>
      </c>
      <c r="C359" s="346">
        <v>41627</v>
      </c>
      <c r="D359" s="346" t="s">
        <v>1069</v>
      </c>
      <c r="E359" s="346">
        <v>0</v>
      </c>
      <c r="F359" s="1026">
        <v>832733.16</v>
      </c>
      <c r="G359" s="1026">
        <v>0</v>
      </c>
      <c r="H359" s="349">
        <v>832733.16</v>
      </c>
      <c r="I359" s="1026">
        <v>832733.16</v>
      </c>
      <c r="J359" s="345">
        <f t="shared" si="25"/>
        <v>832.73316</v>
      </c>
      <c r="K359" s="908">
        <f t="shared" si="26"/>
        <v>833</v>
      </c>
      <c r="L359" s="346">
        <f>IFERROR(VLOOKUP(C359,'DE x PARA'!C353:K2519,7,FALSE),"SINTÉTICA")</f>
        <v>500004</v>
      </c>
      <c r="M359" s="346">
        <f>IFERROR(VLOOKUP(B359,'DE x PARA'!B353:K2519,10,FALSE),"SINTÉTICA")</f>
        <v>600001</v>
      </c>
      <c r="N359" s="346">
        <f>IFERROR(VLOOKUP(M359,'DE x PARA'!$K$2:$L$2168,2,FALSE),0)</f>
        <v>0</v>
      </c>
      <c r="O359" s="344">
        <f t="shared" si="27"/>
        <v>0</v>
      </c>
    </row>
    <row r="360" spans="1:15">
      <c r="A360" s="343" t="str">
        <f t="shared" si="24"/>
        <v>4.1.6.02.0010</v>
      </c>
      <c r="B360" s="348" t="s">
        <v>1070</v>
      </c>
      <c r="C360" s="346">
        <v>416210</v>
      </c>
      <c r="D360" s="346" t="s">
        <v>1071</v>
      </c>
      <c r="E360" s="346">
        <v>0</v>
      </c>
      <c r="F360" s="1026">
        <v>215630.47</v>
      </c>
      <c r="G360" s="346">
        <v>0</v>
      </c>
      <c r="H360" s="349">
        <v>215630.47</v>
      </c>
      <c r="I360" s="1026">
        <v>215630.47</v>
      </c>
      <c r="J360" s="345">
        <f t="shared" si="25"/>
        <v>215.63047</v>
      </c>
      <c r="K360" s="908">
        <f t="shared" si="26"/>
        <v>216</v>
      </c>
      <c r="L360" s="346">
        <f>IFERROR(VLOOKUP(C360,'DE x PARA'!C354:K2520,7,FALSE),"SINTÉTICA")</f>
        <v>500004</v>
      </c>
      <c r="M360" s="346">
        <f>IFERROR(VLOOKUP(B360,'DE x PARA'!B354:K2520,10,FALSE),"SINTÉTICA")</f>
        <v>600001</v>
      </c>
      <c r="N360" s="346">
        <f>IFERROR(VLOOKUP(M360,'DE x PARA'!$K$2:$L$2168,2,FALSE),0)</f>
        <v>0</v>
      </c>
      <c r="O360" s="344">
        <f t="shared" si="27"/>
        <v>0</v>
      </c>
    </row>
    <row r="361" spans="1:15">
      <c r="A361" s="343" t="str">
        <f t="shared" si="24"/>
        <v>4.1.6.02.0020</v>
      </c>
      <c r="B361" s="348" t="s">
        <v>5189</v>
      </c>
      <c r="C361" s="346">
        <v>416220</v>
      </c>
      <c r="D361" s="346" t="s">
        <v>456</v>
      </c>
      <c r="E361" s="346">
        <v>0</v>
      </c>
      <c r="F361" s="1026">
        <v>208855.97</v>
      </c>
      <c r="G361" s="1026">
        <v>-208855.97</v>
      </c>
      <c r="H361" s="349">
        <v>0</v>
      </c>
      <c r="I361" s="1026">
        <v>0</v>
      </c>
      <c r="J361" s="345">
        <f t="shared" si="25"/>
        <v>0</v>
      </c>
      <c r="K361" s="908">
        <f t="shared" si="26"/>
        <v>0</v>
      </c>
      <c r="L361" s="346">
        <f>IFERROR(VLOOKUP(C361,'DE x PARA'!C355:K2521,7,FALSE),"SINTÉTICA")</f>
        <v>500008</v>
      </c>
      <c r="M361" s="346">
        <f>IFERROR(VLOOKUP(B361,'DE x PARA'!B355:K2521,10,FALSE),"SINTÉTICA")</f>
        <v>600001</v>
      </c>
      <c r="N361" s="346">
        <f>IFERROR(VLOOKUP(M361,'DE x PARA'!$K$2:$L$2168,2,FALSE),0)</f>
        <v>0</v>
      </c>
      <c r="O361" s="344">
        <f t="shared" si="27"/>
        <v>0</v>
      </c>
    </row>
    <row r="362" spans="1:15">
      <c r="A362" s="343" t="str">
        <f t="shared" si="24"/>
        <v>4.1.6.02.0021</v>
      </c>
      <c r="B362" s="348" t="s">
        <v>5190</v>
      </c>
      <c r="C362" s="346">
        <v>416221</v>
      </c>
      <c r="D362" s="346" t="s">
        <v>456</v>
      </c>
      <c r="E362" s="346">
        <v>0</v>
      </c>
      <c r="F362" s="1026">
        <v>233347.89</v>
      </c>
      <c r="G362" s="1026">
        <v>-44694.720000000001</v>
      </c>
      <c r="H362" s="349">
        <v>188653.17</v>
      </c>
      <c r="I362" s="1026">
        <v>188653.17</v>
      </c>
      <c r="J362" s="345">
        <f t="shared" si="25"/>
        <v>188.65317000000002</v>
      </c>
      <c r="K362" s="908">
        <f t="shared" si="26"/>
        <v>189</v>
      </c>
      <c r="L362" s="346">
        <f>IFERROR(VLOOKUP(C362,'DE x PARA'!C356:K2522,7,FALSE),"SINTÉTICA")</f>
        <v>500008</v>
      </c>
      <c r="M362" s="346">
        <f>IFERROR(VLOOKUP(B362,'DE x PARA'!B356:K2522,10,FALSE),"SINTÉTICA")</f>
        <v>600001</v>
      </c>
      <c r="N362" s="346">
        <f>IFERROR(VLOOKUP(M362,'DE x PARA'!$K$2:$L$2168,2,FALSE),0)</f>
        <v>0</v>
      </c>
      <c r="O362" s="344">
        <f t="shared" si="27"/>
        <v>0</v>
      </c>
    </row>
    <row r="363" spans="1:15">
      <c r="A363" s="343" t="str">
        <f t="shared" si="24"/>
        <v>4.2</v>
      </c>
      <c r="B363" s="348" t="s">
        <v>1072</v>
      </c>
      <c r="C363" s="346">
        <v>42</v>
      </c>
      <c r="D363" s="346" t="s">
        <v>1073</v>
      </c>
      <c r="E363" s="346">
        <v>0</v>
      </c>
      <c r="F363" s="1026">
        <v>38144118.560000002</v>
      </c>
      <c r="G363" s="1026">
        <v>-1819127.6</v>
      </c>
      <c r="H363" s="349">
        <v>36324990.960000001</v>
      </c>
      <c r="I363" s="1026">
        <v>36324990.960000001</v>
      </c>
      <c r="J363" s="345">
        <f t="shared" si="25"/>
        <v>36324.990960000003</v>
      </c>
      <c r="K363" s="908">
        <f t="shared" si="26"/>
        <v>36325</v>
      </c>
      <c r="L363" s="346">
        <f>IFERROR(VLOOKUP(C363,'DE x PARA'!C357:K2523,7,FALSE),"SINTÉTICA")</f>
        <v>0</v>
      </c>
      <c r="M363" s="346">
        <f>IFERROR(VLOOKUP(B363,'DE x PARA'!B357:K2523,10,FALSE),"SINTÉTICA")</f>
        <v>0</v>
      </c>
      <c r="N363" s="346">
        <f>IFERROR(VLOOKUP(M363,'DE x PARA'!$K$2:$L$2168,2,FALSE),0)</f>
        <v>0</v>
      </c>
      <c r="O363" s="344">
        <f t="shared" si="27"/>
        <v>0</v>
      </c>
    </row>
    <row r="364" spans="1:15">
      <c r="A364" s="343" t="str">
        <f t="shared" si="24"/>
        <v>4.2.1</v>
      </c>
      <c r="B364" s="348" t="s">
        <v>1074</v>
      </c>
      <c r="C364" s="346">
        <v>421</v>
      </c>
      <c r="D364" s="346" t="s">
        <v>1075</v>
      </c>
      <c r="E364" s="346">
        <v>0</v>
      </c>
      <c r="F364" s="1026">
        <v>25211492.379999999</v>
      </c>
      <c r="G364" s="1026">
        <v>-744442.78</v>
      </c>
      <c r="H364" s="349">
        <v>24467049.600000001</v>
      </c>
      <c r="I364" s="1026">
        <v>24467049.600000001</v>
      </c>
      <c r="J364" s="345">
        <f t="shared" si="25"/>
        <v>24467.049600000002</v>
      </c>
      <c r="K364" s="908">
        <f t="shared" si="26"/>
        <v>24467</v>
      </c>
      <c r="L364" s="346">
        <f>IFERROR(VLOOKUP(C364,'DE x PARA'!C358:K2524,7,FALSE),"SINTÉTICA")</f>
        <v>0</v>
      </c>
      <c r="M364" s="346">
        <f>IFERROR(VLOOKUP(B364,'DE x PARA'!B358:K2524,10,FALSE),"SINTÉTICA")</f>
        <v>0</v>
      </c>
      <c r="N364" s="346">
        <f>IFERROR(VLOOKUP(M364,'DE x PARA'!$K$2:$L$2168,2,FALSE),0)</f>
        <v>0</v>
      </c>
      <c r="O364" s="344">
        <f t="shared" si="27"/>
        <v>0</v>
      </c>
    </row>
    <row r="365" spans="1:15">
      <c r="A365" s="343" t="str">
        <f t="shared" si="24"/>
        <v>4.2.1.01</v>
      </c>
      <c r="B365" s="348" t="s">
        <v>1076</v>
      </c>
      <c r="C365" s="346">
        <v>4211</v>
      </c>
      <c r="D365" s="346" t="s">
        <v>976</v>
      </c>
      <c r="E365" s="346">
        <v>0</v>
      </c>
      <c r="F365" s="1026">
        <v>17363650.84</v>
      </c>
      <c r="G365" s="1026">
        <v>-544728.78</v>
      </c>
      <c r="H365" s="349">
        <v>16818922.059999999</v>
      </c>
      <c r="I365" s="1026">
        <v>16818922.059999999</v>
      </c>
      <c r="J365" s="345">
        <f t="shared" si="25"/>
        <v>16818.922059999997</v>
      </c>
      <c r="K365" s="908">
        <f t="shared" si="26"/>
        <v>16819</v>
      </c>
      <c r="L365" s="346">
        <f>IFERROR(VLOOKUP(C365,'DE x PARA'!C359:K2525,7,FALSE),"SINTÉTICA")</f>
        <v>0</v>
      </c>
      <c r="M365" s="346">
        <f>IFERROR(VLOOKUP(B365,'DE x PARA'!B359:K2525,10,FALSE),"SINTÉTICA")</f>
        <v>0</v>
      </c>
      <c r="N365" s="346">
        <f>IFERROR(VLOOKUP(M365,'DE x PARA'!$K$2:$L$2168,2,FALSE),0)</f>
        <v>0</v>
      </c>
      <c r="O365" s="344">
        <f t="shared" si="27"/>
        <v>0</v>
      </c>
    </row>
    <row r="366" spans="1:15">
      <c r="A366" s="343" t="str">
        <f t="shared" si="24"/>
        <v>4.2.1.01.0001</v>
      </c>
      <c r="B366" s="348" t="s">
        <v>1077</v>
      </c>
      <c r="C366" s="346">
        <v>42111</v>
      </c>
      <c r="D366" s="346" t="s">
        <v>978</v>
      </c>
      <c r="E366" s="346">
        <v>0</v>
      </c>
      <c r="F366" s="1026">
        <v>13500390.01</v>
      </c>
      <c r="G366" s="1026">
        <v>-45895.76</v>
      </c>
      <c r="H366" s="349">
        <v>13454494.25</v>
      </c>
      <c r="I366" s="1026">
        <v>13454494.25</v>
      </c>
      <c r="J366" s="345">
        <f t="shared" si="25"/>
        <v>13454.49425</v>
      </c>
      <c r="K366" s="908">
        <f t="shared" si="26"/>
        <v>13454</v>
      </c>
      <c r="L366" s="346">
        <f>IFERROR(VLOOKUP(C366,'DE x PARA'!C360:K2526,7,FALSE),"SINTÉTICA")</f>
        <v>500008</v>
      </c>
      <c r="M366" s="346">
        <f>IFERROR(VLOOKUP(B366,'DE x PARA'!B360:K2526,10,FALSE),"SINTÉTICA")</f>
        <v>600001</v>
      </c>
      <c r="N366" s="346">
        <f>IFERROR(VLOOKUP(M366,'DE x PARA'!$K$2:$L$2168,2,FALSE),0)</f>
        <v>0</v>
      </c>
      <c r="O366" s="344">
        <f t="shared" si="27"/>
        <v>0</v>
      </c>
    </row>
    <row r="367" spans="1:15">
      <c r="A367" s="343" t="str">
        <f t="shared" si="24"/>
        <v>4.2.1.01.0007</v>
      </c>
      <c r="B367" s="348" t="s">
        <v>1078</v>
      </c>
      <c r="C367" s="346">
        <v>42117</v>
      </c>
      <c r="D367" s="346" t="s">
        <v>980</v>
      </c>
      <c r="E367" s="346">
        <v>0</v>
      </c>
      <c r="F367" s="1026">
        <v>2343402.36</v>
      </c>
      <c r="G367" s="1026">
        <v>-498833.02</v>
      </c>
      <c r="H367" s="349">
        <v>1844569.34</v>
      </c>
      <c r="I367" s="1026">
        <v>1844569.34</v>
      </c>
      <c r="J367" s="345">
        <f t="shared" si="25"/>
        <v>1844.56934</v>
      </c>
      <c r="K367" s="908">
        <f t="shared" si="26"/>
        <v>1845</v>
      </c>
      <c r="L367" s="346">
        <f>IFERROR(VLOOKUP(C367,'DE x PARA'!C361:K2527,7,FALSE),"SINTÉTICA")</f>
        <v>500008</v>
      </c>
      <c r="M367" s="346">
        <f>IFERROR(VLOOKUP(B367,'DE x PARA'!B361:K2527,10,FALSE),"SINTÉTICA")</f>
        <v>600001</v>
      </c>
      <c r="N367" s="346">
        <f>IFERROR(VLOOKUP(M367,'DE x PARA'!$K$2:$L$2168,2,FALSE),0)</f>
        <v>0</v>
      </c>
      <c r="O367" s="344">
        <f t="shared" si="27"/>
        <v>0</v>
      </c>
    </row>
    <row r="368" spans="1:15">
      <c r="A368" s="343" t="str">
        <f t="shared" si="24"/>
        <v>4.2.1.01.0008</v>
      </c>
      <c r="B368" s="348" t="s">
        <v>1079</v>
      </c>
      <c r="C368" s="346">
        <v>42118</v>
      </c>
      <c r="D368" s="346" t="s">
        <v>982</v>
      </c>
      <c r="E368" s="346">
        <v>0</v>
      </c>
      <c r="F368" s="1026">
        <v>189303.62</v>
      </c>
      <c r="G368" s="1026">
        <v>0</v>
      </c>
      <c r="H368" s="349">
        <v>189303.62</v>
      </c>
      <c r="I368" s="1026">
        <v>189303.62</v>
      </c>
      <c r="J368" s="345">
        <f t="shared" si="25"/>
        <v>189.30362</v>
      </c>
      <c r="K368" s="908">
        <f t="shared" si="26"/>
        <v>189</v>
      </c>
      <c r="L368" s="346">
        <f>IFERROR(VLOOKUP(C368,'DE x PARA'!C362:K2528,7,FALSE),"SINTÉTICA")</f>
        <v>500008</v>
      </c>
      <c r="M368" s="346">
        <f>IFERROR(VLOOKUP(B368,'DE x PARA'!B362:K2528,10,FALSE),"SINTÉTICA")</f>
        <v>600001</v>
      </c>
      <c r="N368" s="346">
        <f>IFERROR(VLOOKUP(M368,'DE x PARA'!$K$2:$L$2168,2,FALSE),0)</f>
        <v>0</v>
      </c>
      <c r="O368" s="344">
        <f t="shared" si="27"/>
        <v>0</v>
      </c>
    </row>
    <row r="369" spans="1:15">
      <c r="A369" s="343" t="str">
        <f t="shared" si="24"/>
        <v>4.2.1.01.0009</v>
      </c>
      <c r="B369" s="348" t="s">
        <v>1080</v>
      </c>
      <c r="C369" s="346">
        <v>42119</v>
      </c>
      <c r="D369" s="346" t="s">
        <v>1081</v>
      </c>
      <c r="E369" s="346">
        <v>0</v>
      </c>
      <c r="F369" s="1026">
        <v>1263578.17</v>
      </c>
      <c r="G369" s="1026">
        <v>0</v>
      </c>
      <c r="H369" s="349">
        <v>1263578.17</v>
      </c>
      <c r="I369" s="1026">
        <v>1263578.17</v>
      </c>
      <c r="J369" s="345">
        <f t="shared" si="25"/>
        <v>1263.57817</v>
      </c>
      <c r="K369" s="908">
        <f t="shared" si="26"/>
        <v>1264</v>
      </c>
      <c r="L369" s="346">
        <f>IFERROR(VLOOKUP(C369,'DE x PARA'!C363:K2529,7,FALSE),"SINTÉTICA")</f>
        <v>500008</v>
      </c>
      <c r="M369" s="346">
        <f>IFERROR(VLOOKUP(B369,'DE x PARA'!B363:K2529,10,FALSE),"SINTÉTICA")</f>
        <v>600001</v>
      </c>
      <c r="N369" s="346">
        <f>IFERROR(VLOOKUP(M369,'DE x PARA'!$K$2:$L$2168,2,FALSE),0)</f>
        <v>0</v>
      </c>
      <c r="O369" s="344">
        <f t="shared" si="27"/>
        <v>0</v>
      </c>
    </row>
    <row r="370" spans="1:15">
      <c r="A370" s="343" t="str">
        <f t="shared" si="24"/>
        <v>4.2.1.01.0012</v>
      </c>
      <c r="B370" s="348" t="s">
        <v>1083</v>
      </c>
      <c r="C370" s="346">
        <v>421112</v>
      </c>
      <c r="D370" s="346" t="s">
        <v>988</v>
      </c>
      <c r="E370" s="346">
        <v>0</v>
      </c>
      <c r="F370" s="1026">
        <v>14973.46</v>
      </c>
      <c r="G370" s="346">
        <v>0</v>
      </c>
      <c r="H370" s="349">
        <v>14973.46</v>
      </c>
      <c r="I370" s="1026">
        <v>14973.46</v>
      </c>
      <c r="J370" s="345">
        <f t="shared" si="25"/>
        <v>14.973459999999999</v>
      </c>
      <c r="K370" s="908">
        <f t="shared" si="26"/>
        <v>15</v>
      </c>
      <c r="L370" s="346">
        <f>IFERROR(VLOOKUP(C370,'DE x PARA'!C364:K2530,7,FALSE),"SINTÉTICA")</f>
        <v>500008</v>
      </c>
      <c r="M370" s="346">
        <f>IFERROR(VLOOKUP(B370,'DE x PARA'!B364:K2530,10,FALSE),"SINTÉTICA")</f>
        <v>600001</v>
      </c>
      <c r="N370" s="346">
        <f>IFERROR(VLOOKUP(M370,'DE x PARA'!$K$2:$L$2168,2,FALSE),0)</f>
        <v>0</v>
      </c>
      <c r="O370" s="344">
        <f t="shared" si="27"/>
        <v>0</v>
      </c>
    </row>
    <row r="371" spans="1:15">
      <c r="A371" s="343" t="str">
        <f t="shared" si="24"/>
        <v>4.2.1.01.0014</v>
      </c>
      <c r="B371" s="348" t="s">
        <v>5207</v>
      </c>
      <c r="C371" s="346">
        <v>421114</v>
      </c>
      <c r="D371" s="346" t="s">
        <v>990</v>
      </c>
      <c r="E371" s="346">
        <v>0</v>
      </c>
      <c r="F371" s="1026">
        <v>52003.22</v>
      </c>
      <c r="G371" s="346">
        <v>0</v>
      </c>
      <c r="H371" s="349">
        <v>52003.22</v>
      </c>
      <c r="I371" s="1026">
        <v>52003.22</v>
      </c>
      <c r="J371" s="345">
        <f t="shared" si="25"/>
        <v>52.003219999999999</v>
      </c>
      <c r="K371" s="908">
        <f t="shared" si="26"/>
        <v>52</v>
      </c>
      <c r="L371" s="346">
        <f>IFERROR(VLOOKUP(C371,'DE x PARA'!C365:K2531,7,FALSE),"SINTÉTICA")</f>
        <v>500008</v>
      </c>
      <c r="M371" s="346">
        <f>IFERROR(VLOOKUP(B371,'DE x PARA'!B365:K2531,10,FALSE),"SINTÉTICA")</f>
        <v>600001</v>
      </c>
      <c r="N371" s="346">
        <f>IFERROR(VLOOKUP(M371,'DE x PARA'!$K$2:$L$2168,2,FALSE),0)</f>
        <v>0</v>
      </c>
      <c r="O371" s="344">
        <f t="shared" si="27"/>
        <v>0</v>
      </c>
    </row>
    <row r="372" spans="1:15">
      <c r="A372" s="343" t="str">
        <f t="shared" si="24"/>
        <v>4.2.1.02</v>
      </c>
      <c r="B372" s="348" t="s">
        <v>1084</v>
      </c>
      <c r="C372" s="346">
        <v>4212</v>
      </c>
      <c r="D372" s="346" t="s">
        <v>8</v>
      </c>
      <c r="E372" s="346">
        <v>0</v>
      </c>
      <c r="F372" s="1026">
        <v>5190320.16</v>
      </c>
      <c r="G372" s="1026">
        <v>-175179.32</v>
      </c>
      <c r="H372" s="349">
        <v>5015140.84</v>
      </c>
      <c r="I372" s="1026">
        <v>5015140.84</v>
      </c>
      <c r="J372" s="345">
        <f t="shared" si="25"/>
        <v>5015.14084</v>
      </c>
      <c r="K372" s="908">
        <f t="shared" si="26"/>
        <v>5015</v>
      </c>
      <c r="L372" s="346">
        <f>IFERROR(VLOOKUP(C372,'DE x PARA'!C366:K2532,7,FALSE),"SINTÉTICA")</f>
        <v>0</v>
      </c>
      <c r="M372" s="346">
        <f>IFERROR(VLOOKUP(B372,'DE x PARA'!B366:K2532,10,FALSE),"SINTÉTICA")</f>
        <v>0</v>
      </c>
      <c r="N372" s="346">
        <f>IFERROR(VLOOKUP(M372,'DE x PARA'!$K$2:$L$2168,2,FALSE),0)</f>
        <v>0</v>
      </c>
      <c r="O372" s="344">
        <f t="shared" si="27"/>
        <v>0</v>
      </c>
    </row>
    <row r="373" spans="1:15">
      <c r="A373" s="343" t="str">
        <f t="shared" si="24"/>
        <v>4.2.1.02.0001</v>
      </c>
      <c r="B373" s="348" t="s">
        <v>1085</v>
      </c>
      <c r="C373" s="346">
        <v>42121</v>
      </c>
      <c r="D373" s="346" t="s">
        <v>874</v>
      </c>
      <c r="E373" s="346">
        <v>0</v>
      </c>
      <c r="F373" s="1026">
        <v>3044532.81</v>
      </c>
      <c r="G373" s="1026">
        <v>-32930.11</v>
      </c>
      <c r="H373" s="349">
        <v>3011602.7</v>
      </c>
      <c r="I373" s="1026">
        <v>3011602.7</v>
      </c>
      <c r="J373" s="345">
        <f t="shared" si="25"/>
        <v>3011.6027000000004</v>
      </c>
      <c r="K373" s="908">
        <f t="shared" si="26"/>
        <v>3012</v>
      </c>
      <c r="L373" s="346">
        <f>IFERROR(VLOOKUP(C373,'DE x PARA'!C367:K2533,7,FALSE),"SINTÉTICA")</f>
        <v>500012</v>
      </c>
      <c r="M373" s="346">
        <f>IFERROR(VLOOKUP(B373,'DE x PARA'!B367:K2533,10,FALSE),"SINTÉTICA")</f>
        <v>600001</v>
      </c>
      <c r="N373" s="346">
        <f>IFERROR(VLOOKUP(M373,'DE x PARA'!$K$2:$L$2168,2,FALSE),0)</f>
        <v>0</v>
      </c>
      <c r="O373" s="344">
        <f t="shared" si="27"/>
        <v>0</v>
      </c>
    </row>
    <row r="374" spans="1:15">
      <c r="A374" s="343" t="str">
        <f t="shared" si="24"/>
        <v>4.2.1.02.0002</v>
      </c>
      <c r="B374" s="348" t="s">
        <v>1086</v>
      </c>
      <c r="C374" s="346">
        <v>42122</v>
      </c>
      <c r="D374" s="346" t="s">
        <v>198</v>
      </c>
      <c r="E374" s="346">
        <v>0</v>
      </c>
      <c r="F374" s="1026">
        <v>1071432</v>
      </c>
      <c r="G374" s="1026">
        <v>-2.39</v>
      </c>
      <c r="H374" s="349">
        <v>1071429.6100000001</v>
      </c>
      <c r="I374" s="1026">
        <v>1071429.6100000001</v>
      </c>
      <c r="J374" s="345">
        <f t="shared" si="25"/>
        <v>1071.4296100000001</v>
      </c>
      <c r="K374" s="908">
        <f t="shared" si="26"/>
        <v>1071</v>
      </c>
      <c r="L374" s="346">
        <f>IFERROR(VLOOKUP(C374,'DE x PARA'!C368:K2534,7,FALSE),"SINTÉTICA")</f>
        <v>500010</v>
      </c>
      <c r="M374" s="346">
        <f>IFERROR(VLOOKUP(B374,'DE x PARA'!B368:K2534,10,FALSE),"SINTÉTICA")</f>
        <v>600001</v>
      </c>
      <c r="N374" s="346">
        <f>IFERROR(VLOOKUP(M374,'DE x PARA'!$K$2:$L$2168,2,FALSE),0)</f>
        <v>0</v>
      </c>
      <c r="O374" s="344">
        <f t="shared" si="27"/>
        <v>0</v>
      </c>
    </row>
    <row r="375" spans="1:15">
      <c r="A375" s="343" t="str">
        <f t="shared" si="24"/>
        <v>4.2.1.02.0004</v>
      </c>
      <c r="B375" s="348" t="s">
        <v>1087</v>
      </c>
      <c r="C375" s="346">
        <v>42124</v>
      </c>
      <c r="D375" s="346" t="s">
        <v>995</v>
      </c>
      <c r="E375" s="346">
        <v>0</v>
      </c>
      <c r="F375" s="1026">
        <v>280097.90000000002</v>
      </c>
      <c r="G375" s="346">
        <v>0</v>
      </c>
      <c r="H375" s="349">
        <v>280097.90000000002</v>
      </c>
      <c r="I375" s="1026">
        <v>280097.90000000002</v>
      </c>
      <c r="J375" s="345">
        <f t="shared" si="25"/>
        <v>280.09790000000004</v>
      </c>
      <c r="K375" s="908">
        <f t="shared" si="26"/>
        <v>280</v>
      </c>
      <c r="L375" s="346">
        <f>IFERROR(VLOOKUP(C375,'DE x PARA'!C369:K2535,7,FALSE),"SINTÉTICA")</f>
        <v>500012</v>
      </c>
      <c r="M375" s="346">
        <f>IFERROR(VLOOKUP(B375,'DE x PARA'!B369:K2535,10,FALSE),"SINTÉTICA")</f>
        <v>600001</v>
      </c>
      <c r="N375" s="346">
        <f>IFERROR(VLOOKUP(M375,'DE x PARA'!$K$2:$L$2168,2,FALSE),0)</f>
        <v>0</v>
      </c>
      <c r="O375" s="344">
        <f t="shared" si="27"/>
        <v>0</v>
      </c>
    </row>
    <row r="376" spans="1:15">
      <c r="A376" s="343" t="str">
        <f t="shared" si="24"/>
        <v>4.2.1.02.0005</v>
      </c>
      <c r="B376" s="348" t="s">
        <v>1088</v>
      </c>
      <c r="C376" s="346">
        <v>42125</v>
      </c>
      <c r="D376" s="346" t="s">
        <v>997</v>
      </c>
      <c r="E376" s="346">
        <v>0</v>
      </c>
      <c r="F376" s="1026">
        <v>512453.9</v>
      </c>
      <c r="G376" s="1026">
        <v>-97927.42</v>
      </c>
      <c r="H376" s="349">
        <v>414526.48</v>
      </c>
      <c r="I376" s="1026">
        <v>414526.48</v>
      </c>
      <c r="J376" s="345">
        <f t="shared" si="25"/>
        <v>414.52647999999999</v>
      </c>
      <c r="K376" s="908">
        <f t="shared" si="26"/>
        <v>415</v>
      </c>
      <c r="L376" s="346">
        <f>IFERROR(VLOOKUP(C376,'DE x PARA'!C370:K2536,7,FALSE),"SINTÉTICA")</f>
        <v>500012</v>
      </c>
      <c r="M376" s="346">
        <f>IFERROR(VLOOKUP(B376,'DE x PARA'!B370:K2536,10,FALSE),"SINTÉTICA")</f>
        <v>600001</v>
      </c>
      <c r="N376" s="346">
        <f>IFERROR(VLOOKUP(M376,'DE x PARA'!$K$2:$L$2168,2,FALSE),0)</f>
        <v>0</v>
      </c>
      <c r="O376" s="344">
        <f t="shared" si="27"/>
        <v>0</v>
      </c>
    </row>
    <row r="377" spans="1:15">
      <c r="A377" s="343" t="str">
        <f t="shared" si="24"/>
        <v>4.2.1.02.0006</v>
      </c>
      <c r="B377" s="348" t="s">
        <v>1089</v>
      </c>
      <c r="C377" s="346">
        <v>42126</v>
      </c>
      <c r="D377" s="346" t="s">
        <v>999</v>
      </c>
      <c r="E377" s="346">
        <v>0</v>
      </c>
      <c r="F377" s="1026">
        <v>182016.77</v>
      </c>
      <c r="G377" s="1026">
        <v>-25644.21</v>
      </c>
      <c r="H377" s="349">
        <v>156372.56</v>
      </c>
      <c r="I377" s="1026">
        <v>156372.56</v>
      </c>
      <c r="J377" s="345">
        <f t="shared" si="25"/>
        <v>156.37255999999999</v>
      </c>
      <c r="K377" s="908">
        <f t="shared" si="26"/>
        <v>156</v>
      </c>
      <c r="L377" s="346">
        <f>IFERROR(VLOOKUP(C377,'DE x PARA'!C371:K2537,7,FALSE),"SINTÉTICA")</f>
        <v>500010</v>
      </c>
      <c r="M377" s="346">
        <f>IFERROR(VLOOKUP(B377,'DE x PARA'!B371:K2537,10,FALSE),"SINTÉTICA")</f>
        <v>600001</v>
      </c>
      <c r="N377" s="346">
        <f>IFERROR(VLOOKUP(M377,'DE x PARA'!$K$2:$L$2168,2,FALSE),0)</f>
        <v>0</v>
      </c>
      <c r="O377" s="344">
        <f t="shared" si="27"/>
        <v>0</v>
      </c>
    </row>
    <row r="378" spans="1:15">
      <c r="A378" s="343" t="str">
        <f t="shared" si="24"/>
        <v>4.2.1.02.0007</v>
      </c>
      <c r="B378" s="348" t="s">
        <v>1090</v>
      </c>
      <c r="C378" s="346">
        <v>42127</v>
      </c>
      <c r="D378" s="346" t="s">
        <v>1001</v>
      </c>
      <c r="E378" s="346">
        <v>0</v>
      </c>
      <c r="F378" s="1026">
        <v>99786.78</v>
      </c>
      <c r="G378" s="1026">
        <v>-18675.189999999999</v>
      </c>
      <c r="H378" s="349">
        <v>81111.59</v>
      </c>
      <c r="I378" s="1026">
        <v>81111.59</v>
      </c>
      <c r="J378" s="345">
        <f t="shared" si="25"/>
        <v>81.111589999999993</v>
      </c>
      <c r="K378" s="908">
        <f t="shared" si="26"/>
        <v>81</v>
      </c>
      <c r="L378" s="346">
        <f>IFERROR(VLOOKUP(C378,'DE x PARA'!C372:K2538,7,FALSE),"SINTÉTICA")</f>
        <v>500010</v>
      </c>
      <c r="M378" s="346">
        <f>IFERROR(VLOOKUP(B378,'DE x PARA'!B372:K2538,10,FALSE),"SINTÉTICA")</f>
        <v>600001</v>
      </c>
      <c r="N378" s="346">
        <f>IFERROR(VLOOKUP(M378,'DE x PARA'!$K$2:$L$2168,2,FALSE),0)</f>
        <v>0</v>
      </c>
      <c r="O378" s="344">
        <f t="shared" si="27"/>
        <v>0</v>
      </c>
    </row>
    <row r="379" spans="1:15">
      <c r="A379" s="343" t="str">
        <f t="shared" si="24"/>
        <v>4.2.1.03</v>
      </c>
      <c r="B379" s="348" t="s">
        <v>1091</v>
      </c>
      <c r="C379" s="346">
        <v>4213</v>
      </c>
      <c r="D379" s="346" t="s">
        <v>9</v>
      </c>
      <c r="E379" s="346">
        <v>0</v>
      </c>
      <c r="F379" s="1026">
        <v>2657521.38</v>
      </c>
      <c r="G379" s="1026">
        <v>-24534.68</v>
      </c>
      <c r="H379" s="349">
        <v>2632986.7000000002</v>
      </c>
      <c r="I379" s="1026">
        <v>2632986.7000000002</v>
      </c>
      <c r="J379" s="345">
        <f t="shared" si="25"/>
        <v>2632.9867000000004</v>
      </c>
      <c r="K379" s="908">
        <f t="shared" si="26"/>
        <v>2633</v>
      </c>
      <c r="L379" s="346">
        <f>IFERROR(VLOOKUP(C379,'DE x PARA'!C373:K2539,7,FALSE),"SINTÉTICA")</f>
        <v>0</v>
      </c>
      <c r="M379" s="346">
        <f>IFERROR(VLOOKUP(B379,'DE x PARA'!B373:K2539,10,FALSE),"SINTÉTICA")</f>
        <v>0</v>
      </c>
      <c r="N379" s="346">
        <f>IFERROR(VLOOKUP(M379,'DE x PARA'!$K$2:$L$2168,2,FALSE),0)</f>
        <v>0</v>
      </c>
      <c r="O379" s="344">
        <f t="shared" si="27"/>
        <v>0</v>
      </c>
    </row>
    <row r="380" spans="1:15">
      <c r="A380" s="343" t="str">
        <f t="shared" si="24"/>
        <v>4.2.1.03.0001</v>
      </c>
      <c r="B380" s="348" t="s">
        <v>1092</v>
      </c>
      <c r="C380" s="346">
        <v>42131</v>
      </c>
      <c r="D380" s="346" t="s">
        <v>907</v>
      </c>
      <c r="E380" s="346">
        <v>0</v>
      </c>
      <c r="F380" s="1026">
        <v>911253.97</v>
      </c>
      <c r="G380" s="1026">
        <v>-2072.37</v>
      </c>
      <c r="H380" s="349">
        <v>909181.6</v>
      </c>
      <c r="I380" s="1026">
        <v>909181.6</v>
      </c>
      <c r="J380" s="345">
        <f t="shared" si="25"/>
        <v>909.1816</v>
      </c>
      <c r="K380" s="908">
        <f t="shared" si="26"/>
        <v>909</v>
      </c>
      <c r="L380" s="346">
        <f>IFERROR(VLOOKUP(C380,'DE x PARA'!C374:K2540,7,FALSE),"SINTÉTICA")</f>
        <v>500009</v>
      </c>
      <c r="M380" s="346">
        <f>IFERROR(VLOOKUP(B380,'DE x PARA'!B374:K2540,10,FALSE),"SINTÉTICA")</f>
        <v>600001</v>
      </c>
      <c r="N380" s="346">
        <f>IFERROR(VLOOKUP(M380,'DE x PARA'!$K$2:$L$2168,2,FALSE),0)</f>
        <v>0</v>
      </c>
      <c r="O380" s="344">
        <f t="shared" si="27"/>
        <v>0</v>
      </c>
    </row>
    <row r="381" spans="1:15">
      <c r="A381" s="343" t="str">
        <f t="shared" si="24"/>
        <v>4.2.1.03.0002</v>
      </c>
      <c r="B381" s="348" t="s">
        <v>1093</v>
      </c>
      <c r="C381" s="346">
        <v>42132</v>
      </c>
      <c r="D381" s="346" t="s">
        <v>1005</v>
      </c>
      <c r="E381" s="346">
        <v>0</v>
      </c>
      <c r="F381" s="1026">
        <v>835765.6</v>
      </c>
      <c r="G381" s="346">
        <v>-162.51</v>
      </c>
      <c r="H381" s="349">
        <v>835603.09</v>
      </c>
      <c r="I381" s="1026">
        <v>835603.09</v>
      </c>
      <c r="J381" s="345">
        <f t="shared" si="25"/>
        <v>835.60308999999995</v>
      </c>
      <c r="K381" s="908">
        <f t="shared" si="26"/>
        <v>836</v>
      </c>
      <c r="L381" s="346">
        <f>IFERROR(VLOOKUP(C381,'DE x PARA'!C375:K2541,7,FALSE),"SINTÉTICA")</f>
        <v>500009</v>
      </c>
      <c r="M381" s="346">
        <f>IFERROR(VLOOKUP(B381,'DE x PARA'!B375:K2541,10,FALSE),"SINTÉTICA")</f>
        <v>600001</v>
      </c>
      <c r="N381" s="346">
        <f>IFERROR(VLOOKUP(M381,'DE x PARA'!$K$2:$L$2168,2,FALSE),0)</f>
        <v>0</v>
      </c>
      <c r="O381" s="344">
        <f t="shared" si="27"/>
        <v>0</v>
      </c>
    </row>
    <row r="382" spans="1:15">
      <c r="A382" s="343" t="str">
        <f t="shared" si="24"/>
        <v>4.2.1.03.0003</v>
      </c>
      <c r="B382" s="348" t="s">
        <v>1094</v>
      </c>
      <c r="C382" s="346">
        <v>42133</v>
      </c>
      <c r="D382" s="346" t="s">
        <v>1007</v>
      </c>
      <c r="E382" s="346">
        <v>0</v>
      </c>
      <c r="F382" s="1026">
        <v>22118.959999999999</v>
      </c>
      <c r="G382" s="1026">
        <v>-10103.67</v>
      </c>
      <c r="H382" s="349">
        <v>12015.29</v>
      </c>
      <c r="I382" s="1026">
        <v>12015.29</v>
      </c>
      <c r="J382" s="345">
        <f t="shared" si="25"/>
        <v>12.01529</v>
      </c>
      <c r="K382" s="908">
        <f t="shared" si="26"/>
        <v>12</v>
      </c>
      <c r="L382" s="346">
        <f>IFERROR(VLOOKUP(C382,'DE x PARA'!C376:K2542,7,FALSE),"SINTÉTICA")</f>
        <v>500009</v>
      </c>
      <c r="M382" s="346">
        <f>IFERROR(VLOOKUP(B382,'DE x PARA'!B376:K2542,10,FALSE),"SINTÉTICA")</f>
        <v>600001</v>
      </c>
      <c r="N382" s="346">
        <f>IFERROR(VLOOKUP(M382,'DE x PARA'!$K$2:$L$2168,2,FALSE),0)</f>
        <v>0</v>
      </c>
      <c r="O382" s="344">
        <f t="shared" si="27"/>
        <v>0</v>
      </c>
    </row>
    <row r="383" spans="1:15">
      <c r="A383" s="343" t="str">
        <f t="shared" si="24"/>
        <v>4.2.1.03.0004</v>
      </c>
      <c r="B383" s="348" t="s">
        <v>1095</v>
      </c>
      <c r="C383" s="346">
        <v>42134</v>
      </c>
      <c r="D383" s="346" t="s">
        <v>1096</v>
      </c>
      <c r="E383" s="346">
        <v>0</v>
      </c>
      <c r="F383" s="1026">
        <v>130652.82</v>
      </c>
      <c r="G383" s="1026">
        <v>0</v>
      </c>
      <c r="H383" s="349">
        <v>130652.82</v>
      </c>
      <c r="I383" s="1026">
        <v>130652.82</v>
      </c>
      <c r="J383" s="345">
        <f t="shared" si="25"/>
        <v>130.65282000000002</v>
      </c>
      <c r="K383" s="908">
        <f t="shared" si="26"/>
        <v>131</v>
      </c>
      <c r="L383" s="346">
        <f>IFERROR(VLOOKUP(C383,'DE x PARA'!C377:K2543,7,FALSE),"SINTÉTICA")</f>
        <v>500009</v>
      </c>
      <c r="M383" s="346">
        <f>IFERROR(VLOOKUP(B383,'DE x PARA'!B377:K2543,10,FALSE),"SINTÉTICA")</f>
        <v>600001</v>
      </c>
      <c r="N383" s="346">
        <f>IFERROR(VLOOKUP(M383,'DE x PARA'!$K$2:$L$2168,2,FALSE),0)</f>
        <v>0</v>
      </c>
      <c r="O383" s="344">
        <f t="shared" si="27"/>
        <v>0</v>
      </c>
    </row>
    <row r="384" spans="1:15">
      <c r="A384" s="343" t="str">
        <f t="shared" si="24"/>
        <v>4.2.1.03.0005</v>
      </c>
      <c r="B384" s="348" t="s">
        <v>1097</v>
      </c>
      <c r="C384" s="346">
        <v>42135</v>
      </c>
      <c r="D384" s="346" t="s">
        <v>1009</v>
      </c>
      <c r="E384" s="346">
        <v>0</v>
      </c>
      <c r="F384" s="1026">
        <v>140326.38</v>
      </c>
      <c r="G384" s="1026">
        <v>0</v>
      </c>
      <c r="H384" s="349">
        <v>140326.38</v>
      </c>
      <c r="I384" s="1026">
        <v>140326.38</v>
      </c>
      <c r="J384" s="345">
        <f t="shared" si="25"/>
        <v>140.32638</v>
      </c>
      <c r="K384" s="908">
        <f t="shared" si="26"/>
        <v>140</v>
      </c>
      <c r="L384" s="346">
        <f>IFERROR(VLOOKUP(C384,'DE x PARA'!C378:K2544,7,FALSE),"SINTÉTICA")</f>
        <v>500009</v>
      </c>
      <c r="M384" s="346">
        <f>IFERROR(VLOOKUP(B384,'DE x PARA'!B378:K2544,10,FALSE),"SINTÉTICA")</f>
        <v>600001</v>
      </c>
      <c r="N384" s="346">
        <f>IFERROR(VLOOKUP(M384,'DE x PARA'!$K$2:$L$2168,2,FALSE),0)</f>
        <v>0</v>
      </c>
      <c r="O384" s="344">
        <f t="shared" si="27"/>
        <v>0</v>
      </c>
    </row>
    <row r="385" spans="1:15">
      <c r="A385" s="343" t="str">
        <f t="shared" si="24"/>
        <v>4.2.1.03.0006</v>
      </c>
      <c r="B385" s="348" t="s">
        <v>1098</v>
      </c>
      <c r="C385" s="346">
        <v>42136</v>
      </c>
      <c r="D385" s="346" t="s">
        <v>1011</v>
      </c>
      <c r="E385" s="346">
        <v>0</v>
      </c>
      <c r="F385" s="1026">
        <v>518769.11</v>
      </c>
      <c r="G385" s="1026">
        <v>-7224.63</v>
      </c>
      <c r="H385" s="349">
        <v>511544.48</v>
      </c>
      <c r="I385" s="1026">
        <v>511544.48</v>
      </c>
      <c r="J385" s="345">
        <f t="shared" si="25"/>
        <v>511.54447999999996</v>
      </c>
      <c r="K385" s="908">
        <f t="shared" si="26"/>
        <v>512</v>
      </c>
      <c r="L385" s="346">
        <f>IFERROR(VLOOKUP(C385,'DE x PARA'!C379:K2545,7,FALSE),"SINTÉTICA")</f>
        <v>500009</v>
      </c>
      <c r="M385" s="346">
        <f>IFERROR(VLOOKUP(B385,'DE x PARA'!B379:K2545,10,FALSE),"SINTÉTICA")</f>
        <v>600001</v>
      </c>
      <c r="N385" s="346">
        <f>IFERROR(VLOOKUP(M385,'DE x PARA'!$K$2:$L$2168,2,FALSE),0)</f>
        <v>0</v>
      </c>
      <c r="O385" s="344">
        <f t="shared" si="27"/>
        <v>0</v>
      </c>
    </row>
    <row r="386" spans="1:15">
      <c r="A386" s="343" t="str">
        <f t="shared" si="24"/>
        <v>4.2.1.03.0010</v>
      </c>
      <c r="B386" s="348" t="s">
        <v>1099</v>
      </c>
      <c r="C386" s="346">
        <v>421310</v>
      </c>
      <c r="D386" s="346" t="s">
        <v>1013</v>
      </c>
      <c r="E386" s="346">
        <v>0</v>
      </c>
      <c r="F386" s="1026">
        <v>10785.99</v>
      </c>
      <c r="G386" s="1026">
        <v>-4971.5</v>
      </c>
      <c r="H386" s="349">
        <v>5814.49</v>
      </c>
      <c r="I386" s="1026">
        <v>5814.49</v>
      </c>
      <c r="J386" s="345">
        <f t="shared" si="25"/>
        <v>5.8144900000000002</v>
      </c>
      <c r="K386" s="908">
        <f t="shared" si="26"/>
        <v>6</v>
      </c>
      <c r="L386" s="346">
        <f>IFERROR(VLOOKUP(C386,'DE x PARA'!C380:K2546,7,FALSE),"SINTÉTICA")</f>
        <v>500009</v>
      </c>
      <c r="M386" s="346">
        <f>IFERROR(VLOOKUP(B386,'DE x PARA'!B380:K2546,10,FALSE),"SINTÉTICA")</f>
        <v>600001</v>
      </c>
      <c r="N386" s="346">
        <f>IFERROR(VLOOKUP(M386,'DE x PARA'!$K$2:$L$2168,2,FALSE),0)</f>
        <v>0</v>
      </c>
      <c r="O386" s="344">
        <f t="shared" si="27"/>
        <v>0</v>
      </c>
    </row>
    <row r="387" spans="1:15">
      <c r="A387" s="343" t="str">
        <f t="shared" si="24"/>
        <v>4.2.1.03.0011</v>
      </c>
      <c r="B387" s="348" t="s">
        <v>1100</v>
      </c>
      <c r="C387" s="346">
        <v>421311</v>
      </c>
      <c r="D387" s="346" t="s">
        <v>1015</v>
      </c>
      <c r="E387" s="346">
        <v>0</v>
      </c>
      <c r="F387" s="1026">
        <v>63028.79</v>
      </c>
      <c r="G387" s="1026">
        <v>0</v>
      </c>
      <c r="H387" s="349">
        <v>63028.79</v>
      </c>
      <c r="I387" s="1026">
        <v>63028.79</v>
      </c>
      <c r="J387" s="345">
        <f t="shared" si="25"/>
        <v>63.028790000000001</v>
      </c>
      <c r="K387" s="908">
        <f t="shared" si="26"/>
        <v>63</v>
      </c>
      <c r="L387" s="346">
        <f>IFERROR(VLOOKUP(C387,'DE x PARA'!C381:K2547,7,FALSE),"SINTÉTICA")</f>
        <v>500009</v>
      </c>
      <c r="M387" s="346">
        <f>IFERROR(VLOOKUP(B387,'DE x PARA'!B381:K2547,10,FALSE),"SINTÉTICA")</f>
        <v>600001</v>
      </c>
      <c r="N387" s="346">
        <f>IFERROR(VLOOKUP(M387,'DE x PARA'!$K$2:$L$2168,2,FALSE),0)</f>
        <v>0</v>
      </c>
      <c r="O387" s="344">
        <f t="shared" si="27"/>
        <v>0</v>
      </c>
    </row>
    <row r="388" spans="1:15">
      <c r="A388" s="343" t="str">
        <f t="shared" si="24"/>
        <v>4.2.1.03.0013</v>
      </c>
      <c r="B388" s="348" t="s">
        <v>5216</v>
      </c>
      <c r="C388" s="346">
        <v>421313</v>
      </c>
      <c r="D388" s="346" t="s">
        <v>5073</v>
      </c>
      <c r="E388" s="346">
        <v>0</v>
      </c>
      <c r="F388" s="1026">
        <v>24819.759999999998</v>
      </c>
      <c r="G388" s="1026">
        <v>0</v>
      </c>
      <c r="H388" s="349">
        <v>24819.759999999998</v>
      </c>
      <c r="I388" s="1026">
        <v>24819.759999999998</v>
      </c>
      <c r="J388" s="345">
        <f t="shared" si="25"/>
        <v>24.819759999999999</v>
      </c>
      <c r="K388" s="908">
        <f t="shared" si="26"/>
        <v>25</v>
      </c>
      <c r="L388" s="346">
        <f>IFERROR(VLOOKUP(C388,'DE x PARA'!C382:K2548,7,FALSE),"SINTÉTICA")</f>
        <v>500009</v>
      </c>
      <c r="M388" s="346">
        <f>IFERROR(VLOOKUP(B388,'DE x PARA'!B382:K2548,10,FALSE),"SINTÉTICA")</f>
        <v>600001</v>
      </c>
      <c r="N388" s="346">
        <f>IFERROR(VLOOKUP(M388,'DE x PARA'!$K$2:$L$2168,2,FALSE),0)</f>
        <v>0</v>
      </c>
      <c r="O388" s="344">
        <f t="shared" si="27"/>
        <v>0</v>
      </c>
    </row>
    <row r="389" spans="1:15">
      <c r="A389" s="343" t="str">
        <f t="shared" si="24"/>
        <v>4.2.2</v>
      </c>
      <c r="B389" s="348" t="s">
        <v>22</v>
      </c>
      <c r="C389" s="346">
        <v>422</v>
      </c>
      <c r="D389" s="346" t="s">
        <v>1101</v>
      </c>
      <c r="E389" s="346">
        <v>0</v>
      </c>
      <c r="F389" s="1026">
        <v>21646.78</v>
      </c>
      <c r="G389" s="1026">
        <v>0</v>
      </c>
      <c r="H389" s="349">
        <v>21646.78</v>
      </c>
      <c r="I389" s="1026">
        <v>21646.78</v>
      </c>
      <c r="J389" s="345">
        <f t="shared" si="25"/>
        <v>21.64678</v>
      </c>
      <c r="K389" s="908">
        <f t="shared" si="26"/>
        <v>22</v>
      </c>
      <c r="L389" s="346">
        <f>IFERROR(VLOOKUP(C389,'DE x PARA'!C383:K2549,7,FALSE),"SINTÉTICA")</f>
        <v>0</v>
      </c>
      <c r="M389" s="346">
        <f>IFERROR(VLOOKUP(B389,'DE x PARA'!B383:K2549,10,FALSE),"SINTÉTICA")</f>
        <v>0</v>
      </c>
      <c r="N389" s="346">
        <f>IFERROR(VLOOKUP(M389,'DE x PARA'!$K$2:$L$2168,2,FALSE),0)</f>
        <v>0</v>
      </c>
      <c r="O389" s="344">
        <f t="shared" si="27"/>
        <v>0</v>
      </c>
    </row>
    <row r="390" spans="1:15">
      <c r="A390" s="343" t="str">
        <f t="shared" si="24"/>
        <v>4.2.2.01</v>
      </c>
      <c r="B390" s="348" t="s">
        <v>1102</v>
      </c>
      <c r="C390" s="346">
        <v>4221</v>
      </c>
      <c r="D390" s="346" t="s">
        <v>1103</v>
      </c>
      <c r="E390" s="346">
        <v>0</v>
      </c>
      <c r="F390" s="1026">
        <v>21646.78</v>
      </c>
      <c r="G390" s="1026">
        <v>0</v>
      </c>
      <c r="H390" s="349">
        <v>21646.78</v>
      </c>
      <c r="I390" s="1026">
        <v>21646.78</v>
      </c>
      <c r="J390" s="345">
        <f t="shared" si="25"/>
        <v>21.64678</v>
      </c>
      <c r="K390" s="908">
        <f t="shared" si="26"/>
        <v>22</v>
      </c>
      <c r="L390" s="346">
        <f>IFERROR(VLOOKUP(C390,'DE x PARA'!C384:K2550,7,FALSE),"SINTÉTICA")</f>
        <v>0</v>
      </c>
      <c r="M390" s="346">
        <f>IFERROR(VLOOKUP(B390,'DE x PARA'!B384:K2550,10,FALSE),"SINTÉTICA")</f>
        <v>0</v>
      </c>
      <c r="N390" s="346">
        <f>IFERROR(VLOOKUP(M390,'DE x PARA'!$K$2:$L$2168,2,FALSE),0)</f>
        <v>0</v>
      </c>
      <c r="O390" s="344">
        <f t="shared" si="27"/>
        <v>0</v>
      </c>
    </row>
    <row r="391" spans="1:15">
      <c r="A391" s="343" t="str">
        <f t="shared" si="24"/>
        <v>4.2.2.01.0001</v>
      </c>
      <c r="B391" s="348" t="s">
        <v>1104</v>
      </c>
      <c r="C391" s="346">
        <v>42211</v>
      </c>
      <c r="D391" s="346" t="s">
        <v>1105</v>
      </c>
      <c r="E391" s="346">
        <v>0</v>
      </c>
      <c r="F391" s="1026">
        <v>21646.78</v>
      </c>
      <c r="G391" s="1026">
        <v>0</v>
      </c>
      <c r="H391" s="349">
        <v>21646.78</v>
      </c>
      <c r="I391" s="1026">
        <v>21646.78</v>
      </c>
      <c r="J391" s="345">
        <f t="shared" si="25"/>
        <v>21.64678</v>
      </c>
      <c r="K391" s="908">
        <f t="shared" si="26"/>
        <v>22</v>
      </c>
      <c r="L391" s="346">
        <f>IFERROR(VLOOKUP(C391,'DE x PARA'!C385:K2551,7,FALSE),"SINTÉTICA")</f>
        <v>500004</v>
      </c>
      <c r="M391" s="346">
        <f>IFERROR(VLOOKUP(B391,'DE x PARA'!B385:K2551,10,FALSE),"SINTÉTICA")</f>
        <v>600001</v>
      </c>
      <c r="N391" s="346">
        <f>IFERROR(VLOOKUP(M391,'DE x PARA'!$K$2:$L$2168,2,FALSE),0)</f>
        <v>0</v>
      </c>
      <c r="O391" s="344">
        <f t="shared" si="27"/>
        <v>0</v>
      </c>
    </row>
    <row r="392" spans="1:15">
      <c r="A392" s="343" t="str">
        <f t="shared" ref="A392:A455" si="28">B392</f>
        <v>4.2.3</v>
      </c>
      <c r="B392" s="348" t="s">
        <v>1106</v>
      </c>
      <c r="C392" s="346">
        <v>423</v>
      </c>
      <c r="D392" s="346" t="s">
        <v>1107</v>
      </c>
      <c r="E392" s="346">
        <v>0</v>
      </c>
      <c r="F392" s="1026">
        <v>5410400.3499999996</v>
      </c>
      <c r="G392" s="1026">
        <v>-507874.07</v>
      </c>
      <c r="H392" s="349">
        <v>4902526.28</v>
      </c>
      <c r="I392" s="1026">
        <v>4902526.28</v>
      </c>
      <c r="J392" s="345">
        <f t="shared" si="25"/>
        <v>4902.52628</v>
      </c>
      <c r="K392" s="908">
        <f t="shared" si="26"/>
        <v>4903</v>
      </c>
      <c r="L392" s="346">
        <f>IFERROR(VLOOKUP(C392,'DE x PARA'!C386:K2552,7,FALSE),"SINTÉTICA")</f>
        <v>0</v>
      </c>
      <c r="M392" s="346">
        <f>IFERROR(VLOOKUP(B392,'DE x PARA'!B386:K2552,10,FALSE),"SINTÉTICA")</f>
        <v>0</v>
      </c>
      <c r="N392" s="346">
        <f>IFERROR(VLOOKUP(M392,'DE x PARA'!$K$2:$L$2168,2,FALSE),0)</f>
        <v>0</v>
      </c>
      <c r="O392" s="344">
        <f t="shared" si="27"/>
        <v>0</v>
      </c>
    </row>
    <row r="393" spans="1:15">
      <c r="A393" s="343" t="str">
        <f t="shared" si="28"/>
        <v>4.2.3.01</v>
      </c>
      <c r="B393" s="348" t="s">
        <v>23</v>
      </c>
      <c r="C393" s="346">
        <v>4231</v>
      </c>
      <c r="D393" s="346" t="s">
        <v>1107</v>
      </c>
      <c r="E393" s="346">
        <v>0</v>
      </c>
      <c r="F393" s="1026">
        <v>5410400.3499999996</v>
      </c>
      <c r="G393" s="1026">
        <v>-507874.07</v>
      </c>
      <c r="H393" s="349">
        <v>4902526.28</v>
      </c>
      <c r="I393" s="1026">
        <v>4902526.28</v>
      </c>
      <c r="J393" s="345">
        <f t="shared" ref="J393:J456" si="29">I393/1000</f>
        <v>4902.52628</v>
      </c>
      <c r="K393" s="908">
        <f t="shared" ref="K393:K456" si="30">ROUND(J393,0)</f>
        <v>4903</v>
      </c>
      <c r="L393" s="346">
        <f>IFERROR(VLOOKUP(C393,'DE x PARA'!C387:K2553,7,FALSE),"SINTÉTICA")</f>
        <v>0</v>
      </c>
      <c r="M393" s="346">
        <f>IFERROR(VLOOKUP(B393,'DE x PARA'!B387:K2553,10,FALSE),"SINTÉTICA")</f>
        <v>0</v>
      </c>
      <c r="N393" s="346">
        <f>IFERROR(VLOOKUP(M393,'DE x PARA'!$K$2:$L$2168,2,FALSE),0)</f>
        <v>0</v>
      </c>
      <c r="O393" s="344">
        <f t="shared" ref="O393:O456" si="31">+H393*N393</f>
        <v>0</v>
      </c>
    </row>
    <row r="394" spans="1:15">
      <c r="A394" s="343" t="str">
        <f t="shared" si="28"/>
        <v>4.2.3.01.0001</v>
      </c>
      <c r="B394" s="348" t="s">
        <v>1108</v>
      </c>
      <c r="C394" s="346">
        <v>42311</v>
      </c>
      <c r="D394" s="346" t="s">
        <v>1023</v>
      </c>
      <c r="E394" s="346">
        <v>0</v>
      </c>
      <c r="F394" s="1026">
        <v>28939</v>
      </c>
      <c r="G394" s="346">
        <v>0</v>
      </c>
      <c r="H394" s="349">
        <v>28939</v>
      </c>
      <c r="I394" s="1026">
        <v>28939</v>
      </c>
      <c r="J394" s="345">
        <f t="shared" si="29"/>
        <v>28.939</v>
      </c>
      <c r="K394" s="908">
        <f t="shared" si="30"/>
        <v>29</v>
      </c>
      <c r="L394" s="346">
        <f>IFERROR(VLOOKUP(C394,'DE x PARA'!C388:K2554,7,FALSE),"SINTÉTICA")</f>
        <v>500004</v>
      </c>
      <c r="M394" s="346">
        <f>IFERROR(VLOOKUP(B394,'DE x PARA'!B388:K2554,10,FALSE),"SINTÉTICA")</f>
        <v>600001</v>
      </c>
      <c r="N394" s="346">
        <f>IFERROR(VLOOKUP(M394,'DE x PARA'!$K$2:$L$2168,2,FALSE),0)</f>
        <v>0</v>
      </c>
      <c r="O394" s="344">
        <f t="shared" si="31"/>
        <v>0</v>
      </c>
    </row>
    <row r="395" spans="1:15">
      <c r="A395" s="343" t="str">
        <f t="shared" si="28"/>
        <v>4.2.3.01.0002</v>
      </c>
      <c r="B395" s="348" t="s">
        <v>1109</v>
      </c>
      <c r="C395" s="346">
        <v>42312</v>
      </c>
      <c r="D395" s="346" t="s">
        <v>1025</v>
      </c>
      <c r="E395" s="346">
        <v>0</v>
      </c>
      <c r="F395" s="1026">
        <v>1054520.96</v>
      </c>
      <c r="G395" s="1026">
        <v>-240000</v>
      </c>
      <c r="H395" s="349">
        <v>814520.96</v>
      </c>
      <c r="I395" s="1026">
        <v>814520.96</v>
      </c>
      <c r="J395" s="345">
        <f t="shared" si="29"/>
        <v>814.52095999999995</v>
      </c>
      <c r="K395" s="908">
        <f t="shared" si="30"/>
        <v>815</v>
      </c>
      <c r="L395" s="346">
        <f>IFERROR(VLOOKUP(C395,'DE x PARA'!C389:K2555,7,FALSE),"SINTÉTICA")</f>
        <v>500004</v>
      </c>
      <c r="M395" s="346">
        <f>IFERROR(VLOOKUP(B395,'DE x PARA'!B389:K2555,10,FALSE),"SINTÉTICA")</f>
        <v>600001</v>
      </c>
      <c r="N395" s="346">
        <f>IFERROR(VLOOKUP(M395,'DE x PARA'!$K$2:$L$2168,2,FALSE),0)</f>
        <v>0</v>
      </c>
      <c r="O395" s="344">
        <f t="shared" si="31"/>
        <v>0</v>
      </c>
    </row>
    <row r="396" spans="1:15">
      <c r="A396" s="343" t="str">
        <f t="shared" si="28"/>
        <v>4.2.3.01.0003</v>
      </c>
      <c r="B396" s="348" t="s">
        <v>1110</v>
      </c>
      <c r="C396" s="346">
        <v>42313</v>
      </c>
      <c r="D396" s="346" t="s">
        <v>1111</v>
      </c>
      <c r="E396" s="346">
        <v>0</v>
      </c>
      <c r="F396" s="1026">
        <v>409296.98</v>
      </c>
      <c r="G396" s="1026">
        <v>-70007.47</v>
      </c>
      <c r="H396" s="349">
        <v>339289.51</v>
      </c>
      <c r="I396" s="1026">
        <v>339289.51</v>
      </c>
      <c r="J396" s="345">
        <f t="shared" si="29"/>
        <v>339.28951000000001</v>
      </c>
      <c r="K396" s="908">
        <f t="shared" si="30"/>
        <v>339</v>
      </c>
      <c r="L396" s="346">
        <f>IFERROR(VLOOKUP(C396,'DE x PARA'!C390:K2556,7,FALSE),"SINTÉTICA")</f>
        <v>500008</v>
      </c>
      <c r="M396" s="346">
        <f>IFERROR(VLOOKUP(B396,'DE x PARA'!B390:K2556,10,FALSE),"SINTÉTICA")</f>
        <v>600001</v>
      </c>
      <c r="N396" s="346">
        <f>IFERROR(VLOOKUP(M396,'DE x PARA'!$K$2:$L$2168,2,FALSE),0)</f>
        <v>0</v>
      </c>
      <c r="O396" s="344">
        <f t="shared" si="31"/>
        <v>0</v>
      </c>
    </row>
    <row r="397" spans="1:15">
      <c r="A397" s="343" t="str">
        <f t="shared" si="28"/>
        <v>4.2.3.01.0005</v>
      </c>
      <c r="B397" s="348" t="s">
        <v>1112</v>
      </c>
      <c r="C397" s="346">
        <v>42315</v>
      </c>
      <c r="D397" s="346" t="s">
        <v>1027</v>
      </c>
      <c r="E397" s="346">
        <v>0</v>
      </c>
      <c r="F397" s="1026">
        <v>654911.37</v>
      </c>
      <c r="G397" s="1026">
        <v>-124045.05</v>
      </c>
      <c r="H397" s="349">
        <v>530866.31999999995</v>
      </c>
      <c r="I397" s="1026">
        <v>530866.31999999995</v>
      </c>
      <c r="J397" s="345">
        <f t="shared" si="29"/>
        <v>530.86631999999997</v>
      </c>
      <c r="K397" s="908">
        <f t="shared" si="30"/>
        <v>531</v>
      </c>
      <c r="L397" s="346">
        <f>IFERROR(VLOOKUP(C397,'DE x PARA'!C391:K2557,7,FALSE),"SINTÉTICA")</f>
        <v>500004</v>
      </c>
      <c r="M397" s="346">
        <f>IFERROR(VLOOKUP(B397,'DE x PARA'!B391:K2557,10,FALSE),"SINTÉTICA")</f>
        <v>600001</v>
      </c>
      <c r="N397" s="346">
        <f>IFERROR(VLOOKUP(M397,'DE x PARA'!$K$2:$L$2168,2,FALSE),0)</f>
        <v>0</v>
      </c>
      <c r="O397" s="344">
        <f t="shared" si="31"/>
        <v>0</v>
      </c>
    </row>
    <row r="398" spans="1:15">
      <c r="A398" s="343" t="str">
        <f t="shared" si="28"/>
        <v>4.2.3.01.0006</v>
      </c>
      <c r="B398" s="348" t="s">
        <v>1113</v>
      </c>
      <c r="C398" s="346">
        <v>42316</v>
      </c>
      <c r="D398" s="346" t="s">
        <v>1114</v>
      </c>
      <c r="E398" s="346">
        <v>0</v>
      </c>
      <c r="F398" s="1026">
        <v>1222.9000000000001</v>
      </c>
      <c r="G398" s="346">
        <v>0</v>
      </c>
      <c r="H398" s="349">
        <v>1222.9000000000001</v>
      </c>
      <c r="I398" s="1026">
        <v>1222.9000000000001</v>
      </c>
      <c r="J398" s="345">
        <f t="shared" si="29"/>
        <v>1.2229000000000001</v>
      </c>
      <c r="K398" s="908">
        <f t="shared" si="30"/>
        <v>1</v>
      </c>
      <c r="L398" s="346">
        <f>IFERROR(VLOOKUP(C398,'DE x PARA'!C392:K2558,7,FALSE),"SINTÉTICA")</f>
        <v>500004</v>
      </c>
      <c r="M398" s="346">
        <f>IFERROR(VLOOKUP(B398,'DE x PARA'!B392:K2558,10,FALSE),"SINTÉTICA")</f>
        <v>600001</v>
      </c>
      <c r="N398" s="346">
        <f>IFERROR(VLOOKUP(M398,'DE x PARA'!$K$2:$L$2168,2,FALSE),0)</f>
        <v>0</v>
      </c>
      <c r="O398" s="344">
        <f t="shared" si="31"/>
        <v>0</v>
      </c>
    </row>
    <row r="399" spans="1:15">
      <c r="A399" s="343" t="str">
        <f t="shared" si="28"/>
        <v>4.2.3.01.0007</v>
      </c>
      <c r="B399" s="348" t="s">
        <v>1115</v>
      </c>
      <c r="C399" s="346">
        <v>42317</v>
      </c>
      <c r="D399" s="346" t="s">
        <v>1116</v>
      </c>
      <c r="E399" s="346">
        <v>0</v>
      </c>
      <c r="F399" s="1026">
        <v>461125.43</v>
      </c>
      <c r="G399" s="1026">
        <v>-8525</v>
      </c>
      <c r="H399" s="349">
        <v>452600.43</v>
      </c>
      <c r="I399" s="1026">
        <v>452600.43</v>
      </c>
      <c r="J399" s="345">
        <f t="shared" si="29"/>
        <v>452.60043000000002</v>
      </c>
      <c r="K399" s="908">
        <f t="shared" si="30"/>
        <v>453</v>
      </c>
      <c r="L399" s="346">
        <f>IFERROR(VLOOKUP(C399,'DE x PARA'!C393:K2559,7,FALSE),"SINTÉTICA")</f>
        <v>500004</v>
      </c>
      <c r="M399" s="346">
        <f>IFERROR(VLOOKUP(B399,'DE x PARA'!B393:K2559,10,FALSE),"SINTÉTICA")</f>
        <v>600001</v>
      </c>
      <c r="N399" s="346">
        <f>IFERROR(VLOOKUP(M399,'DE x PARA'!$K$2:$L$2168,2,FALSE),0)</f>
        <v>0</v>
      </c>
      <c r="O399" s="344">
        <f t="shared" si="31"/>
        <v>0</v>
      </c>
    </row>
    <row r="400" spans="1:15">
      <c r="A400" s="343" t="str">
        <f t="shared" si="28"/>
        <v>4.2.3.01.0008</v>
      </c>
      <c r="B400" s="348" t="s">
        <v>1117</v>
      </c>
      <c r="C400" s="346">
        <v>42318</v>
      </c>
      <c r="D400" s="346" t="s">
        <v>1118</v>
      </c>
      <c r="E400" s="346">
        <v>0</v>
      </c>
      <c r="F400" s="1026">
        <v>166389.29</v>
      </c>
      <c r="G400" s="1026">
        <v>-39655.31</v>
      </c>
      <c r="H400" s="349">
        <v>126733.98</v>
      </c>
      <c r="I400" s="1026">
        <v>126733.98</v>
      </c>
      <c r="J400" s="345">
        <f t="shared" si="29"/>
        <v>126.73398</v>
      </c>
      <c r="K400" s="908">
        <f t="shared" si="30"/>
        <v>127</v>
      </c>
      <c r="L400" s="346">
        <f>IFERROR(VLOOKUP(C400,'DE x PARA'!C394:K2560,7,FALSE),"SINTÉTICA")</f>
        <v>500004</v>
      </c>
      <c r="M400" s="346">
        <f>IFERROR(VLOOKUP(B400,'DE x PARA'!B394:K2560,10,FALSE),"SINTÉTICA")</f>
        <v>600001</v>
      </c>
      <c r="N400" s="346">
        <f>IFERROR(VLOOKUP(M400,'DE x PARA'!$K$2:$L$2168,2,FALSE),0)</f>
        <v>0</v>
      </c>
      <c r="O400" s="344">
        <f t="shared" si="31"/>
        <v>0</v>
      </c>
    </row>
    <row r="401" spans="1:15">
      <c r="A401" s="343" t="str">
        <f t="shared" si="28"/>
        <v>4.2.3.01.0013</v>
      </c>
      <c r="B401" s="348" t="s">
        <v>1119</v>
      </c>
      <c r="C401" s="346">
        <v>423113</v>
      </c>
      <c r="D401" s="346" t="s">
        <v>1120</v>
      </c>
      <c r="E401" s="346">
        <v>0</v>
      </c>
      <c r="F401" s="1026">
        <v>102593.67</v>
      </c>
      <c r="G401" s="1026">
        <v>0</v>
      </c>
      <c r="H401" s="349">
        <v>102593.67</v>
      </c>
      <c r="I401" s="1026">
        <v>102593.67</v>
      </c>
      <c r="J401" s="345">
        <f t="shared" si="29"/>
        <v>102.59367</v>
      </c>
      <c r="K401" s="908">
        <f t="shared" si="30"/>
        <v>103</v>
      </c>
      <c r="L401" s="346">
        <f>IFERROR(VLOOKUP(C401,'DE x PARA'!C395:K2561,7,FALSE),"SINTÉTICA")</f>
        <v>500017</v>
      </c>
      <c r="M401" s="346">
        <f>IFERROR(VLOOKUP(B401,'DE x PARA'!B395:K2561,10,FALSE),"SINTÉTICA")</f>
        <v>600001</v>
      </c>
      <c r="N401" s="346">
        <f>IFERROR(VLOOKUP(M401,'DE x PARA'!$K$2:$L$2168,2,FALSE),0)</f>
        <v>0</v>
      </c>
      <c r="O401" s="344">
        <f t="shared" si="31"/>
        <v>0</v>
      </c>
    </row>
    <row r="402" spans="1:15">
      <c r="A402" s="343" t="str">
        <f t="shared" si="28"/>
        <v>4.2.3.01.0014</v>
      </c>
      <c r="B402" s="348" t="s">
        <v>1121</v>
      </c>
      <c r="C402" s="346">
        <v>423114</v>
      </c>
      <c r="D402" s="346" t="s">
        <v>1122</v>
      </c>
      <c r="E402" s="346">
        <v>0</v>
      </c>
      <c r="F402" s="1026">
        <v>2138596.4700000002</v>
      </c>
      <c r="G402" s="1026">
        <v>-17500</v>
      </c>
      <c r="H402" s="349">
        <v>2121096.4700000002</v>
      </c>
      <c r="I402" s="1026">
        <v>2121096.4700000002</v>
      </c>
      <c r="J402" s="345">
        <f t="shared" si="29"/>
        <v>2121.0964700000004</v>
      </c>
      <c r="K402" s="908">
        <f t="shared" si="30"/>
        <v>2121</v>
      </c>
      <c r="L402" s="346">
        <f>IFERROR(VLOOKUP(C402,'DE x PARA'!C396:K2562,7,FALSE),"SINTÉTICA")</f>
        <v>500004</v>
      </c>
      <c r="M402" s="346">
        <f>IFERROR(VLOOKUP(B402,'DE x PARA'!B396:K2562,10,FALSE),"SINTÉTICA")</f>
        <v>600001</v>
      </c>
      <c r="N402" s="346">
        <f>IFERROR(VLOOKUP(M402,'DE x PARA'!$K$2:$L$2168,2,FALSE),0)</f>
        <v>0</v>
      </c>
      <c r="O402" s="344">
        <f t="shared" si="31"/>
        <v>0</v>
      </c>
    </row>
    <row r="403" spans="1:15">
      <c r="A403" s="343" t="str">
        <f t="shared" si="28"/>
        <v>4.2.3.01.0015</v>
      </c>
      <c r="B403" s="348" t="s">
        <v>1123</v>
      </c>
      <c r="C403" s="346">
        <v>423115</v>
      </c>
      <c r="D403" s="346" t="s">
        <v>1124</v>
      </c>
      <c r="E403" s="346">
        <v>0</v>
      </c>
      <c r="F403" s="1026">
        <v>29652</v>
      </c>
      <c r="G403" s="1026">
        <v>0</v>
      </c>
      <c r="H403" s="349">
        <v>29652</v>
      </c>
      <c r="I403" s="1026">
        <v>29652</v>
      </c>
      <c r="J403" s="345">
        <f t="shared" si="29"/>
        <v>29.652000000000001</v>
      </c>
      <c r="K403" s="908">
        <f t="shared" si="30"/>
        <v>30</v>
      </c>
      <c r="L403" s="346">
        <f>IFERROR(VLOOKUP(C403,'DE x PARA'!C397:K2563,7,FALSE),"SINTÉTICA")</f>
        <v>500004</v>
      </c>
      <c r="M403" s="346">
        <f>IFERROR(VLOOKUP(B403,'DE x PARA'!B397:K2563,10,FALSE),"SINTÉTICA")</f>
        <v>600001</v>
      </c>
      <c r="N403" s="346">
        <f>IFERROR(VLOOKUP(M403,'DE x PARA'!$K$2:$L$2168,2,FALSE),0)</f>
        <v>0</v>
      </c>
      <c r="O403" s="344">
        <f t="shared" si="31"/>
        <v>0</v>
      </c>
    </row>
    <row r="404" spans="1:15">
      <c r="A404" s="343" t="str">
        <f t="shared" si="28"/>
        <v>4.2.3.01.0017</v>
      </c>
      <c r="B404" s="348" t="s">
        <v>1125</v>
      </c>
      <c r="C404" s="346">
        <v>423117</v>
      </c>
      <c r="D404" s="346" t="s">
        <v>1126</v>
      </c>
      <c r="E404" s="346">
        <v>0</v>
      </c>
      <c r="F404" s="1026">
        <v>247693.63</v>
      </c>
      <c r="G404" s="346">
        <v>0</v>
      </c>
      <c r="H404" s="349">
        <v>247693.63</v>
      </c>
      <c r="I404" s="1026">
        <v>247693.63</v>
      </c>
      <c r="J404" s="345">
        <f t="shared" si="29"/>
        <v>247.69363000000001</v>
      </c>
      <c r="K404" s="908">
        <f t="shared" si="30"/>
        <v>248</v>
      </c>
      <c r="L404" s="346">
        <f>IFERROR(VLOOKUP(C404,'DE x PARA'!C398:K2564,7,FALSE),"SINTÉTICA")</f>
        <v>500008</v>
      </c>
      <c r="M404" s="346">
        <f>IFERROR(VLOOKUP(B404,'DE x PARA'!B398:K2564,10,FALSE),"SINTÉTICA")</f>
        <v>600001</v>
      </c>
      <c r="N404" s="346">
        <f>IFERROR(VLOOKUP(M404,'DE x PARA'!$K$2:$L$2168,2,FALSE),0)</f>
        <v>0</v>
      </c>
      <c r="O404" s="344">
        <f t="shared" si="31"/>
        <v>0</v>
      </c>
    </row>
    <row r="405" spans="1:15">
      <c r="A405" s="343" t="str">
        <f t="shared" si="28"/>
        <v>4.2.3.01.0018</v>
      </c>
      <c r="B405" s="348" t="s">
        <v>5239</v>
      </c>
      <c r="C405" s="346">
        <v>423118</v>
      </c>
      <c r="D405" s="346" t="s">
        <v>5240</v>
      </c>
      <c r="E405" s="346">
        <v>0</v>
      </c>
      <c r="F405" s="1026">
        <v>90836.03</v>
      </c>
      <c r="G405" s="1026">
        <v>0</v>
      </c>
      <c r="H405" s="349">
        <v>90836.03</v>
      </c>
      <c r="I405" s="1026">
        <v>90836.03</v>
      </c>
      <c r="J405" s="345">
        <f t="shared" si="29"/>
        <v>90.836029999999994</v>
      </c>
      <c r="K405" s="908">
        <f t="shared" si="30"/>
        <v>91</v>
      </c>
      <c r="L405" s="346">
        <f>IFERROR(VLOOKUP(C405,'DE x PARA'!C399:K2565,7,FALSE),"SINTÉTICA")</f>
        <v>500004</v>
      </c>
      <c r="M405" s="346">
        <f>IFERROR(VLOOKUP(B405,'DE x PARA'!B399:K2565,10,FALSE),"SINTÉTICA")</f>
        <v>600001</v>
      </c>
      <c r="N405" s="346">
        <f>IFERROR(VLOOKUP(M405,'DE x PARA'!$K$2:$L$2168,2,FALSE),0)</f>
        <v>0</v>
      </c>
      <c r="O405" s="344">
        <f t="shared" si="31"/>
        <v>0</v>
      </c>
    </row>
    <row r="406" spans="1:15">
      <c r="A406" s="343" t="str">
        <f t="shared" si="28"/>
        <v>4.2.3.01.0019</v>
      </c>
      <c r="B406" s="348" t="s">
        <v>1127</v>
      </c>
      <c r="C406" s="346">
        <v>423119</v>
      </c>
      <c r="D406" s="346" t="s">
        <v>1128</v>
      </c>
      <c r="E406" s="346">
        <v>0</v>
      </c>
      <c r="F406" s="1026">
        <v>24622.62</v>
      </c>
      <c r="G406" s="1026">
        <v>-8141.24</v>
      </c>
      <c r="H406" s="349">
        <v>16481.38</v>
      </c>
      <c r="I406" s="1026">
        <v>16481.38</v>
      </c>
      <c r="J406" s="345">
        <f t="shared" si="29"/>
        <v>16.481380000000001</v>
      </c>
      <c r="K406" s="908">
        <f t="shared" si="30"/>
        <v>16</v>
      </c>
      <c r="L406" s="346">
        <f>IFERROR(VLOOKUP(C406,'DE x PARA'!C400:K2566,7,FALSE),"SINTÉTICA")</f>
        <v>500008</v>
      </c>
      <c r="M406" s="346">
        <f>IFERROR(VLOOKUP(B406,'DE x PARA'!B400:K2566,10,FALSE),"SINTÉTICA")</f>
        <v>600001</v>
      </c>
      <c r="N406" s="346">
        <f>IFERROR(VLOOKUP(M406,'DE x PARA'!$K$2:$L$2168,2,FALSE),0)</f>
        <v>0</v>
      </c>
      <c r="O406" s="344">
        <f t="shared" si="31"/>
        <v>0</v>
      </c>
    </row>
    <row r="407" spans="1:15">
      <c r="A407" s="343" t="str">
        <f t="shared" si="28"/>
        <v>4.2.4</v>
      </c>
      <c r="B407" s="348" t="s">
        <v>24</v>
      </c>
      <c r="C407" s="346">
        <v>424</v>
      </c>
      <c r="D407" s="346" t="s">
        <v>1129</v>
      </c>
      <c r="E407" s="346">
        <v>0</v>
      </c>
      <c r="F407" s="1026">
        <v>553962.96</v>
      </c>
      <c r="G407" s="1026">
        <v>-100344.91</v>
      </c>
      <c r="H407" s="349">
        <v>453618.05</v>
      </c>
      <c r="I407" s="1026">
        <v>453618.05</v>
      </c>
      <c r="J407" s="345">
        <f t="shared" si="29"/>
        <v>453.61804999999998</v>
      </c>
      <c r="K407" s="908">
        <f t="shared" si="30"/>
        <v>454</v>
      </c>
      <c r="L407" s="346">
        <f>IFERROR(VLOOKUP(C407,'DE x PARA'!C401:K2567,7,FALSE),"SINTÉTICA")</f>
        <v>0</v>
      </c>
      <c r="M407" s="346">
        <f>IFERROR(VLOOKUP(B407,'DE x PARA'!B401:K2567,10,FALSE),"SINTÉTICA")</f>
        <v>0</v>
      </c>
      <c r="N407" s="346">
        <f>IFERROR(VLOOKUP(M407,'DE x PARA'!$K$2:$L$2168,2,FALSE),0)</f>
        <v>0</v>
      </c>
      <c r="O407" s="344">
        <f t="shared" si="31"/>
        <v>0</v>
      </c>
    </row>
    <row r="408" spans="1:15">
      <c r="A408" s="343" t="str">
        <f t="shared" si="28"/>
        <v>4.2.4.01</v>
      </c>
      <c r="B408" s="348" t="s">
        <v>1130</v>
      </c>
      <c r="C408" s="346">
        <v>4241</v>
      </c>
      <c r="D408" s="346" t="s">
        <v>1131</v>
      </c>
      <c r="E408" s="346">
        <v>0</v>
      </c>
      <c r="F408" s="1026">
        <v>553962.96</v>
      </c>
      <c r="G408" s="1026">
        <v>-100344.91</v>
      </c>
      <c r="H408" s="349">
        <v>453618.05</v>
      </c>
      <c r="I408" s="1026">
        <v>453618.05</v>
      </c>
      <c r="J408" s="345">
        <f t="shared" si="29"/>
        <v>453.61804999999998</v>
      </c>
      <c r="K408" s="908">
        <f t="shared" si="30"/>
        <v>454</v>
      </c>
      <c r="L408" s="346">
        <f>IFERROR(VLOOKUP(C408,'DE x PARA'!C402:K2568,7,FALSE),"SINTÉTICA")</f>
        <v>0</v>
      </c>
      <c r="M408" s="346">
        <f>IFERROR(VLOOKUP(B408,'DE x PARA'!B402:K2568,10,FALSE),"SINTÉTICA")</f>
        <v>0</v>
      </c>
      <c r="N408" s="346">
        <f>IFERROR(VLOOKUP(M408,'DE x PARA'!$K$2:$L$2168,2,FALSE),0)</f>
        <v>0</v>
      </c>
      <c r="O408" s="344">
        <f t="shared" si="31"/>
        <v>0</v>
      </c>
    </row>
    <row r="409" spans="1:15">
      <c r="A409" s="343" t="str">
        <f t="shared" si="28"/>
        <v>4.2.4.01.0002</v>
      </c>
      <c r="B409" s="348" t="s">
        <v>1132</v>
      </c>
      <c r="C409" s="346">
        <v>42412</v>
      </c>
      <c r="D409" s="346" t="s">
        <v>1037</v>
      </c>
      <c r="E409" s="346">
        <v>0</v>
      </c>
      <c r="F409" s="1026">
        <v>70683.69</v>
      </c>
      <c r="G409" s="346">
        <v>0</v>
      </c>
      <c r="H409" s="349">
        <v>70683.69</v>
      </c>
      <c r="I409" s="1026">
        <v>70683.69</v>
      </c>
      <c r="J409" s="345">
        <f t="shared" si="29"/>
        <v>70.683689999999999</v>
      </c>
      <c r="K409" s="908">
        <f t="shared" si="30"/>
        <v>71</v>
      </c>
      <c r="L409" s="346">
        <f>IFERROR(VLOOKUP(C409,'DE x PARA'!C403:K2569,7,FALSE),"SINTÉTICA")</f>
        <v>500014</v>
      </c>
      <c r="M409" s="346">
        <f>IFERROR(VLOOKUP(B409,'DE x PARA'!B403:K2569,10,FALSE),"SINTÉTICA")</f>
        <v>600001</v>
      </c>
      <c r="N409" s="346">
        <f>IFERROR(VLOOKUP(M409,'DE x PARA'!$K$2:$L$2168,2,FALSE),0)</f>
        <v>0</v>
      </c>
      <c r="O409" s="344">
        <f t="shared" si="31"/>
        <v>0</v>
      </c>
    </row>
    <row r="410" spans="1:15">
      <c r="A410" s="343" t="str">
        <f t="shared" si="28"/>
        <v>4.2.4.01.0005</v>
      </c>
      <c r="B410" s="348" t="s">
        <v>1133</v>
      </c>
      <c r="C410" s="346">
        <v>42415</v>
      </c>
      <c r="D410" s="346" t="s">
        <v>1134</v>
      </c>
      <c r="E410" s="346">
        <v>0</v>
      </c>
      <c r="F410" s="1026">
        <v>84398.2</v>
      </c>
      <c r="G410" s="1026">
        <v>-17899.36</v>
      </c>
      <c r="H410" s="349">
        <v>66498.84</v>
      </c>
      <c r="I410" s="1026">
        <v>66498.84</v>
      </c>
      <c r="J410" s="345">
        <f t="shared" si="29"/>
        <v>66.498840000000001</v>
      </c>
      <c r="K410" s="908">
        <f t="shared" si="30"/>
        <v>66</v>
      </c>
      <c r="L410" s="346">
        <f>IFERROR(VLOOKUP(C410,'DE x PARA'!C404:K2570,7,FALSE),"SINTÉTICA")</f>
        <v>500012</v>
      </c>
      <c r="M410" s="346">
        <f>IFERROR(VLOOKUP(B410,'DE x PARA'!B404:K2570,10,FALSE),"SINTÉTICA")</f>
        <v>600001</v>
      </c>
      <c r="N410" s="346">
        <f>IFERROR(VLOOKUP(M410,'DE x PARA'!$K$2:$L$2168,2,FALSE),0)</f>
        <v>0</v>
      </c>
      <c r="O410" s="344">
        <f t="shared" si="31"/>
        <v>0</v>
      </c>
    </row>
    <row r="411" spans="1:15">
      <c r="A411" s="343" t="str">
        <f t="shared" si="28"/>
        <v>4.2.4.01.0006</v>
      </c>
      <c r="B411" s="348" t="s">
        <v>1135</v>
      </c>
      <c r="C411" s="346">
        <v>42416</v>
      </c>
      <c r="D411" s="346" t="s">
        <v>1136</v>
      </c>
      <c r="E411" s="346">
        <v>0</v>
      </c>
      <c r="F411" s="1026">
        <v>394166.49</v>
      </c>
      <c r="G411" s="1026">
        <v>-82445.55</v>
      </c>
      <c r="H411" s="349">
        <v>311720.94</v>
      </c>
      <c r="I411" s="1026">
        <v>311720.94</v>
      </c>
      <c r="J411" s="345">
        <f t="shared" si="29"/>
        <v>311.72093999999998</v>
      </c>
      <c r="K411" s="908">
        <f t="shared" si="30"/>
        <v>312</v>
      </c>
      <c r="L411" s="346">
        <f>IFERROR(VLOOKUP(C411,'DE x PARA'!C405:K2571,7,FALSE),"SINTÉTICA")</f>
        <v>500012</v>
      </c>
      <c r="M411" s="346">
        <f>IFERROR(VLOOKUP(B411,'DE x PARA'!B405:K2571,10,FALSE),"SINTÉTICA")</f>
        <v>600001</v>
      </c>
      <c r="N411" s="346">
        <f>IFERROR(VLOOKUP(M411,'DE x PARA'!$K$2:$L$2168,2,FALSE),0)</f>
        <v>0</v>
      </c>
      <c r="O411" s="344">
        <f t="shared" si="31"/>
        <v>0</v>
      </c>
    </row>
    <row r="412" spans="1:15">
      <c r="A412" s="343" t="str">
        <f t="shared" si="28"/>
        <v>4.2.4.01.0012</v>
      </c>
      <c r="B412" s="348" t="s">
        <v>1137</v>
      </c>
      <c r="C412" s="346">
        <v>424112</v>
      </c>
      <c r="D412" s="346" t="s">
        <v>1039</v>
      </c>
      <c r="E412" s="346">
        <v>0</v>
      </c>
      <c r="F412" s="1026">
        <v>4714.58</v>
      </c>
      <c r="G412" s="1026">
        <v>0</v>
      </c>
      <c r="H412" s="349">
        <v>4714.58</v>
      </c>
      <c r="I412" s="1026">
        <v>4714.58</v>
      </c>
      <c r="J412" s="345">
        <f t="shared" si="29"/>
        <v>4.7145799999999998</v>
      </c>
      <c r="K412" s="908">
        <f t="shared" si="30"/>
        <v>5</v>
      </c>
      <c r="L412" s="346">
        <f>IFERROR(VLOOKUP(C412,'DE x PARA'!C406:K2572,7,FALSE),"SINTÉTICA")</f>
        <v>500013</v>
      </c>
      <c r="M412" s="346">
        <f>IFERROR(VLOOKUP(B412,'DE x PARA'!B406:K2572,10,FALSE),"SINTÉTICA")</f>
        <v>600001</v>
      </c>
      <c r="N412" s="346">
        <f>IFERROR(VLOOKUP(M412,'DE x PARA'!$K$2:$L$2168,2,FALSE),0)</f>
        <v>0</v>
      </c>
      <c r="O412" s="344">
        <f t="shared" si="31"/>
        <v>0</v>
      </c>
    </row>
    <row r="413" spans="1:15">
      <c r="A413" s="343" t="str">
        <f t="shared" si="28"/>
        <v>4.2.5</v>
      </c>
      <c r="B413" s="348" t="s">
        <v>1138</v>
      </c>
      <c r="C413" s="346">
        <v>425</v>
      </c>
      <c r="D413" s="346" t="s">
        <v>1139</v>
      </c>
      <c r="E413" s="346">
        <v>0</v>
      </c>
      <c r="F413" s="1026">
        <v>5997.65</v>
      </c>
      <c r="G413" s="346">
        <v>0</v>
      </c>
      <c r="H413" s="349">
        <v>5997.65</v>
      </c>
      <c r="I413" s="1026">
        <v>5997.65</v>
      </c>
      <c r="J413" s="345">
        <f t="shared" si="29"/>
        <v>5.9976499999999993</v>
      </c>
      <c r="K413" s="908">
        <f t="shared" si="30"/>
        <v>6</v>
      </c>
      <c r="L413" s="346">
        <f>IFERROR(VLOOKUP(C413,'DE x PARA'!C407:K2573,7,FALSE),"SINTÉTICA")</f>
        <v>0</v>
      </c>
      <c r="M413" s="346">
        <f>IFERROR(VLOOKUP(B413,'DE x PARA'!B407:K2573,10,FALSE),"SINTÉTICA")</f>
        <v>0</v>
      </c>
      <c r="N413" s="346">
        <f>IFERROR(VLOOKUP(M413,'DE x PARA'!$K$2:$L$2168,2,FALSE),0)</f>
        <v>0</v>
      </c>
      <c r="O413" s="344">
        <f t="shared" si="31"/>
        <v>0</v>
      </c>
    </row>
    <row r="414" spans="1:15">
      <c r="A414" s="343" t="str">
        <f t="shared" si="28"/>
        <v>4.2.5.02</v>
      </c>
      <c r="B414" s="348" t="s">
        <v>1144</v>
      </c>
      <c r="C414" s="346">
        <v>4252</v>
      </c>
      <c r="D414" s="346" t="s">
        <v>1145</v>
      </c>
      <c r="E414" s="346">
        <v>0</v>
      </c>
      <c r="F414" s="1026">
        <v>5889.27</v>
      </c>
      <c r="G414" s="346">
        <v>0</v>
      </c>
      <c r="H414" s="349">
        <v>5889.27</v>
      </c>
      <c r="I414" s="1026">
        <v>5889.27</v>
      </c>
      <c r="J414" s="345">
        <f t="shared" si="29"/>
        <v>5.8892700000000007</v>
      </c>
      <c r="K414" s="908">
        <f t="shared" si="30"/>
        <v>6</v>
      </c>
      <c r="L414" s="346">
        <f>IFERROR(VLOOKUP(C414,'DE x PARA'!C408:K2574,7,FALSE),"SINTÉTICA")</f>
        <v>0</v>
      </c>
      <c r="M414" s="346">
        <f>IFERROR(VLOOKUP(B414,'DE x PARA'!B408:K2574,10,FALSE),"SINTÉTICA")</f>
        <v>0</v>
      </c>
      <c r="N414" s="346">
        <f>IFERROR(VLOOKUP(M414,'DE x PARA'!$K$2:$L$2168,2,FALSE),0)</f>
        <v>0</v>
      </c>
      <c r="O414" s="344">
        <f t="shared" si="31"/>
        <v>0</v>
      </c>
    </row>
    <row r="415" spans="1:15">
      <c r="A415" s="343" t="str">
        <f t="shared" si="28"/>
        <v>4.2.5.02.0001</v>
      </c>
      <c r="B415" s="348" t="s">
        <v>1146</v>
      </c>
      <c r="C415" s="346">
        <v>42521</v>
      </c>
      <c r="D415" s="346" t="s">
        <v>1147</v>
      </c>
      <c r="E415" s="346">
        <v>0</v>
      </c>
      <c r="F415" s="1026">
        <v>5889.27</v>
      </c>
      <c r="G415" s="346">
        <v>0</v>
      </c>
      <c r="H415" s="349">
        <v>5889.27</v>
      </c>
      <c r="I415" s="1026">
        <v>5889.27</v>
      </c>
      <c r="J415" s="345">
        <f t="shared" si="29"/>
        <v>5.8892700000000007</v>
      </c>
      <c r="K415" s="908">
        <f t="shared" si="30"/>
        <v>6</v>
      </c>
      <c r="L415" s="346">
        <f>IFERROR(VLOOKUP(C415,'DE x PARA'!C409:K2575,7,FALSE),"SINTÉTICA")</f>
        <v>500012</v>
      </c>
      <c r="M415" s="346">
        <f>IFERROR(VLOOKUP(B415,'DE x PARA'!B409:K2575,10,FALSE),"SINTÉTICA")</f>
        <v>600001</v>
      </c>
      <c r="N415" s="346">
        <f>IFERROR(VLOOKUP(M415,'DE x PARA'!$K$2:$L$2168,2,FALSE),0)</f>
        <v>0</v>
      </c>
      <c r="O415" s="344">
        <f t="shared" si="31"/>
        <v>0</v>
      </c>
    </row>
    <row r="416" spans="1:15">
      <c r="A416" s="343" t="str">
        <f t="shared" si="28"/>
        <v>4.2.5.04</v>
      </c>
      <c r="B416" s="348" t="s">
        <v>1148</v>
      </c>
      <c r="C416" s="346">
        <v>4254</v>
      </c>
      <c r="D416" s="346" t="s">
        <v>1149</v>
      </c>
      <c r="E416" s="346">
        <v>0</v>
      </c>
      <c r="F416" s="1026">
        <v>108.38</v>
      </c>
      <c r="G416" s="346">
        <v>0</v>
      </c>
      <c r="H416" s="349">
        <v>108.38</v>
      </c>
      <c r="I416" s="1026">
        <v>108.38</v>
      </c>
      <c r="J416" s="345">
        <f t="shared" si="29"/>
        <v>0.10837999999999999</v>
      </c>
      <c r="K416" s="908">
        <f t="shared" si="30"/>
        <v>0</v>
      </c>
      <c r="L416" s="346">
        <f>IFERROR(VLOOKUP(C416,'DE x PARA'!C410:K2576,7,FALSE),"SINTÉTICA")</f>
        <v>0</v>
      </c>
      <c r="M416" s="346">
        <f>IFERROR(VLOOKUP(B416,'DE x PARA'!B410:K2576,10,FALSE),"SINTÉTICA")</f>
        <v>0</v>
      </c>
      <c r="N416" s="346">
        <f>IFERROR(VLOOKUP(M416,'DE x PARA'!$K$2:$L$2168,2,FALSE),0)</f>
        <v>0</v>
      </c>
      <c r="O416" s="344">
        <f t="shared" si="31"/>
        <v>0</v>
      </c>
    </row>
    <row r="417" spans="1:15">
      <c r="A417" s="343" t="str">
        <f t="shared" si="28"/>
        <v>4.2.5.04.0002</v>
      </c>
      <c r="B417" s="348" t="s">
        <v>5274</v>
      </c>
      <c r="C417" s="346">
        <v>42542</v>
      </c>
      <c r="D417" s="346" t="s">
        <v>5153</v>
      </c>
      <c r="E417" s="346">
        <v>0</v>
      </c>
      <c r="F417" s="1026">
        <v>108.38</v>
      </c>
      <c r="G417" s="346">
        <v>0</v>
      </c>
      <c r="H417" s="349">
        <v>108.38</v>
      </c>
      <c r="I417" s="1026">
        <v>108.38</v>
      </c>
      <c r="J417" s="345">
        <f t="shared" si="29"/>
        <v>0.10837999999999999</v>
      </c>
      <c r="K417" s="908">
        <f t="shared" si="30"/>
        <v>0</v>
      </c>
      <c r="L417" s="346">
        <f>IFERROR(VLOOKUP(C417,'DE x PARA'!C411:K2577,7,FALSE),"SINTÉTICA")</f>
        <v>500015</v>
      </c>
      <c r="M417" s="346">
        <f>IFERROR(VLOOKUP(B417,'DE x PARA'!B411:K2577,10,FALSE),"SINTÉTICA")</f>
        <v>600001</v>
      </c>
      <c r="N417" s="346">
        <f>IFERROR(VLOOKUP(M417,'DE x PARA'!$K$2:$L$2168,2,FALSE),0)</f>
        <v>0</v>
      </c>
      <c r="O417" s="344">
        <f t="shared" si="31"/>
        <v>0</v>
      </c>
    </row>
    <row r="418" spans="1:15">
      <c r="A418" s="343" t="str">
        <f t="shared" si="28"/>
        <v>4.2.6</v>
      </c>
      <c r="B418" s="348" t="s">
        <v>1152</v>
      </c>
      <c r="C418" s="346">
        <v>426</v>
      </c>
      <c r="D418" s="346" t="s">
        <v>1153</v>
      </c>
      <c r="E418" s="346">
        <v>0</v>
      </c>
      <c r="F418" s="1026">
        <v>6174387.3499999996</v>
      </c>
      <c r="G418" s="1026">
        <v>-466215.84</v>
      </c>
      <c r="H418" s="349">
        <v>5708171.5099999998</v>
      </c>
      <c r="I418" s="1026">
        <v>5708171.5099999998</v>
      </c>
      <c r="J418" s="345">
        <f t="shared" si="29"/>
        <v>5708.1715100000001</v>
      </c>
      <c r="K418" s="908">
        <f t="shared" si="30"/>
        <v>5708</v>
      </c>
      <c r="L418" s="346">
        <f>IFERROR(VLOOKUP(C418,'DE x PARA'!C412:K2578,7,FALSE),"SINTÉTICA")</f>
        <v>0</v>
      </c>
      <c r="M418" s="346">
        <f>IFERROR(VLOOKUP(B418,'DE x PARA'!B412:K2578,10,FALSE),"SINTÉTICA")</f>
        <v>0</v>
      </c>
      <c r="N418" s="346">
        <f>IFERROR(VLOOKUP(M418,'DE x PARA'!$K$2:$L$2168,2,FALSE),0)</f>
        <v>0</v>
      </c>
      <c r="O418" s="344">
        <f t="shared" si="31"/>
        <v>0</v>
      </c>
    </row>
    <row r="419" spans="1:15">
      <c r="A419" s="343" t="str">
        <f t="shared" si="28"/>
        <v>4.2.6.01</v>
      </c>
      <c r="B419" s="348" t="s">
        <v>25</v>
      </c>
      <c r="C419" s="346">
        <v>4261</v>
      </c>
      <c r="D419" s="346" t="s">
        <v>1154</v>
      </c>
      <c r="E419" s="346">
        <v>0</v>
      </c>
      <c r="F419" s="1026">
        <v>3442763.84</v>
      </c>
      <c r="G419" s="1026">
        <v>-161737.62</v>
      </c>
      <c r="H419" s="349">
        <v>3281026.22</v>
      </c>
      <c r="I419" s="1026">
        <v>3281026.22</v>
      </c>
      <c r="J419" s="345">
        <f t="shared" si="29"/>
        <v>3281.0262200000002</v>
      </c>
      <c r="K419" s="908">
        <f t="shared" si="30"/>
        <v>3281</v>
      </c>
      <c r="L419" s="346">
        <f>IFERROR(VLOOKUP(C419,'DE x PARA'!C413:K2579,7,FALSE),"SINTÉTICA")</f>
        <v>0</v>
      </c>
      <c r="M419" s="346">
        <f>IFERROR(VLOOKUP(B419,'DE x PARA'!B413:K2579,10,FALSE),"SINTÉTICA")</f>
        <v>0</v>
      </c>
      <c r="N419" s="346">
        <f>IFERROR(VLOOKUP(M419,'DE x PARA'!$K$2:$L$2168,2,FALSE),0)</f>
        <v>0</v>
      </c>
      <c r="O419" s="344">
        <f t="shared" si="31"/>
        <v>0</v>
      </c>
    </row>
    <row r="420" spans="1:15">
      <c r="A420" s="343" t="str">
        <f t="shared" si="28"/>
        <v>4.2.6.01.0003</v>
      </c>
      <c r="B420" s="348" t="s">
        <v>1156</v>
      </c>
      <c r="C420" s="346">
        <v>42613</v>
      </c>
      <c r="D420" s="346" t="s">
        <v>1157</v>
      </c>
      <c r="E420" s="346">
        <v>0</v>
      </c>
      <c r="F420" s="1026">
        <v>39877.99</v>
      </c>
      <c r="G420" s="346">
        <v>0</v>
      </c>
      <c r="H420" s="349">
        <v>39877.99</v>
      </c>
      <c r="I420" s="1026">
        <v>39877.99</v>
      </c>
      <c r="J420" s="345">
        <f t="shared" si="29"/>
        <v>39.877989999999997</v>
      </c>
      <c r="K420" s="908">
        <f t="shared" si="30"/>
        <v>40</v>
      </c>
      <c r="L420" s="346">
        <f>IFERROR(VLOOKUP(C420,'DE x PARA'!C414:K2580,7,FALSE),"SINTÉTICA")</f>
        <v>500004</v>
      </c>
      <c r="M420" s="346">
        <f>IFERROR(VLOOKUP(B420,'DE x PARA'!B414:K2580,10,FALSE),"SINTÉTICA")</f>
        <v>600001</v>
      </c>
      <c r="N420" s="346">
        <f>IFERROR(VLOOKUP(M420,'DE x PARA'!$K$2:$L$2168,2,FALSE),0)</f>
        <v>0</v>
      </c>
      <c r="O420" s="344">
        <f t="shared" si="31"/>
        <v>0</v>
      </c>
    </row>
    <row r="421" spans="1:15">
      <c r="A421" s="343" t="str">
        <f t="shared" si="28"/>
        <v>4.2.6.01.0004</v>
      </c>
      <c r="B421" s="348" t="s">
        <v>1158</v>
      </c>
      <c r="C421" s="346">
        <v>42614</v>
      </c>
      <c r="D421" s="346" t="s">
        <v>1046</v>
      </c>
      <c r="E421" s="346">
        <v>0</v>
      </c>
      <c r="F421" s="1026">
        <v>130040.82</v>
      </c>
      <c r="G421" s="1026">
        <v>-26343</v>
      </c>
      <c r="H421" s="349">
        <v>103697.82</v>
      </c>
      <c r="I421" s="1026">
        <v>103697.82</v>
      </c>
      <c r="J421" s="345">
        <f t="shared" si="29"/>
        <v>103.69782000000001</v>
      </c>
      <c r="K421" s="908">
        <f t="shared" si="30"/>
        <v>104</v>
      </c>
      <c r="L421" s="346">
        <f>IFERROR(VLOOKUP(C421,'DE x PARA'!C415:K2581,7,FALSE),"SINTÉTICA")</f>
        <v>500004</v>
      </c>
      <c r="M421" s="346">
        <f>IFERROR(VLOOKUP(B421,'DE x PARA'!B415:K2581,10,FALSE),"SINTÉTICA")</f>
        <v>600001</v>
      </c>
      <c r="N421" s="346">
        <f>IFERROR(VLOOKUP(M421,'DE x PARA'!$K$2:$L$2168,2,FALSE),0)</f>
        <v>0</v>
      </c>
      <c r="O421" s="344">
        <f t="shared" si="31"/>
        <v>0</v>
      </c>
    </row>
    <row r="422" spans="1:15">
      <c r="A422" s="343" t="str">
        <f t="shared" si="28"/>
        <v>4.2.6.01.0006</v>
      </c>
      <c r="B422" s="348" t="s">
        <v>1159</v>
      </c>
      <c r="C422" s="346">
        <v>42616</v>
      </c>
      <c r="D422" s="346" t="s">
        <v>1048</v>
      </c>
      <c r="E422" s="346">
        <v>0</v>
      </c>
      <c r="F422" s="1026">
        <v>5520.59</v>
      </c>
      <c r="G422" s="1026">
        <v>-707.42</v>
      </c>
      <c r="H422" s="349">
        <v>4813.17</v>
      </c>
      <c r="I422" s="1026">
        <v>4813.17</v>
      </c>
      <c r="J422" s="345">
        <f t="shared" si="29"/>
        <v>4.8131700000000004</v>
      </c>
      <c r="K422" s="908">
        <f t="shared" si="30"/>
        <v>5</v>
      </c>
      <c r="L422" s="346">
        <f>IFERROR(VLOOKUP(C422,'DE x PARA'!C416:K2582,7,FALSE),"SINTÉTICA")</f>
        <v>500004</v>
      </c>
      <c r="M422" s="346">
        <f>IFERROR(VLOOKUP(B422,'DE x PARA'!B416:K2582,10,FALSE),"SINTÉTICA")</f>
        <v>600001</v>
      </c>
      <c r="N422" s="346">
        <f>IFERROR(VLOOKUP(M422,'DE x PARA'!$K$2:$L$2168,2,FALSE),0)</f>
        <v>0</v>
      </c>
      <c r="O422" s="344">
        <f t="shared" si="31"/>
        <v>0</v>
      </c>
    </row>
    <row r="423" spans="1:15">
      <c r="A423" s="343" t="str">
        <f t="shared" si="28"/>
        <v>4.2.6.01.0007</v>
      </c>
      <c r="B423" s="348" t="s">
        <v>1160</v>
      </c>
      <c r="C423" s="346">
        <v>42617</v>
      </c>
      <c r="D423" s="346" t="s">
        <v>1161</v>
      </c>
      <c r="E423" s="346">
        <v>0</v>
      </c>
      <c r="F423" s="1026">
        <v>1264.83</v>
      </c>
      <c r="G423" s="346">
        <v>0</v>
      </c>
      <c r="H423" s="349">
        <v>1264.83</v>
      </c>
      <c r="I423" s="1026">
        <v>1264.83</v>
      </c>
      <c r="J423" s="345">
        <f t="shared" si="29"/>
        <v>1.2648299999999999</v>
      </c>
      <c r="K423" s="908">
        <f t="shared" si="30"/>
        <v>1</v>
      </c>
      <c r="L423" s="346">
        <f>IFERROR(VLOOKUP(C423,'DE x PARA'!C417:K2583,7,FALSE),"SINTÉTICA")</f>
        <v>500004</v>
      </c>
      <c r="M423" s="346">
        <f>IFERROR(VLOOKUP(B423,'DE x PARA'!B417:K2583,10,FALSE),"SINTÉTICA")</f>
        <v>600001</v>
      </c>
      <c r="N423" s="346">
        <f>IFERROR(VLOOKUP(M423,'DE x PARA'!$K$2:$L$2168,2,FALSE),0)</f>
        <v>0</v>
      </c>
      <c r="O423" s="344">
        <f t="shared" si="31"/>
        <v>0</v>
      </c>
    </row>
    <row r="424" spans="1:15">
      <c r="A424" s="343" t="str">
        <f t="shared" si="28"/>
        <v>4.2.6.01.0010</v>
      </c>
      <c r="B424" s="348" t="s">
        <v>1162</v>
      </c>
      <c r="C424" s="346">
        <v>426110</v>
      </c>
      <c r="D424" s="346" t="s">
        <v>1050</v>
      </c>
      <c r="E424" s="346">
        <v>0</v>
      </c>
      <c r="F424" s="1026">
        <v>969.01</v>
      </c>
      <c r="G424" s="346">
        <v>0</v>
      </c>
      <c r="H424" s="349">
        <v>969.01</v>
      </c>
      <c r="I424" s="1026">
        <v>969.01</v>
      </c>
      <c r="J424" s="345">
        <f t="shared" si="29"/>
        <v>0.96901000000000004</v>
      </c>
      <c r="K424" s="908">
        <f t="shared" si="30"/>
        <v>1</v>
      </c>
      <c r="L424" s="346">
        <f>IFERROR(VLOOKUP(C424,'DE x PARA'!C418:K2584,7,FALSE),"SINTÉTICA")</f>
        <v>500004</v>
      </c>
      <c r="M424" s="346">
        <f>IFERROR(VLOOKUP(B424,'DE x PARA'!B418:K2584,10,FALSE),"SINTÉTICA")</f>
        <v>600001</v>
      </c>
      <c r="N424" s="346">
        <f>IFERROR(VLOOKUP(M424,'DE x PARA'!$K$2:$L$2168,2,FALSE),0)</f>
        <v>0</v>
      </c>
      <c r="O424" s="344">
        <f t="shared" si="31"/>
        <v>0</v>
      </c>
    </row>
    <row r="425" spans="1:15">
      <c r="A425" s="343" t="str">
        <f t="shared" si="28"/>
        <v>4.2.6.01.0011</v>
      </c>
      <c r="B425" s="348" t="s">
        <v>1163</v>
      </c>
      <c r="C425" s="346">
        <v>426111</v>
      </c>
      <c r="D425" s="346" t="s">
        <v>190</v>
      </c>
      <c r="E425" s="346">
        <v>0</v>
      </c>
      <c r="F425" s="1026">
        <v>1213231.26</v>
      </c>
      <c r="G425" s="346">
        <v>-3.75</v>
      </c>
      <c r="H425" s="349">
        <v>1213227.51</v>
      </c>
      <c r="I425" s="1026">
        <v>1213227.51</v>
      </c>
      <c r="J425" s="345">
        <f t="shared" si="29"/>
        <v>1213.2275099999999</v>
      </c>
      <c r="K425" s="908">
        <f t="shared" si="30"/>
        <v>1213</v>
      </c>
      <c r="L425" s="346">
        <f>IFERROR(VLOOKUP(C425,'DE x PARA'!C419:K2585,7,FALSE),"SINTÉTICA")</f>
        <v>500005</v>
      </c>
      <c r="M425" s="346">
        <f>IFERROR(VLOOKUP(B425,'DE x PARA'!B419:K2585,10,FALSE),"SINTÉTICA")</f>
        <v>600001</v>
      </c>
      <c r="N425" s="346">
        <f>IFERROR(VLOOKUP(M425,'DE x PARA'!$K$2:$L$2168,2,FALSE),0)</f>
        <v>0</v>
      </c>
      <c r="O425" s="344">
        <f t="shared" si="31"/>
        <v>0</v>
      </c>
    </row>
    <row r="426" spans="1:15">
      <c r="A426" s="343" t="str">
        <f t="shared" si="28"/>
        <v>4.2.6.01.0012</v>
      </c>
      <c r="B426" s="348" t="s">
        <v>1164</v>
      </c>
      <c r="C426" s="346">
        <v>426112</v>
      </c>
      <c r="D426" s="346" t="s">
        <v>1052</v>
      </c>
      <c r="E426" s="346">
        <v>0</v>
      </c>
      <c r="F426" s="1026">
        <v>17712.54</v>
      </c>
      <c r="G426" s="1026">
        <v>-292.45999999999998</v>
      </c>
      <c r="H426" s="349">
        <v>17420.080000000002</v>
      </c>
      <c r="I426" s="1026">
        <v>17420.080000000002</v>
      </c>
      <c r="J426" s="345">
        <f t="shared" si="29"/>
        <v>17.420080000000002</v>
      </c>
      <c r="K426" s="908">
        <f t="shared" si="30"/>
        <v>17</v>
      </c>
      <c r="L426" s="346">
        <f>IFERROR(VLOOKUP(C426,'DE x PARA'!C420:K2586,7,FALSE),"SINTÉTICA")</f>
        <v>500017</v>
      </c>
      <c r="M426" s="346">
        <f>IFERROR(VLOOKUP(B426,'DE x PARA'!B420:K2586,10,FALSE),"SINTÉTICA")</f>
        <v>600001</v>
      </c>
      <c r="N426" s="346">
        <f>IFERROR(VLOOKUP(M426,'DE x PARA'!$K$2:$L$2168,2,FALSE),0)</f>
        <v>0</v>
      </c>
      <c r="O426" s="344">
        <f t="shared" si="31"/>
        <v>0</v>
      </c>
    </row>
    <row r="427" spans="1:15">
      <c r="A427" s="343" t="str">
        <f t="shared" si="28"/>
        <v>4.2.6.01.0014</v>
      </c>
      <c r="B427" s="348" t="s">
        <v>1165</v>
      </c>
      <c r="C427" s="346">
        <v>426114</v>
      </c>
      <c r="D427" s="346" t="s">
        <v>1054</v>
      </c>
      <c r="E427" s="346">
        <v>0</v>
      </c>
      <c r="F427" s="1026">
        <v>210459.51999999999</v>
      </c>
      <c r="G427" s="1026">
        <v>-87804.9</v>
      </c>
      <c r="H427" s="349">
        <v>122654.62</v>
      </c>
      <c r="I427" s="1026">
        <v>122654.62</v>
      </c>
      <c r="J427" s="345">
        <f t="shared" si="29"/>
        <v>122.65461999999999</v>
      </c>
      <c r="K427" s="908">
        <f t="shared" si="30"/>
        <v>123</v>
      </c>
      <c r="L427" s="346">
        <f>IFERROR(VLOOKUP(C427,'DE x PARA'!C421:K2587,7,FALSE),"SINTÉTICA")</f>
        <v>500004</v>
      </c>
      <c r="M427" s="346">
        <f>IFERROR(VLOOKUP(B427,'DE x PARA'!B421:K2587,10,FALSE),"SINTÉTICA")</f>
        <v>600001</v>
      </c>
      <c r="N427" s="346">
        <f>IFERROR(VLOOKUP(M427,'DE x PARA'!$K$2:$L$2168,2,FALSE),0)</f>
        <v>0</v>
      </c>
      <c r="O427" s="344">
        <f t="shared" si="31"/>
        <v>0</v>
      </c>
    </row>
    <row r="428" spans="1:15">
      <c r="A428" s="343" t="str">
        <f t="shared" si="28"/>
        <v>4.2.6.01.0016</v>
      </c>
      <c r="B428" s="348" t="s">
        <v>1166</v>
      </c>
      <c r="C428" s="346">
        <v>426116</v>
      </c>
      <c r="D428" s="346" t="s">
        <v>1058</v>
      </c>
      <c r="E428" s="346">
        <v>0</v>
      </c>
      <c r="F428" s="1026">
        <v>220865.17</v>
      </c>
      <c r="G428" s="1026">
        <v>0</v>
      </c>
      <c r="H428" s="349">
        <v>220865.17</v>
      </c>
      <c r="I428" s="1026">
        <v>220865.17</v>
      </c>
      <c r="J428" s="345">
        <f t="shared" si="29"/>
        <v>220.86517000000001</v>
      </c>
      <c r="K428" s="908">
        <f t="shared" si="30"/>
        <v>221</v>
      </c>
      <c r="L428" s="346">
        <f>IFERROR(VLOOKUP(C428,'DE x PARA'!C422:K2588,7,FALSE),"SINTÉTICA")</f>
        <v>500004</v>
      </c>
      <c r="M428" s="346">
        <f>IFERROR(VLOOKUP(B428,'DE x PARA'!B422:K2588,10,FALSE),"SINTÉTICA")</f>
        <v>600001</v>
      </c>
      <c r="N428" s="346">
        <f>IFERROR(VLOOKUP(M428,'DE x PARA'!$K$2:$L$2168,2,FALSE),0)</f>
        <v>0</v>
      </c>
      <c r="O428" s="344">
        <f t="shared" si="31"/>
        <v>0</v>
      </c>
    </row>
    <row r="429" spans="1:15">
      <c r="A429" s="343" t="str">
        <f t="shared" si="28"/>
        <v>4.2.6.01.0017</v>
      </c>
      <c r="B429" s="348" t="s">
        <v>1167</v>
      </c>
      <c r="C429" s="346">
        <v>426117</v>
      </c>
      <c r="D429" s="346" t="s">
        <v>1056</v>
      </c>
      <c r="E429" s="346">
        <v>0</v>
      </c>
      <c r="F429" s="1026">
        <v>125177.81</v>
      </c>
      <c r="G429" s="1026">
        <v>-46586.09</v>
      </c>
      <c r="H429" s="349">
        <v>78591.72</v>
      </c>
      <c r="I429" s="1026">
        <v>78591.72</v>
      </c>
      <c r="J429" s="345">
        <f t="shared" si="29"/>
        <v>78.591719999999995</v>
      </c>
      <c r="K429" s="908">
        <f t="shared" si="30"/>
        <v>79</v>
      </c>
      <c r="L429" s="346">
        <f>IFERROR(VLOOKUP(C429,'DE x PARA'!C423:K2589,7,FALSE),"SINTÉTICA")</f>
        <v>500004</v>
      </c>
      <c r="M429" s="346">
        <f>IFERROR(VLOOKUP(B429,'DE x PARA'!B423:K2589,10,FALSE),"SINTÉTICA")</f>
        <v>600001</v>
      </c>
      <c r="N429" s="346">
        <f>IFERROR(VLOOKUP(M429,'DE x PARA'!$K$2:$L$2168,2,FALSE),0)</f>
        <v>0</v>
      </c>
      <c r="O429" s="344">
        <f t="shared" si="31"/>
        <v>0</v>
      </c>
    </row>
    <row r="430" spans="1:15">
      <c r="A430" s="343" t="str">
        <f t="shared" si="28"/>
        <v>4.2.6.01.0018</v>
      </c>
      <c r="B430" s="348" t="s">
        <v>5287</v>
      </c>
      <c r="C430" s="346">
        <v>426118</v>
      </c>
      <c r="D430" s="346" t="s">
        <v>5288</v>
      </c>
      <c r="E430" s="346">
        <v>0</v>
      </c>
      <c r="F430" s="1026">
        <v>1477644.3</v>
      </c>
      <c r="G430" s="346">
        <v>0</v>
      </c>
      <c r="H430" s="349">
        <v>1477644.3</v>
      </c>
      <c r="I430" s="1026">
        <v>1477644.3</v>
      </c>
      <c r="J430" s="345">
        <f t="shared" si="29"/>
        <v>1477.6443000000002</v>
      </c>
      <c r="K430" s="908">
        <f t="shared" si="30"/>
        <v>1478</v>
      </c>
      <c r="L430" s="346">
        <f>IFERROR(VLOOKUP(C430,'DE x PARA'!C424:K2590,7,FALSE),"SINTÉTICA")</f>
        <v>500005</v>
      </c>
      <c r="M430" s="346">
        <f>IFERROR(VLOOKUP(B430,'DE x PARA'!B424:K2590,10,FALSE),"SINTÉTICA")</f>
        <v>600001</v>
      </c>
      <c r="N430" s="346">
        <f>IFERROR(VLOOKUP(M430,'DE x PARA'!$K$2:$L$2168,2,FALSE),0)</f>
        <v>0</v>
      </c>
      <c r="O430" s="344">
        <f t="shared" si="31"/>
        <v>0</v>
      </c>
    </row>
    <row r="431" spans="1:15">
      <c r="A431" s="343" t="str">
        <f t="shared" si="28"/>
        <v>4.2.6.02</v>
      </c>
      <c r="B431" s="348" t="s">
        <v>26</v>
      </c>
      <c r="C431" s="346">
        <v>4262</v>
      </c>
      <c r="D431" s="346" t="s">
        <v>1168</v>
      </c>
      <c r="E431" s="346">
        <v>0</v>
      </c>
      <c r="F431" s="1026">
        <v>2731623.51</v>
      </c>
      <c r="G431" s="1026">
        <v>-304478.21999999997</v>
      </c>
      <c r="H431" s="349">
        <v>2427145.29</v>
      </c>
      <c r="I431" s="1026">
        <v>2427145.29</v>
      </c>
      <c r="J431" s="345">
        <f t="shared" si="29"/>
        <v>2427.1452899999999</v>
      </c>
      <c r="K431" s="908">
        <f t="shared" si="30"/>
        <v>2427</v>
      </c>
      <c r="L431" s="346">
        <f>IFERROR(VLOOKUP(C431,'DE x PARA'!C425:K2591,7,FALSE),"SINTÉTICA")</f>
        <v>0</v>
      </c>
      <c r="M431" s="346">
        <f>IFERROR(VLOOKUP(B431,'DE x PARA'!B425:K2591,10,FALSE),"SINTÉTICA")</f>
        <v>0</v>
      </c>
      <c r="N431" s="346">
        <f>IFERROR(VLOOKUP(M431,'DE x PARA'!$K$2:$L$2168,2,FALSE),0)</f>
        <v>0</v>
      </c>
      <c r="O431" s="344">
        <f t="shared" si="31"/>
        <v>0</v>
      </c>
    </row>
    <row r="432" spans="1:15">
      <c r="A432" s="343" t="str">
        <f t="shared" si="28"/>
        <v>4.2.6.02.0001</v>
      </c>
      <c r="B432" s="348" t="s">
        <v>1169</v>
      </c>
      <c r="C432" s="346">
        <v>42621</v>
      </c>
      <c r="D432" s="346" t="s">
        <v>1061</v>
      </c>
      <c r="E432" s="346">
        <v>0</v>
      </c>
      <c r="F432" s="1026">
        <v>132270.62</v>
      </c>
      <c r="G432" s="1026">
        <v>-8722.9500000000007</v>
      </c>
      <c r="H432" s="349">
        <v>123547.67</v>
      </c>
      <c r="I432" s="1026">
        <v>123547.67</v>
      </c>
      <c r="J432" s="345">
        <f t="shared" si="29"/>
        <v>123.54767</v>
      </c>
      <c r="K432" s="908">
        <f t="shared" si="30"/>
        <v>124</v>
      </c>
      <c r="L432" s="346">
        <f>IFERROR(VLOOKUP(C432,'DE x PARA'!C426:K2592,7,FALSE),"SINTÉTICA")</f>
        <v>500008</v>
      </c>
      <c r="M432" s="346">
        <f>IFERROR(VLOOKUP(B432,'DE x PARA'!B426:K2592,10,FALSE),"SINTÉTICA")</f>
        <v>600001</v>
      </c>
      <c r="N432" s="346">
        <f>IFERROR(VLOOKUP(M432,'DE x PARA'!$K$2:$L$2168,2,FALSE),0)</f>
        <v>0</v>
      </c>
      <c r="O432" s="344">
        <f t="shared" si="31"/>
        <v>0</v>
      </c>
    </row>
    <row r="433" spans="1:15">
      <c r="A433" s="343" t="str">
        <f t="shared" si="28"/>
        <v>4.2.6.02.0002</v>
      </c>
      <c r="B433" s="348" t="s">
        <v>1170</v>
      </c>
      <c r="C433" s="346">
        <v>42622</v>
      </c>
      <c r="D433" s="346" t="s">
        <v>1063</v>
      </c>
      <c r="E433" s="346">
        <v>0</v>
      </c>
      <c r="F433" s="1026">
        <v>238671.22</v>
      </c>
      <c r="G433" s="1026">
        <v>-2411.2600000000002</v>
      </c>
      <c r="H433" s="349">
        <v>236259.96</v>
      </c>
      <c r="I433" s="1026">
        <v>236259.96</v>
      </c>
      <c r="J433" s="345">
        <f t="shared" si="29"/>
        <v>236.25995999999998</v>
      </c>
      <c r="K433" s="908">
        <f t="shared" si="30"/>
        <v>236</v>
      </c>
      <c r="L433" s="346">
        <f>IFERROR(VLOOKUP(C433,'DE x PARA'!C427:K2593,7,FALSE),"SINTÉTICA")</f>
        <v>500008</v>
      </c>
      <c r="M433" s="346">
        <f>IFERROR(VLOOKUP(B433,'DE x PARA'!B427:K2593,10,FALSE),"SINTÉTICA")</f>
        <v>600001</v>
      </c>
      <c r="N433" s="346">
        <f>IFERROR(VLOOKUP(M433,'DE x PARA'!$K$2:$L$2168,2,FALSE),0)</f>
        <v>0</v>
      </c>
      <c r="O433" s="344">
        <f t="shared" si="31"/>
        <v>0</v>
      </c>
    </row>
    <row r="434" spans="1:15">
      <c r="A434" s="343" t="str">
        <f t="shared" si="28"/>
        <v>4.2.6.02.0004</v>
      </c>
      <c r="B434" s="348" t="s">
        <v>1171</v>
      </c>
      <c r="C434" s="346">
        <v>42624</v>
      </c>
      <c r="D434" s="346" t="s">
        <v>1172</v>
      </c>
      <c r="E434" s="346">
        <v>0</v>
      </c>
      <c r="F434" s="1026">
        <v>339464.53</v>
      </c>
      <c r="G434" s="346">
        <v>0</v>
      </c>
      <c r="H434" s="349">
        <v>339464.53</v>
      </c>
      <c r="I434" s="1026">
        <v>339464.53</v>
      </c>
      <c r="J434" s="345">
        <f t="shared" si="29"/>
        <v>339.46453000000002</v>
      </c>
      <c r="K434" s="908">
        <f t="shared" si="30"/>
        <v>339</v>
      </c>
      <c r="L434" s="346">
        <f>IFERROR(VLOOKUP(C434,'DE x PARA'!C428:K2594,7,FALSE),"SINTÉTICA")</f>
        <v>500004</v>
      </c>
      <c r="M434" s="346">
        <f>IFERROR(VLOOKUP(B434,'DE x PARA'!B428:K2594,10,FALSE),"SINTÉTICA")</f>
        <v>600001</v>
      </c>
      <c r="N434" s="346">
        <f>IFERROR(VLOOKUP(M434,'DE x PARA'!$K$2:$L$2168,2,FALSE),0)</f>
        <v>0</v>
      </c>
      <c r="O434" s="344">
        <f t="shared" si="31"/>
        <v>0</v>
      </c>
    </row>
    <row r="435" spans="1:15">
      <c r="A435" s="343" t="str">
        <f t="shared" si="28"/>
        <v>4.2.6.02.0006</v>
      </c>
      <c r="B435" s="348" t="s">
        <v>1173</v>
      </c>
      <c r="C435" s="346">
        <v>42626</v>
      </c>
      <c r="D435" s="346" t="s">
        <v>1174</v>
      </c>
      <c r="E435" s="346">
        <v>0</v>
      </c>
      <c r="F435" s="1026">
        <v>120441.35</v>
      </c>
      <c r="G435" s="1026">
        <v>-12613.38</v>
      </c>
      <c r="H435" s="349">
        <v>107827.97</v>
      </c>
      <c r="I435" s="1026">
        <v>107827.97</v>
      </c>
      <c r="J435" s="345">
        <f t="shared" si="29"/>
        <v>107.82797000000001</v>
      </c>
      <c r="K435" s="908">
        <f t="shared" si="30"/>
        <v>108</v>
      </c>
      <c r="L435" s="346">
        <f>IFERROR(VLOOKUP(C435,'DE x PARA'!C429:K2595,7,FALSE),"SINTÉTICA")</f>
        <v>500004</v>
      </c>
      <c r="M435" s="346">
        <f>IFERROR(VLOOKUP(B435,'DE x PARA'!B429:K2595,10,FALSE),"SINTÉTICA")</f>
        <v>600001</v>
      </c>
      <c r="N435" s="346">
        <f>IFERROR(VLOOKUP(M435,'DE x PARA'!$K$2:$L$2168,2,FALSE),0)</f>
        <v>0</v>
      </c>
      <c r="O435" s="344">
        <f t="shared" si="31"/>
        <v>0</v>
      </c>
    </row>
    <row r="436" spans="1:15">
      <c r="A436" s="343" t="str">
        <f t="shared" si="28"/>
        <v>4.2.6.02.0007</v>
      </c>
      <c r="B436" s="348" t="s">
        <v>1175</v>
      </c>
      <c r="C436" s="346">
        <v>42627</v>
      </c>
      <c r="D436" s="346" t="s">
        <v>1176</v>
      </c>
      <c r="E436" s="346">
        <v>0</v>
      </c>
      <c r="F436" s="1026">
        <v>1297513.3400000001</v>
      </c>
      <c r="G436" s="1026">
        <v>-1640.1</v>
      </c>
      <c r="H436" s="349">
        <v>1295873.24</v>
      </c>
      <c r="I436" s="1026">
        <v>1295873.24</v>
      </c>
      <c r="J436" s="345">
        <f t="shared" si="29"/>
        <v>1295.8732399999999</v>
      </c>
      <c r="K436" s="908">
        <f t="shared" si="30"/>
        <v>1296</v>
      </c>
      <c r="L436" s="346">
        <f>IFERROR(VLOOKUP(C436,'DE x PARA'!C430:K2596,7,FALSE),"SINTÉTICA")</f>
        <v>500004</v>
      </c>
      <c r="M436" s="346">
        <f>IFERROR(VLOOKUP(B436,'DE x PARA'!B430:K2596,10,FALSE),"SINTÉTICA")</f>
        <v>600001</v>
      </c>
      <c r="N436" s="346">
        <f>IFERROR(VLOOKUP(M436,'DE x PARA'!$K$2:$L$2168,2,FALSE),0)</f>
        <v>0</v>
      </c>
      <c r="O436" s="344">
        <f t="shared" si="31"/>
        <v>0</v>
      </c>
    </row>
    <row r="437" spans="1:15">
      <c r="A437" s="343" t="str">
        <f t="shared" si="28"/>
        <v>4.2.6.02.0009</v>
      </c>
      <c r="B437" s="348" t="s">
        <v>1177</v>
      </c>
      <c r="C437" s="346">
        <v>42629</v>
      </c>
      <c r="D437" s="346" t="s">
        <v>1178</v>
      </c>
      <c r="E437" s="346">
        <v>0</v>
      </c>
      <c r="F437" s="1026">
        <v>3493.49</v>
      </c>
      <c r="G437" s="346">
        <v>0</v>
      </c>
      <c r="H437" s="349">
        <v>3493.49</v>
      </c>
      <c r="I437" s="1026">
        <v>3493.49</v>
      </c>
      <c r="J437" s="345">
        <f t="shared" si="29"/>
        <v>3.49349</v>
      </c>
      <c r="K437" s="908">
        <f t="shared" si="30"/>
        <v>3</v>
      </c>
      <c r="L437" s="346">
        <f>IFERROR(VLOOKUP(C437,'DE x PARA'!C431:K2597,7,FALSE),"SINTÉTICA")</f>
        <v>500004</v>
      </c>
      <c r="M437" s="346">
        <f>IFERROR(VLOOKUP(B437,'DE x PARA'!B431:K2597,10,FALSE),"SINTÉTICA")</f>
        <v>600001</v>
      </c>
      <c r="N437" s="346">
        <f>IFERROR(VLOOKUP(M437,'DE x PARA'!$K$2:$L$2168,2,FALSE),0)</f>
        <v>0</v>
      </c>
      <c r="O437" s="344">
        <f t="shared" si="31"/>
        <v>0</v>
      </c>
    </row>
    <row r="438" spans="1:15">
      <c r="A438" s="343" t="str">
        <f t="shared" si="28"/>
        <v>4.2.6.02.0010</v>
      </c>
      <c r="B438" s="348" t="s">
        <v>1179</v>
      </c>
      <c r="C438" s="346">
        <v>426210</v>
      </c>
      <c r="D438" s="346" t="s">
        <v>1180</v>
      </c>
      <c r="E438" s="346">
        <v>0</v>
      </c>
      <c r="F438" s="1026">
        <v>51650.53</v>
      </c>
      <c r="G438" s="346">
        <v>0</v>
      </c>
      <c r="H438" s="349">
        <v>51650.53</v>
      </c>
      <c r="I438" s="1026">
        <v>51650.53</v>
      </c>
      <c r="J438" s="345">
        <f t="shared" si="29"/>
        <v>51.650529999999996</v>
      </c>
      <c r="K438" s="908">
        <f t="shared" si="30"/>
        <v>52</v>
      </c>
      <c r="L438" s="346">
        <f>IFERROR(VLOOKUP(C438,'DE x PARA'!C432:K2598,7,FALSE),"SINTÉTICA")</f>
        <v>500004</v>
      </c>
      <c r="M438" s="346">
        <f>IFERROR(VLOOKUP(B438,'DE x PARA'!B432:K2598,10,FALSE),"SINTÉTICA")</f>
        <v>600001</v>
      </c>
      <c r="N438" s="346">
        <f>IFERROR(VLOOKUP(M438,'DE x PARA'!$K$2:$L$2168,2,FALSE),0)</f>
        <v>0</v>
      </c>
      <c r="O438" s="344">
        <f t="shared" si="31"/>
        <v>0</v>
      </c>
    </row>
    <row r="439" spans="1:15">
      <c r="A439" s="343" t="str">
        <f t="shared" si="28"/>
        <v>4.2.6.02.0013</v>
      </c>
      <c r="B439" s="348" t="s">
        <v>5301</v>
      </c>
      <c r="C439" s="346">
        <v>426213</v>
      </c>
      <c r="D439" s="346" t="s">
        <v>5185</v>
      </c>
      <c r="E439" s="346">
        <v>0</v>
      </c>
      <c r="F439" s="1026">
        <v>56490</v>
      </c>
      <c r="G439" s="346">
        <v>0</v>
      </c>
      <c r="H439" s="349">
        <v>56490</v>
      </c>
      <c r="I439" s="1026">
        <v>56490</v>
      </c>
      <c r="J439" s="345">
        <f t="shared" si="29"/>
        <v>56.49</v>
      </c>
      <c r="K439" s="908">
        <f t="shared" si="30"/>
        <v>56</v>
      </c>
      <c r="L439" s="346">
        <f>IFERROR(VLOOKUP(C439,'DE x PARA'!C433:K2599,7,FALSE),"SINTÉTICA")</f>
        <v>500018</v>
      </c>
      <c r="M439" s="346">
        <f>IFERROR(VLOOKUP(B439,'DE x PARA'!B433:K2599,10,FALSE),"SINTÉTICA")</f>
        <v>600001</v>
      </c>
      <c r="N439" s="346">
        <f>IFERROR(VLOOKUP(M439,'DE x PARA'!$K$2:$L$2168,2,FALSE),0)</f>
        <v>0</v>
      </c>
      <c r="O439" s="344">
        <f t="shared" si="31"/>
        <v>0</v>
      </c>
    </row>
    <row r="440" spans="1:15">
      <c r="A440" s="343" t="str">
        <f t="shared" si="28"/>
        <v>4.2.6.02.0014</v>
      </c>
      <c r="B440" s="348" t="s">
        <v>1181</v>
      </c>
      <c r="C440" s="346">
        <v>426214</v>
      </c>
      <c r="D440" s="346" t="s">
        <v>1182</v>
      </c>
      <c r="E440" s="346">
        <v>0</v>
      </c>
      <c r="F440" s="1026">
        <v>73917.09</v>
      </c>
      <c r="G440" s="346">
        <v>0</v>
      </c>
      <c r="H440" s="349">
        <v>73917.09</v>
      </c>
      <c r="I440" s="1026">
        <v>73917.09</v>
      </c>
      <c r="J440" s="345">
        <f t="shared" si="29"/>
        <v>73.917090000000002</v>
      </c>
      <c r="K440" s="908">
        <f t="shared" si="30"/>
        <v>74</v>
      </c>
      <c r="L440" s="346">
        <f>IFERROR(VLOOKUP(C440,'DE x PARA'!C434:K2600,7,FALSE),"SINTÉTICA")</f>
        <v>500008</v>
      </c>
      <c r="M440" s="346">
        <f>IFERROR(VLOOKUP(B440,'DE x PARA'!B434:K2600,10,FALSE),"SINTÉTICA")</f>
        <v>600001</v>
      </c>
      <c r="N440" s="346">
        <f>IFERROR(VLOOKUP(M440,'DE x PARA'!$K$2:$L$2168,2,FALSE),0)</f>
        <v>0</v>
      </c>
      <c r="O440" s="344">
        <f t="shared" si="31"/>
        <v>0</v>
      </c>
    </row>
    <row r="441" spans="1:15">
      <c r="A441" s="343" t="str">
        <f t="shared" si="28"/>
        <v>4.2.6.02.0015</v>
      </c>
      <c r="B441" s="348" t="s">
        <v>1183</v>
      </c>
      <c r="C441" s="346">
        <v>426215</v>
      </c>
      <c r="D441" s="346" t="s">
        <v>1184</v>
      </c>
      <c r="E441" s="346">
        <v>0</v>
      </c>
      <c r="F441" s="1026">
        <v>27273.98</v>
      </c>
      <c r="G441" s="346">
        <v>0</v>
      </c>
      <c r="H441" s="349">
        <v>27273.98</v>
      </c>
      <c r="I441" s="1026">
        <v>27273.98</v>
      </c>
      <c r="J441" s="345">
        <f t="shared" si="29"/>
        <v>27.273979999999998</v>
      </c>
      <c r="K441" s="908">
        <f t="shared" si="30"/>
        <v>27</v>
      </c>
      <c r="L441" s="346">
        <f>IFERROR(VLOOKUP(C441,'DE x PARA'!C435:K2601,7,FALSE),"SINTÉTICA")</f>
        <v>500004</v>
      </c>
      <c r="M441" s="346">
        <f>IFERROR(VLOOKUP(B441,'DE x PARA'!B435:K2601,10,FALSE),"SINTÉTICA")</f>
        <v>600001</v>
      </c>
      <c r="N441" s="346">
        <f>IFERROR(VLOOKUP(M441,'DE x PARA'!$K$2:$L$2168,2,FALSE),0)</f>
        <v>0</v>
      </c>
      <c r="O441" s="344">
        <f t="shared" si="31"/>
        <v>0</v>
      </c>
    </row>
    <row r="442" spans="1:15">
      <c r="A442" s="343" t="str">
        <f t="shared" si="28"/>
        <v>4.2.6.02.0020</v>
      </c>
      <c r="B442" s="348" t="s">
        <v>5307</v>
      </c>
      <c r="C442" s="346">
        <v>426220</v>
      </c>
      <c r="D442" s="346" t="s">
        <v>456</v>
      </c>
      <c r="E442" s="346">
        <v>0</v>
      </c>
      <c r="F442" s="1026">
        <v>228010.85</v>
      </c>
      <c r="G442" s="1026">
        <v>-228010.85</v>
      </c>
      <c r="H442" s="349">
        <v>0</v>
      </c>
      <c r="I442" s="346">
        <v>0</v>
      </c>
      <c r="J442" s="345">
        <f t="shared" si="29"/>
        <v>0</v>
      </c>
      <c r="K442" s="908">
        <f t="shared" si="30"/>
        <v>0</v>
      </c>
      <c r="L442" s="346">
        <f>IFERROR(VLOOKUP(C442,'DE x PARA'!C436:K2602,7,FALSE),"SINTÉTICA")</f>
        <v>500008</v>
      </c>
      <c r="M442" s="346">
        <f>IFERROR(VLOOKUP(B442,'DE x PARA'!B436:K2602,10,FALSE),"SINTÉTICA")</f>
        <v>600001</v>
      </c>
      <c r="N442" s="346">
        <f>IFERROR(VLOOKUP(M442,'DE x PARA'!$K$2:$L$2168,2,FALSE),0)</f>
        <v>0</v>
      </c>
      <c r="O442" s="344">
        <f t="shared" si="31"/>
        <v>0</v>
      </c>
    </row>
    <row r="443" spans="1:15">
      <c r="A443" s="343" t="str">
        <f t="shared" si="28"/>
        <v>4.2.6.02.0021</v>
      </c>
      <c r="B443" s="348" t="s">
        <v>5308</v>
      </c>
      <c r="C443" s="346">
        <v>426221</v>
      </c>
      <c r="D443" s="346" t="s">
        <v>456</v>
      </c>
      <c r="E443" s="346">
        <v>0</v>
      </c>
      <c r="F443" s="1026">
        <v>162426.51</v>
      </c>
      <c r="G443" s="1026">
        <v>-51079.68</v>
      </c>
      <c r="H443" s="349">
        <v>111346.83</v>
      </c>
      <c r="I443" s="1026">
        <v>111346.83</v>
      </c>
      <c r="J443" s="345">
        <f t="shared" si="29"/>
        <v>111.34683</v>
      </c>
      <c r="K443" s="908">
        <f t="shared" si="30"/>
        <v>111</v>
      </c>
      <c r="L443" s="346">
        <f>IFERROR(VLOOKUP(C443,'DE x PARA'!C437:K2603,7,FALSE),"SINTÉTICA")</f>
        <v>500008</v>
      </c>
      <c r="M443" s="346">
        <f>IFERROR(VLOOKUP(B443,'DE x PARA'!B437:K2603,10,FALSE),"SINTÉTICA")</f>
        <v>600001</v>
      </c>
      <c r="N443" s="346">
        <f>IFERROR(VLOOKUP(M443,'DE x PARA'!$K$2:$L$2168,2,FALSE),0)</f>
        <v>0</v>
      </c>
      <c r="O443" s="344">
        <f t="shared" si="31"/>
        <v>0</v>
      </c>
    </row>
    <row r="444" spans="1:15">
      <c r="A444" s="343" t="str">
        <f t="shared" si="28"/>
        <v>4.2.7</v>
      </c>
      <c r="B444" s="348" t="s">
        <v>39</v>
      </c>
      <c r="C444" s="346">
        <v>427</v>
      </c>
      <c r="D444" s="346" t="s">
        <v>38</v>
      </c>
      <c r="E444" s="346">
        <v>0</v>
      </c>
      <c r="F444" s="1026">
        <v>765981.09</v>
      </c>
      <c r="G444" s="346">
        <v>0</v>
      </c>
      <c r="H444" s="349">
        <v>765981.09</v>
      </c>
      <c r="I444" s="1026">
        <v>765981.09</v>
      </c>
      <c r="J444" s="345">
        <f t="shared" si="29"/>
        <v>765.98108999999999</v>
      </c>
      <c r="K444" s="908">
        <f t="shared" si="30"/>
        <v>766</v>
      </c>
      <c r="L444" s="346">
        <f>IFERROR(VLOOKUP(C444,'DE x PARA'!C438:K2604,7,FALSE),"SINTÉTICA")</f>
        <v>0</v>
      </c>
      <c r="M444" s="346">
        <f>IFERROR(VLOOKUP(B444,'DE x PARA'!B438:K2604,10,FALSE),"SINTÉTICA")</f>
        <v>0</v>
      </c>
      <c r="N444" s="346">
        <f>IFERROR(VLOOKUP(M444,'DE x PARA'!$K$2:$L$2168,2,FALSE),0)</f>
        <v>0</v>
      </c>
      <c r="O444" s="344">
        <f t="shared" si="31"/>
        <v>0</v>
      </c>
    </row>
    <row r="445" spans="1:15">
      <c r="A445" s="343" t="str">
        <f t="shared" si="28"/>
        <v>4.2.7.01</v>
      </c>
      <c r="B445" s="348" t="s">
        <v>1185</v>
      </c>
      <c r="C445" s="346">
        <v>42701</v>
      </c>
      <c r="D445" s="346" t="s">
        <v>38</v>
      </c>
      <c r="E445" s="346">
        <v>0</v>
      </c>
      <c r="F445" s="1026">
        <v>765981.09</v>
      </c>
      <c r="G445" s="346">
        <v>0</v>
      </c>
      <c r="H445" s="349">
        <v>765981.09</v>
      </c>
      <c r="I445" s="1026">
        <v>765981.09</v>
      </c>
      <c r="J445" s="345">
        <f t="shared" si="29"/>
        <v>765.98108999999999</v>
      </c>
      <c r="K445" s="908">
        <f t="shared" si="30"/>
        <v>766</v>
      </c>
      <c r="L445" s="346">
        <f>IFERROR(VLOOKUP(C445,'DE x PARA'!C439:K2605,7,FALSE),"SINTÉTICA")</f>
        <v>0</v>
      </c>
      <c r="M445" s="346">
        <f>IFERROR(VLOOKUP(B445,'DE x PARA'!B439:K2605,10,FALSE),"SINTÉTICA")</f>
        <v>0</v>
      </c>
      <c r="N445" s="346">
        <f>IFERROR(VLOOKUP(M445,'DE x PARA'!$K$2:$L$2168,2,FALSE),0)</f>
        <v>0</v>
      </c>
      <c r="O445" s="344">
        <f t="shared" si="31"/>
        <v>0</v>
      </c>
    </row>
    <row r="446" spans="1:15" s="886" customFormat="1">
      <c r="A446" s="1048" t="str">
        <f t="shared" si="28"/>
        <v>4.2.7.01.0020</v>
      </c>
      <c r="B446" s="1049" t="s">
        <v>1188</v>
      </c>
      <c r="C446" s="886">
        <v>42720</v>
      </c>
      <c r="D446" s="886" t="s">
        <v>1189</v>
      </c>
      <c r="E446" s="886">
        <v>0</v>
      </c>
      <c r="F446" s="1050">
        <v>414111.73</v>
      </c>
      <c r="G446" s="886">
        <v>0</v>
      </c>
      <c r="H446" s="1051">
        <v>414111.73</v>
      </c>
      <c r="I446" s="1050">
        <v>414111.73</v>
      </c>
      <c r="J446" s="1052">
        <f t="shared" si="29"/>
        <v>414.11172999999997</v>
      </c>
      <c r="K446" s="1051">
        <f t="shared" si="30"/>
        <v>414</v>
      </c>
      <c r="L446" s="886">
        <f>IFERROR(VLOOKUP(C446,'DE x PARA'!C440:K2606,7,FALSE),"SINTÉTICA")</f>
        <v>500016</v>
      </c>
      <c r="M446" s="886">
        <f>IFERROR(VLOOKUP(B446,'DE x PARA'!B440:K2606,10,FALSE),"SINTÉTICA")</f>
        <v>600001</v>
      </c>
      <c r="N446" s="886">
        <f>IFERROR(VLOOKUP(M446,'DE x PARA'!$K$2:$L$2168,2,FALSE),0)</f>
        <v>0</v>
      </c>
      <c r="O446" s="1053">
        <f t="shared" si="31"/>
        <v>0</v>
      </c>
    </row>
    <row r="447" spans="1:15" s="886" customFormat="1">
      <c r="A447" s="1048" t="str">
        <f t="shared" si="28"/>
        <v>4.2.7.01.0022</v>
      </c>
      <c r="B447" s="1049" t="s">
        <v>5328</v>
      </c>
      <c r="C447" s="886">
        <v>427122</v>
      </c>
      <c r="D447" s="886" t="s">
        <v>512</v>
      </c>
      <c r="E447" s="886">
        <v>0</v>
      </c>
      <c r="F447" s="1050">
        <v>351869.36</v>
      </c>
      <c r="G447" s="886">
        <v>0</v>
      </c>
      <c r="H447" s="1051">
        <v>351869.36</v>
      </c>
      <c r="I447" s="1050">
        <v>351869.36</v>
      </c>
      <c r="J447" s="1052">
        <f t="shared" si="29"/>
        <v>351.86935999999997</v>
      </c>
      <c r="K447" s="1051">
        <f t="shared" si="30"/>
        <v>352</v>
      </c>
      <c r="L447" s="886">
        <f>IFERROR(VLOOKUP(C447,'DE x PARA'!C441:K2607,7,FALSE),"SINTÉTICA")</f>
        <v>500016</v>
      </c>
      <c r="M447" s="886">
        <f>IFERROR(VLOOKUP(B447,'DE x PARA'!B441:K2607,10,FALSE),"SINTÉTICA")</f>
        <v>600001</v>
      </c>
      <c r="N447" s="886">
        <f>IFERROR(VLOOKUP(M447,'DE x PARA'!$K$2:$L$2168,2,FALSE),0)</f>
        <v>0</v>
      </c>
      <c r="O447" s="1053">
        <f t="shared" si="31"/>
        <v>0</v>
      </c>
    </row>
    <row r="448" spans="1:15">
      <c r="A448" s="343" t="str">
        <f t="shared" si="28"/>
        <v>4.2.9</v>
      </c>
      <c r="B448" s="348" t="s">
        <v>5341</v>
      </c>
      <c r="C448" s="346">
        <v>429</v>
      </c>
      <c r="D448" s="346" t="s">
        <v>5220</v>
      </c>
      <c r="E448" s="346">
        <v>0</v>
      </c>
      <c r="F448" s="346">
        <v>250</v>
      </c>
      <c r="G448" s="346">
        <v>-250</v>
      </c>
      <c r="H448" s="349">
        <v>0</v>
      </c>
      <c r="I448" s="346">
        <v>0</v>
      </c>
      <c r="J448" s="345">
        <f t="shared" si="29"/>
        <v>0</v>
      </c>
      <c r="K448" s="908">
        <f t="shared" si="30"/>
        <v>0</v>
      </c>
      <c r="L448" s="346">
        <f>IFERROR(VLOOKUP(C448,'DE x PARA'!C442:K2608,7,FALSE),"SINTÉTICA")</f>
        <v>0</v>
      </c>
      <c r="M448" s="346">
        <f>IFERROR(VLOOKUP(B448,'DE x PARA'!B442:K2608,10,FALSE),"SINTÉTICA")</f>
        <v>0</v>
      </c>
      <c r="N448" s="346">
        <f>IFERROR(VLOOKUP(M448,'DE x PARA'!$K$2:$L$2168,2,FALSE),0)</f>
        <v>0</v>
      </c>
      <c r="O448" s="344">
        <f t="shared" si="31"/>
        <v>0</v>
      </c>
    </row>
    <row r="449" spans="1:15">
      <c r="A449" s="343" t="str">
        <f t="shared" si="28"/>
        <v>4.2.9.09</v>
      </c>
      <c r="B449" s="348" t="s">
        <v>5372</v>
      </c>
      <c r="C449" s="346">
        <v>4299</v>
      </c>
      <c r="D449" s="346" t="s">
        <v>5373</v>
      </c>
      <c r="E449" s="346">
        <v>0</v>
      </c>
      <c r="F449" s="346">
        <v>250</v>
      </c>
      <c r="G449" s="346">
        <v>-250</v>
      </c>
      <c r="H449" s="349">
        <v>0</v>
      </c>
      <c r="I449" s="346">
        <v>0</v>
      </c>
      <c r="J449" s="345">
        <f t="shared" si="29"/>
        <v>0</v>
      </c>
      <c r="K449" s="908">
        <f t="shared" si="30"/>
        <v>0</v>
      </c>
      <c r="L449" s="346">
        <f>IFERROR(VLOOKUP(C449,'DE x PARA'!C443:K2609,7,FALSE),"SINTÉTICA")</f>
        <v>0</v>
      </c>
      <c r="M449" s="346">
        <f>IFERROR(VLOOKUP(B449,'DE x PARA'!B443:K2609,10,FALSE),"SINTÉTICA")</f>
        <v>0</v>
      </c>
      <c r="N449" s="346">
        <f>IFERROR(VLOOKUP(M449,'DE x PARA'!$K$2:$L$2168,2,FALSE),0)</f>
        <v>0</v>
      </c>
      <c r="O449" s="344">
        <f t="shared" si="31"/>
        <v>0</v>
      </c>
    </row>
    <row r="450" spans="1:15">
      <c r="A450" s="343" t="str">
        <f t="shared" si="28"/>
        <v>4.2.9.09.0004</v>
      </c>
      <c r="B450" s="348" t="s">
        <v>5380</v>
      </c>
      <c r="C450" s="346">
        <v>42994</v>
      </c>
      <c r="D450" s="346" t="s">
        <v>5381</v>
      </c>
      <c r="E450" s="346">
        <v>0</v>
      </c>
      <c r="F450" s="346">
        <v>250</v>
      </c>
      <c r="G450" s="346">
        <v>-250</v>
      </c>
      <c r="H450" s="349">
        <v>0</v>
      </c>
      <c r="I450" s="346">
        <v>0</v>
      </c>
      <c r="J450" s="345">
        <f t="shared" si="29"/>
        <v>0</v>
      </c>
      <c r="K450" s="908">
        <f t="shared" si="30"/>
        <v>0</v>
      </c>
      <c r="L450" s="346">
        <f>IFERROR(VLOOKUP(C450,'DE x PARA'!C444:K2610,7,FALSE),"SINTÉTICA")</f>
        <v>500018</v>
      </c>
      <c r="M450" s="346">
        <f>IFERROR(VLOOKUP(B450,'DE x PARA'!B444:K2610,10,FALSE),"SINTÉTICA")</f>
        <v>600033</v>
      </c>
      <c r="N450" s="346">
        <f>IFERROR(VLOOKUP(M450,'DE x PARA'!$K$2:$L$2168,2,FALSE),0)</f>
        <v>0</v>
      </c>
      <c r="O450" s="344">
        <f t="shared" si="31"/>
        <v>0</v>
      </c>
    </row>
    <row r="451" spans="1:15">
      <c r="A451" s="343">
        <f t="shared" si="28"/>
        <v>5</v>
      </c>
      <c r="B451" s="348">
        <v>5</v>
      </c>
      <c r="C451" s="346">
        <v>5</v>
      </c>
      <c r="D451" s="346" t="s">
        <v>1190</v>
      </c>
      <c r="E451" s="346">
        <v>0</v>
      </c>
      <c r="F451" s="1026">
        <v>12803544.109999999</v>
      </c>
      <c r="G451" s="1026">
        <v>-27484436.18</v>
      </c>
      <c r="H451" s="349">
        <v>-14680892.07</v>
      </c>
      <c r="I451" s="1026">
        <v>-14680892.07</v>
      </c>
      <c r="J451" s="345">
        <f t="shared" si="29"/>
        <v>-14680.89207</v>
      </c>
      <c r="K451" s="908">
        <f t="shared" si="30"/>
        <v>-14681</v>
      </c>
      <c r="L451" s="346">
        <f>IFERROR(VLOOKUP(C451,'DE x PARA'!C445:K2611,7,FALSE),"SINTÉTICA")</f>
        <v>0</v>
      </c>
      <c r="M451" s="346">
        <f>IFERROR(VLOOKUP(B451,'DE x PARA'!B445:K2611,10,FALSE),"SINTÉTICA")</f>
        <v>0</v>
      </c>
      <c r="N451" s="346">
        <f>IFERROR(VLOOKUP(M451,'DE x PARA'!$K$2:$L$2168,2,FALSE),0)</f>
        <v>0</v>
      </c>
      <c r="O451" s="344">
        <f t="shared" si="31"/>
        <v>0</v>
      </c>
    </row>
    <row r="452" spans="1:15">
      <c r="A452" s="343" t="str">
        <f t="shared" si="28"/>
        <v>5.1</v>
      </c>
      <c r="B452" s="348" t="s">
        <v>1191</v>
      </c>
      <c r="C452" s="346">
        <v>51</v>
      </c>
      <c r="D452" s="346" t="s">
        <v>1190</v>
      </c>
      <c r="E452" s="346">
        <v>0</v>
      </c>
      <c r="F452" s="1026">
        <v>12803544.109999999</v>
      </c>
      <c r="G452" s="1026">
        <v>-27484436.18</v>
      </c>
      <c r="H452" s="349">
        <v>-14680892.07</v>
      </c>
      <c r="I452" s="1026">
        <v>-14680892.07</v>
      </c>
      <c r="J452" s="345">
        <f t="shared" si="29"/>
        <v>-14680.89207</v>
      </c>
      <c r="K452" s="908">
        <f t="shared" si="30"/>
        <v>-14681</v>
      </c>
      <c r="L452" s="346">
        <f>IFERROR(VLOOKUP(C452,'DE x PARA'!C446:K2612,7,FALSE),"SINTÉTICA")</f>
        <v>0</v>
      </c>
      <c r="M452" s="346">
        <f>IFERROR(VLOOKUP(B452,'DE x PARA'!B446:K2612,10,FALSE),"SINTÉTICA")</f>
        <v>0</v>
      </c>
      <c r="N452" s="346">
        <f>IFERROR(VLOOKUP(M452,'DE x PARA'!$K$2:$L$2168,2,FALSE),0)</f>
        <v>0</v>
      </c>
      <c r="O452" s="344">
        <f t="shared" si="31"/>
        <v>0</v>
      </c>
    </row>
    <row r="453" spans="1:15">
      <c r="A453" s="343" t="str">
        <f t="shared" si="28"/>
        <v>5.1.1</v>
      </c>
      <c r="B453" s="348" t="s">
        <v>1192</v>
      </c>
      <c r="C453" s="346">
        <v>511</v>
      </c>
      <c r="D453" s="346" t="s">
        <v>1193</v>
      </c>
      <c r="E453" s="346">
        <v>0</v>
      </c>
      <c r="F453" s="1026">
        <v>12803544.109999999</v>
      </c>
      <c r="G453" s="346">
        <v>0</v>
      </c>
      <c r="H453" s="349">
        <v>12803544.109999999</v>
      </c>
      <c r="I453" s="1026">
        <v>12803544.109999999</v>
      </c>
      <c r="J453" s="345">
        <f t="shared" si="29"/>
        <v>12803.544109999999</v>
      </c>
      <c r="K453" s="908">
        <f t="shared" si="30"/>
        <v>12804</v>
      </c>
      <c r="L453" s="346">
        <f>IFERROR(VLOOKUP(C453,'DE x PARA'!C447:K2613,7,FALSE),"SINTÉTICA")</f>
        <v>0</v>
      </c>
      <c r="M453" s="346">
        <f>IFERROR(VLOOKUP(B453,'DE x PARA'!B447:K2613,10,FALSE),"SINTÉTICA")</f>
        <v>0</v>
      </c>
      <c r="N453" s="346">
        <f>IFERROR(VLOOKUP(M453,'DE x PARA'!$K$2:$L$2168,2,FALSE),0)</f>
        <v>0</v>
      </c>
      <c r="O453" s="344">
        <f t="shared" si="31"/>
        <v>0</v>
      </c>
    </row>
    <row r="454" spans="1:15">
      <c r="A454" s="343" t="str">
        <f t="shared" si="28"/>
        <v>5.1.1.01</v>
      </c>
      <c r="B454" s="348" t="s">
        <v>1194</v>
      </c>
      <c r="C454" s="346">
        <v>5111</v>
      </c>
      <c r="D454" s="346" t="s">
        <v>1195</v>
      </c>
      <c r="E454" s="346">
        <v>0</v>
      </c>
      <c r="F454" s="1026">
        <v>6094618.3300000001</v>
      </c>
      <c r="G454" s="346">
        <v>0</v>
      </c>
      <c r="H454" s="349">
        <v>6094618.3300000001</v>
      </c>
      <c r="I454" s="1026">
        <v>6094618.3300000001</v>
      </c>
      <c r="J454" s="345">
        <f t="shared" si="29"/>
        <v>6094.6183300000002</v>
      </c>
      <c r="K454" s="908">
        <f t="shared" si="30"/>
        <v>6095</v>
      </c>
      <c r="L454" s="346">
        <f>IFERROR(VLOOKUP(C454,'DE x PARA'!C448:K2614,7,FALSE),"SINTÉTICA")</f>
        <v>500019</v>
      </c>
      <c r="M454" s="346">
        <f>IFERROR(VLOOKUP(B454,'DE x PARA'!B448:K2614,10,FALSE),"SINTÉTICA")</f>
        <v>600001</v>
      </c>
      <c r="N454" s="346">
        <f>IFERROR(VLOOKUP(M454,'DE x PARA'!$K$2:$L$2168,2,FALSE),0)</f>
        <v>0</v>
      </c>
      <c r="O454" s="344">
        <f t="shared" si="31"/>
        <v>0</v>
      </c>
    </row>
    <row r="455" spans="1:15">
      <c r="A455" s="343" t="str">
        <f t="shared" si="28"/>
        <v>5.1.1.02</v>
      </c>
      <c r="B455" s="348" t="s">
        <v>1196</v>
      </c>
      <c r="C455" s="346">
        <v>5112</v>
      </c>
      <c r="D455" s="346" t="s">
        <v>1197</v>
      </c>
      <c r="E455" s="346">
        <v>0</v>
      </c>
      <c r="F455" s="1026">
        <v>3960674.64</v>
      </c>
      <c r="G455" s="346">
        <v>0</v>
      </c>
      <c r="H455" s="349">
        <v>3960674.64</v>
      </c>
      <c r="I455" s="1026">
        <v>3960674.64</v>
      </c>
      <c r="J455" s="345">
        <f t="shared" si="29"/>
        <v>3960.6746400000002</v>
      </c>
      <c r="K455" s="908">
        <f t="shared" si="30"/>
        <v>3961</v>
      </c>
      <c r="L455" s="346">
        <f>IFERROR(VLOOKUP(C455,'DE x PARA'!C449:K2615,7,FALSE),"SINTÉTICA")</f>
        <v>500019</v>
      </c>
      <c r="M455" s="346">
        <f>IFERROR(VLOOKUP(B455,'DE x PARA'!B449:K2615,10,FALSE),"SINTÉTICA")</f>
        <v>600001</v>
      </c>
      <c r="N455" s="346">
        <f>IFERROR(VLOOKUP(M455,'DE x PARA'!$K$2:$L$2168,2,FALSE),0)</f>
        <v>0</v>
      </c>
      <c r="O455" s="344">
        <f t="shared" si="31"/>
        <v>0</v>
      </c>
    </row>
    <row r="456" spans="1:15">
      <c r="A456" s="343" t="str">
        <f t="shared" ref="A456:A460" si="32">B456</f>
        <v>5.1.1.06</v>
      </c>
      <c r="B456" s="348" t="s">
        <v>1200</v>
      </c>
      <c r="C456" s="346">
        <v>5116</v>
      </c>
      <c r="D456" s="346" t="s">
        <v>1201</v>
      </c>
      <c r="E456" s="346">
        <v>0</v>
      </c>
      <c r="F456" s="1026">
        <v>2748251.14</v>
      </c>
      <c r="G456" s="346">
        <v>0</v>
      </c>
      <c r="H456" s="349">
        <v>2748251.14</v>
      </c>
      <c r="I456" s="1026">
        <v>2748251.14</v>
      </c>
      <c r="J456" s="345">
        <f t="shared" si="29"/>
        <v>2748.2511400000003</v>
      </c>
      <c r="K456" s="908">
        <f t="shared" si="30"/>
        <v>2748</v>
      </c>
      <c r="L456" s="346">
        <f>IFERROR(VLOOKUP(C456,'DE x PARA'!C450:K2616,7,FALSE),"SINTÉTICA")</f>
        <v>500019</v>
      </c>
      <c r="M456" s="346">
        <f>IFERROR(VLOOKUP(B456,'DE x PARA'!B450:K2616,10,FALSE),"SINTÉTICA")</f>
        <v>600001</v>
      </c>
      <c r="N456" s="346">
        <f>IFERROR(VLOOKUP(M456,'DE x PARA'!$K$2:$L$2168,2,FALSE),0)</f>
        <v>0</v>
      </c>
      <c r="O456" s="344">
        <f t="shared" si="31"/>
        <v>0</v>
      </c>
    </row>
    <row r="457" spans="1:15">
      <c r="A457" s="343" t="str">
        <f t="shared" si="32"/>
        <v>5.1.2</v>
      </c>
      <c r="B457" s="348" t="s">
        <v>1202</v>
      </c>
      <c r="C457" s="346">
        <v>512</v>
      </c>
      <c r="D457" s="346" t="s">
        <v>1203</v>
      </c>
      <c r="E457" s="346">
        <v>0</v>
      </c>
      <c r="F457" s="346">
        <v>0</v>
      </c>
      <c r="G457" s="1026">
        <v>-27484436.18</v>
      </c>
      <c r="H457" s="349">
        <v>-27484436.18</v>
      </c>
      <c r="I457" s="1026">
        <v>-27484436.18</v>
      </c>
      <c r="J457" s="345">
        <f t="shared" ref="J457:J460" si="33">I457/1000</f>
        <v>-27484.436180000001</v>
      </c>
      <c r="K457" s="908">
        <f t="shared" ref="K457:K460" si="34">ROUND(J457,0)</f>
        <v>-27484</v>
      </c>
      <c r="L457" s="346">
        <f>IFERROR(VLOOKUP(C457,'DE x PARA'!C451:K2617,7,FALSE),"SINTÉTICA")</f>
        <v>0</v>
      </c>
      <c r="M457" s="346">
        <f>IFERROR(VLOOKUP(B457,'DE x PARA'!B451:K2617,10,FALSE),"SINTÉTICA")</f>
        <v>0</v>
      </c>
      <c r="N457" s="346">
        <f>IFERROR(VLOOKUP(M457,'DE x PARA'!$K$2:$L$2168,2,FALSE),0)</f>
        <v>0</v>
      </c>
      <c r="O457" s="344">
        <f t="shared" ref="O457:O460" si="35">+H457*N457</f>
        <v>0</v>
      </c>
    </row>
    <row r="458" spans="1:15">
      <c r="A458" s="343" t="str">
        <f t="shared" si="32"/>
        <v>5.1.2.03</v>
      </c>
      <c r="B458" s="348" t="s">
        <v>1204</v>
      </c>
      <c r="C458" s="346">
        <v>5123</v>
      </c>
      <c r="D458" s="346" t="s">
        <v>1205</v>
      </c>
      <c r="E458" s="346">
        <v>0</v>
      </c>
      <c r="F458" s="346">
        <v>0</v>
      </c>
      <c r="G458" s="1026">
        <v>-10195387.539999999</v>
      </c>
      <c r="H458" s="349">
        <v>-10195387.539999999</v>
      </c>
      <c r="I458" s="1026">
        <v>-10195387.539999999</v>
      </c>
      <c r="J458" s="345">
        <f t="shared" si="33"/>
        <v>-10195.38754</v>
      </c>
      <c r="K458" s="908">
        <f t="shared" si="34"/>
        <v>-10195</v>
      </c>
      <c r="L458" s="346">
        <f>IFERROR(VLOOKUP(C458,'DE x PARA'!C452:K2618,7,FALSE),"SINTÉTICA")</f>
        <v>500019</v>
      </c>
      <c r="M458" s="346">
        <f>IFERROR(VLOOKUP(B458,'DE x PARA'!B452:K2618,10,FALSE),"SINTÉTICA")</f>
        <v>600001</v>
      </c>
      <c r="N458" s="346">
        <f>IFERROR(VLOOKUP(M458,'DE x PARA'!$K$2:$L$2168,2,FALSE),0)</f>
        <v>0</v>
      </c>
      <c r="O458" s="344">
        <f t="shared" si="35"/>
        <v>0</v>
      </c>
    </row>
    <row r="459" spans="1:15">
      <c r="A459" s="343" t="str">
        <f t="shared" si="32"/>
        <v>5.1.2.04</v>
      </c>
      <c r="B459" s="348" t="s">
        <v>5408</v>
      </c>
      <c r="C459" s="346">
        <v>5124</v>
      </c>
      <c r="D459" s="346" t="s">
        <v>1199</v>
      </c>
      <c r="E459" s="346">
        <v>0</v>
      </c>
      <c r="F459" s="346">
        <v>0</v>
      </c>
      <c r="G459" s="1026">
        <v>-9435982.0500000007</v>
      </c>
      <c r="H459" s="349">
        <v>-9435982.0500000007</v>
      </c>
      <c r="I459" s="1026">
        <v>-9435982.0500000007</v>
      </c>
      <c r="J459" s="345">
        <f t="shared" si="33"/>
        <v>-9435.9820500000005</v>
      </c>
      <c r="K459" s="908">
        <f t="shared" si="34"/>
        <v>-9436</v>
      </c>
      <c r="L459" s="346">
        <f>IFERROR(VLOOKUP(C459,'DE x PARA'!C453:K2619,7,FALSE),"SINTÉTICA")</f>
        <v>500019</v>
      </c>
      <c r="M459" s="346">
        <f>IFERROR(VLOOKUP(B459,'DE x PARA'!B453:K2619,10,FALSE),"SINTÉTICA")</f>
        <v>600001</v>
      </c>
      <c r="N459" s="346">
        <f>IFERROR(VLOOKUP(M459,'DE x PARA'!$K$2:$L$2168,2,FALSE),0)</f>
        <v>0</v>
      </c>
      <c r="O459" s="344">
        <f t="shared" si="35"/>
        <v>0</v>
      </c>
    </row>
    <row r="460" spans="1:15">
      <c r="A460" s="343" t="str">
        <f t="shared" si="32"/>
        <v>5.1.2.05</v>
      </c>
      <c r="B460" s="348" t="s">
        <v>1206</v>
      </c>
      <c r="C460" s="346">
        <v>5125</v>
      </c>
      <c r="D460" s="346" t="s">
        <v>1207</v>
      </c>
      <c r="E460" s="346">
        <v>0</v>
      </c>
      <c r="F460" s="346">
        <v>0</v>
      </c>
      <c r="G460" s="1026">
        <v>-7853066.5899999999</v>
      </c>
      <c r="H460" s="349">
        <v>-7853066.5899999999</v>
      </c>
      <c r="I460" s="1026">
        <v>-7853066.5899999999</v>
      </c>
      <c r="J460" s="345">
        <f t="shared" si="33"/>
        <v>-7853.0665899999995</v>
      </c>
      <c r="K460" s="908">
        <f t="shared" si="34"/>
        <v>-7853</v>
      </c>
      <c r="L460" s="346">
        <f>IFERROR(VLOOKUP(C460,'DE x PARA'!C454:K2620,7,FALSE),"SINTÉTICA")</f>
        <v>500019</v>
      </c>
      <c r="M460" s="346">
        <f>IFERROR(VLOOKUP(B460,'DE x PARA'!B454:K2620,10,FALSE),"SINTÉTICA")</f>
        <v>600001</v>
      </c>
      <c r="N460" s="346">
        <f>IFERROR(VLOOKUP(M460,'DE x PARA'!$K$2:$L$2168,2,FALSE),0)</f>
        <v>0</v>
      </c>
      <c r="O460" s="344">
        <f t="shared" si="35"/>
        <v>0</v>
      </c>
    </row>
  </sheetData>
  <autoFilter ref="A7:O309" xr:uid="{00000000-0009-0000-0000-00001B000000}"/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96"/>
  <sheetViews>
    <sheetView topLeftCell="A91" workbookViewId="0">
      <selection activeCell="H96" sqref="H96"/>
    </sheetView>
  </sheetViews>
  <sheetFormatPr defaultRowHeight="14.45"/>
  <cols>
    <col min="1" max="1" width="11.140625" customWidth="1"/>
    <col min="2" max="2" width="61.7109375" customWidth="1"/>
    <col min="4" max="4" width="19.42578125" customWidth="1"/>
    <col min="6" max="6" width="11.28515625" customWidth="1"/>
    <col min="7" max="7" width="10.85546875" bestFit="1" customWidth="1"/>
  </cols>
  <sheetData>
    <row r="1" spans="1:8">
      <c r="A1" t="s">
        <v>541</v>
      </c>
      <c r="B1" t="s">
        <v>1372</v>
      </c>
      <c r="C1" t="s">
        <v>543</v>
      </c>
      <c r="D1" t="s">
        <v>544</v>
      </c>
      <c r="E1" t="s">
        <v>545</v>
      </c>
      <c r="F1" t="s">
        <v>546</v>
      </c>
      <c r="G1" t="s">
        <v>547</v>
      </c>
      <c r="H1" t="s">
        <v>548</v>
      </c>
    </row>
    <row r="2" spans="1:8">
      <c r="A2" t="s">
        <v>549</v>
      </c>
    </row>
    <row r="4" spans="1:8">
      <c r="A4" t="s">
        <v>5787</v>
      </c>
    </row>
    <row r="5" spans="1:8">
      <c r="A5" t="s">
        <v>5788</v>
      </c>
    </row>
    <row r="7" spans="1:8">
      <c r="A7" t="s">
        <v>1375</v>
      </c>
      <c r="B7" t="s">
        <v>576</v>
      </c>
      <c r="C7">
        <v>11239</v>
      </c>
      <c r="D7" t="s">
        <v>217</v>
      </c>
      <c r="E7" t="s">
        <v>1376</v>
      </c>
      <c r="F7" s="94">
        <v>1487.38</v>
      </c>
    </row>
    <row r="9" spans="1:8">
      <c r="A9" t="s">
        <v>473</v>
      </c>
      <c r="B9" t="s">
        <v>1377</v>
      </c>
      <c r="C9" t="s">
        <v>1378</v>
      </c>
      <c r="D9" t="s">
        <v>1379</v>
      </c>
      <c r="E9" t="s">
        <v>5434</v>
      </c>
      <c r="F9" t="s">
        <v>555</v>
      </c>
      <c r="G9" t="s">
        <v>556</v>
      </c>
      <c r="H9" t="s">
        <v>558</v>
      </c>
    </row>
    <row r="10" spans="1:8" s="385" customFormat="1">
      <c r="A10" s="384">
        <v>43861</v>
      </c>
      <c r="B10" s="385" t="s">
        <v>5789</v>
      </c>
      <c r="C10" s="385" t="s">
        <v>5478</v>
      </c>
      <c r="E10" s="385">
        <v>33113</v>
      </c>
      <c r="F10" s="385">
        <v>16.66</v>
      </c>
      <c r="H10" s="386">
        <v>1504.04</v>
      </c>
    </row>
    <row r="11" spans="1:8" s="385" customFormat="1">
      <c r="A11" s="384">
        <v>43889</v>
      </c>
      <c r="B11" s="385" t="s">
        <v>5790</v>
      </c>
      <c r="C11" s="385" t="s">
        <v>5791</v>
      </c>
      <c r="E11" s="385">
        <v>33113</v>
      </c>
      <c r="G11" s="385">
        <v>-7.24</v>
      </c>
      <c r="H11" s="386">
        <v>1496.8</v>
      </c>
    </row>
    <row r="13" spans="1:8">
      <c r="A13" t="s">
        <v>1375</v>
      </c>
      <c r="B13" t="s">
        <v>577</v>
      </c>
      <c r="C13">
        <v>112316</v>
      </c>
      <c r="D13" t="s">
        <v>234</v>
      </c>
      <c r="E13" t="s">
        <v>1376</v>
      </c>
      <c r="F13" s="94">
        <v>668444.49</v>
      </c>
    </row>
    <row r="15" spans="1:8">
      <c r="A15" t="s">
        <v>473</v>
      </c>
      <c r="B15" t="s">
        <v>1377</v>
      </c>
      <c r="C15" t="s">
        <v>1378</v>
      </c>
      <c r="D15" t="s">
        <v>1379</v>
      </c>
      <c r="E15" t="s">
        <v>5434</v>
      </c>
      <c r="F15" t="s">
        <v>555</v>
      </c>
      <c r="G15" t="s">
        <v>556</v>
      </c>
      <c r="H15" t="s">
        <v>558</v>
      </c>
    </row>
    <row r="16" spans="1:8">
      <c r="A16" s="97">
        <v>43831</v>
      </c>
      <c r="B16" t="s">
        <v>5792</v>
      </c>
      <c r="C16" t="s">
        <v>5478</v>
      </c>
      <c r="E16">
        <v>112336</v>
      </c>
      <c r="G16" s="94">
        <v>-668444.49</v>
      </c>
      <c r="H16">
        <v>0</v>
      </c>
    </row>
    <row r="18" spans="1:8">
      <c r="A18" t="s">
        <v>1375</v>
      </c>
      <c r="B18" t="s">
        <v>578</v>
      </c>
      <c r="C18">
        <v>112317</v>
      </c>
      <c r="D18" t="s">
        <v>235</v>
      </c>
      <c r="E18" t="s">
        <v>1376</v>
      </c>
      <c r="F18" s="94">
        <v>267519.28000000003</v>
      </c>
    </row>
    <row r="20" spans="1:8">
      <c r="A20" t="s">
        <v>473</v>
      </c>
      <c r="B20" t="s">
        <v>1377</v>
      </c>
      <c r="C20" t="s">
        <v>1378</v>
      </c>
      <c r="D20" t="s">
        <v>1379</v>
      </c>
      <c r="E20" t="s">
        <v>5434</v>
      </c>
      <c r="F20" t="s">
        <v>555</v>
      </c>
      <c r="G20" t="s">
        <v>556</v>
      </c>
      <c r="H20" t="s">
        <v>558</v>
      </c>
    </row>
    <row r="21" spans="1:8">
      <c r="A21" s="97">
        <v>43831</v>
      </c>
      <c r="B21" t="s">
        <v>5792</v>
      </c>
      <c r="C21" t="s">
        <v>5478</v>
      </c>
      <c r="E21">
        <v>112337</v>
      </c>
      <c r="G21" s="94">
        <v>-267519.28000000003</v>
      </c>
      <c r="H21">
        <v>0</v>
      </c>
    </row>
    <row r="23" spans="1:8">
      <c r="A23" t="s">
        <v>1375</v>
      </c>
      <c r="B23" t="s">
        <v>1521</v>
      </c>
      <c r="C23">
        <v>112321</v>
      </c>
      <c r="D23" t="s">
        <v>1522</v>
      </c>
      <c r="E23" t="s">
        <v>1376</v>
      </c>
      <c r="F23" s="94">
        <v>160515.44</v>
      </c>
    </row>
    <row r="25" spans="1:8">
      <c r="A25" t="s">
        <v>473</v>
      </c>
      <c r="B25" t="s">
        <v>1377</v>
      </c>
      <c r="C25" t="s">
        <v>1378</v>
      </c>
      <c r="D25" t="s">
        <v>1379</v>
      </c>
      <c r="E25" t="s">
        <v>5434</v>
      </c>
      <c r="F25" t="s">
        <v>555</v>
      </c>
      <c r="G25" t="s">
        <v>556</v>
      </c>
      <c r="H25" t="s">
        <v>558</v>
      </c>
    </row>
    <row r="26" spans="1:8">
      <c r="A26" s="97">
        <v>43831</v>
      </c>
      <c r="B26" t="s">
        <v>5793</v>
      </c>
      <c r="C26" t="s">
        <v>5478</v>
      </c>
      <c r="E26">
        <v>561</v>
      </c>
      <c r="G26" s="94">
        <v>-157751.49</v>
      </c>
      <c r="H26" s="94">
        <v>2763.95</v>
      </c>
    </row>
    <row r="27" spans="1:8">
      <c r="A27" s="97">
        <v>43831</v>
      </c>
      <c r="B27" t="s">
        <v>5794</v>
      </c>
      <c r="C27" t="s">
        <v>5478</v>
      </c>
      <c r="E27">
        <v>112325</v>
      </c>
      <c r="G27" s="94">
        <v>-2763.95</v>
      </c>
      <c r="H27">
        <v>0</v>
      </c>
    </row>
    <row r="29" spans="1:8">
      <c r="A29" t="s">
        <v>1375</v>
      </c>
      <c r="B29" t="s">
        <v>579</v>
      </c>
      <c r="C29">
        <v>112323</v>
      </c>
      <c r="D29" t="s">
        <v>230</v>
      </c>
      <c r="E29" t="s">
        <v>1376</v>
      </c>
      <c r="F29" s="94">
        <v>6209.59</v>
      </c>
    </row>
    <row r="31" spans="1:8">
      <c r="A31" t="s">
        <v>473</v>
      </c>
      <c r="B31" t="s">
        <v>1377</v>
      </c>
      <c r="C31" t="s">
        <v>1378</v>
      </c>
      <c r="D31" t="s">
        <v>1379</v>
      </c>
      <c r="E31" t="s">
        <v>5434</v>
      </c>
      <c r="F31" t="s">
        <v>555</v>
      </c>
      <c r="G31" t="s">
        <v>556</v>
      </c>
      <c r="H31" t="s">
        <v>558</v>
      </c>
    </row>
    <row r="32" spans="1:8" s="385" customFormat="1">
      <c r="A32" s="384">
        <v>43861</v>
      </c>
      <c r="B32" s="385" t="s">
        <v>5789</v>
      </c>
      <c r="C32" s="385" t="s">
        <v>5478</v>
      </c>
      <c r="E32" s="385">
        <v>33113</v>
      </c>
      <c r="F32" s="385">
        <v>49.38</v>
      </c>
      <c r="H32" s="386">
        <v>6258.97</v>
      </c>
    </row>
    <row r="33" spans="1:8" s="385" customFormat="1">
      <c r="A33" s="384">
        <v>43889</v>
      </c>
      <c r="B33" s="385" t="s">
        <v>5790</v>
      </c>
      <c r="C33" s="385" t="s">
        <v>5791</v>
      </c>
      <c r="E33" s="385">
        <v>33113</v>
      </c>
      <c r="F33" s="385">
        <v>40.56</v>
      </c>
      <c r="H33" s="386">
        <v>6299.53</v>
      </c>
    </row>
    <row r="35" spans="1:8">
      <c r="A35" t="s">
        <v>1375</v>
      </c>
      <c r="B35" t="s">
        <v>580</v>
      </c>
      <c r="C35">
        <v>112325</v>
      </c>
      <c r="D35" t="s">
        <v>229</v>
      </c>
      <c r="E35" t="s">
        <v>1376</v>
      </c>
      <c r="F35">
        <v>0</v>
      </c>
    </row>
    <row r="37" spans="1:8">
      <c r="A37" t="s">
        <v>473</v>
      </c>
      <c r="B37" t="s">
        <v>1377</v>
      </c>
      <c r="C37" t="s">
        <v>1378</v>
      </c>
      <c r="D37" t="s">
        <v>1379</v>
      </c>
      <c r="E37" t="s">
        <v>5434</v>
      </c>
      <c r="F37" t="s">
        <v>555</v>
      </c>
      <c r="G37" t="s">
        <v>556</v>
      </c>
      <c r="H37" t="s">
        <v>558</v>
      </c>
    </row>
    <row r="38" spans="1:8">
      <c r="A38" s="97">
        <v>43831</v>
      </c>
      <c r="B38" t="s">
        <v>5794</v>
      </c>
      <c r="C38" t="s">
        <v>5478</v>
      </c>
      <c r="E38">
        <v>112321</v>
      </c>
      <c r="F38" s="94">
        <v>2763.95</v>
      </c>
      <c r="H38" s="94">
        <v>2763.95</v>
      </c>
    </row>
    <row r="39" spans="1:8" s="385" customFormat="1">
      <c r="A39" s="384">
        <v>43861</v>
      </c>
      <c r="B39" s="385" t="s">
        <v>5789</v>
      </c>
      <c r="C39" s="385" t="s">
        <v>5478</v>
      </c>
      <c r="E39" s="385">
        <v>33113</v>
      </c>
      <c r="F39" s="385">
        <v>30.96</v>
      </c>
      <c r="H39" s="386">
        <v>2794.91</v>
      </c>
    </row>
    <row r="40" spans="1:8" s="385" customFormat="1">
      <c r="A40" s="384">
        <v>43889</v>
      </c>
      <c r="B40" s="385" t="s">
        <v>5790</v>
      </c>
      <c r="C40" s="385" t="s">
        <v>5791</v>
      </c>
      <c r="E40" s="385">
        <v>33113</v>
      </c>
      <c r="F40" s="385">
        <v>25.42</v>
      </c>
      <c r="H40" s="386">
        <v>2820.33</v>
      </c>
    </row>
    <row r="42" spans="1:8">
      <c r="A42" t="s">
        <v>1375</v>
      </c>
      <c r="B42" t="s">
        <v>581</v>
      </c>
      <c r="C42">
        <v>112327</v>
      </c>
      <c r="D42" t="s">
        <v>582</v>
      </c>
      <c r="E42" t="s">
        <v>1376</v>
      </c>
      <c r="F42">
        <v>239.03</v>
      </c>
    </row>
    <row r="44" spans="1:8">
      <c r="A44" t="s">
        <v>473</v>
      </c>
      <c r="B44" t="s">
        <v>1377</v>
      </c>
      <c r="C44" t="s">
        <v>1378</v>
      </c>
      <c r="D44" t="s">
        <v>1379</v>
      </c>
      <c r="E44" t="s">
        <v>5434</v>
      </c>
      <c r="F44" t="s">
        <v>555</v>
      </c>
      <c r="G44" t="s">
        <v>556</v>
      </c>
      <c r="H44" t="s">
        <v>558</v>
      </c>
    </row>
    <row r="45" spans="1:8" s="385" customFormat="1">
      <c r="A45" s="384">
        <v>43861</v>
      </c>
      <c r="B45" s="385" t="s">
        <v>5789</v>
      </c>
      <c r="C45" s="385" t="s">
        <v>5478</v>
      </c>
      <c r="E45" s="385">
        <v>33113</v>
      </c>
      <c r="F45" s="385">
        <v>2.31</v>
      </c>
      <c r="H45" s="385">
        <v>241.34</v>
      </c>
    </row>
    <row r="46" spans="1:8" s="385" customFormat="1">
      <c r="A46" s="384">
        <v>43889</v>
      </c>
      <c r="B46" s="385" t="s">
        <v>5790</v>
      </c>
      <c r="C46" s="385" t="s">
        <v>5791</v>
      </c>
      <c r="E46" s="385">
        <v>33113</v>
      </c>
      <c r="F46" s="385">
        <v>1.89</v>
      </c>
      <c r="H46" s="385">
        <v>243.23</v>
      </c>
    </row>
    <row r="48" spans="1:8">
      <c r="A48" t="s">
        <v>1375</v>
      </c>
      <c r="B48" t="s">
        <v>583</v>
      </c>
      <c r="C48">
        <v>112332</v>
      </c>
      <c r="D48" t="s">
        <v>584</v>
      </c>
      <c r="E48" t="s">
        <v>1376</v>
      </c>
      <c r="F48" s="94">
        <v>303457.43</v>
      </c>
    </row>
    <row r="50" spans="1:8">
      <c r="A50" t="s">
        <v>473</v>
      </c>
      <c r="B50" t="s">
        <v>1377</v>
      </c>
      <c r="C50" t="s">
        <v>1378</v>
      </c>
      <c r="D50" t="s">
        <v>1379</v>
      </c>
      <c r="E50" t="s">
        <v>5434</v>
      </c>
      <c r="F50" t="s">
        <v>555</v>
      </c>
      <c r="G50" t="s">
        <v>556</v>
      </c>
      <c r="H50" t="s">
        <v>558</v>
      </c>
    </row>
    <row r="51" spans="1:8" s="385" customFormat="1">
      <c r="A51" s="384">
        <v>43861</v>
      </c>
      <c r="B51" s="385" t="s">
        <v>5789</v>
      </c>
      <c r="C51" s="385" t="s">
        <v>5478</v>
      </c>
      <c r="E51" s="385">
        <v>33113</v>
      </c>
      <c r="F51" s="386">
        <v>3041.91</v>
      </c>
      <c r="H51" s="386">
        <v>306499.34000000003</v>
      </c>
    </row>
    <row r="52" spans="1:8" s="385" customFormat="1">
      <c r="A52" s="384">
        <v>43889</v>
      </c>
      <c r="B52" s="385" t="s">
        <v>5790</v>
      </c>
      <c r="C52" s="385" t="s">
        <v>5791</v>
      </c>
      <c r="E52" s="385">
        <v>33113</v>
      </c>
      <c r="F52" s="386">
        <v>2498.71</v>
      </c>
      <c r="H52" s="386">
        <v>308998.05</v>
      </c>
    </row>
    <row r="54" spans="1:8">
      <c r="A54" t="s">
        <v>1375</v>
      </c>
      <c r="B54" t="s">
        <v>585</v>
      </c>
      <c r="C54">
        <v>112333</v>
      </c>
      <c r="D54" t="s">
        <v>586</v>
      </c>
      <c r="E54" t="s">
        <v>1376</v>
      </c>
      <c r="F54" s="94">
        <v>116319.94</v>
      </c>
    </row>
    <row r="56" spans="1:8">
      <c r="A56" t="s">
        <v>473</v>
      </c>
      <c r="B56" t="s">
        <v>1377</v>
      </c>
      <c r="C56" t="s">
        <v>1378</v>
      </c>
      <c r="D56" t="s">
        <v>1379</v>
      </c>
      <c r="E56" t="s">
        <v>5434</v>
      </c>
      <c r="F56" t="s">
        <v>555</v>
      </c>
      <c r="G56" t="s">
        <v>556</v>
      </c>
      <c r="H56" t="s">
        <v>558</v>
      </c>
    </row>
    <row r="57" spans="1:8" s="385" customFormat="1">
      <c r="A57" s="384">
        <v>43861</v>
      </c>
      <c r="B57" s="385" t="s">
        <v>5789</v>
      </c>
      <c r="C57" s="385" t="s">
        <v>5478</v>
      </c>
      <c r="E57" s="385">
        <v>33113</v>
      </c>
      <c r="F57" s="386">
        <v>1166.01</v>
      </c>
      <c r="H57" s="386">
        <v>117485.95</v>
      </c>
    </row>
    <row r="58" spans="1:8" s="385" customFormat="1">
      <c r="A58" s="384">
        <v>43889</v>
      </c>
      <c r="B58" s="385" t="s">
        <v>5790</v>
      </c>
      <c r="C58" s="385" t="s">
        <v>5791</v>
      </c>
      <c r="E58" s="385">
        <v>33113</v>
      </c>
      <c r="F58" s="385">
        <v>957.79</v>
      </c>
      <c r="H58" s="386">
        <v>118443.74</v>
      </c>
    </row>
    <row r="60" spans="1:8">
      <c r="A60" t="s">
        <v>1375</v>
      </c>
      <c r="B60" t="s">
        <v>587</v>
      </c>
      <c r="C60">
        <v>112334</v>
      </c>
      <c r="D60" t="s">
        <v>392</v>
      </c>
      <c r="E60" t="s">
        <v>1376</v>
      </c>
      <c r="F60" s="94">
        <v>1894.97</v>
      </c>
    </row>
    <row r="62" spans="1:8">
      <c r="A62" t="s">
        <v>473</v>
      </c>
      <c r="B62" t="s">
        <v>1377</v>
      </c>
      <c r="C62" t="s">
        <v>1378</v>
      </c>
      <c r="D62" t="s">
        <v>1379</v>
      </c>
      <c r="E62" t="s">
        <v>5434</v>
      </c>
      <c r="F62" t="s">
        <v>555</v>
      </c>
      <c r="G62" t="s">
        <v>556</v>
      </c>
      <c r="H62" t="s">
        <v>558</v>
      </c>
    </row>
    <row r="63" spans="1:8" s="385" customFormat="1">
      <c r="A63" s="384">
        <v>43861</v>
      </c>
      <c r="B63" s="385" t="s">
        <v>5789</v>
      </c>
      <c r="C63" s="385" t="s">
        <v>5478</v>
      </c>
      <c r="E63" s="385">
        <v>33113</v>
      </c>
      <c r="F63" s="385">
        <v>20.73</v>
      </c>
      <c r="H63" s="386">
        <v>1915.7</v>
      </c>
    </row>
    <row r="64" spans="1:8" s="385" customFormat="1">
      <c r="A64" s="384">
        <v>43889</v>
      </c>
      <c r="B64" s="385" t="s">
        <v>5790</v>
      </c>
      <c r="C64" s="385" t="s">
        <v>5791</v>
      </c>
      <c r="E64" s="385">
        <v>33113</v>
      </c>
      <c r="F64" s="385">
        <v>17.03</v>
      </c>
      <c r="H64" s="386">
        <v>1932.73</v>
      </c>
    </row>
    <row r="66" spans="1:8">
      <c r="A66" t="s">
        <v>1375</v>
      </c>
      <c r="B66" t="s">
        <v>588</v>
      </c>
      <c r="C66">
        <v>112336</v>
      </c>
      <c r="D66" t="s">
        <v>589</v>
      </c>
      <c r="E66" t="s">
        <v>1376</v>
      </c>
      <c r="F66">
        <v>0</v>
      </c>
    </row>
    <row r="68" spans="1:8">
      <c r="A68" t="s">
        <v>473</v>
      </c>
      <c r="B68" t="s">
        <v>1377</v>
      </c>
      <c r="C68" t="s">
        <v>1378</v>
      </c>
      <c r="D68" t="s">
        <v>1379</v>
      </c>
      <c r="E68" t="s">
        <v>5434</v>
      </c>
      <c r="F68" t="s">
        <v>555</v>
      </c>
      <c r="G68" t="s">
        <v>556</v>
      </c>
      <c r="H68" t="s">
        <v>558</v>
      </c>
    </row>
    <row r="69" spans="1:8">
      <c r="A69" s="97">
        <v>43831</v>
      </c>
      <c r="B69" t="s">
        <v>5792</v>
      </c>
      <c r="C69" t="s">
        <v>5478</v>
      </c>
      <c r="E69">
        <v>112316</v>
      </c>
      <c r="F69" s="94">
        <v>668444.49</v>
      </c>
      <c r="H69" s="94">
        <v>668444.49</v>
      </c>
    </row>
    <row r="70" spans="1:8" s="385" customFormat="1">
      <c r="A70" s="384">
        <v>43861</v>
      </c>
      <c r="B70" s="385" t="s">
        <v>5789</v>
      </c>
      <c r="C70" s="385" t="s">
        <v>5478</v>
      </c>
      <c r="E70" s="385">
        <v>33113</v>
      </c>
      <c r="F70" s="386">
        <v>7486.58</v>
      </c>
      <c r="H70" s="386">
        <v>675931.07</v>
      </c>
    </row>
    <row r="71" spans="1:8" s="385" customFormat="1">
      <c r="A71" s="384">
        <v>43889</v>
      </c>
      <c r="B71" s="385" t="s">
        <v>5790</v>
      </c>
      <c r="C71" s="385" t="s">
        <v>5791</v>
      </c>
      <c r="E71" s="385">
        <v>33113</v>
      </c>
      <c r="F71" s="386">
        <v>6149.69</v>
      </c>
      <c r="H71" s="386">
        <v>682080.76</v>
      </c>
    </row>
    <row r="73" spans="1:8">
      <c r="A73" t="s">
        <v>1375</v>
      </c>
      <c r="B73" t="s">
        <v>590</v>
      </c>
      <c r="C73">
        <v>112337</v>
      </c>
      <c r="D73" t="s">
        <v>591</v>
      </c>
      <c r="E73" t="s">
        <v>1376</v>
      </c>
      <c r="F73">
        <v>0</v>
      </c>
    </row>
    <row r="75" spans="1:8">
      <c r="A75" t="s">
        <v>473</v>
      </c>
      <c r="B75" t="s">
        <v>1377</v>
      </c>
      <c r="C75" t="s">
        <v>1378</v>
      </c>
      <c r="D75" t="s">
        <v>1379</v>
      </c>
      <c r="E75" t="s">
        <v>5434</v>
      </c>
      <c r="F75" t="s">
        <v>555</v>
      </c>
      <c r="G75" t="s">
        <v>556</v>
      </c>
      <c r="H75" t="s">
        <v>558</v>
      </c>
    </row>
    <row r="76" spans="1:8">
      <c r="A76" s="97">
        <v>43831</v>
      </c>
      <c r="B76" t="s">
        <v>5792</v>
      </c>
      <c r="C76" t="s">
        <v>5478</v>
      </c>
      <c r="E76">
        <v>112317</v>
      </c>
      <c r="F76" s="94">
        <v>267519.28000000003</v>
      </c>
      <c r="H76" s="94">
        <v>267519.28000000003</v>
      </c>
    </row>
    <row r="77" spans="1:8" s="385" customFormat="1">
      <c r="A77" s="384">
        <v>43861</v>
      </c>
      <c r="B77" s="385" t="s">
        <v>5789</v>
      </c>
      <c r="C77" s="385" t="s">
        <v>5478</v>
      </c>
      <c r="E77" s="385">
        <v>33113</v>
      </c>
      <c r="F77" s="386">
        <v>2996.22</v>
      </c>
      <c r="H77" s="386">
        <v>270515.5</v>
      </c>
    </row>
    <row r="78" spans="1:8" s="385" customFormat="1">
      <c r="A78" s="384">
        <v>43889</v>
      </c>
      <c r="B78" s="385" t="s">
        <v>5790</v>
      </c>
      <c r="C78" s="385" t="s">
        <v>5791</v>
      </c>
      <c r="E78" s="385">
        <v>33113</v>
      </c>
      <c r="F78" s="386">
        <v>2461.17</v>
      </c>
      <c r="H78" s="386">
        <v>272976.67</v>
      </c>
    </row>
    <row r="80" spans="1:8">
      <c r="A80" t="s">
        <v>1375</v>
      </c>
      <c r="B80" t="s">
        <v>626</v>
      </c>
      <c r="C80">
        <v>12131</v>
      </c>
      <c r="D80" t="s">
        <v>627</v>
      </c>
      <c r="E80" t="s">
        <v>1376</v>
      </c>
      <c r="F80" s="94">
        <v>21320.17</v>
      </c>
    </row>
    <row r="82" spans="1:8">
      <c r="A82" t="s">
        <v>473</v>
      </c>
      <c r="B82" t="s">
        <v>1377</v>
      </c>
      <c r="C82" t="s">
        <v>1378</v>
      </c>
      <c r="D82" t="s">
        <v>1379</v>
      </c>
      <c r="E82" t="s">
        <v>5434</v>
      </c>
      <c r="F82" t="s">
        <v>555</v>
      </c>
      <c r="G82" t="s">
        <v>556</v>
      </c>
      <c r="H82" t="s">
        <v>558</v>
      </c>
    </row>
    <row r="83" spans="1:8" s="385" customFormat="1">
      <c r="A83" s="384">
        <v>43861</v>
      </c>
      <c r="B83" s="385" t="s">
        <v>5789</v>
      </c>
      <c r="C83" s="385" t="s">
        <v>5478</v>
      </c>
      <c r="E83" s="385">
        <v>33113</v>
      </c>
      <c r="F83" s="385">
        <v>193.82</v>
      </c>
      <c r="H83" s="386">
        <v>21513.99</v>
      </c>
    </row>
    <row r="84" spans="1:8" s="385" customFormat="1">
      <c r="A84" s="384">
        <v>43889</v>
      </c>
      <c r="B84" s="385" t="s">
        <v>5790</v>
      </c>
      <c r="C84" s="385" t="s">
        <v>5791</v>
      </c>
      <c r="E84" s="385">
        <v>33113</v>
      </c>
      <c r="F84" s="385">
        <v>159.21</v>
      </c>
      <c r="H84" s="386">
        <v>21673.200000000001</v>
      </c>
    </row>
    <row r="86" spans="1:8">
      <c r="A86" t="s">
        <v>1375</v>
      </c>
      <c r="B86" t="s">
        <v>629</v>
      </c>
      <c r="C86">
        <v>12135</v>
      </c>
      <c r="D86" t="s">
        <v>630</v>
      </c>
      <c r="E86" t="s">
        <v>1376</v>
      </c>
      <c r="F86" s="94">
        <v>137775.38</v>
      </c>
    </row>
    <row r="88" spans="1:8">
      <c r="A88" t="s">
        <v>473</v>
      </c>
      <c r="B88" t="s">
        <v>1377</v>
      </c>
      <c r="C88" t="s">
        <v>1378</v>
      </c>
      <c r="D88" t="s">
        <v>1379</v>
      </c>
      <c r="E88" t="s">
        <v>5434</v>
      </c>
      <c r="F88" t="s">
        <v>555</v>
      </c>
      <c r="G88" t="s">
        <v>556</v>
      </c>
      <c r="H88" t="s">
        <v>558</v>
      </c>
    </row>
    <row r="89" spans="1:8" s="385" customFormat="1">
      <c r="A89" s="384">
        <v>43861</v>
      </c>
      <c r="B89" s="385" t="s">
        <v>5789</v>
      </c>
      <c r="C89" s="385" t="s">
        <v>5478</v>
      </c>
      <c r="E89" s="385">
        <v>33113</v>
      </c>
      <c r="F89" s="386">
        <v>1319.38</v>
      </c>
      <c r="H89" s="386">
        <v>139094.76</v>
      </c>
    </row>
    <row r="90" spans="1:8" s="385" customFormat="1">
      <c r="A90" s="384">
        <v>43889</v>
      </c>
      <c r="B90" s="385" t="s">
        <v>5790</v>
      </c>
      <c r="C90" s="385" t="s">
        <v>5791</v>
      </c>
      <c r="E90" s="385">
        <v>33113</v>
      </c>
      <c r="F90" s="386">
        <v>1083.78</v>
      </c>
      <c r="H90" s="386">
        <v>140178.54</v>
      </c>
    </row>
    <row r="93" spans="1:8">
      <c r="B93" s="118" t="s">
        <v>5580</v>
      </c>
      <c r="F93" s="94">
        <f>SUM(F89:F90,F83:F84,F77:F78,F70:F71,F63:F64,F57:F58,F51:F52,F45:F46,F39:F40,F32:F33,F10:G11)</f>
        <v>29711.969999999994</v>
      </c>
      <c r="G93">
        <f>F93/1000</f>
        <v>29.711969999999994</v>
      </c>
      <c r="H93">
        <f>ROUND(G93,0)</f>
        <v>30</v>
      </c>
    </row>
    <row r="95" spans="1:8">
      <c r="B95" s="305" t="s">
        <v>5581</v>
      </c>
      <c r="F95">
        <v>0</v>
      </c>
      <c r="G95">
        <f>F95/1000</f>
        <v>0</v>
      </c>
      <c r="H95">
        <f>ROUND(G95,0)</f>
        <v>0</v>
      </c>
    </row>
    <row r="96" spans="1:8">
      <c r="H96">
        <f>SUM(H93:H95)</f>
        <v>30</v>
      </c>
    </row>
  </sheetData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30"/>
  <sheetViews>
    <sheetView topLeftCell="A20" workbookViewId="0">
      <selection activeCell="F16" sqref="F16"/>
    </sheetView>
  </sheetViews>
  <sheetFormatPr defaultRowHeight="14.45"/>
  <cols>
    <col min="1" max="1" width="11.85546875" customWidth="1"/>
    <col min="2" max="2" width="37.7109375" customWidth="1"/>
    <col min="6" max="6" width="11.7109375" bestFit="1" customWidth="1"/>
  </cols>
  <sheetData>
    <row r="1" spans="1:8">
      <c r="A1" t="s">
        <v>541</v>
      </c>
      <c r="B1" t="s">
        <v>1372</v>
      </c>
      <c r="C1" t="s">
        <v>543</v>
      </c>
      <c r="D1" t="s">
        <v>544</v>
      </c>
      <c r="E1" t="s">
        <v>545</v>
      </c>
      <c r="F1" t="s">
        <v>546</v>
      </c>
      <c r="G1" t="s">
        <v>547</v>
      </c>
      <c r="H1" t="s">
        <v>548</v>
      </c>
    </row>
    <row r="2" spans="1:8">
      <c r="A2" t="s">
        <v>549</v>
      </c>
    </row>
    <row r="4" spans="1:8">
      <c r="A4" t="s">
        <v>5787</v>
      </c>
    </row>
    <row r="5" spans="1:8">
      <c r="A5" t="s">
        <v>5788</v>
      </c>
    </row>
    <row r="7" spans="1:8">
      <c r="A7" t="s">
        <v>1375</v>
      </c>
      <c r="B7" t="s">
        <v>636</v>
      </c>
      <c r="C7">
        <v>12181</v>
      </c>
      <c r="D7" t="s">
        <v>637</v>
      </c>
      <c r="E7" t="s">
        <v>1376</v>
      </c>
      <c r="F7" s="94">
        <v>3928358.17</v>
      </c>
    </row>
    <row r="9" spans="1:8">
      <c r="A9" t="s">
        <v>473</v>
      </c>
      <c r="B9" t="s">
        <v>1377</v>
      </c>
      <c r="C9" t="s">
        <v>1378</v>
      </c>
      <c r="D9" t="s">
        <v>1379</v>
      </c>
      <c r="E9" t="s">
        <v>5434</v>
      </c>
      <c r="F9" t="s">
        <v>555</v>
      </c>
      <c r="G9" t="s">
        <v>556</v>
      </c>
      <c r="H9" t="s">
        <v>558</v>
      </c>
    </row>
    <row r="10" spans="1:8" s="382" customFormat="1">
      <c r="A10" s="381">
        <v>43861</v>
      </c>
      <c r="B10" s="382" t="s">
        <v>5795</v>
      </c>
      <c r="C10" s="382" t="s">
        <v>5478</v>
      </c>
      <c r="E10" s="382">
        <v>33113</v>
      </c>
      <c r="F10" s="383">
        <v>15711.69</v>
      </c>
      <c r="H10" s="383">
        <v>3944069.86</v>
      </c>
    </row>
    <row r="11" spans="1:8" s="382" customFormat="1">
      <c r="A11" s="381">
        <v>43889</v>
      </c>
      <c r="B11" s="382" t="s">
        <v>5795</v>
      </c>
      <c r="C11" s="382" t="s">
        <v>5791</v>
      </c>
      <c r="E11" s="382">
        <v>33113</v>
      </c>
      <c r="F11" s="383">
        <v>15711.69</v>
      </c>
      <c r="H11" s="383">
        <v>3959781.55</v>
      </c>
    </row>
    <row r="13" spans="1:8">
      <c r="A13" t="s">
        <v>1375</v>
      </c>
      <c r="B13" t="s">
        <v>638</v>
      </c>
      <c r="C13">
        <v>12182</v>
      </c>
      <c r="D13" t="s">
        <v>639</v>
      </c>
      <c r="E13" t="s">
        <v>1376</v>
      </c>
      <c r="F13" s="94">
        <v>309419.75</v>
      </c>
    </row>
    <row r="15" spans="1:8">
      <c r="A15" t="s">
        <v>473</v>
      </c>
      <c r="B15" t="s">
        <v>1377</v>
      </c>
      <c r="C15" t="s">
        <v>1378</v>
      </c>
      <c r="D15" t="s">
        <v>1379</v>
      </c>
      <c r="E15" t="s">
        <v>5434</v>
      </c>
      <c r="F15" t="s">
        <v>555</v>
      </c>
      <c r="G15" t="s">
        <v>556</v>
      </c>
      <c r="H15" t="s">
        <v>558</v>
      </c>
    </row>
    <row r="16" spans="1:8" s="117" customFormat="1">
      <c r="A16" s="387">
        <v>43860</v>
      </c>
      <c r="B16" s="117" t="s">
        <v>5796</v>
      </c>
      <c r="C16" s="117" t="s">
        <v>5797</v>
      </c>
      <c r="E16" s="117" t="s">
        <v>568</v>
      </c>
      <c r="F16" s="309">
        <v>24592.76</v>
      </c>
      <c r="H16" s="309">
        <v>334012.51</v>
      </c>
    </row>
    <row r="17" spans="1:8" s="382" customFormat="1">
      <c r="A17" s="381">
        <v>43861</v>
      </c>
      <c r="B17" s="382" t="s">
        <v>5798</v>
      </c>
      <c r="C17" s="382" t="s">
        <v>5478</v>
      </c>
      <c r="E17" s="382">
        <v>33113</v>
      </c>
      <c r="F17" s="383">
        <v>2228.42</v>
      </c>
      <c r="H17" s="383">
        <v>336240.93</v>
      </c>
    </row>
    <row r="18" spans="1:8" s="382" customFormat="1">
      <c r="A18" s="381">
        <v>43889</v>
      </c>
      <c r="B18" s="382" t="s">
        <v>5798</v>
      </c>
      <c r="C18" s="382" t="s">
        <v>5791</v>
      </c>
      <c r="E18" s="382">
        <v>33113</v>
      </c>
      <c r="F18" s="383">
        <v>2300.12</v>
      </c>
      <c r="H18" s="383">
        <v>338541.05</v>
      </c>
    </row>
    <row r="20" spans="1:8">
      <c r="A20" t="s">
        <v>1375</v>
      </c>
      <c r="B20" t="s">
        <v>640</v>
      </c>
      <c r="C20">
        <v>12183</v>
      </c>
      <c r="D20" t="s">
        <v>641</v>
      </c>
      <c r="E20" t="s">
        <v>1376</v>
      </c>
      <c r="F20" s="94">
        <v>161181.23000000001</v>
      </c>
    </row>
    <row r="22" spans="1:8">
      <c r="A22" t="s">
        <v>473</v>
      </c>
      <c r="B22" t="s">
        <v>1377</v>
      </c>
      <c r="C22" t="s">
        <v>1378</v>
      </c>
      <c r="D22" t="s">
        <v>1379</v>
      </c>
      <c r="E22" t="s">
        <v>5434</v>
      </c>
      <c r="F22" t="s">
        <v>555</v>
      </c>
      <c r="G22" t="s">
        <v>556</v>
      </c>
      <c r="H22" t="s">
        <v>558</v>
      </c>
    </row>
    <row r="23" spans="1:8" s="382" customFormat="1">
      <c r="A23" s="381">
        <v>43861</v>
      </c>
      <c r="B23" s="382" t="s">
        <v>5596</v>
      </c>
      <c r="C23" s="382" t="s">
        <v>5478</v>
      </c>
      <c r="E23" s="382">
        <v>33113</v>
      </c>
      <c r="F23" s="382">
        <v>993.16</v>
      </c>
      <c r="H23" s="383">
        <v>162174.39000000001</v>
      </c>
    </row>
    <row r="24" spans="1:8" s="382" customFormat="1">
      <c r="A24" s="381">
        <v>43889</v>
      </c>
      <c r="B24" s="382" t="s">
        <v>5799</v>
      </c>
      <c r="C24" s="382" t="s">
        <v>5478</v>
      </c>
      <c r="E24" s="382">
        <v>33113</v>
      </c>
      <c r="G24" s="382">
        <v>-138.88999999999999</v>
      </c>
      <c r="H24" s="383">
        <v>162035.5</v>
      </c>
    </row>
    <row r="25" spans="1:8" s="382" customFormat="1">
      <c r="A25" s="381">
        <v>43889</v>
      </c>
      <c r="B25" s="382" t="s">
        <v>5596</v>
      </c>
      <c r="C25" s="382" t="s">
        <v>5791</v>
      </c>
      <c r="E25" s="382">
        <v>33113</v>
      </c>
      <c r="F25" s="382">
        <v>854.26</v>
      </c>
      <c r="H25" s="383">
        <v>162889.76</v>
      </c>
    </row>
    <row r="27" spans="1:8">
      <c r="B27" s="95" t="s">
        <v>1454</v>
      </c>
      <c r="F27" s="94">
        <f>SUM(F23:G25,F17:F18,F10:F11)</f>
        <v>37660.450000000004</v>
      </c>
      <c r="G27">
        <f>F27/1000</f>
        <v>37.660450000000004</v>
      </c>
      <c r="H27">
        <f>ROUND(G27,0)</f>
        <v>38</v>
      </c>
    </row>
    <row r="28" spans="1:8">
      <c r="B28" s="117" t="s">
        <v>5618</v>
      </c>
      <c r="F28" s="94">
        <f>F16</f>
        <v>24592.76</v>
      </c>
      <c r="G28">
        <f>F28/1000</f>
        <v>24.592759999999998</v>
      </c>
      <c r="H28">
        <f>ROUND(G28,0)</f>
        <v>25</v>
      </c>
    </row>
    <row r="30" spans="1:8">
      <c r="H30">
        <f>SUM(H27:H29)</f>
        <v>63</v>
      </c>
    </row>
  </sheetData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2060"/>
  </sheetPr>
  <dimension ref="A1:T135"/>
  <sheetViews>
    <sheetView showGridLines="0" zoomScale="84" zoomScaleNormal="84" workbookViewId="0">
      <pane xSplit="3" ySplit="6" topLeftCell="O91" activePane="bottomRight" state="frozen"/>
      <selection pane="bottomRight" activeCell="P32" sqref="P32"/>
      <selection pane="bottomLeft"/>
      <selection pane="topRight"/>
    </sheetView>
  </sheetViews>
  <sheetFormatPr defaultColWidth="9.28515625" defaultRowHeight="16.899999999999999"/>
  <cols>
    <col min="1" max="1" width="50.7109375" style="125" customWidth="1"/>
    <col min="2" max="2" width="38.7109375" style="125" customWidth="1"/>
    <col min="3" max="3" width="39.42578125" style="125" customWidth="1"/>
    <col min="4" max="4" width="18.28515625" style="127" customWidth="1"/>
    <col min="5" max="5" width="20.28515625" style="127" customWidth="1"/>
    <col min="6" max="6" width="18.28515625" style="125" bestFit="1" customWidth="1"/>
    <col min="7" max="8" width="18.28515625" style="125" customWidth="1"/>
    <col min="9" max="9" width="19.5703125" style="125" bestFit="1" customWidth="1"/>
    <col min="10" max="11" width="18.28515625" style="125" customWidth="1"/>
    <col min="12" max="13" width="20.7109375" style="125" customWidth="1"/>
    <col min="14" max="14" width="19.42578125" style="125" customWidth="1"/>
    <col min="15" max="15" width="18.28515625" style="125" customWidth="1"/>
    <col min="16" max="16" width="15.28515625" style="125" customWidth="1"/>
    <col min="17" max="17" width="18.28515625" style="125" customWidth="1"/>
    <col min="18" max="18" width="13" style="125" customWidth="1"/>
    <col min="19" max="19" width="9.28515625" style="125" customWidth="1"/>
    <col min="20" max="20" width="16.85546875" style="125" bestFit="1" customWidth="1"/>
    <col min="21" max="16384" width="9.28515625" style="125"/>
  </cols>
  <sheetData>
    <row r="1" spans="1:20" s="275" customFormat="1">
      <c r="D1" s="280"/>
      <c r="E1" s="280"/>
    </row>
    <row r="2" spans="1:20" s="275" customFormat="1" ht="20.45">
      <c r="B2" s="279" t="s">
        <v>5690</v>
      </c>
      <c r="D2" s="279"/>
      <c r="E2" s="278"/>
    </row>
    <row r="3" spans="1:20" s="275" customFormat="1" ht="20.45">
      <c r="B3" s="277" t="s">
        <v>5800</v>
      </c>
      <c r="D3" s="277"/>
      <c r="E3" s="277"/>
    </row>
    <row r="4" spans="1:20" ht="20.45">
      <c r="B4" s="274" t="s">
        <v>5692</v>
      </c>
      <c r="D4" s="274"/>
      <c r="E4" s="274"/>
    </row>
    <row r="5" spans="1:20" ht="20.45">
      <c r="B5" s="274"/>
      <c r="D5" s="274">
        <v>1</v>
      </c>
      <c r="E5" s="274">
        <v>2</v>
      </c>
      <c r="F5" s="125">
        <v>3</v>
      </c>
      <c r="G5" s="274">
        <v>4</v>
      </c>
      <c r="H5" s="274">
        <v>5</v>
      </c>
      <c r="I5" s="125">
        <v>6</v>
      </c>
      <c r="J5" s="274">
        <v>7</v>
      </c>
      <c r="K5" s="274">
        <v>8</v>
      </c>
      <c r="L5" s="125">
        <v>9</v>
      </c>
      <c r="M5" s="274">
        <v>10</v>
      </c>
      <c r="N5" s="274">
        <v>11</v>
      </c>
      <c r="O5" s="125">
        <v>12</v>
      </c>
    </row>
    <row r="6" spans="1:20" s="272" customFormat="1" ht="33" customHeight="1">
      <c r="A6" s="1146" t="s">
        <v>5693</v>
      </c>
      <c r="B6" s="233" t="s">
        <v>5694</v>
      </c>
      <c r="C6" s="232" t="s">
        <v>213</v>
      </c>
      <c r="D6" s="231" t="s">
        <v>5695</v>
      </c>
      <c r="E6" s="231" t="s">
        <v>5696</v>
      </c>
      <c r="F6" s="231" t="s">
        <v>5697</v>
      </c>
      <c r="G6" s="231" t="s">
        <v>5698</v>
      </c>
      <c r="H6" s="231" t="s">
        <v>5699</v>
      </c>
      <c r="I6" s="231" t="s">
        <v>5700</v>
      </c>
      <c r="J6" s="231" t="s">
        <v>5701</v>
      </c>
      <c r="K6" s="231" t="s">
        <v>5702</v>
      </c>
      <c r="L6" s="231" t="s">
        <v>5703</v>
      </c>
      <c r="M6" s="231" t="s">
        <v>5704</v>
      </c>
      <c r="N6" s="231" t="s">
        <v>5705</v>
      </c>
      <c r="O6" s="231" t="s">
        <v>5706</v>
      </c>
    </row>
    <row r="7" spans="1:20">
      <c r="A7" s="1147"/>
      <c r="B7" s="230">
        <v>3</v>
      </c>
      <c r="C7" s="161" t="s">
        <v>184</v>
      </c>
      <c r="D7" s="229">
        <f>'[7]01.2023'!H187</f>
        <v>11891006.949999999</v>
      </c>
      <c r="E7" s="229">
        <f>'[7]02.2023'!H191</f>
        <v>25385208.739999998</v>
      </c>
      <c r="F7" s="229">
        <f>-'[7]03.2023'!H194</f>
        <v>36035568.840000004</v>
      </c>
      <c r="G7" s="174">
        <f>-'[7]04.2023'!H190</f>
        <v>46564886.689999998</v>
      </c>
      <c r="H7" s="174">
        <f>-'[7]05.2023'!H201</f>
        <v>54608222.600000001</v>
      </c>
      <c r="I7" s="174">
        <f>65865984.63+1658091.24</f>
        <v>67524075.870000005</v>
      </c>
      <c r="J7" s="174">
        <f>74616030.65+1942727.52</f>
        <v>76558758.170000002</v>
      </c>
      <c r="K7" s="174">
        <f>84809863.29+2227363.8</f>
        <v>87037227.090000004</v>
      </c>
      <c r="L7" s="271">
        <f>96064824.84+2512000.08</f>
        <v>98576824.920000002</v>
      </c>
      <c r="M7" s="271">
        <v>104783384.29000001</v>
      </c>
      <c r="N7" s="150">
        <v>117963570.13</v>
      </c>
      <c r="O7" s="174">
        <v>127282200.45999999</v>
      </c>
    </row>
    <row r="8" spans="1:20" ht="34.15" thickBot="1">
      <c r="A8" s="221" t="s">
        <v>5707</v>
      </c>
      <c r="B8" s="227">
        <v>4</v>
      </c>
      <c r="C8" s="181" t="s">
        <v>970</v>
      </c>
      <c r="D8" s="225">
        <f>'[7]01.2023'!H199</f>
        <v>10339582.65</v>
      </c>
      <c r="E8" s="225">
        <f>'[7]02.2023'!H205</f>
        <v>21832221.059999999</v>
      </c>
      <c r="F8" s="229">
        <f>'[7]03.2023'!H208+110843.55</f>
        <v>33887223.849999994</v>
      </c>
      <c r="G8" s="174">
        <f>'[7]04.2023'!H204</f>
        <v>43920399.100000001</v>
      </c>
      <c r="H8" s="174">
        <f>'[7]05.2023'!H215</f>
        <v>54450696.380000003</v>
      </c>
      <c r="I8" s="174">
        <f>63665392.03+1872779.69</f>
        <v>65538171.719999999</v>
      </c>
      <c r="J8" s="174">
        <f>73443255.86+2182173.13</f>
        <v>75625428.989999995</v>
      </c>
      <c r="K8" s="174">
        <f>83438090.1+2490742.43</f>
        <v>85928832.530000001</v>
      </c>
      <c r="L8" s="271">
        <f>94630691.35+2043389.25+755094.99</f>
        <v>97429175.589999989</v>
      </c>
      <c r="M8" s="150">
        <v>104743303.72</v>
      </c>
      <c r="N8" s="150">
        <v>116378584.5</v>
      </c>
      <c r="O8" s="174">
        <v>130040655.88</v>
      </c>
    </row>
    <row r="9" spans="1:20" ht="17.45" thickBot="1">
      <c r="A9" s="1165" t="s">
        <v>5708</v>
      </c>
      <c r="B9" s="1166"/>
      <c r="C9" s="1167"/>
      <c r="D9" s="184">
        <f t="shared" ref="D9:O9" si="0">D7-D8</f>
        <v>1551424.2999999989</v>
      </c>
      <c r="E9" s="270">
        <f t="shared" si="0"/>
        <v>3552987.6799999997</v>
      </c>
      <c r="F9" s="269">
        <f t="shared" si="0"/>
        <v>2148344.9900000095</v>
      </c>
      <c r="G9" s="185">
        <f t="shared" si="0"/>
        <v>2644487.5899999961</v>
      </c>
      <c r="H9" s="185">
        <f t="shared" si="0"/>
        <v>157526.21999999881</v>
      </c>
      <c r="I9" s="185">
        <f>I7-I8</f>
        <v>1985904.150000006</v>
      </c>
      <c r="J9" s="184">
        <f t="shared" si="0"/>
        <v>933329.18000000715</v>
      </c>
      <c r="K9" s="184">
        <f t="shared" si="0"/>
        <v>1108394.5600000024</v>
      </c>
      <c r="L9" s="184">
        <f t="shared" si="0"/>
        <v>1147649.3300000131</v>
      </c>
      <c r="M9" s="184">
        <f t="shared" si="0"/>
        <v>40080.570000007749</v>
      </c>
      <c r="N9" s="184">
        <f t="shared" si="0"/>
        <v>1584985.6299999952</v>
      </c>
      <c r="O9" s="184">
        <f t="shared" si="0"/>
        <v>-2758455.4200000018</v>
      </c>
    </row>
    <row r="10" spans="1:20" ht="17.45" thickBot="1">
      <c r="A10" s="268"/>
      <c r="B10" s="267" t="s">
        <v>5709</v>
      </c>
      <c r="C10" s="179" t="s">
        <v>5710</v>
      </c>
      <c r="D10" s="210">
        <v>0</v>
      </c>
      <c r="E10" s="210">
        <f>'[7]02.2023'!H305+'[7]02.2023'!H307</f>
        <v>353126.53</v>
      </c>
      <c r="F10" s="174">
        <f>'[7]03.2023'!H311+'[7]03.2023'!H313</f>
        <v>903156.74</v>
      </c>
      <c r="G10" s="174">
        <f>'[7]04.2023'!H307+'[7]04.2023'!H309</f>
        <v>1062826.6599999999</v>
      </c>
      <c r="H10" s="174">
        <f>'[7]05.2023'!H319+'[7]05.2023'!H321</f>
        <v>1177278.69</v>
      </c>
      <c r="I10" s="174">
        <v>874334.08</v>
      </c>
      <c r="J10" s="174">
        <v>874334.08</v>
      </c>
      <c r="K10" s="174">
        <v>641593.48</v>
      </c>
      <c r="L10" s="174">
        <f>[8]IRPJ_CSLL_2023!$L$10</f>
        <v>755084.83000000007</v>
      </c>
      <c r="M10" s="174">
        <v>354050.08999999997</v>
      </c>
      <c r="N10" s="174">
        <v>354050.08999999997</v>
      </c>
      <c r="O10" s="174">
        <v>0</v>
      </c>
    </row>
    <row r="11" spans="1:20" ht="17.45" thickBot="1">
      <c r="A11" s="1151" t="s">
        <v>5711</v>
      </c>
      <c r="B11" s="1152"/>
      <c r="C11" s="1153"/>
      <c r="D11" s="215">
        <f t="shared" ref="D11:O11" si="1">D9+D10</f>
        <v>1551424.2999999989</v>
      </c>
      <c r="E11" s="215">
        <f t="shared" si="1"/>
        <v>3906114.21</v>
      </c>
      <c r="F11" s="266">
        <f t="shared" si="1"/>
        <v>3051501.7300000098</v>
      </c>
      <c r="G11" s="217">
        <f t="shared" si="1"/>
        <v>3707314.2499999963</v>
      </c>
      <c r="H11" s="217">
        <f t="shared" si="1"/>
        <v>1334804.9099999988</v>
      </c>
      <c r="I11" s="217">
        <f>I9+I10</f>
        <v>2860238.230000006</v>
      </c>
      <c r="J11" s="215">
        <f t="shared" si="1"/>
        <v>1807663.2600000072</v>
      </c>
      <c r="K11" s="215">
        <f>K9+K10</f>
        <v>1749988.0400000024</v>
      </c>
      <c r="L11" s="215">
        <f t="shared" si="1"/>
        <v>1902734.1600000132</v>
      </c>
      <c r="M11" s="215">
        <f t="shared" si="1"/>
        <v>394130.66000000772</v>
      </c>
      <c r="N11" s="215">
        <f t="shared" si="1"/>
        <v>1939035.7199999951</v>
      </c>
      <c r="O11" s="215">
        <f t="shared" si="1"/>
        <v>-2758455.4200000018</v>
      </c>
      <c r="P11" s="128"/>
      <c r="Q11" s="265"/>
      <c r="T11" s="265">
        <f>I11*34%</f>
        <v>972480.99820000213</v>
      </c>
    </row>
    <row r="12" spans="1:20" s="172" customFormat="1" ht="17.45" thickBot="1">
      <c r="A12" s="1154" t="s">
        <v>5712</v>
      </c>
      <c r="B12" s="1155"/>
      <c r="C12" s="1156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T12" s="265"/>
    </row>
    <row r="13" spans="1:20" s="172" customFormat="1">
      <c r="A13" s="1168" t="s">
        <v>5713</v>
      </c>
      <c r="B13" s="294">
        <v>411111</v>
      </c>
      <c r="C13" s="295" t="s">
        <v>5714</v>
      </c>
      <c r="D13" s="296">
        <v>0</v>
      </c>
      <c r="E13" s="296">
        <v>0</v>
      </c>
      <c r="F13" s="296">
        <f>'[7]03.2022'!G1449</f>
        <v>0</v>
      </c>
      <c r="G13" s="296">
        <v>0</v>
      </c>
      <c r="H13" s="296">
        <v>0</v>
      </c>
      <c r="I13" s="296">
        <v>0</v>
      </c>
      <c r="J13" s="174">
        <v>15848.95</v>
      </c>
      <c r="K13" s="174">
        <v>33396</v>
      </c>
      <c r="L13" s="174">
        <v>33962.03</v>
      </c>
      <c r="M13" s="150">
        <v>33962.03</v>
      </c>
      <c r="N13" s="150">
        <v>55277.71</v>
      </c>
      <c r="O13" s="174">
        <v>91751.42</v>
      </c>
      <c r="P13" s="888">
        <f>O13*34%</f>
        <v>31195.482800000002</v>
      </c>
      <c r="T13" s="265"/>
    </row>
    <row r="14" spans="1:20" s="172" customFormat="1">
      <c r="A14" s="1157"/>
      <c r="B14" s="294">
        <v>411113</v>
      </c>
      <c r="C14" s="295" t="s">
        <v>988</v>
      </c>
      <c r="D14" s="296">
        <v>0</v>
      </c>
      <c r="E14" s="296">
        <v>0</v>
      </c>
      <c r="F14" s="296">
        <f>'[7]03.2023'!H216</f>
        <v>5034.72</v>
      </c>
      <c r="G14" s="297">
        <f>'[7]04.2023'!H212</f>
        <v>28673.42</v>
      </c>
      <c r="H14" s="297">
        <f>'[7]05.2023'!H223</f>
        <v>45057.66</v>
      </c>
      <c r="I14" s="296">
        <v>51621.279999999999</v>
      </c>
      <c r="J14" s="174">
        <v>51621.279999999999</v>
      </c>
      <c r="K14" s="174">
        <v>59872.6</v>
      </c>
      <c r="L14" s="174">
        <v>59872.6</v>
      </c>
      <c r="M14" s="150">
        <v>68363.11</v>
      </c>
      <c r="N14" s="150">
        <v>68363.11</v>
      </c>
      <c r="O14" s="174">
        <v>75514.25</v>
      </c>
      <c r="P14" s="888">
        <f t="shared" ref="P14:P33" si="2">O14*34%</f>
        <v>25674.845000000001</v>
      </c>
      <c r="T14" s="265">
        <f>I14*34%</f>
        <v>17551.235199999999</v>
      </c>
    </row>
    <row r="15" spans="1:20" s="172" customFormat="1">
      <c r="A15" s="1157"/>
      <c r="B15" s="294">
        <v>411310</v>
      </c>
      <c r="C15" s="295" t="s">
        <v>1013</v>
      </c>
      <c r="D15" s="297">
        <f>'[7]01.2023'!H220</f>
        <v>340</v>
      </c>
      <c r="E15" s="297">
        <f>'[7]02.2023'!H226</f>
        <v>680</v>
      </c>
      <c r="F15" s="296">
        <f>'[7]03.2023'!H230</f>
        <v>1020</v>
      </c>
      <c r="G15" s="297">
        <f>'[7]04.2023'!H226</f>
        <v>1360</v>
      </c>
      <c r="H15" s="297">
        <f>'[7]05.2023'!H237</f>
        <v>1700</v>
      </c>
      <c r="I15" s="296">
        <v>2030</v>
      </c>
      <c r="J15" s="174">
        <v>2360</v>
      </c>
      <c r="K15" s="174">
        <v>2690</v>
      </c>
      <c r="L15" s="174">
        <v>3020</v>
      </c>
      <c r="M15" s="150">
        <v>3350</v>
      </c>
      <c r="N15" s="150">
        <v>3610</v>
      </c>
      <c r="O15" s="174">
        <v>4310.38</v>
      </c>
      <c r="P15" s="888">
        <f t="shared" si="2"/>
        <v>1465.5292000000002</v>
      </c>
      <c r="T15" s="265">
        <f>I15*34%</f>
        <v>690.2</v>
      </c>
    </row>
    <row r="16" spans="1:20" s="172" customFormat="1">
      <c r="A16" s="1157"/>
      <c r="B16" s="176">
        <v>416211</v>
      </c>
      <c r="C16" s="175" t="s">
        <v>5715</v>
      </c>
      <c r="D16" s="174">
        <f>'[7]01.2022'!G1557</f>
        <v>0</v>
      </c>
      <c r="E16" s="174">
        <v>0</v>
      </c>
      <c r="F16" s="174">
        <f>'[7]03.2022'!G1566</f>
        <v>0</v>
      </c>
      <c r="G16" s="174">
        <f>'[7]04.2022'!G1570</f>
        <v>0</v>
      </c>
      <c r="H16" s="174">
        <f>'[7]05.2022'!G1575</f>
        <v>0</v>
      </c>
      <c r="I16" s="174">
        <v>0</v>
      </c>
      <c r="J16" s="174">
        <v>0</v>
      </c>
      <c r="K16" s="174">
        <v>0</v>
      </c>
      <c r="L16" s="174">
        <v>0</v>
      </c>
      <c r="M16" s="174">
        <v>0</v>
      </c>
      <c r="N16" s="174">
        <v>0</v>
      </c>
      <c r="O16" s="174">
        <v>0</v>
      </c>
      <c r="P16" s="203">
        <f t="shared" si="2"/>
        <v>0</v>
      </c>
      <c r="T16" s="265"/>
    </row>
    <row r="17" spans="1:20">
      <c r="A17" s="1157"/>
      <c r="B17" s="294">
        <v>421110</v>
      </c>
      <c r="C17" s="295" t="s">
        <v>5714</v>
      </c>
      <c r="D17" s="297">
        <f>'[7]01.2023'!H253</f>
        <v>18055.72</v>
      </c>
      <c r="E17" s="297">
        <f>'[7]02.2023'!H264</f>
        <v>22715.26</v>
      </c>
      <c r="F17" s="296">
        <f>'[7]03.2023'!H269</f>
        <v>22715.26</v>
      </c>
      <c r="G17" s="296">
        <f>'[7]04.2023'!H265</f>
        <v>22715.26</v>
      </c>
      <c r="H17" s="297">
        <f>'[7]05.2023'!H276</f>
        <v>22715.26</v>
      </c>
      <c r="I17" s="296">
        <v>22715.26</v>
      </c>
      <c r="J17" s="174">
        <v>27764.2</v>
      </c>
      <c r="K17" s="174">
        <v>43415.91</v>
      </c>
      <c r="L17" s="174">
        <v>53008.9</v>
      </c>
      <c r="M17" s="150">
        <v>53008.9</v>
      </c>
      <c r="N17" s="150">
        <v>53008.9</v>
      </c>
      <c r="O17" s="174">
        <v>53008.9</v>
      </c>
      <c r="P17" s="888">
        <f t="shared" si="2"/>
        <v>18023.026000000002</v>
      </c>
      <c r="T17" s="265">
        <f>I17*34%</f>
        <v>7723.1884</v>
      </c>
    </row>
    <row r="18" spans="1:20">
      <c r="A18" s="1157"/>
      <c r="B18" s="294">
        <v>421112</v>
      </c>
      <c r="C18" s="295" t="s">
        <v>988</v>
      </c>
      <c r="D18" s="296">
        <f>'[7]01.2022'!G1581</f>
        <v>0</v>
      </c>
      <c r="E18" s="296">
        <v>0</v>
      </c>
      <c r="F18" s="296">
        <f>'[7]03.2023'!H270</f>
        <v>7573.41</v>
      </c>
      <c r="G18" s="296">
        <f>'[7]04.2023'!H266</f>
        <v>7573.41</v>
      </c>
      <c r="H18" s="296">
        <f>'[7]05.2023'!H277</f>
        <v>7573.41</v>
      </c>
      <c r="I18" s="296">
        <v>7573.41</v>
      </c>
      <c r="J18" s="174">
        <v>7573.41</v>
      </c>
      <c r="K18" s="174">
        <v>7573.41</v>
      </c>
      <c r="L18" s="174">
        <v>23536.07</v>
      </c>
      <c r="M18" s="174">
        <v>23536.07</v>
      </c>
      <c r="N18" s="174">
        <v>23536.07</v>
      </c>
      <c r="O18" s="174">
        <v>23536.07</v>
      </c>
      <c r="P18" s="888">
        <f t="shared" si="2"/>
        <v>8002.2638000000006</v>
      </c>
      <c r="T18" s="265">
        <f>I18*34%</f>
        <v>2574.9594000000002</v>
      </c>
    </row>
    <row r="19" spans="1:20">
      <c r="A19" s="1157"/>
      <c r="B19" s="294">
        <v>421310</v>
      </c>
      <c r="C19" s="295" t="s">
        <v>1013</v>
      </c>
      <c r="D19" s="297">
        <f>'[7]01.2023'!H268</f>
        <v>624</v>
      </c>
      <c r="E19" s="297">
        <f>'[7]02.2023'!H279</f>
        <v>1250</v>
      </c>
      <c r="F19" s="296">
        <f>'[7]03.2023'!H285</f>
        <v>1876</v>
      </c>
      <c r="G19" s="297">
        <f>'[7]04.2023'!H281</f>
        <v>2502</v>
      </c>
      <c r="H19" s="297">
        <f>'[7]05.2023'!H292</f>
        <v>3128</v>
      </c>
      <c r="I19" s="296">
        <v>3751</v>
      </c>
      <c r="J19" s="174">
        <v>4374</v>
      </c>
      <c r="K19" s="174">
        <v>4997</v>
      </c>
      <c r="L19" s="174">
        <v>5622</v>
      </c>
      <c r="M19" s="150">
        <v>6149</v>
      </c>
      <c r="N19" s="150">
        <v>6711</v>
      </c>
      <c r="O19" s="174">
        <v>8231.1200000000008</v>
      </c>
      <c r="P19" s="888">
        <f t="shared" si="2"/>
        <v>2798.5808000000006</v>
      </c>
      <c r="T19" s="265">
        <f>I19*34%</f>
        <v>1275.3400000000001</v>
      </c>
    </row>
    <row r="20" spans="1:20">
      <c r="A20" s="1157"/>
      <c r="B20" s="294">
        <v>42541</v>
      </c>
      <c r="C20" s="298" t="s">
        <v>5716</v>
      </c>
      <c r="D20" s="296">
        <f>'[7]01.2022'!G1673</f>
        <v>0</v>
      </c>
      <c r="E20" s="296">
        <v>0</v>
      </c>
      <c r="F20" s="296">
        <v>0</v>
      </c>
      <c r="G20" s="296">
        <v>0</v>
      </c>
      <c r="H20" s="296">
        <v>0</v>
      </c>
      <c r="I20" s="296">
        <v>16350.89</v>
      </c>
      <c r="J20" s="174">
        <v>16350.89</v>
      </c>
      <c r="K20" s="174">
        <v>16350.89</v>
      </c>
      <c r="L20" s="174">
        <v>16350.89</v>
      </c>
      <c r="M20" s="150">
        <v>16350.89</v>
      </c>
      <c r="N20" s="150">
        <v>16350.89</v>
      </c>
      <c r="O20" s="174">
        <v>16350.89</v>
      </c>
      <c r="P20" s="888">
        <f t="shared" si="2"/>
        <v>5559.3026</v>
      </c>
      <c r="T20" s="265">
        <f>I20*34%</f>
        <v>5559.3026</v>
      </c>
    </row>
    <row r="21" spans="1:20">
      <c r="A21" s="1157"/>
      <c r="B21" s="176">
        <v>42542</v>
      </c>
      <c r="C21" s="175" t="s">
        <v>5717</v>
      </c>
      <c r="D21" s="174">
        <f>'[7]01.2022'!G1674</f>
        <v>0</v>
      </c>
      <c r="E21" s="174">
        <v>0</v>
      </c>
      <c r="F21" s="174">
        <v>0</v>
      </c>
      <c r="G21" s="174">
        <f>'[7]04.2022'!G1687</f>
        <v>0</v>
      </c>
      <c r="H21" s="174">
        <f>'[7]05.2022'!G1692</f>
        <v>0</v>
      </c>
      <c r="I21" s="174">
        <v>0</v>
      </c>
      <c r="J21" s="174">
        <v>0</v>
      </c>
      <c r="K21" s="174">
        <v>0</v>
      </c>
      <c r="L21" s="174">
        <v>0</v>
      </c>
      <c r="M21" s="174">
        <v>0</v>
      </c>
      <c r="N21" s="174">
        <v>0</v>
      </c>
      <c r="O21" s="174">
        <v>0</v>
      </c>
      <c r="P21" s="203">
        <f t="shared" si="2"/>
        <v>0</v>
      </c>
      <c r="S21" s="125">
        <v>11</v>
      </c>
      <c r="T21" s="265"/>
    </row>
    <row r="22" spans="1:20">
      <c r="A22" s="1157"/>
      <c r="B22" s="176">
        <v>42543</v>
      </c>
      <c r="C22" s="161" t="s">
        <v>5156</v>
      </c>
      <c r="D22" s="174">
        <f>'[7]01.2022'!G1675</f>
        <v>0</v>
      </c>
      <c r="E22" s="174">
        <v>0</v>
      </c>
      <c r="F22" s="174">
        <v>0</v>
      </c>
      <c r="G22" s="174">
        <f>'[7]04.2022'!G1688</f>
        <v>0</v>
      </c>
      <c r="H22" s="174">
        <f>'[7]05.2022'!G1693</f>
        <v>0</v>
      </c>
      <c r="I22" s="174">
        <v>0</v>
      </c>
      <c r="J22" s="174">
        <v>0</v>
      </c>
      <c r="K22" s="174">
        <v>0</v>
      </c>
      <c r="L22" s="174">
        <v>0</v>
      </c>
      <c r="M22" s="150">
        <v>0</v>
      </c>
      <c r="N22" s="150">
        <v>0</v>
      </c>
      <c r="O22" s="174">
        <v>0</v>
      </c>
      <c r="P22" s="203">
        <f t="shared" si="2"/>
        <v>0</v>
      </c>
      <c r="Q22" s="128"/>
      <c r="T22" s="265"/>
    </row>
    <row r="23" spans="1:20">
      <c r="A23" s="1157"/>
      <c r="B23" s="176">
        <v>42544</v>
      </c>
      <c r="C23" s="161" t="s">
        <v>5801</v>
      </c>
      <c r="D23" s="174">
        <v>0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0</v>
      </c>
      <c r="K23" s="174">
        <v>0</v>
      </c>
      <c r="L23" s="174">
        <v>0</v>
      </c>
      <c r="M23" s="150">
        <v>0</v>
      </c>
      <c r="N23" s="150">
        <v>0</v>
      </c>
      <c r="O23" s="174">
        <v>0</v>
      </c>
      <c r="P23" s="203">
        <f t="shared" si="2"/>
        <v>0</v>
      </c>
      <c r="T23" s="265"/>
    </row>
    <row r="24" spans="1:20">
      <c r="A24" s="1157"/>
      <c r="B24" s="294">
        <v>42720</v>
      </c>
      <c r="C24" s="298" t="s">
        <v>5718</v>
      </c>
      <c r="D24" s="297">
        <f>'[7]01.2023'!H310</f>
        <v>20735.650000000001</v>
      </c>
      <c r="E24" s="297">
        <f>'[7]02.2023'!H332</f>
        <v>41471.300000000003</v>
      </c>
      <c r="F24" s="297">
        <f>'[7]03.2023'!H340</f>
        <v>1522061.72</v>
      </c>
      <c r="G24" s="297">
        <f>'[7]04.2023'!H336</f>
        <v>1551678.52</v>
      </c>
      <c r="H24" s="297">
        <f>'[7]05.2023'!H348</f>
        <v>1581295.32</v>
      </c>
      <c r="I24" s="296">
        <v>962366.07</v>
      </c>
      <c r="J24" s="174">
        <v>1070802.1399999999</v>
      </c>
      <c r="K24" s="174">
        <v>1179238.45</v>
      </c>
      <c r="L24" s="174">
        <v>1663157.5</v>
      </c>
      <c r="M24" s="150">
        <v>1778477.48</v>
      </c>
      <c r="N24" s="150">
        <v>1893797.46</v>
      </c>
      <c r="O24" s="174">
        <v>1147602.73</v>
      </c>
      <c r="P24" s="888">
        <f t="shared" si="2"/>
        <v>390184.92820000002</v>
      </c>
      <c r="Q24" s="128"/>
      <c r="R24" s="128"/>
      <c r="T24" s="265">
        <f>I24*34%</f>
        <v>327204.46380000003</v>
      </c>
    </row>
    <row r="25" spans="1:20">
      <c r="A25" s="1157"/>
      <c r="B25" s="294">
        <v>426213</v>
      </c>
      <c r="C25" s="295" t="s">
        <v>5715</v>
      </c>
      <c r="D25" s="297">
        <f>'[7]01.2023'!H304</f>
        <v>4980.5</v>
      </c>
      <c r="E25" s="297">
        <f>'[7]02.2023'!H326</f>
        <v>4980.5</v>
      </c>
      <c r="F25" s="296">
        <f>'[7]03.2023'!H334</f>
        <v>0</v>
      </c>
      <c r="G25" s="296">
        <v>0</v>
      </c>
      <c r="H25" s="296">
        <v>0</v>
      </c>
      <c r="I25" s="296">
        <v>0</v>
      </c>
      <c r="J25" s="174">
        <v>0</v>
      </c>
      <c r="K25" s="174">
        <v>0</v>
      </c>
      <c r="L25" s="174">
        <v>0</v>
      </c>
      <c r="M25" s="150">
        <v>0</v>
      </c>
      <c r="N25" s="150">
        <v>0</v>
      </c>
      <c r="O25" s="174">
        <v>0</v>
      </c>
      <c r="P25" s="203">
        <f t="shared" si="2"/>
        <v>0</v>
      </c>
      <c r="T25" s="265"/>
    </row>
    <row r="26" spans="1:20">
      <c r="A26" s="1157"/>
      <c r="B26" s="176">
        <v>427122</v>
      </c>
      <c r="C26" s="161" t="s">
        <v>5720</v>
      </c>
      <c r="D26" s="174">
        <f>'[7]01.2022'!G1729</f>
        <v>0</v>
      </c>
      <c r="E26" s="174">
        <v>0</v>
      </c>
      <c r="F26" s="174">
        <v>0</v>
      </c>
      <c r="G26" s="174">
        <f>'[7]04.2022'!G1743</f>
        <v>0</v>
      </c>
      <c r="H26" s="174">
        <f>'[7]05.2022'!G1748</f>
        <v>0</v>
      </c>
      <c r="I26" s="174">
        <v>510520.19</v>
      </c>
      <c r="J26" s="174">
        <v>592870.38</v>
      </c>
      <c r="K26" s="174">
        <v>674396.43</v>
      </c>
      <c r="L26" s="174">
        <v>755094.99</v>
      </c>
      <c r="M26" s="174">
        <v>0</v>
      </c>
      <c r="N26" s="174">
        <v>0</v>
      </c>
      <c r="O26" s="174">
        <v>992191.95</v>
      </c>
      <c r="P26" s="888">
        <f t="shared" si="2"/>
        <v>337345.26300000004</v>
      </c>
      <c r="T26" s="265">
        <f>I26*34%</f>
        <v>173576.8646</v>
      </c>
    </row>
    <row r="27" spans="1:20" ht="17.45" thickBot="1">
      <c r="A27" s="209"/>
      <c r="B27" s="176">
        <v>426118</v>
      </c>
      <c r="C27" s="161" t="s">
        <v>513</v>
      </c>
      <c r="D27" s="174"/>
      <c r="E27" s="174"/>
      <c r="F27" s="174">
        <v>0</v>
      </c>
      <c r="G27" s="174"/>
      <c r="H27" s="174"/>
      <c r="I27" s="174">
        <v>1362259.5</v>
      </c>
      <c r="J27" s="174">
        <v>1589302.75</v>
      </c>
      <c r="K27" s="174">
        <v>1816346</v>
      </c>
      <c r="L27" s="174">
        <v>2043389.25</v>
      </c>
      <c r="M27" s="174">
        <v>0</v>
      </c>
      <c r="N27" s="174">
        <v>0</v>
      </c>
      <c r="O27" s="174">
        <v>2724519</v>
      </c>
      <c r="P27" s="888">
        <f t="shared" si="2"/>
        <v>926336.46000000008</v>
      </c>
      <c r="T27" s="265">
        <f>I27*34%</f>
        <v>463168.23000000004</v>
      </c>
    </row>
    <row r="28" spans="1:20" s="172" customFormat="1" ht="17.45" thickBot="1">
      <c r="A28" s="1154" t="s">
        <v>5721</v>
      </c>
      <c r="B28" s="1155"/>
      <c r="C28" s="1156"/>
      <c r="D28" s="264">
        <f>SUM(D13:D26)</f>
        <v>44735.87</v>
      </c>
      <c r="E28" s="264">
        <f>SUM(E13:E26)</f>
        <v>71097.06</v>
      </c>
      <c r="F28" s="264">
        <f>SUM(F13:F27)</f>
        <v>1560281.1099999999</v>
      </c>
      <c r="G28" s="264">
        <f>SUM(G13:G26)</f>
        <v>1614502.61</v>
      </c>
      <c r="H28" s="264">
        <f>SUM(H13:H26)</f>
        <v>1661469.6500000001</v>
      </c>
      <c r="I28" s="264">
        <f t="shared" ref="I28:O28" si="3">SUM(I13:I27)</f>
        <v>2939187.5999999996</v>
      </c>
      <c r="J28" s="264">
        <f t="shared" si="3"/>
        <v>3378868</v>
      </c>
      <c r="K28" s="264">
        <f t="shared" si="3"/>
        <v>3838276.69</v>
      </c>
      <c r="L28" s="264">
        <f t="shared" si="3"/>
        <v>4657014.2300000004</v>
      </c>
      <c r="M28" s="264">
        <f t="shared" si="3"/>
        <v>1983197.48</v>
      </c>
      <c r="N28" s="264">
        <f t="shared" si="3"/>
        <v>2120655.14</v>
      </c>
      <c r="O28" s="264">
        <f t="shared" si="3"/>
        <v>5137016.71</v>
      </c>
      <c r="P28" s="203">
        <f t="shared" si="2"/>
        <v>1746585.6814000001</v>
      </c>
      <c r="Q28" s="263"/>
      <c r="T28" s="265">
        <f>I28*34%</f>
        <v>999323.78399999999</v>
      </c>
    </row>
    <row r="29" spans="1:20" s="172" customFormat="1" ht="17.45" thickBot="1">
      <c r="A29" s="1158" t="s">
        <v>5722</v>
      </c>
      <c r="B29" s="1159"/>
      <c r="C29" s="1160"/>
      <c r="D29" s="201"/>
      <c r="E29" s="201"/>
      <c r="F29" s="201"/>
      <c r="G29" s="262"/>
      <c r="H29" s="262"/>
      <c r="I29" s="201"/>
      <c r="J29" s="201"/>
      <c r="K29" s="201"/>
      <c r="L29" s="201"/>
      <c r="M29" s="201"/>
      <c r="N29" s="201"/>
      <c r="O29" s="201"/>
      <c r="P29" s="203">
        <f t="shared" si="2"/>
        <v>0</v>
      </c>
      <c r="T29" s="265"/>
    </row>
    <row r="30" spans="1:20" s="256" customFormat="1" ht="15.95" customHeight="1">
      <c r="A30" s="1172" t="s">
        <v>5724</v>
      </c>
      <c r="B30" s="176">
        <v>33611</v>
      </c>
      <c r="C30" s="161" t="s">
        <v>4994</v>
      </c>
      <c r="D30" s="257">
        <f>'[7]01.2022'!G1398</f>
        <v>0</v>
      </c>
      <c r="E30" s="257">
        <v>0</v>
      </c>
      <c r="F30" s="257">
        <v>0</v>
      </c>
      <c r="G30" s="257">
        <v>0</v>
      </c>
      <c r="H30" s="257">
        <f>'[7]05.2022'!G1416</f>
        <v>0</v>
      </c>
      <c r="I30" s="257">
        <v>0</v>
      </c>
      <c r="J30" s="257">
        <f>[8]IRPJ_CSLL_2023!$J$29</f>
        <v>0</v>
      </c>
      <c r="K30" s="257">
        <f>[8]IRPJ_CSLL_2023!$K$29</f>
        <v>0</v>
      </c>
      <c r="L30" s="257">
        <f>[8]IRPJ_CSLL_2023!$L$29</f>
        <v>12400</v>
      </c>
      <c r="M30" s="257">
        <v>12400</v>
      </c>
      <c r="N30" s="257">
        <v>12400</v>
      </c>
      <c r="O30" s="257">
        <v>12400</v>
      </c>
      <c r="P30" s="203">
        <f t="shared" si="2"/>
        <v>4216</v>
      </c>
      <c r="T30" s="265"/>
    </row>
    <row r="31" spans="1:20" s="256" customFormat="1" ht="18" customHeight="1">
      <c r="A31" s="1173"/>
      <c r="B31" s="196">
        <v>33612</v>
      </c>
      <c r="C31" s="181" t="s">
        <v>4996</v>
      </c>
      <c r="D31" s="257">
        <f>'[7]01.2022'!G1399</f>
        <v>0</v>
      </c>
      <c r="E31" s="257">
        <v>0</v>
      </c>
      <c r="F31" s="257">
        <v>0</v>
      </c>
      <c r="G31" s="257">
        <v>0</v>
      </c>
      <c r="H31" s="167">
        <v>0</v>
      </c>
      <c r="I31" s="167">
        <v>0</v>
      </c>
      <c r="J31" s="167">
        <f>[8]IRPJ_CSLL_2023!$J$30</f>
        <v>0</v>
      </c>
      <c r="K31" s="167">
        <f>[8]IRPJ_CSLL_2023!$K$30</f>
        <v>0</v>
      </c>
      <c r="L31" s="167">
        <f>[8]IRPJ_CSLL_2023!$L$30</f>
        <v>0</v>
      </c>
      <c r="M31" s="261">
        <v>0</v>
      </c>
      <c r="N31" s="260">
        <v>0</v>
      </c>
      <c r="O31" s="259">
        <v>0</v>
      </c>
      <c r="P31" s="203">
        <f t="shared" si="2"/>
        <v>0</v>
      </c>
      <c r="T31" s="265"/>
    </row>
    <row r="32" spans="1:20" s="256" customFormat="1" ht="18" customHeight="1">
      <c r="A32" s="258"/>
      <c r="B32" s="196">
        <v>33613</v>
      </c>
      <c r="C32" s="181" t="s">
        <v>4998</v>
      </c>
      <c r="D32" s="257">
        <f>'[7]01.2022'!G1400</f>
        <v>0</v>
      </c>
      <c r="E32" s="257">
        <v>0</v>
      </c>
      <c r="F32" s="257">
        <v>0</v>
      </c>
      <c r="G32" s="167">
        <v>0</v>
      </c>
      <c r="H32" s="167">
        <f>'[7]05.2022'!G1418</f>
        <v>0</v>
      </c>
      <c r="I32" s="167">
        <v>0</v>
      </c>
      <c r="J32" s="167">
        <f>[8]IRPJ_CSLL_2023!$J$31</f>
        <v>0</v>
      </c>
      <c r="K32" s="167">
        <f>[8]IRPJ_CSLL_2023!$K$31</f>
        <v>0</v>
      </c>
      <c r="L32" s="167">
        <f>[8]IRPJ_CSLL_2023!$L$31</f>
        <v>0</v>
      </c>
      <c r="M32" s="167">
        <v>0</v>
      </c>
      <c r="N32" s="167">
        <v>0</v>
      </c>
      <c r="O32" s="167">
        <v>0</v>
      </c>
      <c r="P32" s="203">
        <f t="shared" si="2"/>
        <v>0</v>
      </c>
      <c r="T32" s="265"/>
    </row>
    <row r="33" spans="1:20" s="256" customFormat="1" ht="18" customHeight="1" thickBot="1">
      <c r="A33" s="196"/>
      <c r="B33" s="196">
        <v>211161</v>
      </c>
      <c r="C33" s="181" t="s">
        <v>5723</v>
      </c>
      <c r="D33" s="257">
        <v>0</v>
      </c>
      <c r="E33" s="257">
        <v>0</v>
      </c>
      <c r="F33" s="167">
        <v>0</v>
      </c>
      <c r="G33" s="167">
        <v>0</v>
      </c>
      <c r="H33" s="167">
        <v>0</v>
      </c>
      <c r="I33" s="167">
        <v>1658091.24</v>
      </c>
      <c r="J33" s="167">
        <v>1942727.52</v>
      </c>
      <c r="K33" s="257">
        <v>2227363.7999999998</v>
      </c>
      <c r="L33" s="174">
        <v>2512000.08</v>
      </c>
      <c r="M33" s="174">
        <v>0</v>
      </c>
      <c r="N33" s="174">
        <v>0</v>
      </c>
      <c r="O33" s="167">
        <v>3365908.92</v>
      </c>
      <c r="P33" s="203">
        <f t="shared" si="2"/>
        <v>1144409.0328000002</v>
      </c>
      <c r="T33" s="265">
        <f>I33*34%</f>
        <v>563751.02160000009</v>
      </c>
    </row>
    <row r="34" spans="1:20" s="172" customFormat="1" ht="17.45" thickBot="1">
      <c r="A34" s="1162" t="s">
        <v>5726</v>
      </c>
      <c r="B34" s="1163"/>
      <c r="C34" s="1164"/>
      <c r="D34" s="194">
        <f>SUM(D30:D32)</f>
        <v>0</v>
      </c>
      <c r="E34" s="194">
        <f>SUM(E30:E32)</f>
        <v>0</v>
      </c>
      <c r="F34" s="255">
        <f>SUM(F30:F33)</f>
        <v>0</v>
      </c>
      <c r="G34" s="254">
        <f>SUM(G30:G32)</f>
        <v>0</v>
      </c>
      <c r="H34" s="254">
        <f>SUM(H30:H31)</f>
        <v>0</v>
      </c>
      <c r="I34" s="254">
        <f>SUM(I30:I33)</f>
        <v>1658091.24</v>
      </c>
      <c r="J34" s="193">
        <f>SUM(J30:J33)</f>
        <v>1942727.52</v>
      </c>
      <c r="K34" s="193">
        <f>SUM(K30:K33)</f>
        <v>2227363.7999999998</v>
      </c>
      <c r="L34" s="193">
        <f>SUM(L30:L33)</f>
        <v>2524400.08</v>
      </c>
      <c r="M34" s="192">
        <f>SUM(M30:M31)</f>
        <v>12400</v>
      </c>
      <c r="N34" s="193">
        <f>SUM(N30:N32)</f>
        <v>12400</v>
      </c>
      <c r="O34" s="193">
        <f>SUM(O30:O33)</f>
        <v>3378308.92</v>
      </c>
      <c r="P34" s="203"/>
      <c r="T34" s="265">
        <f>I34*34%</f>
        <v>563751.02160000009</v>
      </c>
    </row>
    <row r="35" spans="1:20">
      <c r="A35" s="253" t="s">
        <v>5727</v>
      </c>
      <c r="B35" s="170"/>
      <c r="C35" s="170"/>
      <c r="D35" s="248">
        <f t="shared" ref="D35:O35" si="4">D11+D28-D34</f>
        <v>1596160.169999999</v>
      </c>
      <c r="E35" s="248">
        <f t="shared" si="4"/>
        <v>3977211.27</v>
      </c>
      <c r="F35" s="252">
        <f>F11+F28-F34</f>
        <v>4611782.8400000092</v>
      </c>
      <c r="G35" s="251">
        <f t="shared" si="4"/>
        <v>5321816.8599999966</v>
      </c>
      <c r="H35" s="250">
        <f t="shared" si="4"/>
        <v>2996274.5599999987</v>
      </c>
      <c r="I35" s="249">
        <f t="shared" si="4"/>
        <v>4141334.5900000054</v>
      </c>
      <c r="J35" s="248">
        <f t="shared" si="4"/>
        <v>3243803.7400000072</v>
      </c>
      <c r="K35" s="248">
        <f t="shared" si="4"/>
        <v>3360900.9300000025</v>
      </c>
      <c r="L35" s="249">
        <f t="shared" si="4"/>
        <v>4035348.3100000136</v>
      </c>
      <c r="M35" s="248">
        <f t="shared" si="4"/>
        <v>2364928.1400000076</v>
      </c>
      <c r="N35" s="248">
        <f t="shared" si="4"/>
        <v>4047290.8599999952</v>
      </c>
      <c r="O35" s="247">
        <f t="shared" si="4"/>
        <v>-999747.63000000175</v>
      </c>
      <c r="T35" s="265"/>
    </row>
    <row r="36" spans="1:20" ht="17.45" thickBot="1">
      <c r="A36" s="161" t="s">
        <v>5728</v>
      </c>
      <c r="B36" s="161"/>
      <c r="C36" s="161"/>
      <c r="D36" s="150">
        <f t="shared" ref="D36:M36" si="5">-D35*30%</f>
        <v>-478848.05099999969</v>
      </c>
      <c r="E36" s="150">
        <f t="shared" si="5"/>
        <v>-1193163.3810000001</v>
      </c>
      <c r="F36" s="150">
        <f>-F35*30%</f>
        <v>-1383534.8520000027</v>
      </c>
      <c r="G36" s="150">
        <f t="shared" si="5"/>
        <v>-1596545.057999999</v>
      </c>
      <c r="H36" s="246">
        <f t="shared" si="5"/>
        <v>-898882.36799999955</v>
      </c>
      <c r="I36" s="150">
        <f t="shared" si="5"/>
        <v>-1242400.3770000015</v>
      </c>
      <c r="J36" s="150">
        <f t="shared" si="5"/>
        <v>-973141.12200000207</v>
      </c>
      <c r="K36" s="150">
        <f t="shared" si="5"/>
        <v>-1008270.2790000007</v>
      </c>
      <c r="L36" s="150">
        <f t="shared" si="5"/>
        <v>-1210604.493000004</v>
      </c>
      <c r="M36" s="150">
        <f t="shared" si="5"/>
        <v>-709478.44200000225</v>
      </c>
      <c r="N36" s="150">
        <f>-N35*30%</f>
        <v>-1214187.2579999985</v>
      </c>
      <c r="O36" s="150">
        <v>0</v>
      </c>
      <c r="T36" s="265"/>
    </row>
    <row r="37" spans="1:20" ht="17.45" thickBot="1">
      <c r="A37" s="1140" t="s">
        <v>5729</v>
      </c>
      <c r="B37" s="1141"/>
      <c r="C37" s="1142"/>
      <c r="D37" s="245">
        <f t="shared" ref="D37:O37" si="6">D35+D36</f>
        <v>1117312.1189999992</v>
      </c>
      <c r="E37" s="245">
        <f t="shared" si="6"/>
        <v>2784047.889</v>
      </c>
      <c r="F37" s="245">
        <f>F35+F36</f>
        <v>3228247.9880000064</v>
      </c>
      <c r="G37" s="169">
        <f t="shared" si="6"/>
        <v>3725271.8019999973</v>
      </c>
      <c r="H37" s="169">
        <f t="shared" si="6"/>
        <v>2097392.1919999989</v>
      </c>
      <c r="I37" s="169">
        <f t="shared" si="6"/>
        <v>2898934.2130000042</v>
      </c>
      <c r="J37" s="245">
        <f t="shared" si="6"/>
        <v>2270662.6180000054</v>
      </c>
      <c r="K37" s="245">
        <f t="shared" si="6"/>
        <v>2352630.6510000019</v>
      </c>
      <c r="L37" s="169">
        <f t="shared" si="6"/>
        <v>2824743.8170000096</v>
      </c>
      <c r="M37" s="245">
        <f t="shared" si="6"/>
        <v>1655449.6980000054</v>
      </c>
      <c r="N37" s="245">
        <f t="shared" si="6"/>
        <v>2833103.6019999967</v>
      </c>
      <c r="O37" s="245">
        <f t="shared" si="6"/>
        <v>-999747.63000000175</v>
      </c>
      <c r="T37" s="265"/>
    </row>
    <row r="38" spans="1:20" ht="17.45" thickBot="1">
      <c r="A38" s="1151" t="s">
        <v>5730</v>
      </c>
      <c r="B38" s="1152"/>
      <c r="C38" s="1153">
        <f>IF(C36&gt;0,C36*9%,0)</f>
        <v>0</v>
      </c>
      <c r="D38" s="215">
        <f t="shared" ref="D38:I38" si="7">IF(D37&gt;0,D37*0.09,0)</f>
        <v>100558.09070999993</v>
      </c>
      <c r="E38" s="244">
        <f t="shared" si="7"/>
        <v>250564.31000999999</v>
      </c>
      <c r="F38" s="243">
        <f>IF(F37&gt;0,F37*0.09,0)</f>
        <v>290542.31892000057</v>
      </c>
      <c r="G38" s="243">
        <f t="shared" si="7"/>
        <v>335274.46217999974</v>
      </c>
      <c r="H38" s="243">
        <f t="shared" si="7"/>
        <v>188765.29727999988</v>
      </c>
      <c r="I38" s="243">
        <f t="shared" si="7"/>
        <v>260904.07917000036</v>
      </c>
      <c r="J38" s="215">
        <f t="shared" ref="J38:O38" si="8">IF(J37&gt;0,J37*0.09,0)</f>
        <v>204359.63562000048</v>
      </c>
      <c r="K38" s="215">
        <f t="shared" si="8"/>
        <v>211736.75859000016</v>
      </c>
      <c r="L38" s="215">
        <f t="shared" si="8"/>
        <v>254226.94353000086</v>
      </c>
      <c r="M38" s="215">
        <f t="shared" si="8"/>
        <v>148990.47282000049</v>
      </c>
      <c r="N38" s="215">
        <f t="shared" si="8"/>
        <v>254979.3241799997</v>
      </c>
      <c r="O38" s="215">
        <f t="shared" si="8"/>
        <v>0</v>
      </c>
      <c r="P38" s="127"/>
      <c r="Q38" s="128"/>
      <c r="T38" s="265"/>
    </row>
    <row r="39" spans="1:20">
      <c r="A39" s="161"/>
      <c r="B39" s="160"/>
      <c r="C39" s="160"/>
      <c r="D39" s="158"/>
      <c r="E39" s="158"/>
      <c r="F39" s="242"/>
      <c r="G39" s="158"/>
      <c r="H39" s="241"/>
      <c r="I39" s="158"/>
      <c r="J39" s="158"/>
      <c r="K39" s="158"/>
      <c r="L39" s="158"/>
      <c r="M39" s="158"/>
      <c r="N39" s="158"/>
      <c r="O39" s="158"/>
      <c r="T39" s="265"/>
    </row>
    <row r="40" spans="1:20">
      <c r="A40" s="1169" t="s">
        <v>5731</v>
      </c>
      <c r="B40" s="1170"/>
      <c r="C40" s="1171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T40" s="265"/>
    </row>
    <row r="41" spans="1:20">
      <c r="A41" s="161" t="s">
        <v>5732</v>
      </c>
      <c r="B41" s="160"/>
      <c r="C41" s="160">
        <v>0</v>
      </c>
      <c r="D41" s="166">
        <f>C46</f>
        <v>0</v>
      </c>
      <c r="E41" s="166">
        <f>D46</f>
        <v>100558.09070999993</v>
      </c>
      <c r="F41" s="166">
        <f>E44+E46</f>
        <v>250564.31000999999</v>
      </c>
      <c r="G41" s="166">
        <f>F44+F46</f>
        <v>290542.31892000057</v>
      </c>
      <c r="H41" s="166">
        <f>G44+G46</f>
        <v>335274.46217999974</v>
      </c>
      <c r="I41" s="166">
        <f>H44</f>
        <v>335274.46217999974</v>
      </c>
      <c r="J41" s="166">
        <f>I44</f>
        <v>335274.46217999974</v>
      </c>
      <c r="K41" s="166">
        <f>J44</f>
        <v>335274.46217999974</v>
      </c>
      <c r="L41" s="166">
        <f>K44</f>
        <v>335274.46217999974</v>
      </c>
      <c r="M41" s="166">
        <v>335274.46000000002</v>
      </c>
      <c r="N41" s="166">
        <v>335274.46000000002</v>
      </c>
      <c r="O41" s="166">
        <v>335274.46000000002</v>
      </c>
      <c r="T41" s="265">
        <f>I41*34%</f>
        <v>113993.31714119992</v>
      </c>
    </row>
    <row r="42" spans="1:20">
      <c r="A42" s="161" t="s">
        <v>5733</v>
      </c>
      <c r="B42" s="165"/>
      <c r="C42" s="165">
        <v>0</v>
      </c>
      <c r="D42" s="240">
        <v>0</v>
      </c>
      <c r="E42" s="158">
        <v>0</v>
      </c>
      <c r="F42" s="158">
        <v>0</v>
      </c>
      <c r="G42" s="158">
        <v>0</v>
      </c>
      <c r="H42" s="158">
        <v>0</v>
      </c>
      <c r="I42" s="158">
        <v>0</v>
      </c>
      <c r="J42" s="158">
        <v>0</v>
      </c>
      <c r="K42" s="158">
        <v>0</v>
      </c>
      <c r="L42" s="158">
        <v>0</v>
      </c>
      <c r="M42" s="158">
        <v>0</v>
      </c>
      <c r="N42" s="158">
        <v>0</v>
      </c>
      <c r="O42" s="158">
        <v>0</v>
      </c>
      <c r="T42" s="265"/>
    </row>
    <row r="43" spans="1:20" ht="17.45" thickBot="1">
      <c r="A43" s="161"/>
      <c r="B43" s="160"/>
      <c r="C43" s="160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T43" s="265"/>
    </row>
    <row r="44" spans="1:20" ht="17.45" thickBot="1">
      <c r="A44" s="1151" t="s">
        <v>5734</v>
      </c>
      <c r="B44" s="1152">
        <v>0</v>
      </c>
      <c r="C44" s="1153">
        <f t="shared" ref="C44:O44" si="9">SUM(C41:C43)</f>
        <v>0</v>
      </c>
      <c r="D44" s="215">
        <f t="shared" si="9"/>
        <v>0</v>
      </c>
      <c r="E44" s="215">
        <f t="shared" si="9"/>
        <v>100558.09070999993</v>
      </c>
      <c r="F44" s="215">
        <f>SUM(F41:F43)</f>
        <v>250564.31000999999</v>
      </c>
      <c r="G44" s="215">
        <f t="shared" si="9"/>
        <v>290542.31892000057</v>
      </c>
      <c r="H44" s="215">
        <f t="shared" si="9"/>
        <v>335274.46217999974</v>
      </c>
      <c r="I44" s="215">
        <f t="shared" si="9"/>
        <v>335274.46217999974</v>
      </c>
      <c r="J44" s="215">
        <f t="shared" si="9"/>
        <v>335274.46217999974</v>
      </c>
      <c r="K44" s="215">
        <f t="shared" si="9"/>
        <v>335274.46217999974</v>
      </c>
      <c r="L44" s="215">
        <f t="shared" si="9"/>
        <v>335274.46217999974</v>
      </c>
      <c r="M44" s="215">
        <f t="shared" si="9"/>
        <v>335274.46000000002</v>
      </c>
      <c r="N44" s="215">
        <f t="shared" si="9"/>
        <v>335274.46000000002</v>
      </c>
      <c r="O44" s="215">
        <f t="shared" si="9"/>
        <v>335274.46000000002</v>
      </c>
      <c r="T44" s="265">
        <f>I44*34%</f>
        <v>113993.31714119992</v>
      </c>
    </row>
    <row r="45" spans="1:20" ht="17.45" thickBot="1">
      <c r="A45" s="181"/>
      <c r="B45" s="180"/>
      <c r="C45" s="180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T45" s="265">
        <f>I45*34%</f>
        <v>0</v>
      </c>
    </row>
    <row r="46" spans="1:20" ht="21" thickBot="1">
      <c r="A46" s="1143" t="s">
        <v>5735</v>
      </c>
      <c r="B46" s="1144"/>
      <c r="C46" s="1145"/>
      <c r="D46" s="215">
        <f t="shared" ref="D46:O46" si="10">D38-D44</f>
        <v>100558.09070999993</v>
      </c>
      <c r="E46" s="215">
        <f t="shared" si="10"/>
        <v>150006.21930000006</v>
      </c>
      <c r="F46" s="215">
        <f t="shared" si="10"/>
        <v>39978.008910000586</v>
      </c>
      <c r="G46" s="215">
        <f t="shared" si="10"/>
        <v>44732.143259999168</v>
      </c>
      <c r="H46" s="215">
        <f t="shared" si="10"/>
        <v>-146509.16489999986</v>
      </c>
      <c r="I46" s="215">
        <f t="shared" si="10"/>
        <v>-74370.383009999379</v>
      </c>
      <c r="J46" s="215">
        <f t="shared" si="10"/>
        <v>-130914.82655999926</v>
      </c>
      <c r="K46" s="215">
        <f t="shared" si="10"/>
        <v>-123537.70358999958</v>
      </c>
      <c r="L46" s="215">
        <f t="shared" si="10"/>
        <v>-81047.518649998878</v>
      </c>
      <c r="M46" s="215">
        <f t="shared" si="10"/>
        <v>-186283.98717999953</v>
      </c>
      <c r="N46" s="215">
        <f t="shared" si="10"/>
        <v>-80295.135820000316</v>
      </c>
      <c r="O46" s="215">
        <f t="shared" si="10"/>
        <v>-335274.46000000002</v>
      </c>
      <c r="T46" s="265">
        <f>I46*34%</f>
        <v>-25285.930223399791</v>
      </c>
    </row>
    <row r="47" spans="1:20">
      <c r="D47" s="125"/>
      <c r="E47" s="125"/>
      <c r="T47" s="265"/>
    </row>
    <row r="48" spans="1:20">
      <c r="A48" s="239"/>
      <c r="B48" s="238"/>
      <c r="C48" s="238"/>
      <c r="D48" s="237"/>
      <c r="E48" s="237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T48" s="265"/>
    </row>
    <row r="49" spans="1:20">
      <c r="A49" s="236"/>
      <c r="B49" s="235"/>
      <c r="C49" s="235"/>
      <c r="D49" s="234"/>
      <c r="E49" s="234"/>
      <c r="F49" s="234"/>
      <c r="G49" s="234"/>
      <c r="H49" s="234"/>
      <c r="I49" s="234"/>
      <c r="J49" s="234"/>
      <c r="K49" s="234"/>
      <c r="L49" s="234"/>
      <c r="M49" s="234"/>
      <c r="N49" s="234"/>
      <c r="O49" s="234"/>
      <c r="T49" s="265"/>
    </row>
    <row r="50" spans="1:20">
      <c r="D50" s="125"/>
      <c r="E50" s="125"/>
      <c r="T50" s="265"/>
    </row>
    <row r="51" spans="1:20">
      <c r="A51" s="1146" t="s">
        <v>5736</v>
      </c>
      <c r="B51" s="233" t="s">
        <v>5694</v>
      </c>
      <c r="C51" s="232" t="s">
        <v>213</v>
      </c>
      <c r="D51" s="231" t="s">
        <v>5695</v>
      </c>
      <c r="E51" s="231" t="s">
        <v>5696</v>
      </c>
      <c r="F51" s="231" t="s">
        <v>5697</v>
      </c>
      <c r="G51" s="231" t="s">
        <v>5698</v>
      </c>
      <c r="H51" s="231" t="s">
        <v>5699</v>
      </c>
      <c r="I51" s="231" t="s">
        <v>5700</v>
      </c>
      <c r="J51" s="231" t="s">
        <v>5701</v>
      </c>
      <c r="K51" s="231" t="s">
        <v>5702</v>
      </c>
      <c r="L51" s="231" t="s">
        <v>5703</v>
      </c>
      <c r="M51" s="231" t="s">
        <v>5704</v>
      </c>
      <c r="N51" s="231" t="s">
        <v>5705</v>
      </c>
      <c r="O51" s="231" t="s">
        <v>5706</v>
      </c>
    </row>
    <row r="52" spans="1:20">
      <c r="A52" s="1147"/>
      <c r="B52" s="230">
        <v>3</v>
      </c>
      <c r="C52" s="161" t="s">
        <v>184</v>
      </c>
      <c r="D52" s="150">
        <f t="shared" ref="D52:N52" si="11">D7</f>
        <v>11891006.949999999</v>
      </c>
      <c r="E52" s="229">
        <f t="shared" si="11"/>
        <v>25385208.739999998</v>
      </c>
      <c r="F52" s="150">
        <f t="shared" si="11"/>
        <v>36035568.840000004</v>
      </c>
      <c r="G52" s="174">
        <f t="shared" si="11"/>
        <v>46564886.689999998</v>
      </c>
      <c r="H52" s="174">
        <f t="shared" si="11"/>
        <v>54608222.600000001</v>
      </c>
      <c r="I52" s="174">
        <f t="shared" si="11"/>
        <v>67524075.870000005</v>
      </c>
      <c r="J52" s="150">
        <f t="shared" si="11"/>
        <v>76558758.170000002</v>
      </c>
      <c r="K52" s="150">
        <f t="shared" si="11"/>
        <v>87037227.090000004</v>
      </c>
      <c r="L52" s="150">
        <f t="shared" si="11"/>
        <v>98576824.920000002</v>
      </c>
      <c r="M52" s="150">
        <f t="shared" si="11"/>
        <v>104783384.29000001</v>
      </c>
      <c r="N52" s="150">
        <f t="shared" si="11"/>
        <v>117963570.13</v>
      </c>
      <c r="O52" s="174">
        <f>O7</f>
        <v>127282200.45999999</v>
      </c>
    </row>
    <row r="53" spans="1:20">
      <c r="A53" s="228"/>
      <c r="B53" s="227">
        <v>4</v>
      </c>
      <c r="C53" s="181" t="s">
        <v>970</v>
      </c>
      <c r="D53" s="226">
        <f t="shared" ref="D53:O53" si="12">D8</f>
        <v>10339582.65</v>
      </c>
      <c r="E53" s="225">
        <f t="shared" si="12"/>
        <v>21832221.059999999</v>
      </c>
      <c r="F53" s="150">
        <f t="shared" si="12"/>
        <v>33887223.849999994</v>
      </c>
      <c r="G53" s="174">
        <f t="shared" si="12"/>
        <v>43920399.100000001</v>
      </c>
      <c r="H53" s="174">
        <f t="shared" si="12"/>
        <v>54450696.380000003</v>
      </c>
      <c r="I53" s="174">
        <f t="shared" si="12"/>
        <v>65538171.719999999</v>
      </c>
      <c r="J53" s="150">
        <f t="shared" si="12"/>
        <v>75625428.989999995</v>
      </c>
      <c r="K53" s="150">
        <f t="shared" si="12"/>
        <v>85928832.530000001</v>
      </c>
      <c r="L53" s="150">
        <f t="shared" si="12"/>
        <v>97429175.589999989</v>
      </c>
      <c r="M53" s="150">
        <f t="shared" si="12"/>
        <v>104743303.72</v>
      </c>
      <c r="N53" s="150">
        <f t="shared" si="12"/>
        <v>116378584.5</v>
      </c>
      <c r="O53" s="174">
        <f t="shared" si="12"/>
        <v>130040655.88</v>
      </c>
    </row>
    <row r="54" spans="1:20" ht="23.45" customHeight="1">
      <c r="A54" s="1148" t="s">
        <v>5737</v>
      </c>
      <c r="B54" s="1149"/>
      <c r="C54" s="1150"/>
      <c r="D54" s="223">
        <f t="shared" ref="D54:N54" si="13">D52-D53</f>
        <v>1551424.2999999989</v>
      </c>
      <c r="E54" s="223">
        <f t="shared" si="13"/>
        <v>3552987.6799999997</v>
      </c>
      <c r="F54" s="223">
        <f t="shared" si="13"/>
        <v>2148344.9900000095</v>
      </c>
      <c r="G54" s="222">
        <f t="shared" si="13"/>
        <v>2644487.5899999961</v>
      </c>
      <c r="H54" s="222">
        <f t="shared" si="13"/>
        <v>157526.21999999881</v>
      </c>
      <c r="I54" s="222">
        <f t="shared" si="13"/>
        <v>1985904.150000006</v>
      </c>
      <c r="J54" s="223">
        <f t="shared" si="13"/>
        <v>933329.18000000715</v>
      </c>
      <c r="K54" s="223">
        <f t="shared" si="13"/>
        <v>1108394.5600000024</v>
      </c>
      <c r="L54" s="223">
        <f t="shared" si="13"/>
        <v>1147649.3300000131</v>
      </c>
      <c r="M54" s="224">
        <f t="shared" si="13"/>
        <v>40080.570000007749</v>
      </c>
      <c r="N54" s="223">
        <f t="shared" si="13"/>
        <v>1584985.6299999952</v>
      </c>
      <c r="O54" s="222">
        <f>O52-O53</f>
        <v>-2758455.4200000018</v>
      </c>
    </row>
    <row r="55" spans="1:20" ht="17.45" thickBot="1">
      <c r="A55" s="221" t="s">
        <v>5738</v>
      </c>
      <c r="B55" s="220" t="s">
        <v>5709</v>
      </c>
      <c r="C55" s="189" t="s">
        <v>5710</v>
      </c>
      <c r="D55" s="218">
        <f t="shared" ref="D55:O55" si="14">D10</f>
        <v>0</v>
      </c>
      <c r="E55" s="218">
        <f t="shared" si="14"/>
        <v>353126.53</v>
      </c>
      <c r="F55" s="218">
        <f t="shared" si="14"/>
        <v>903156.74</v>
      </c>
      <c r="G55" s="218">
        <f t="shared" si="14"/>
        <v>1062826.6599999999</v>
      </c>
      <c r="H55" s="218">
        <f t="shared" si="14"/>
        <v>1177278.69</v>
      </c>
      <c r="I55" s="218">
        <f t="shared" si="14"/>
        <v>874334.08</v>
      </c>
      <c r="J55" s="218">
        <f t="shared" si="14"/>
        <v>874334.08</v>
      </c>
      <c r="K55" s="219">
        <f t="shared" si="14"/>
        <v>641593.48</v>
      </c>
      <c r="L55" s="218">
        <f t="shared" si="14"/>
        <v>755084.83000000007</v>
      </c>
      <c r="M55" s="218">
        <f t="shared" si="14"/>
        <v>354050.08999999997</v>
      </c>
      <c r="N55" s="218">
        <f t="shared" si="14"/>
        <v>354050.08999999997</v>
      </c>
      <c r="O55" s="218">
        <f t="shared" si="14"/>
        <v>0</v>
      </c>
    </row>
    <row r="56" spans="1:20" ht="17.45" thickBot="1">
      <c r="A56" s="1151" t="s">
        <v>5739</v>
      </c>
      <c r="B56" s="1152"/>
      <c r="C56" s="1153"/>
      <c r="D56" s="215">
        <f t="shared" ref="D56:O56" si="15">D54+D55</f>
        <v>1551424.2999999989</v>
      </c>
      <c r="E56" s="215">
        <f t="shared" si="15"/>
        <v>3906114.21</v>
      </c>
      <c r="F56" s="215">
        <f t="shared" si="15"/>
        <v>3051501.7300000098</v>
      </c>
      <c r="G56" s="217">
        <f t="shared" si="15"/>
        <v>3707314.2499999963</v>
      </c>
      <c r="H56" s="217">
        <f t="shared" si="15"/>
        <v>1334804.9099999988</v>
      </c>
      <c r="I56" s="217">
        <f t="shared" si="15"/>
        <v>2860238.230000006</v>
      </c>
      <c r="J56" s="215">
        <f t="shared" si="15"/>
        <v>1807663.2600000072</v>
      </c>
      <c r="K56" s="215">
        <f t="shared" si="15"/>
        <v>1749988.0400000024</v>
      </c>
      <c r="L56" s="215">
        <f t="shared" si="15"/>
        <v>1902734.1600000132</v>
      </c>
      <c r="M56" s="216">
        <f t="shared" si="15"/>
        <v>394130.66000000772</v>
      </c>
      <c r="N56" s="215">
        <f t="shared" si="15"/>
        <v>1939035.7199999951</v>
      </c>
      <c r="O56" s="215">
        <f t="shared" si="15"/>
        <v>-2758455.4200000018</v>
      </c>
      <c r="P56" s="128"/>
      <c r="Q56" s="127"/>
    </row>
    <row r="57" spans="1:20" s="172" customFormat="1" ht="17.45" thickBot="1">
      <c r="A57" s="1154" t="s">
        <v>5712</v>
      </c>
      <c r="B57" s="1155"/>
      <c r="C57" s="1156"/>
      <c r="D57" s="214"/>
      <c r="E57" s="214"/>
      <c r="F57" s="214"/>
      <c r="G57" s="214"/>
      <c r="H57" s="214"/>
      <c r="I57" s="214"/>
      <c r="J57" s="214"/>
      <c r="K57" s="214"/>
      <c r="L57" s="214"/>
      <c r="M57" s="214"/>
      <c r="N57" s="214"/>
      <c r="O57" s="214"/>
    </row>
    <row r="58" spans="1:20">
      <c r="A58" s="1157" t="s">
        <v>5713</v>
      </c>
      <c r="B58" s="213">
        <v>411111</v>
      </c>
      <c r="C58" s="212" t="s">
        <v>5714</v>
      </c>
      <c r="D58" s="174">
        <f t="shared" ref="D58:O58" si="16">D13</f>
        <v>0</v>
      </c>
      <c r="E58" s="174">
        <f t="shared" si="16"/>
        <v>0</v>
      </c>
      <c r="F58" s="174">
        <f t="shared" si="16"/>
        <v>0</v>
      </c>
      <c r="G58" s="174">
        <f t="shared" si="16"/>
        <v>0</v>
      </c>
      <c r="H58" s="174">
        <f t="shared" si="16"/>
        <v>0</v>
      </c>
      <c r="I58" s="174">
        <f>I13</f>
        <v>0</v>
      </c>
      <c r="J58" s="154">
        <f t="shared" si="16"/>
        <v>15848.95</v>
      </c>
      <c r="K58" s="154">
        <f t="shared" si="16"/>
        <v>33396</v>
      </c>
      <c r="L58" s="154">
        <f t="shared" si="16"/>
        <v>33962.03</v>
      </c>
      <c r="M58" s="154">
        <f t="shared" si="16"/>
        <v>33962.03</v>
      </c>
      <c r="N58" s="154">
        <f t="shared" si="16"/>
        <v>55277.71</v>
      </c>
      <c r="O58" s="154">
        <f t="shared" si="16"/>
        <v>91751.42</v>
      </c>
    </row>
    <row r="59" spans="1:20">
      <c r="A59" s="1157"/>
      <c r="B59" s="176">
        <v>411113</v>
      </c>
      <c r="C59" s="175" t="s">
        <v>988</v>
      </c>
      <c r="D59" s="174">
        <f t="shared" ref="D59:O59" si="17">D14</f>
        <v>0</v>
      </c>
      <c r="E59" s="174">
        <f t="shared" si="17"/>
        <v>0</v>
      </c>
      <c r="F59" s="174">
        <f t="shared" si="17"/>
        <v>5034.72</v>
      </c>
      <c r="G59" s="154">
        <f t="shared" si="17"/>
        <v>28673.42</v>
      </c>
      <c r="H59" s="154">
        <f t="shared" si="17"/>
        <v>45057.66</v>
      </c>
      <c r="I59" s="174">
        <f t="shared" si="17"/>
        <v>51621.279999999999</v>
      </c>
      <c r="J59" s="154">
        <f t="shared" si="17"/>
        <v>51621.279999999999</v>
      </c>
      <c r="K59" s="154">
        <f t="shared" si="17"/>
        <v>59872.6</v>
      </c>
      <c r="L59" s="154">
        <f t="shared" si="17"/>
        <v>59872.6</v>
      </c>
      <c r="M59" s="154">
        <f t="shared" si="17"/>
        <v>68363.11</v>
      </c>
      <c r="N59" s="154">
        <f t="shared" si="17"/>
        <v>68363.11</v>
      </c>
      <c r="O59" s="154">
        <f t="shared" si="17"/>
        <v>75514.25</v>
      </c>
    </row>
    <row r="60" spans="1:20">
      <c r="A60" s="1157"/>
      <c r="B60" s="176">
        <v>411310</v>
      </c>
      <c r="C60" s="175" t="s">
        <v>1013</v>
      </c>
      <c r="D60" s="150">
        <f t="shared" ref="D60:O60" si="18">D15</f>
        <v>340</v>
      </c>
      <c r="E60" s="154">
        <f t="shared" si="18"/>
        <v>680</v>
      </c>
      <c r="F60" s="150">
        <f t="shared" si="18"/>
        <v>1020</v>
      </c>
      <c r="G60" s="154">
        <f t="shared" si="18"/>
        <v>1360</v>
      </c>
      <c r="H60" s="154">
        <f t="shared" si="18"/>
        <v>1700</v>
      </c>
      <c r="I60" s="174">
        <f t="shared" si="18"/>
        <v>2030</v>
      </c>
      <c r="J60" s="154">
        <f t="shared" si="18"/>
        <v>2360</v>
      </c>
      <c r="K60" s="154">
        <f t="shared" si="18"/>
        <v>2690</v>
      </c>
      <c r="L60" s="154">
        <f t="shared" si="18"/>
        <v>3020</v>
      </c>
      <c r="M60" s="154">
        <f t="shared" si="18"/>
        <v>3350</v>
      </c>
      <c r="N60" s="154">
        <f t="shared" si="18"/>
        <v>3610</v>
      </c>
      <c r="O60" s="154">
        <f t="shared" si="18"/>
        <v>4310.38</v>
      </c>
    </row>
    <row r="61" spans="1:20">
      <c r="A61" s="1157"/>
      <c r="B61" s="176">
        <v>416211</v>
      </c>
      <c r="C61" s="175" t="s">
        <v>5715</v>
      </c>
      <c r="D61" s="174">
        <f t="shared" ref="D61:O61" si="19">D16</f>
        <v>0</v>
      </c>
      <c r="E61" s="174">
        <f t="shared" si="19"/>
        <v>0</v>
      </c>
      <c r="F61" s="174">
        <f t="shared" si="19"/>
        <v>0</v>
      </c>
      <c r="G61" s="174">
        <f t="shared" si="19"/>
        <v>0</v>
      </c>
      <c r="H61" s="174">
        <f t="shared" si="19"/>
        <v>0</v>
      </c>
      <c r="I61" s="174">
        <f t="shared" si="19"/>
        <v>0</v>
      </c>
      <c r="J61" s="174">
        <f t="shared" si="19"/>
        <v>0</v>
      </c>
      <c r="K61" s="174">
        <f t="shared" si="19"/>
        <v>0</v>
      </c>
      <c r="L61" s="174">
        <f t="shared" si="19"/>
        <v>0</v>
      </c>
      <c r="M61" s="174">
        <f t="shared" si="19"/>
        <v>0</v>
      </c>
      <c r="N61" s="174">
        <f t="shared" si="19"/>
        <v>0</v>
      </c>
      <c r="O61" s="174">
        <f t="shared" si="19"/>
        <v>0</v>
      </c>
    </row>
    <row r="62" spans="1:20">
      <c r="A62" s="1157"/>
      <c r="B62" s="176">
        <v>421110</v>
      </c>
      <c r="C62" s="175" t="s">
        <v>5714</v>
      </c>
      <c r="D62" s="150">
        <f t="shared" ref="D62:O62" si="20">D17</f>
        <v>18055.72</v>
      </c>
      <c r="E62" s="154">
        <f t="shared" si="20"/>
        <v>22715.26</v>
      </c>
      <c r="F62" s="150">
        <f t="shared" si="20"/>
        <v>22715.26</v>
      </c>
      <c r="G62" s="154">
        <f t="shared" si="20"/>
        <v>22715.26</v>
      </c>
      <c r="H62" s="154">
        <f t="shared" si="20"/>
        <v>22715.26</v>
      </c>
      <c r="I62" s="174">
        <f t="shared" si="20"/>
        <v>22715.26</v>
      </c>
      <c r="J62" s="154">
        <f t="shared" si="20"/>
        <v>27764.2</v>
      </c>
      <c r="K62" s="154">
        <f t="shared" si="20"/>
        <v>43415.91</v>
      </c>
      <c r="L62" s="154">
        <f t="shared" si="20"/>
        <v>53008.9</v>
      </c>
      <c r="M62" s="154">
        <f t="shared" si="20"/>
        <v>53008.9</v>
      </c>
      <c r="N62" s="154">
        <f t="shared" si="20"/>
        <v>53008.9</v>
      </c>
      <c r="O62" s="154">
        <f t="shared" si="20"/>
        <v>53008.9</v>
      </c>
    </row>
    <row r="63" spans="1:20">
      <c r="A63" s="1157"/>
      <c r="B63" s="176">
        <v>421112</v>
      </c>
      <c r="C63" s="175" t="s">
        <v>988</v>
      </c>
      <c r="D63" s="174">
        <f t="shared" ref="D63:O63" si="21">D18</f>
        <v>0</v>
      </c>
      <c r="E63" s="174">
        <f t="shared" si="21"/>
        <v>0</v>
      </c>
      <c r="F63" s="174">
        <f t="shared" si="21"/>
        <v>7573.41</v>
      </c>
      <c r="G63" s="154">
        <f t="shared" si="21"/>
        <v>7573.41</v>
      </c>
      <c r="H63" s="174">
        <f t="shared" si="21"/>
        <v>7573.41</v>
      </c>
      <c r="I63" s="174">
        <f t="shared" si="21"/>
        <v>7573.41</v>
      </c>
      <c r="J63" s="174">
        <f t="shared" si="21"/>
        <v>7573.41</v>
      </c>
      <c r="K63" s="174">
        <f t="shared" si="21"/>
        <v>7573.41</v>
      </c>
      <c r="L63" s="174">
        <f t="shared" si="21"/>
        <v>23536.07</v>
      </c>
      <c r="M63" s="174">
        <f t="shared" si="21"/>
        <v>23536.07</v>
      </c>
      <c r="N63" s="174">
        <f t="shared" si="21"/>
        <v>23536.07</v>
      </c>
      <c r="O63" s="211">
        <f t="shared" si="21"/>
        <v>23536.07</v>
      </c>
    </row>
    <row r="64" spans="1:20">
      <c r="A64" s="1157"/>
      <c r="B64" s="176">
        <v>421310</v>
      </c>
      <c r="C64" s="175" t="s">
        <v>1013</v>
      </c>
      <c r="D64" s="150">
        <f t="shared" ref="D64:O64" si="22">D19</f>
        <v>624</v>
      </c>
      <c r="E64" s="154">
        <f t="shared" si="22"/>
        <v>1250</v>
      </c>
      <c r="F64" s="150">
        <f t="shared" si="22"/>
        <v>1876</v>
      </c>
      <c r="G64" s="154">
        <f t="shared" si="22"/>
        <v>2502</v>
      </c>
      <c r="H64" s="154">
        <f t="shared" si="22"/>
        <v>3128</v>
      </c>
      <c r="I64" s="174">
        <f t="shared" si="22"/>
        <v>3751</v>
      </c>
      <c r="J64" s="154">
        <f t="shared" si="22"/>
        <v>4374</v>
      </c>
      <c r="K64" s="154">
        <f t="shared" si="22"/>
        <v>4997</v>
      </c>
      <c r="L64" s="154">
        <f t="shared" si="22"/>
        <v>5622</v>
      </c>
      <c r="M64" s="154">
        <f t="shared" si="22"/>
        <v>6149</v>
      </c>
      <c r="N64" s="154">
        <f t="shared" si="22"/>
        <v>6711</v>
      </c>
      <c r="O64" s="154">
        <f t="shared" si="22"/>
        <v>8231.1200000000008</v>
      </c>
    </row>
    <row r="65" spans="1:17">
      <c r="A65" s="1157"/>
      <c r="B65" s="176">
        <v>42541</v>
      </c>
      <c r="C65" s="161" t="s">
        <v>5716</v>
      </c>
      <c r="D65" s="174">
        <f t="shared" ref="D65:O65" si="23">D20</f>
        <v>0</v>
      </c>
      <c r="E65" s="174">
        <f t="shared" si="23"/>
        <v>0</v>
      </c>
      <c r="F65" s="174">
        <f t="shared" si="23"/>
        <v>0</v>
      </c>
      <c r="G65" s="174">
        <f t="shared" si="23"/>
        <v>0</v>
      </c>
      <c r="H65" s="174">
        <f t="shared" si="23"/>
        <v>0</v>
      </c>
      <c r="I65" s="174">
        <f t="shared" si="23"/>
        <v>16350.89</v>
      </c>
      <c r="J65" s="154">
        <f t="shared" si="23"/>
        <v>16350.89</v>
      </c>
      <c r="K65" s="154">
        <f t="shared" si="23"/>
        <v>16350.89</v>
      </c>
      <c r="L65" s="154">
        <f t="shared" si="23"/>
        <v>16350.89</v>
      </c>
      <c r="M65" s="154">
        <f t="shared" si="23"/>
        <v>16350.89</v>
      </c>
      <c r="N65" s="154">
        <f t="shared" si="23"/>
        <v>16350.89</v>
      </c>
      <c r="O65" s="154">
        <f t="shared" si="23"/>
        <v>16350.89</v>
      </c>
    </row>
    <row r="66" spans="1:17">
      <c r="A66" s="1157"/>
      <c r="B66" s="176">
        <v>42542</v>
      </c>
      <c r="C66" s="175" t="s">
        <v>5717</v>
      </c>
      <c r="D66" s="174">
        <f t="shared" ref="D66:O66" si="24">D21</f>
        <v>0</v>
      </c>
      <c r="E66" s="174">
        <f t="shared" si="24"/>
        <v>0</v>
      </c>
      <c r="F66" s="174">
        <f t="shared" si="24"/>
        <v>0</v>
      </c>
      <c r="G66" s="174">
        <f t="shared" si="24"/>
        <v>0</v>
      </c>
      <c r="H66" s="174">
        <f t="shared" si="24"/>
        <v>0</v>
      </c>
      <c r="I66" s="174">
        <f t="shared" si="24"/>
        <v>0</v>
      </c>
      <c r="J66" s="174">
        <f t="shared" si="24"/>
        <v>0</v>
      </c>
      <c r="K66" s="174">
        <f t="shared" si="24"/>
        <v>0</v>
      </c>
      <c r="L66" s="174">
        <f t="shared" si="24"/>
        <v>0</v>
      </c>
      <c r="M66" s="174">
        <f t="shared" si="24"/>
        <v>0</v>
      </c>
      <c r="N66" s="174">
        <f t="shared" si="24"/>
        <v>0</v>
      </c>
      <c r="O66" s="174">
        <f t="shared" si="24"/>
        <v>0</v>
      </c>
    </row>
    <row r="67" spans="1:17">
      <c r="A67" s="1157"/>
      <c r="B67" s="176">
        <v>42543</v>
      </c>
      <c r="C67" s="161" t="s">
        <v>5156</v>
      </c>
      <c r="D67" s="174">
        <f t="shared" ref="D67:O67" si="25">D22</f>
        <v>0</v>
      </c>
      <c r="E67" s="174">
        <f t="shared" si="25"/>
        <v>0</v>
      </c>
      <c r="F67" s="174">
        <f t="shared" si="25"/>
        <v>0</v>
      </c>
      <c r="G67" s="174">
        <f t="shared" si="25"/>
        <v>0</v>
      </c>
      <c r="H67" s="174">
        <f t="shared" si="25"/>
        <v>0</v>
      </c>
      <c r="I67" s="174">
        <f t="shared" si="25"/>
        <v>0</v>
      </c>
      <c r="J67" s="174">
        <f t="shared" si="25"/>
        <v>0</v>
      </c>
      <c r="K67" s="174">
        <f t="shared" si="25"/>
        <v>0</v>
      </c>
      <c r="L67" s="154">
        <f t="shared" si="25"/>
        <v>0</v>
      </c>
      <c r="M67" s="154">
        <f t="shared" si="25"/>
        <v>0</v>
      </c>
      <c r="N67" s="154">
        <f t="shared" si="25"/>
        <v>0</v>
      </c>
      <c r="O67" s="154">
        <f t="shared" si="25"/>
        <v>0</v>
      </c>
    </row>
    <row r="68" spans="1:17">
      <c r="A68" s="1157"/>
      <c r="B68" s="176">
        <v>42544</v>
      </c>
      <c r="C68" s="161" t="s">
        <v>5802</v>
      </c>
      <c r="D68" s="174">
        <f>D23</f>
        <v>0</v>
      </c>
      <c r="E68" s="174">
        <v>0</v>
      </c>
      <c r="F68" s="174">
        <f>F23</f>
        <v>0</v>
      </c>
      <c r="G68" s="210">
        <v>0</v>
      </c>
      <c r="H68" s="210">
        <v>0</v>
      </c>
      <c r="I68" s="174">
        <f t="shared" ref="I68:I73" si="26">I23</f>
        <v>0</v>
      </c>
      <c r="J68" s="210">
        <v>0</v>
      </c>
      <c r="K68" s="210">
        <v>0</v>
      </c>
      <c r="L68" s="154">
        <f t="shared" ref="L68:O71" si="27">L23</f>
        <v>0</v>
      </c>
      <c r="M68" s="154">
        <f t="shared" si="27"/>
        <v>0</v>
      </c>
      <c r="N68" s="154">
        <f t="shared" si="27"/>
        <v>0</v>
      </c>
      <c r="O68" s="154">
        <f t="shared" si="27"/>
        <v>0</v>
      </c>
    </row>
    <row r="69" spans="1:17">
      <c r="A69" s="1157"/>
      <c r="B69" s="176">
        <v>42720</v>
      </c>
      <c r="C69" s="161" t="s">
        <v>5718</v>
      </c>
      <c r="D69" s="150">
        <f>D24</f>
        <v>20735.650000000001</v>
      </c>
      <c r="E69" s="154">
        <f>E24</f>
        <v>41471.300000000003</v>
      </c>
      <c r="F69" s="150">
        <f>F24</f>
        <v>1522061.72</v>
      </c>
      <c r="G69" s="154">
        <f t="shared" ref="G69:K71" si="28">G24</f>
        <v>1551678.52</v>
      </c>
      <c r="H69" s="154">
        <f t="shared" si="28"/>
        <v>1581295.32</v>
      </c>
      <c r="I69" s="174">
        <f t="shared" si="26"/>
        <v>962366.07</v>
      </c>
      <c r="J69" s="154">
        <f t="shared" si="28"/>
        <v>1070802.1399999999</v>
      </c>
      <c r="K69" s="154">
        <f t="shared" si="28"/>
        <v>1179238.45</v>
      </c>
      <c r="L69" s="154">
        <f t="shared" si="27"/>
        <v>1663157.5</v>
      </c>
      <c r="M69" s="154">
        <f t="shared" si="27"/>
        <v>1778477.48</v>
      </c>
      <c r="N69" s="154">
        <f t="shared" si="27"/>
        <v>1893797.46</v>
      </c>
      <c r="O69" s="154">
        <f t="shared" si="27"/>
        <v>1147602.73</v>
      </c>
    </row>
    <row r="70" spans="1:17">
      <c r="A70" s="1157"/>
      <c r="B70" s="176">
        <v>426213</v>
      </c>
      <c r="C70" s="175" t="s">
        <v>5715</v>
      </c>
      <c r="D70" s="150">
        <f>D25</f>
        <v>4980.5</v>
      </c>
      <c r="E70" s="154">
        <f>E25</f>
        <v>4980.5</v>
      </c>
      <c r="F70" s="174">
        <f>F25</f>
        <v>0</v>
      </c>
      <c r="G70" s="174">
        <f t="shared" si="28"/>
        <v>0</v>
      </c>
      <c r="H70" s="174">
        <f t="shared" si="28"/>
        <v>0</v>
      </c>
      <c r="I70" s="174">
        <f t="shared" si="26"/>
        <v>0</v>
      </c>
      <c r="J70" s="154">
        <f t="shared" si="28"/>
        <v>0</v>
      </c>
      <c r="K70" s="154">
        <f t="shared" si="28"/>
        <v>0</v>
      </c>
      <c r="L70" s="154">
        <f t="shared" si="27"/>
        <v>0</v>
      </c>
      <c r="M70" s="154">
        <f t="shared" si="27"/>
        <v>0</v>
      </c>
      <c r="N70" s="154">
        <f t="shared" si="27"/>
        <v>0</v>
      </c>
      <c r="O70" s="154">
        <f t="shared" si="27"/>
        <v>0</v>
      </c>
    </row>
    <row r="71" spans="1:17">
      <c r="A71" s="1157"/>
      <c r="B71" s="196">
        <v>427121</v>
      </c>
      <c r="C71" s="181" t="s">
        <v>5327</v>
      </c>
      <c r="D71" s="174">
        <f>D26</f>
        <v>0</v>
      </c>
      <c r="E71" s="174">
        <f>E26</f>
        <v>0</v>
      </c>
      <c r="F71" s="174"/>
      <c r="G71" s="174">
        <f t="shared" si="28"/>
        <v>0</v>
      </c>
      <c r="H71" s="174">
        <f t="shared" si="28"/>
        <v>0</v>
      </c>
      <c r="I71" s="174">
        <f t="shared" si="26"/>
        <v>510520.19</v>
      </c>
      <c r="J71" s="174">
        <f t="shared" si="28"/>
        <v>592870.38</v>
      </c>
      <c r="L71" s="174">
        <v>0</v>
      </c>
      <c r="M71" s="174">
        <f t="shared" si="27"/>
        <v>0</v>
      </c>
      <c r="N71" s="174">
        <f t="shared" si="27"/>
        <v>0</v>
      </c>
      <c r="O71" s="174">
        <f t="shared" si="27"/>
        <v>992191.95</v>
      </c>
    </row>
    <row r="72" spans="1:17">
      <c r="A72" s="209"/>
      <c r="B72" s="208">
        <v>427122</v>
      </c>
      <c r="C72" s="207" t="s">
        <v>5720</v>
      </c>
      <c r="D72" s="174">
        <v>0</v>
      </c>
      <c r="E72" s="174">
        <v>0</v>
      </c>
      <c r="F72" s="174">
        <f>F26</f>
        <v>0</v>
      </c>
      <c r="G72" s="174">
        <v>0</v>
      </c>
      <c r="H72" s="174">
        <v>0</v>
      </c>
      <c r="I72" s="174">
        <f t="shared" si="26"/>
        <v>1362259.5</v>
      </c>
      <c r="J72" s="881">
        <f>J27</f>
        <v>1589302.75</v>
      </c>
      <c r="K72" s="174">
        <f>K26</f>
        <v>674396.43</v>
      </c>
      <c r="L72" s="174">
        <f>L26</f>
        <v>755094.99</v>
      </c>
      <c r="M72" s="174">
        <v>0</v>
      </c>
      <c r="N72" s="174">
        <v>0</v>
      </c>
      <c r="O72" s="174">
        <f>O38</f>
        <v>0</v>
      </c>
    </row>
    <row r="73" spans="1:17" ht="17.45" thickBot="1">
      <c r="A73" s="209"/>
      <c r="B73" s="208">
        <v>426118</v>
      </c>
      <c r="C73" s="207" t="s">
        <v>513</v>
      </c>
      <c r="D73" s="174">
        <v>0</v>
      </c>
      <c r="E73" s="174">
        <v>0</v>
      </c>
      <c r="F73" s="174">
        <f>F27</f>
        <v>0</v>
      </c>
      <c r="G73" s="174">
        <v>0</v>
      </c>
      <c r="H73" s="174">
        <v>0</v>
      </c>
      <c r="I73" s="174">
        <f t="shared" si="26"/>
        <v>2939187.5999999996</v>
      </c>
      <c r="J73" s="174">
        <v>0</v>
      </c>
      <c r="K73" s="174">
        <f>K27</f>
        <v>1816346</v>
      </c>
      <c r="L73" s="174">
        <f>L27</f>
        <v>2043389.25</v>
      </c>
      <c r="M73" s="174">
        <v>0</v>
      </c>
      <c r="N73" s="174">
        <v>0</v>
      </c>
      <c r="O73" s="174">
        <v>2724519</v>
      </c>
    </row>
    <row r="74" spans="1:17" s="172" customFormat="1" ht="17.45" thickBot="1">
      <c r="A74" s="1154" t="s">
        <v>5721</v>
      </c>
      <c r="B74" s="1155"/>
      <c r="C74" s="1156"/>
      <c r="D74" s="205">
        <f t="shared" ref="D74:N74" si="29">SUM(D58:D72)</f>
        <v>44735.87</v>
      </c>
      <c r="E74" s="205">
        <f t="shared" si="29"/>
        <v>71097.06</v>
      </c>
      <c r="F74" s="206">
        <f>SUM(F58:F73)</f>
        <v>1560281.1099999999</v>
      </c>
      <c r="G74" s="205">
        <f t="shared" si="29"/>
        <v>1614502.61</v>
      </c>
      <c r="H74" s="205">
        <f t="shared" si="29"/>
        <v>1661469.6500000001</v>
      </c>
      <c r="I74" s="205">
        <f t="shared" si="29"/>
        <v>2939187.5999999996</v>
      </c>
      <c r="J74" s="204">
        <f t="shared" si="29"/>
        <v>3378868</v>
      </c>
      <c r="K74" s="204">
        <f>SUM(K58:K73)</f>
        <v>3838276.69</v>
      </c>
      <c r="L74" s="204">
        <f>SUM(L58:L73)</f>
        <v>4657014.2300000004</v>
      </c>
      <c r="M74" s="204">
        <f t="shared" si="29"/>
        <v>1983197.48</v>
      </c>
      <c r="N74" s="204">
        <f t="shared" si="29"/>
        <v>2120655.14</v>
      </c>
      <c r="O74" s="204">
        <f>SUM(O58:O73)</f>
        <v>5137016.71</v>
      </c>
      <c r="P74" s="890"/>
      <c r="Q74" s="203"/>
    </row>
    <row r="75" spans="1:17" s="172" customFormat="1" ht="17.45" thickBot="1">
      <c r="A75" s="1158" t="s">
        <v>5722</v>
      </c>
      <c r="B75" s="1159"/>
      <c r="C75" s="1160"/>
      <c r="D75" s="201"/>
      <c r="E75" s="201"/>
      <c r="F75" s="201"/>
      <c r="G75" s="202"/>
      <c r="H75" s="202"/>
      <c r="I75" s="201"/>
      <c r="J75" s="201"/>
      <c r="K75" s="201"/>
      <c r="L75" s="201"/>
      <c r="M75" s="201"/>
      <c r="N75" s="201"/>
      <c r="O75" s="201"/>
      <c r="Q75" s="173"/>
    </row>
    <row r="76" spans="1:17">
      <c r="A76" s="1161" t="s">
        <v>5724</v>
      </c>
      <c r="B76" s="200">
        <v>33611</v>
      </c>
      <c r="C76" s="199" t="s">
        <v>4994</v>
      </c>
      <c r="D76" s="174">
        <f>D30</f>
        <v>0</v>
      </c>
      <c r="E76" s="174">
        <v>0</v>
      </c>
      <c r="F76" s="174">
        <v>0</v>
      </c>
      <c r="G76" s="174">
        <f>G30</f>
        <v>0</v>
      </c>
      <c r="H76" s="174">
        <v>0</v>
      </c>
      <c r="I76" s="174">
        <f>I30</f>
        <v>0</v>
      </c>
      <c r="J76" s="174">
        <v>0</v>
      </c>
      <c r="K76" s="174">
        <f>[8]IRPJ_CSLL_2023!$K$73</f>
        <v>0</v>
      </c>
      <c r="L76" s="174">
        <f>L30</f>
        <v>12400</v>
      </c>
      <c r="M76" s="174">
        <v>0</v>
      </c>
      <c r="N76" s="174">
        <v>0</v>
      </c>
      <c r="O76" s="150">
        <f>O30</f>
        <v>12400</v>
      </c>
    </row>
    <row r="77" spans="1:17">
      <c r="A77" s="1161"/>
      <c r="B77" s="198">
        <v>33612</v>
      </c>
      <c r="C77" s="182" t="s">
        <v>4996</v>
      </c>
      <c r="D77" s="174">
        <f>D31</f>
        <v>0</v>
      </c>
      <c r="E77" s="174">
        <v>0</v>
      </c>
      <c r="F77" s="174">
        <f>F31</f>
        <v>0</v>
      </c>
      <c r="G77" s="174">
        <f>G31</f>
        <v>0</v>
      </c>
      <c r="H77" s="174">
        <f>H31</f>
        <v>0</v>
      </c>
      <c r="I77" s="174">
        <f>I31</f>
        <v>0</v>
      </c>
      <c r="J77" s="150">
        <f>J31</f>
        <v>0</v>
      </c>
      <c r="K77" s="174">
        <f>[8]IRPJ_CSLL_2023!$K$74</f>
        <v>0</v>
      </c>
      <c r="L77" s="174">
        <f>L31</f>
        <v>0</v>
      </c>
      <c r="M77" s="150">
        <v>12400</v>
      </c>
      <c r="N77" s="150">
        <v>12400</v>
      </c>
      <c r="O77" s="150">
        <f>O31</f>
        <v>0</v>
      </c>
    </row>
    <row r="78" spans="1:17">
      <c r="A78" s="197"/>
      <c r="B78" s="196">
        <v>33613</v>
      </c>
      <c r="C78" s="181" t="s">
        <v>4998</v>
      </c>
      <c r="D78" s="174">
        <f>D32</f>
        <v>0</v>
      </c>
      <c r="E78" s="174">
        <v>0</v>
      </c>
      <c r="F78" s="174">
        <f>F32</f>
        <v>0</v>
      </c>
      <c r="G78" s="174">
        <f>G32</f>
        <v>0</v>
      </c>
      <c r="H78" s="174">
        <v>0</v>
      </c>
      <c r="I78" s="174">
        <f>I32</f>
        <v>0</v>
      </c>
      <c r="J78" s="174">
        <v>0</v>
      </c>
      <c r="K78" s="174">
        <v>0</v>
      </c>
      <c r="L78" s="174">
        <f>L32</f>
        <v>0</v>
      </c>
      <c r="M78" s="174">
        <v>0</v>
      </c>
      <c r="N78" s="174">
        <v>0</v>
      </c>
      <c r="O78" s="174">
        <f>O32</f>
        <v>0</v>
      </c>
    </row>
    <row r="79" spans="1:17" ht="17.45" thickBot="1">
      <c r="A79" s="197"/>
      <c r="B79" s="196">
        <v>211161</v>
      </c>
      <c r="C79" s="181" t="s">
        <v>5723</v>
      </c>
      <c r="D79" s="174">
        <v>0</v>
      </c>
      <c r="E79" s="174">
        <v>0</v>
      </c>
      <c r="F79" s="174">
        <f>F33</f>
        <v>0</v>
      </c>
      <c r="G79" s="174">
        <v>0</v>
      </c>
      <c r="H79" s="174">
        <v>0</v>
      </c>
      <c r="I79" s="174">
        <f>I33</f>
        <v>1658091.24</v>
      </c>
      <c r="J79" s="174">
        <f>J33</f>
        <v>1942727.52</v>
      </c>
      <c r="K79" s="174">
        <f>K33</f>
        <v>2227363.7999999998</v>
      </c>
      <c r="L79" s="174">
        <f>L33</f>
        <v>2512000.08</v>
      </c>
      <c r="M79" s="174">
        <v>0</v>
      </c>
      <c r="N79" s="174">
        <v>0</v>
      </c>
      <c r="O79" s="174">
        <v>3365908.92</v>
      </c>
    </row>
    <row r="80" spans="1:17" s="172" customFormat="1" ht="17.45" thickBot="1">
      <c r="A80" s="1162" t="s">
        <v>5726</v>
      </c>
      <c r="B80" s="1163"/>
      <c r="C80" s="1164"/>
      <c r="D80" s="195">
        <f>SUM(D76:D78)</f>
        <v>0</v>
      </c>
      <c r="E80" s="195">
        <f>SUM(E76:E78)</f>
        <v>0</v>
      </c>
      <c r="F80" s="195">
        <f>SUM(F76:F79)</f>
        <v>0</v>
      </c>
      <c r="G80" s="195">
        <f t="shared" ref="G80:N80" si="30">G76+G77</f>
        <v>0</v>
      </c>
      <c r="H80" s="194">
        <f t="shared" si="30"/>
        <v>0</v>
      </c>
      <c r="I80" s="194">
        <f>SUM(I76:I79)</f>
        <v>1658091.24</v>
      </c>
      <c r="J80" s="193">
        <f>SUM(J76:J79)</f>
        <v>1942727.52</v>
      </c>
      <c r="K80" s="193">
        <f>SUM(K76:K79)</f>
        <v>2227363.7999999998</v>
      </c>
      <c r="L80" s="193">
        <f>SUM(L76:L79)</f>
        <v>2524400.08</v>
      </c>
      <c r="M80" s="190">
        <f t="shared" si="30"/>
        <v>12400</v>
      </c>
      <c r="N80" s="191">
        <f t="shared" si="30"/>
        <v>12400</v>
      </c>
      <c r="O80" s="190">
        <f>SUM(O76:O79)</f>
        <v>3378308.92</v>
      </c>
    </row>
    <row r="81" spans="1:17" ht="17.45" thickBot="1">
      <c r="A81" s="189"/>
      <c r="B81" s="188"/>
      <c r="C81" s="18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</row>
    <row r="82" spans="1:17" s="182" customFormat="1" ht="17.45" thickBot="1">
      <c r="A82" s="1140" t="s">
        <v>5740</v>
      </c>
      <c r="B82" s="1141"/>
      <c r="C82" s="1142"/>
      <c r="D82" s="184">
        <f t="shared" ref="D82:O82" si="31">D56+D74-D80</f>
        <v>1596160.169999999</v>
      </c>
      <c r="E82" s="184">
        <f t="shared" si="31"/>
        <v>3977211.27</v>
      </c>
      <c r="F82" s="184">
        <f t="shared" si="31"/>
        <v>4611782.8400000092</v>
      </c>
      <c r="G82" s="185">
        <f t="shared" si="31"/>
        <v>5321816.8599999966</v>
      </c>
      <c r="H82" s="184">
        <f t="shared" si="31"/>
        <v>2996274.5599999987</v>
      </c>
      <c r="I82" s="185">
        <f t="shared" si="31"/>
        <v>4141334.5900000054</v>
      </c>
      <c r="J82" s="184">
        <f t="shared" si="31"/>
        <v>3243803.7400000072</v>
      </c>
      <c r="K82" s="184">
        <f t="shared" si="31"/>
        <v>3360900.9300000025</v>
      </c>
      <c r="L82" s="184">
        <f t="shared" si="31"/>
        <v>4035348.3100000136</v>
      </c>
      <c r="M82" s="184">
        <f t="shared" si="31"/>
        <v>2364928.1400000076</v>
      </c>
      <c r="N82" s="184">
        <f>N56+N74-N80</f>
        <v>4047290.8599999952</v>
      </c>
      <c r="O82" s="184">
        <f t="shared" si="31"/>
        <v>-999747.63000000175</v>
      </c>
      <c r="P82" s="125"/>
    </row>
    <row r="83" spans="1:17" ht="17.45" thickBot="1">
      <c r="A83" s="179" t="s">
        <v>5741</v>
      </c>
      <c r="B83" s="178"/>
      <c r="C83" s="187"/>
      <c r="D83" s="186">
        <f t="shared" ref="D83:N83" si="32">D82*30%</f>
        <v>478848.05099999969</v>
      </c>
      <c r="E83" s="186">
        <f t="shared" si="32"/>
        <v>1193163.3810000001</v>
      </c>
      <c r="F83" s="186">
        <f t="shared" si="32"/>
        <v>1383534.8520000027</v>
      </c>
      <c r="G83" s="186">
        <f t="shared" si="32"/>
        <v>1596545.057999999</v>
      </c>
      <c r="H83" s="186">
        <f t="shared" si="32"/>
        <v>898882.36799999955</v>
      </c>
      <c r="I83" s="186">
        <f t="shared" si="32"/>
        <v>1242400.3770000015</v>
      </c>
      <c r="J83" s="186">
        <f t="shared" si="32"/>
        <v>973141.12200000207</v>
      </c>
      <c r="K83" s="186">
        <f t="shared" si="32"/>
        <v>1008270.2790000007</v>
      </c>
      <c r="L83" s="186">
        <f t="shared" si="32"/>
        <v>1210604.493000004</v>
      </c>
      <c r="M83" s="186">
        <f t="shared" si="32"/>
        <v>709478.44200000225</v>
      </c>
      <c r="N83" s="186">
        <f t="shared" si="32"/>
        <v>1214187.2579999985</v>
      </c>
      <c r="O83" s="186">
        <v>0</v>
      </c>
    </row>
    <row r="84" spans="1:17" s="182" customFormat="1" ht="17.45" thickBot="1">
      <c r="A84" s="1140" t="s">
        <v>5729</v>
      </c>
      <c r="B84" s="1141"/>
      <c r="C84" s="1142"/>
      <c r="D84" s="184">
        <f t="shared" ref="D84:O84" si="33">D82-D83</f>
        <v>1117312.1189999992</v>
      </c>
      <c r="E84" s="184">
        <f t="shared" si="33"/>
        <v>2784047.889</v>
      </c>
      <c r="F84" s="184">
        <f t="shared" si="33"/>
        <v>3228247.9880000064</v>
      </c>
      <c r="G84" s="185">
        <f t="shared" si="33"/>
        <v>3725271.8019999973</v>
      </c>
      <c r="H84" s="184">
        <f t="shared" si="33"/>
        <v>2097392.1919999989</v>
      </c>
      <c r="I84" s="185">
        <f t="shared" si="33"/>
        <v>2898934.2130000042</v>
      </c>
      <c r="J84" s="184">
        <f t="shared" si="33"/>
        <v>2270662.6180000054</v>
      </c>
      <c r="K84" s="184">
        <f t="shared" si="33"/>
        <v>2352630.6510000019</v>
      </c>
      <c r="L84" s="184">
        <f t="shared" si="33"/>
        <v>2824743.8170000096</v>
      </c>
      <c r="M84" s="184">
        <f t="shared" si="33"/>
        <v>1655449.6980000054</v>
      </c>
      <c r="N84" s="184">
        <f t="shared" si="33"/>
        <v>2833103.6019999967</v>
      </c>
      <c r="O84" s="184">
        <f t="shared" si="33"/>
        <v>-999747.63000000175</v>
      </c>
      <c r="P84" s="125"/>
    </row>
    <row r="85" spans="1:17">
      <c r="A85" s="161" t="s">
        <v>5742</v>
      </c>
      <c r="B85" s="160"/>
      <c r="C85" s="160"/>
      <c r="D85" s="154">
        <f t="shared" ref="D85:O85" si="34">IF(D84&gt;0,D84*15%,0)</f>
        <v>167596.81784999988</v>
      </c>
      <c r="E85" s="150">
        <f t="shared" si="34"/>
        <v>417607.18335000001</v>
      </c>
      <c r="F85" s="150">
        <f t="shared" si="34"/>
        <v>484237.19820000092</v>
      </c>
      <c r="G85" s="150">
        <f t="shared" si="34"/>
        <v>558790.77029999963</v>
      </c>
      <c r="H85" s="150">
        <f t="shared" si="34"/>
        <v>314608.82879999984</v>
      </c>
      <c r="I85" s="150">
        <f t="shared" si="34"/>
        <v>434840.13195000059</v>
      </c>
      <c r="J85" s="150">
        <f t="shared" si="34"/>
        <v>340599.39270000078</v>
      </c>
      <c r="K85" s="150">
        <f t="shared" si="34"/>
        <v>352894.5976500003</v>
      </c>
      <c r="L85" s="150">
        <f t="shared" si="34"/>
        <v>423711.57255000144</v>
      </c>
      <c r="M85" s="150">
        <f t="shared" si="34"/>
        <v>248317.45470000082</v>
      </c>
      <c r="N85" s="150">
        <v>424965.54029999947</v>
      </c>
      <c r="O85" s="150">
        <f t="shared" si="34"/>
        <v>0</v>
      </c>
    </row>
    <row r="86" spans="1:17" ht="17.45" thickBot="1">
      <c r="A86" s="181" t="s">
        <v>5743</v>
      </c>
      <c r="B86" s="180"/>
      <c r="C86" s="180"/>
      <c r="D86" s="150">
        <f t="shared" ref="D86:O86" si="35">IF(D84&gt;D87,((D84-(D87*1))*0.1),0)</f>
        <v>109731.21189999994</v>
      </c>
      <c r="E86" s="150">
        <f t="shared" si="35"/>
        <v>274404.78889999999</v>
      </c>
      <c r="F86" s="150">
        <f t="shared" si="35"/>
        <v>316824.79880000069</v>
      </c>
      <c r="G86" s="150">
        <f t="shared" si="35"/>
        <v>364527.18019999977</v>
      </c>
      <c r="H86" s="150">
        <f t="shared" si="35"/>
        <v>199739.2191999999</v>
      </c>
      <c r="I86" s="150">
        <f t="shared" si="35"/>
        <v>277893.42130000045</v>
      </c>
      <c r="J86" s="150">
        <f t="shared" si="35"/>
        <v>213066.26180000056</v>
      </c>
      <c r="K86" s="150">
        <f t="shared" si="35"/>
        <v>219263.06510000021</v>
      </c>
      <c r="L86" s="150">
        <f t="shared" si="35"/>
        <v>264474.38170000096</v>
      </c>
      <c r="M86" s="150">
        <f t="shared" si="35"/>
        <v>145544.96980000054</v>
      </c>
      <c r="N86" s="150">
        <v>261310.36019999968</v>
      </c>
      <c r="O86" s="150">
        <f t="shared" si="35"/>
        <v>0</v>
      </c>
    </row>
    <row r="87" spans="1:17" ht="17.45" hidden="1" thickBot="1">
      <c r="B87" s="157"/>
      <c r="C87" s="157"/>
      <c r="D87" s="127">
        <f t="shared" ref="D87:O87" si="36">20000*D5</f>
        <v>20000</v>
      </c>
      <c r="E87" s="127">
        <f t="shared" si="36"/>
        <v>40000</v>
      </c>
      <c r="F87" s="127">
        <f t="shared" si="36"/>
        <v>60000</v>
      </c>
      <c r="G87" s="127">
        <f t="shared" si="36"/>
        <v>80000</v>
      </c>
      <c r="H87" s="127">
        <f t="shared" si="36"/>
        <v>100000</v>
      </c>
      <c r="I87" s="127">
        <f t="shared" si="36"/>
        <v>120000</v>
      </c>
      <c r="J87" s="127">
        <f t="shared" si="36"/>
        <v>140000</v>
      </c>
      <c r="K87" s="127">
        <f t="shared" si="36"/>
        <v>160000</v>
      </c>
      <c r="L87" s="127">
        <f t="shared" si="36"/>
        <v>180000</v>
      </c>
      <c r="M87" s="127">
        <f t="shared" si="36"/>
        <v>200000</v>
      </c>
      <c r="N87" s="127">
        <f t="shared" si="36"/>
        <v>220000</v>
      </c>
      <c r="O87" s="127">
        <f t="shared" si="36"/>
        <v>240000</v>
      </c>
    </row>
    <row r="88" spans="1:17" ht="17.45" thickBot="1">
      <c r="A88" s="1137" t="s">
        <v>5744</v>
      </c>
      <c r="B88" s="1138"/>
      <c r="C88" s="1139"/>
      <c r="D88" s="156">
        <f t="shared" ref="D88:O88" si="37">D85+D86</f>
        <v>277328.02974999981</v>
      </c>
      <c r="E88" s="156">
        <f t="shared" si="37"/>
        <v>692011.97224999999</v>
      </c>
      <c r="F88" s="156">
        <f t="shared" si="37"/>
        <v>801061.9970000016</v>
      </c>
      <c r="G88" s="156">
        <f t="shared" si="37"/>
        <v>923317.95049999934</v>
      </c>
      <c r="H88" s="156">
        <f t="shared" si="37"/>
        <v>514348.04799999972</v>
      </c>
      <c r="I88" s="156">
        <f t="shared" si="37"/>
        <v>712733.55325000104</v>
      </c>
      <c r="J88" s="156">
        <f t="shared" si="37"/>
        <v>553665.65450000134</v>
      </c>
      <c r="K88" s="156">
        <f t="shared" si="37"/>
        <v>572157.66275000048</v>
      </c>
      <c r="L88" s="156">
        <f t="shared" si="37"/>
        <v>688185.9542500024</v>
      </c>
      <c r="M88" s="156">
        <f t="shared" si="37"/>
        <v>393862.42450000136</v>
      </c>
      <c r="N88" s="156">
        <f t="shared" si="37"/>
        <v>686275.90049999917</v>
      </c>
      <c r="O88" s="156">
        <f t="shared" si="37"/>
        <v>0</v>
      </c>
      <c r="Q88" s="127"/>
    </row>
    <row r="89" spans="1:17">
      <c r="A89" s="179"/>
      <c r="B89" s="178"/>
      <c r="C89" s="178"/>
      <c r="D89" s="158"/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Q89" s="127"/>
    </row>
    <row r="90" spans="1:17">
      <c r="A90" s="170" t="s">
        <v>5745</v>
      </c>
      <c r="B90" s="169"/>
      <c r="C90" s="160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Q90" s="127"/>
    </row>
    <row r="91" spans="1:17">
      <c r="A91" s="177" t="s">
        <v>5746</v>
      </c>
      <c r="B91" s="160"/>
      <c r="C91" s="160">
        <f>C85*4%</f>
        <v>0</v>
      </c>
      <c r="D91" s="163">
        <f>IF(D117&gt;D115,D115*-1,D117*-1)*-1</f>
        <v>6703.8727139999955</v>
      </c>
      <c r="E91" s="163">
        <f>IF(E117&gt;E115,E115*-1,E117*-1)*-1</f>
        <v>16704.287334000001</v>
      </c>
      <c r="F91" s="163">
        <f>IF(F117&gt;F115,F115*-1,F117*-1)*-1</f>
        <v>19369.487928000039</v>
      </c>
      <c r="G91" s="163">
        <f>IF(G117&gt;G115,G115*-1,G117*-1)*-1</f>
        <v>22351.630811999985</v>
      </c>
      <c r="H91" s="163">
        <f>IF(H117&gt;H115,H115*-1,H117*-1)*-1</f>
        <v>12584.353151999994</v>
      </c>
      <c r="I91" s="163">
        <v>17393.605278000006</v>
      </c>
      <c r="J91" s="163">
        <f>[8]IRPJ_CSLL_2023!$J$87</f>
        <v>13623.975708000029</v>
      </c>
      <c r="K91" s="163">
        <f>[8]IRPJ_CSLL_2023!$K$87</f>
        <v>14115.783906000055</v>
      </c>
      <c r="L91" s="163">
        <f>[8]IRPJ_CSLL_2023!$L$87</f>
        <v>16948.462902000003</v>
      </c>
      <c r="M91" s="163">
        <v>9932.698188000033</v>
      </c>
      <c r="N91" s="163">
        <v>16998.621611999981</v>
      </c>
      <c r="O91" s="163">
        <v>0</v>
      </c>
    </row>
    <row r="92" spans="1:17" s="172" customFormat="1">
      <c r="A92" s="175" t="s">
        <v>5714</v>
      </c>
      <c r="B92" s="176">
        <v>411111</v>
      </c>
      <c r="C92" s="175" t="str">
        <f>A92</f>
        <v>Salario Maternidade  - Prorrogação</v>
      </c>
      <c r="D92" s="163">
        <f>D58</f>
        <v>0</v>
      </c>
      <c r="E92" s="163">
        <v>0</v>
      </c>
      <c r="F92" s="163">
        <f>F58</f>
        <v>0</v>
      </c>
      <c r="G92" s="163">
        <f>G13</f>
        <v>0</v>
      </c>
      <c r="H92" s="163">
        <v>0</v>
      </c>
      <c r="I92" s="163">
        <v>0</v>
      </c>
      <c r="J92" s="174">
        <f>[8]IRPJ_CSLL_2023!$J$88</f>
        <v>15848.95</v>
      </c>
      <c r="K92" s="174">
        <f>[8]IRPJ_CSLL_2023!$K$88</f>
        <v>33396</v>
      </c>
      <c r="L92" s="174">
        <f>[8]IRPJ_CSLL_2023!$L$88</f>
        <v>33962.03</v>
      </c>
      <c r="M92" s="150">
        <v>33962.03</v>
      </c>
      <c r="N92" s="150">
        <v>55277.71</v>
      </c>
      <c r="O92" s="174">
        <v>91751.42</v>
      </c>
    </row>
    <row r="93" spans="1:17" s="172" customFormat="1">
      <c r="A93" s="175" t="s">
        <v>988</v>
      </c>
      <c r="B93" s="176">
        <v>411113</v>
      </c>
      <c r="C93" s="175" t="str">
        <f>A93</f>
        <v>Licença Paternidade Prorrogação</v>
      </c>
      <c r="D93" s="163">
        <f>D59</f>
        <v>0</v>
      </c>
      <c r="E93" s="163">
        <v>0</v>
      </c>
      <c r="F93" s="163">
        <f>F59</f>
        <v>5034.72</v>
      </c>
      <c r="G93" s="150">
        <f>G59</f>
        <v>28673.42</v>
      </c>
      <c r="H93" s="150">
        <f>'[7]05.2023'!H223</f>
        <v>45057.66</v>
      </c>
      <c r="I93" s="174">
        <v>51621.279999999999</v>
      </c>
      <c r="J93" s="174">
        <f>[8]IRPJ_CSLL_2023!$J$89</f>
        <v>51621.279999999999</v>
      </c>
      <c r="K93" s="174">
        <f>[8]IRPJ_CSLL_2023!$K$89</f>
        <v>59872.6</v>
      </c>
      <c r="L93" s="174">
        <f>[8]IRPJ_CSLL_2023!$L$89</f>
        <v>59872.6</v>
      </c>
      <c r="M93" s="150">
        <v>68363.11</v>
      </c>
      <c r="N93" s="150">
        <v>68363.11</v>
      </c>
      <c r="O93" s="174">
        <v>75514.25</v>
      </c>
    </row>
    <row r="94" spans="1:17" s="172" customFormat="1">
      <c r="A94" s="175" t="s">
        <v>5714</v>
      </c>
      <c r="B94" s="176">
        <v>421110</v>
      </c>
      <c r="C94" s="175" t="str">
        <f>A94</f>
        <v>Salario Maternidade  - Prorrogação</v>
      </c>
      <c r="D94" s="163">
        <f>D62</f>
        <v>18055.72</v>
      </c>
      <c r="E94" s="163">
        <f>'[7]02.2023'!H264</f>
        <v>22715.26</v>
      </c>
      <c r="F94" s="163">
        <f t="shared" ref="F94:H95" si="38">F62</f>
        <v>22715.26</v>
      </c>
      <c r="G94" s="150">
        <f t="shared" si="38"/>
        <v>22715.26</v>
      </c>
      <c r="H94" s="150">
        <f t="shared" si="38"/>
        <v>22715.26</v>
      </c>
      <c r="I94" s="174">
        <v>22715.26</v>
      </c>
      <c r="J94" s="150">
        <f>[8]IRPJ_CSLL_2023!$J$90</f>
        <v>27764.2</v>
      </c>
      <c r="K94" s="174">
        <f>[8]IRPJ_CSLL_2023!$K$90</f>
        <v>43415.91</v>
      </c>
      <c r="L94" s="174">
        <f>[8]IRPJ_CSLL_2023!$L$90</f>
        <v>53008.9</v>
      </c>
      <c r="M94" s="150">
        <v>53008.9</v>
      </c>
      <c r="N94" s="150">
        <v>53008.9</v>
      </c>
      <c r="O94" s="174">
        <v>53008.9</v>
      </c>
    </row>
    <row r="95" spans="1:17" s="172" customFormat="1" ht="17.45" thickBot="1">
      <c r="A95" s="175" t="s">
        <v>988</v>
      </c>
      <c r="B95" s="176">
        <v>421112</v>
      </c>
      <c r="C95" s="175" t="str">
        <f>A95</f>
        <v>Licença Paternidade Prorrogação</v>
      </c>
      <c r="D95" s="163">
        <f>D63</f>
        <v>0</v>
      </c>
      <c r="E95" s="163">
        <v>0</v>
      </c>
      <c r="F95" s="163">
        <f t="shared" si="38"/>
        <v>7573.41</v>
      </c>
      <c r="G95" s="158">
        <f t="shared" si="38"/>
        <v>7573.41</v>
      </c>
      <c r="H95" s="160">
        <f t="shared" si="38"/>
        <v>7573.41</v>
      </c>
      <c r="I95" s="150">
        <v>7573.41</v>
      </c>
      <c r="J95" s="150">
        <f>[8]IRPJ_CSLL_2023!$J$91</f>
        <v>7573.41</v>
      </c>
      <c r="K95" s="174">
        <f>[8]IRPJ_CSLL_2023!$K$91</f>
        <v>7573.41</v>
      </c>
      <c r="L95" s="174">
        <f>[8]IRPJ_CSLL_2023!$L$91</f>
        <v>23536.07</v>
      </c>
      <c r="M95" s="174">
        <v>23536.07</v>
      </c>
      <c r="N95" s="174">
        <v>23536.07</v>
      </c>
      <c r="O95" s="174">
        <v>23536.07</v>
      </c>
    </row>
    <row r="96" spans="1:17" ht="17.45" thickBot="1">
      <c r="A96" s="1137" t="s">
        <v>5747</v>
      </c>
      <c r="B96" s="1138"/>
      <c r="C96" s="1139">
        <f>SUM(C91:C94)</f>
        <v>0</v>
      </c>
      <c r="D96" s="171">
        <f t="shared" ref="D96:I96" si="39">SUM(D91:D95)</f>
        <v>24759.592713999999</v>
      </c>
      <c r="E96" s="156">
        <f t="shared" si="39"/>
        <v>39419.547334000003</v>
      </c>
      <c r="F96" s="171">
        <f>SUM(F91:F95)</f>
        <v>54692.877928000045</v>
      </c>
      <c r="G96" s="171">
        <f t="shared" si="39"/>
        <v>81313.720811999985</v>
      </c>
      <c r="H96" s="171">
        <f t="shared" si="39"/>
        <v>87930.683151999998</v>
      </c>
      <c r="I96" s="171">
        <f t="shared" si="39"/>
        <v>99303.555278</v>
      </c>
      <c r="J96" s="171">
        <f t="shared" ref="J96:O96" si="40">SUM(J91:J95)</f>
        <v>116431.81570800002</v>
      </c>
      <c r="K96" s="171">
        <f t="shared" si="40"/>
        <v>158373.70390600007</v>
      </c>
      <c r="L96" s="171">
        <f t="shared" si="40"/>
        <v>187328.06290200001</v>
      </c>
      <c r="M96" s="171">
        <f t="shared" si="40"/>
        <v>188802.80818800002</v>
      </c>
      <c r="N96" s="171">
        <f t="shared" si="40"/>
        <v>217184.411612</v>
      </c>
      <c r="O96" s="171">
        <f t="shared" si="40"/>
        <v>243810.63999999998</v>
      </c>
    </row>
    <row r="97" spans="1:16" ht="17.45" thickBot="1">
      <c r="A97" s="161"/>
      <c r="B97" s="160"/>
      <c r="C97" s="160"/>
      <c r="D97" s="158"/>
      <c r="E97" s="158"/>
      <c r="F97" s="158"/>
      <c r="G97" s="158"/>
      <c r="H97" s="158"/>
      <c r="I97" s="158"/>
      <c r="J97" s="158"/>
      <c r="K97" s="158"/>
      <c r="L97" s="158"/>
      <c r="M97" s="158"/>
      <c r="N97" s="158"/>
      <c r="O97" s="158"/>
    </row>
    <row r="98" spans="1:16" ht="17.45" thickBot="1">
      <c r="A98" s="1137" t="s">
        <v>5748</v>
      </c>
      <c r="B98" s="1138"/>
      <c r="C98" s="1139">
        <f>C88-C96</f>
        <v>0</v>
      </c>
      <c r="D98" s="156">
        <f>D88-D96</f>
        <v>252568.43703599981</v>
      </c>
      <c r="E98" s="156">
        <f>E88-E96</f>
        <v>652592.42491599999</v>
      </c>
      <c r="F98" s="156">
        <f>F88-F96</f>
        <v>746369.11907200154</v>
      </c>
      <c r="G98" s="156">
        <f t="shared" ref="G98:O98" si="41">IF(G88-G96&gt;0,G88-G96,0)</f>
        <v>842004.22968799935</v>
      </c>
      <c r="H98" s="156">
        <f t="shared" si="41"/>
        <v>426417.36484799971</v>
      </c>
      <c r="I98" s="156">
        <f t="shared" si="41"/>
        <v>613429.99797200109</v>
      </c>
      <c r="J98" s="156">
        <f t="shared" si="41"/>
        <v>437233.8387920013</v>
      </c>
      <c r="K98" s="156">
        <f t="shared" si="41"/>
        <v>413783.95884400042</v>
      </c>
      <c r="L98" s="156">
        <f t="shared" si="41"/>
        <v>500857.89134800236</v>
      </c>
      <c r="M98" s="156">
        <f t="shared" si="41"/>
        <v>205059.61631200134</v>
      </c>
      <c r="N98" s="156">
        <f t="shared" si="41"/>
        <v>469091.48888799921</v>
      </c>
      <c r="O98" s="156">
        <f t="shared" si="41"/>
        <v>0</v>
      </c>
    </row>
    <row r="99" spans="1:16">
      <c r="A99" s="170" t="s">
        <v>5749</v>
      </c>
      <c r="B99" s="169"/>
      <c r="C99" s="160"/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8"/>
    </row>
    <row r="100" spans="1:16">
      <c r="A100" s="161" t="s">
        <v>5750</v>
      </c>
      <c r="B100" s="168"/>
      <c r="C100" s="167">
        <v>0</v>
      </c>
      <c r="D100" s="163">
        <f>C104</f>
        <v>0</v>
      </c>
      <c r="E100" s="166">
        <f>D104</f>
        <v>252568.43703599981</v>
      </c>
      <c r="F100" s="166">
        <f>E102+E104</f>
        <v>652592.42491599999</v>
      </c>
      <c r="G100" s="166">
        <f>F102+F104</f>
        <v>746369.11907200154</v>
      </c>
      <c r="H100" s="166">
        <f>G102+G104</f>
        <v>842004.22968799935</v>
      </c>
      <c r="I100" s="167">
        <f t="shared" ref="I100:O100" si="42">H102</f>
        <v>842004.22968799935</v>
      </c>
      <c r="J100" s="166">
        <f t="shared" si="42"/>
        <v>842004.22968799935</v>
      </c>
      <c r="K100" s="166">
        <f t="shared" si="42"/>
        <v>842004.22968799935</v>
      </c>
      <c r="L100" s="166">
        <f t="shared" si="42"/>
        <v>842004.22968799935</v>
      </c>
      <c r="M100" s="166">
        <f t="shared" si="42"/>
        <v>842004.22968799935</v>
      </c>
      <c r="N100" s="166">
        <f t="shared" si="42"/>
        <v>842004.22968799935</v>
      </c>
      <c r="O100" s="166">
        <f t="shared" si="42"/>
        <v>842004.22968799935</v>
      </c>
    </row>
    <row r="101" spans="1:16" ht="17.45" thickBot="1">
      <c r="A101" s="161" t="s">
        <v>5751</v>
      </c>
      <c r="B101" s="165"/>
      <c r="C101" s="164"/>
      <c r="D101" s="163">
        <v>0</v>
      </c>
      <c r="E101" s="163">
        <v>0</v>
      </c>
      <c r="F101" s="163">
        <v>0</v>
      </c>
      <c r="G101" s="163">
        <v>0</v>
      </c>
      <c r="H101" s="163">
        <v>0</v>
      </c>
      <c r="I101" s="163">
        <v>0</v>
      </c>
      <c r="J101" s="158">
        <v>0</v>
      </c>
      <c r="K101" s="158">
        <v>0</v>
      </c>
      <c r="L101" s="158">
        <v>0</v>
      </c>
      <c r="M101" s="158">
        <v>0</v>
      </c>
      <c r="N101" s="158">
        <v>0</v>
      </c>
      <c r="O101" s="163">
        <v>0</v>
      </c>
      <c r="P101" s="127"/>
    </row>
    <row r="102" spans="1:16" ht="17.45" thickBot="1">
      <c r="A102" s="1137" t="s">
        <v>5752</v>
      </c>
      <c r="B102" s="1138">
        <v>0</v>
      </c>
      <c r="C102" s="1139">
        <f t="shared" ref="C102:O102" si="43">SUM(C100:C101)</f>
        <v>0</v>
      </c>
      <c r="D102" s="156">
        <f t="shared" si="43"/>
        <v>0</v>
      </c>
      <c r="E102" s="156">
        <f t="shared" si="43"/>
        <v>252568.43703599981</v>
      </c>
      <c r="F102" s="156">
        <f t="shared" si="43"/>
        <v>652592.42491599999</v>
      </c>
      <c r="G102" s="156">
        <f t="shared" si="43"/>
        <v>746369.11907200154</v>
      </c>
      <c r="H102" s="162">
        <f t="shared" si="43"/>
        <v>842004.22968799935</v>
      </c>
      <c r="I102" s="162">
        <f t="shared" si="43"/>
        <v>842004.22968799935</v>
      </c>
      <c r="J102" s="156">
        <f t="shared" si="43"/>
        <v>842004.22968799935</v>
      </c>
      <c r="K102" s="156">
        <f t="shared" si="43"/>
        <v>842004.22968799935</v>
      </c>
      <c r="L102" s="156">
        <f t="shared" si="43"/>
        <v>842004.22968799935</v>
      </c>
      <c r="M102" s="156">
        <f t="shared" si="43"/>
        <v>842004.22968799935</v>
      </c>
      <c r="N102" s="156">
        <f t="shared" si="43"/>
        <v>842004.22968799935</v>
      </c>
      <c r="O102" s="156">
        <f t="shared" si="43"/>
        <v>842004.22968799935</v>
      </c>
      <c r="P102" s="127"/>
    </row>
    <row r="103" spans="1:16" ht="17.45" thickBot="1">
      <c r="A103" s="161"/>
      <c r="B103" s="160"/>
      <c r="C103" s="160"/>
      <c r="D103" s="159"/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</row>
    <row r="104" spans="1:16" ht="17.45" thickBot="1">
      <c r="A104" s="1137" t="s">
        <v>5753</v>
      </c>
      <c r="B104" s="1138"/>
      <c r="C104" s="1139">
        <f t="shared" ref="C104:O104" si="44">C98-C102</f>
        <v>0</v>
      </c>
      <c r="D104" s="156">
        <f t="shared" si="44"/>
        <v>252568.43703599981</v>
      </c>
      <c r="E104" s="156">
        <f t="shared" si="44"/>
        <v>400023.98788000015</v>
      </c>
      <c r="F104" s="156">
        <f t="shared" si="44"/>
        <v>93776.694156001555</v>
      </c>
      <c r="G104" s="156">
        <f t="shared" si="44"/>
        <v>95635.110615997808</v>
      </c>
      <c r="H104" s="156">
        <f t="shared" si="44"/>
        <v>-415586.86483999965</v>
      </c>
      <c r="I104" s="156">
        <f t="shared" si="44"/>
        <v>-228574.23171599826</v>
      </c>
      <c r="J104" s="156">
        <f t="shared" si="44"/>
        <v>-404770.39089599805</v>
      </c>
      <c r="K104" s="156">
        <f t="shared" si="44"/>
        <v>-428220.27084399894</v>
      </c>
      <c r="L104" s="156">
        <f t="shared" si="44"/>
        <v>-341146.33833999699</v>
      </c>
      <c r="M104" s="156">
        <f t="shared" si="44"/>
        <v>-636944.61337599799</v>
      </c>
      <c r="N104" s="156">
        <f t="shared" si="44"/>
        <v>-372912.74080000015</v>
      </c>
      <c r="O104" s="156">
        <f t="shared" si="44"/>
        <v>-842004.22968799935</v>
      </c>
    </row>
    <row r="105" spans="1:16" ht="17.45" thickBot="1"/>
    <row r="106" spans="1:16" ht="17.45" thickBot="1">
      <c r="A106" s="1137" t="s">
        <v>5803</v>
      </c>
      <c r="B106" s="1138"/>
      <c r="C106" s="1138"/>
      <c r="D106" s="155" t="s">
        <v>5695</v>
      </c>
      <c r="E106" s="155" t="s">
        <v>5696</v>
      </c>
      <c r="F106" s="155" t="s">
        <v>5697</v>
      </c>
      <c r="G106" s="155" t="s">
        <v>5698</v>
      </c>
      <c r="H106" s="155" t="s">
        <v>5699</v>
      </c>
      <c r="I106" s="155" t="s">
        <v>5700</v>
      </c>
      <c r="J106" s="155" t="s">
        <v>5701</v>
      </c>
      <c r="K106" s="155" t="s">
        <v>5702</v>
      </c>
      <c r="L106" s="155" t="s">
        <v>5703</v>
      </c>
      <c r="M106" s="155" t="s">
        <v>5704</v>
      </c>
      <c r="N106" s="155" t="s">
        <v>5705</v>
      </c>
      <c r="O106" s="155" t="s">
        <v>5706</v>
      </c>
    </row>
    <row r="107" spans="1:16">
      <c r="A107" s="152" t="s">
        <v>5804</v>
      </c>
      <c r="B107" s="151"/>
      <c r="C107" s="151"/>
      <c r="D107" s="154">
        <f>[7]IRPJ_CSLL_2022!O103-[7]IRPJ_CSLL_2022!O78</f>
        <v>4403156.1400000025</v>
      </c>
      <c r="E107" s="154">
        <f>IF(E82&lt;0, D107+E82, D107)</f>
        <v>4403156.1400000025</v>
      </c>
      <c r="F107" s="154">
        <f>IF(F82&lt;0, E107+F82, E107)</f>
        <v>4403156.1400000025</v>
      </c>
      <c r="G107" s="154">
        <f>IF(G82&lt;0, F107+G82, F107)</f>
        <v>4403156.1400000025</v>
      </c>
      <c r="H107" s="154">
        <f>IF(H82&lt;0, G107+H82, G107)</f>
        <v>4403156.1400000025</v>
      </c>
      <c r="I107" s="154">
        <f t="shared" ref="I107:O107" si="45">H107+H82</f>
        <v>7399430.7000000011</v>
      </c>
      <c r="J107" s="154">
        <f>[8]IRPJ_CSLL_2023!$J$103</f>
        <v>4403156.1400000025</v>
      </c>
      <c r="K107" s="154">
        <f>[8]IRPJ_CSLL_2023!$K$103</f>
        <v>4403156.1400000025</v>
      </c>
      <c r="L107" s="154">
        <f>[8]IRPJ_CSLL_2023!$L$103</f>
        <v>4403156.1399999997</v>
      </c>
      <c r="M107" s="154">
        <f t="shared" si="45"/>
        <v>8438504.4500000142</v>
      </c>
      <c r="N107" s="154">
        <f t="shared" si="45"/>
        <v>10803432.590000022</v>
      </c>
      <c r="O107" s="154">
        <f t="shared" si="45"/>
        <v>14850723.450000018</v>
      </c>
    </row>
    <row r="108" spans="1:16">
      <c r="A108" s="152" t="s">
        <v>5756</v>
      </c>
      <c r="B108" s="151"/>
      <c r="C108" s="151"/>
      <c r="D108" s="153">
        <f t="shared" ref="D108:L108" si="46">D83</f>
        <v>478848.05099999969</v>
      </c>
      <c r="E108" s="153">
        <f t="shared" si="46"/>
        <v>1193163.3810000001</v>
      </c>
      <c r="F108" s="153">
        <f t="shared" si="46"/>
        <v>1383534.8520000027</v>
      </c>
      <c r="G108" s="153">
        <f t="shared" si="46"/>
        <v>1596545.057999999</v>
      </c>
      <c r="H108" s="153">
        <f t="shared" si="46"/>
        <v>898882.36799999955</v>
      </c>
      <c r="I108" s="153">
        <f t="shared" si="46"/>
        <v>1242400.3770000015</v>
      </c>
      <c r="J108" s="153">
        <f t="shared" si="46"/>
        <v>973141.12200000207</v>
      </c>
      <c r="K108" s="153">
        <f t="shared" si="46"/>
        <v>1008270.2790000007</v>
      </c>
      <c r="L108" s="153">
        <f t="shared" si="46"/>
        <v>1210604.493000004</v>
      </c>
      <c r="M108" s="150">
        <f t="shared" ref="M108:O109" si="47">L108</f>
        <v>1210604.493000004</v>
      </c>
      <c r="N108" s="150">
        <f t="shared" si="47"/>
        <v>1210604.493000004</v>
      </c>
      <c r="O108" s="150">
        <f t="shared" si="47"/>
        <v>1210604.493000004</v>
      </c>
    </row>
    <row r="109" spans="1:16">
      <c r="A109" s="152" t="s">
        <v>5757</v>
      </c>
      <c r="B109" s="151"/>
      <c r="C109" s="151"/>
      <c r="D109" s="150">
        <f t="shared" ref="D109:L109" si="48">D107-D108</f>
        <v>3924308.0890000029</v>
      </c>
      <c r="E109" s="150">
        <f t="shared" si="48"/>
        <v>3209992.7590000024</v>
      </c>
      <c r="F109" s="150">
        <f t="shared" si="48"/>
        <v>3019621.2879999997</v>
      </c>
      <c r="G109" s="150">
        <f t="shared" si="48"/>
        <v>2806611.0820000032</v>
      </c>
      <c r="H109" s="150">
        <f t="shared" si="48"/>
        <v>3504273.7720000027</v>
      </c>
      <c r="I109" s="150">
        <f t="shared" si="48"/>
        <v>6157030.3229999999</v>
      </c>
      <c r="J109" s="150">
        <f t="shared" si="48"/>
        <v>3430015.0180000002</v>
      </c>
      <c r="K109" s="150">
        <f t="shared" si="48"/>
        <v>3394885.8610000019</v>
      </c>
      <c r="L109" s="150">
        <f t="shared" si="48"/>
        <v>3192551.6469999957</v>
      </c>
      <c r="M109" s="150">
        <f t="shared" si="47"/>
        <v>3192551.6469999957</v>
      </c>
      <c r="N109" s="150">
        <f t="shared" si="47"/>
        <v>3192551.6469999957</v>
      </c>
      <c r="O109" s="150">
        <f t="shared" si="47"/>
        <v>3192551.6469999957</v>
      </c>
    </row>
    <row r="111" spans="1:16" ht="17.45" thickBot="1">
      <c r="C111" s="149"/>
      <c r="D111" s="148"/>
      <c r="E111" s="148"/>
      <c r="F111" s="148"/>
      <c r="G111" s="148"/>
      <c r="H111" s="148"/>
      <c r="I111" s="148"/>
      <c r="J111" s="148"/>
      <c r="K111" s="148"/>
      <c r="L111" s="148"/>
      <c r="M111" s="148"/>
      <c r="N111" s="148"/>
      <c r="O111" s="148"/>
    </row>
    <row r="112" spans="1:16" ht="17.45" thickBot="1">
      <c r="B112" s="147" t="s">
        <v>5758</v>
      </c>
      <c r="C112" s="146"/>
      <c r="D112" s="145" t="s">
        <v>5695</v>
      </c>
      <c r="E112" s="145" t="s">
        <v>5696</v>
      </c>
      <c r="F112" s="145" t="s">
        <v>5697</v>
      </c>
      <c r="G112" s="145" t="s">
        <v>5698</v>
      </c>
      <c r="H112" s="145" t="s">
        <v>5699</v>
      </c>
      <c r="I112" s="145" t="s">
        <v>5700</v>
      </c>
      <c r="J112" s="145" t="s">
        <v>5701</v>
      </c>
      <c r="K112" s="145" t="s">
        <v>5702</v>
      </c>
      <c r="L112" s="145" t="s">
        <v>5703</v>
      </c>
      <c r="M112" s="145" t="s">
        <v>5704</v>
      </c>
      <c r="N112" s="145" t="s">
        <v>5705</v>
      </c>
      <c r="O112" s="145" t="s">
        <v>5706</v>
      </c>
    </row>
    <row r="113" spans="2:15">
      <c r="B113" s="138" t="s">
        <v>5759</v>
      </c>
      <c r="C113" s="144">
        <v>41132</v>
      </c>
      <c r="D113" s="141">
        <f>'[7]01.2023'!H216</f>
        <v>18143.32</v>
      </c>
      <c r="E113" s="141">
        <f>'[7]02.2023'!H222</f>
        <v>170709.37</v>
      </c>
      <c r="F113" s="141">
        <f>'[7]03.2023'!H226</f>
        <v>323722.11</v>
      </c>
      <c r="G113" s="140">
        <f>'[7]04.2023'!H222</f>
        <v>476365.6</v>
      </c>
      <c r="H113" s="140">
        <f>'[7]05.2023'!H233</f>
        <v>629009.09</v>
      </c>
      <c r="I113" s="140">
        <f>'[7]06.2023'!H228</f>
        <v>779436.96</v>
      </c>
      <c r="J113" s="140">
        <f>[8]IRPJ_CSLL_2023!$J$109</f>
        <v>928611.32</v>
      </c>
      <c r="K113" s="140">
        <f>[8]IRPJ_CSLL_2023!$K$109</f>
        <v>1078374.54</v>
      </c>
      <c r="L113" s="140">
        <f>[8]IRPJ_CSLL_2023!$L$109</f>
        <v>1233061.29</v>
      </c>
      <c r="M113" s="140">
        <f>'[7]10.2022'!G235</f>
        <v>1461175.56</v>
      </c>
      <c r="N113" s="140">
        <f>VLOOKUP(C113,'[7]11.2022'!B:G,6,0)</f>
        <v>1603684.86</v>
      </c>
      <c r="O113" s="140">
        <f>'[7]12.2022'!H263</f>
        <v>1886772.51</v>
      </c>
    </row>
    <row r="114" spans="2:15" ht="17.45" thickBot="1">
      <c r="B114" s="143" t="s">
        <v>5759</v>
      </c>
      <c r="C114" s="142">
        <v>42132</v>
      </c>
      <c r="D114" s="141">
        <f>'[7]01.2023'!H263</f>
        <v>7947.77</v>
      </c>
      <c r="E114" s="141">
        <f>'[7]02.2023'!H274</f>
        <v>77794.039999999994</v>
      </c>
      <c r="F114" s="141">
        <f>'[7]03.2023'!H280</f>
        <v>77794.039999999994</v>
      </c>
      <c r="G114" s="140">
        <f>'[7]04.2023'!H276</f>
        <v>218348.03</v>
      </c>
      <c r="H114" s="140">
        <f>'[7]05.2023'!H287</f>
        <v>288540.13</v>
      </c>
      <c r="I114" s="140">
        <f>'[7]06.2023'!H282</f>
        <v>357713.39</v>
      </c>
      <c r="J114" s="140">
        <f>[8]IRPJ_CSLL_2023!$J$110</f>
        <v>426343.29</v>
      </c>
      <c r="K114" s="140">
        <f>[8]IRPJ_CSLL_2023!$K$110</f>
        <v>495210.91</v>
      </c>
      <c r="L114" s="140">
        <f>[8]IRPJ_CSLL_2023!$L$110</f>
        <v>565875.39</v>
      </c>
      <c r="M114" s="140">
        <f>'[7]10.2022'!G288</f>
        <v>670023.73</v>
      </c>
      <c r="N114" s="140">
        <f>VLOOKUP(C114,'[7]11.2022'!B:G,6,0)</f>
        <v>735754</v>
      </c>
      <c r="O114" s="140">
        <f>'[7]12.2022'!H318</f>
        <v>866557.95</v>
      </c>
    </row>
    <row r="115" spans="2:15" ht="17.45" thickBot="1">
      <c r="B115" s="1133" t="s">
        <v>5760</v>
      </c>
      <c r="C115" s="1134"/>
      <c r="D115" s="139">
        <f t="shared" ref="D115:O115" si="49">SUM(D113:D114)</f>
        <v>26091.09</v>
      </c>
      <c r="E115" s="139">
        <f t="shared" si="49"/>
        <v>248503.40999999997</v>
      </c>
      <c r="F115" s="139">
        <f t="shared" si="49"/>
        <v>401516.14999999997</v>
      </c>
      <c r="G115" s="139">
        <f t="shared" si="49"/>
        <v>694713.63</v>
      </c>
      <c r="H115" s="139">
        <f t="shared" si="49"/>
        <v>917549.22</v>
      </c>
      <c r="I115" s="139">
        <f t="shared" si="49"/>
        <v>1137150.3500000001</v>
      </c>
      <c r="J115" s="139">
        <f>SUM(J113:J114)</f>
        <v>1354954.6099999999</v>
      </c>
      <c r="K115" s="139">
        <f>SUM(K113:K114)</f>
        <v>1573585.45</v>
      </c>
      <c r="L115" s="139">
        <f t="shared" si="49"/>
        <v>1798936.6800000002</v>
      </c>
      <c r="M115" s="139">
        <f t="shared" si="49"/>
        <v>2131199.29</v>
      </c>
      <c r="N115" s="139">
        <f t="shared" si="49"/>
        <v>2339438.8600000003</v>
      </c>
      <c r="O115" s="139">
        <f t="shared" si="49"/>
        <v>2753330.46</v>
      </c>
    </row>
    <row r="116" spans="2:15">
      <c r="B116" s="1135" t="s">
        <v>5761</v>
      </c>
      <c r="C116" s="1136"/>
      <c r="D116" s="137">
        <f t="shared" ref="D116:O116" si="50">D115*0.15</f>
        <v>3913.6634999999997</v>
      </c>
      <c r="E116" s="137">
        <f t="shared" si="50"/>
        <v>37275.511499999993</v>
      </c>
      <c r="F116" s="137">
        <f t="shared" si="50"/>
        <v>60227.422499999993</v>
      </c>
      <c r="G116" s="137">
        <f t="shared" si="50"/>
        <v>104207.0445</v>
      </c>
      <c r="H116" s="137">
        <f t="shared" si="50"/>
        <v>137632.383</v>
      </c>
      <c r="I116" s="137">
        <f t="shared" si="50"/>
        <v>170572.55250000002</v>
      </c>
      <c r="J116" s="137">
        <f>J115*0.15</f>
        <v>203243.19149999999</v>
      </c>
      <c r="K116" s="137">
        <f t="shared" si="50"/>
        <v>236037.81749999998</v>
      </c>
      <c r="L116" s="137">
        <f t="shared" si="50"/>
        <v>269840.50200000004</v>
      </c>
      <c r="M116" s="137">
        <f t="shared" si="50"/>
        <v>319679.89350000001</v>
      </c>
      <c r="N116" s="137">
        <f t="shared" si="50"/>
        <v>350915.82900000003</v>
      </c>
      <c r="O116" s="137">
        <f t="shared" si="50"/>
        <v>412999.56899999996</v>
      </c>
    </row>
    <row r="117" spans="2:15">
      <c r="B117" s="138" t="s">
        <v>5762</v>
      </c>
      <c r="C117" s="135"/>
      <c r="D117" s="137">
        <f t="shared" ref="D117:O117" si="51">D85*0.04</f>
        <v>6703.8727139999955</v>
      </c>
      <c r="E117" s="137">
        <f t="shared" si="51"/>
        <v>16704.287334000001</v>
      </c>
      <c r="F117" s="137">
        <f t="shared" si="51"/>
        <v>19369.487928000039</v>
      </c>
      <c r="G117" s="137">
        <f t="shared" si="51"/>
        <v>22351.630811999985</v>
      </c>
      <c r="H117" s="137">
        <f t="shared" si="51"/>
        <v>12584.353151999994</v>
      </c>
      <c r="I117" s="137">
        <f t="shared" si="51"/>
        <v>17393.605278000025</v>
      </c>
      <c r="J117" s="137">
        <f>J85*0.04</f>
        <v>13623.975708000031</v>
      </c>
      <c r="K117" s="137">
        <f t="shared" si="51"/>
        <v>14115.783906000011</v>
      </c>
      <c r="L117" s="137">
        <f>L85*0.04</f>
        <v>16948.462902000058</v>
      </c>
      <c r="M117" s="137">
        <f t="shared" si="51"/>
        <v>9932.698188000033</v>
      </c>
      <c r="N117" s="137">
        <f t="shared" si="51"/>
        <v>16998.621611999981</v>
      </c>
      <c r="O117" s="137">
        <f t="shared" si="51"/>
        <v>0</v>
      </c>
    </row>
    <row r="118" spans="2:15">
      <c r="B118" s="136" t="s">
        <v>5763</v>
      </c>
      <c r="C118" s="135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</row>
    <row r="119" spans="2:15" ht="17.45" thickBot="1">
      <c r="B119" s="133" t="s">
        <v>5764</v>
      </c>
      <c r="C119" s="132"/>
      <c r="D119" s="131">
        <f t="shared" ref="D119:O119" si="52">IF(D117&gt;0,(D116-D117),0)</f>
        <v>-2790.2092139999959</v>
      </c>
      <c r="E119" s="131">
        <f t="shared" si="52"/>
        <v>20571.224165999993</v>
      </c>
      <c r="F119" s="131">
        <f t="shared" si="52"/>
        <v>40857.934571999955</v>
      </c>
      <c r="G119" s="131">
        <f t="shared" si="52"/>
        <v>81855.413688000015</v>
      </c>
      <c r="H119" s="131">
        <f t="shared" si="52"/>
        <v>125048.02984800001</v>
      </c>
      <c r="I119" s="131">
        <f t="shared" si="52"/>
        <v>153178.94722199999</v>
      </c>
      <c r="J119" s="131">
        <f t="shared" si="52"/>
        <v>189619.21579199994</v>
      </c>
      <c r="K119" s="131">
        <f t="shared" si="52"/>
        <v>221922.03359399998</v>
      </c>
      <c r="L119" s="131">
        <f t="shared" si="52"/>
        <v>252892.03909799998</v>
      </c>
      <c r="M119" s="131">
        <f t="shared" si="52"/>
        <v>309747.195312</v>
      </c>
      <c r="N119" s="131">
        <f t="shared" si="52"/>
        <v>333917.20738800004</v>
      </c>
      <c r="O119" s="131">
        <f t="shared" si="52"/>
        <v>0</v>
      </c>
    </row>
    <row r="120" spans="2:15">
      <c r="B120" s="129"/>
      <c r="C120" s="130"/>
      <c r="D120" s="129"/>
      <c r="E120" s="129"/>
    </row>
    <row r="121" spans="2:15">
      <c r="K121" s="128"/>
    </row>
    <row r="123" spans="2:15">
      <c r="K123" s="127"/>
    </row>
    <row r="129" spans="2:6">
      <c r="B129" s="125" t="s">
        <v>5767</v>
      </c>
    </row>
    <row r="130" spans="2:6">
      <c r="B130" s="125" t="s">
        <v>5769</v>
      </c>
    </row>
    <row r="131" spans="2:6">
      <c r="B131" s="125" t="s">
        <v>5771</v>
      </c>
      <c r="F131" s="127">
        <f>+F38+F98</f>
        <v>1036911.4379920021</v>
      </c>
    </row>
    <row r="132" spans="2:6">
      <c r="F132" s="128" t="e">
        <f>-#REF!</f>
        <v>#REF!</v>
      </c>
    </row>
    <row r="133" spans="2:6">
      <c r="B133" s="125" t="s">
        <v>328</v>
      </c>
      <c r="F133" s="127" t="e">
        <f>+F132-F131</f>
        <v>#REF!</v>
      </c>
    </row>
    <row r="134" spans="2:6">
      <c r="B134" s="125" t="s">
        <v>5773</v>
      </c>
    </row>
    <row r="135" spans="2:6">
      <c r="B135" s="125" t="s">
        <v>5775</v>
      </c>
    </row>
  </sheetData>
  <autoFilter ref="A6:I7" xr:uid="{00000000-0009-0000-0000-00001E000000}"/>
  <mergeCells count="33">
    <mergeCell ref="A106:C106"/>
    <mergeCell ref="B115:C115"/>
    <mergeCell ref="B116:C116"/>
    <mergeCell ref="A84:C84"/>
    <mergeCell ref="A88:C88"/>
    <mergeCell ref="A96:C96"/>
    <mergeCell ref="A98:C98"/>
    <mergeCell ref="A102:C102"/>
    <mergeCell ref="A104:C104"/>
    <mergeCell ref="A82:C82"/>
    <mergeCell ref="A44:C44"/>
    <mergeCell ref="A46:C46"/>
    <mergeCell ref="A51:A52"/>
    <mergeCell ref="A54:C54"/>
    <mergeCell ref="A56:C56"/>
    <mergeCell ref="A57:C57"/>
    <mergeCell ref="A58:A71"/>
    <mergeCell ref="A74:C74"/>
    <mergeCell ref="A75:C75"/>
    <mergeCell ref="A80:C80"/>
    <mergeCell ref="A76:A77"/>
    <mergeCell ref="A40:C40"/>
    <mergeCell ref="A6:A7"/>
    <mergeCell ref="A9:C9"/>
    <mergeCell ref="A11:C11"/>
    <mergeCell ref="A12:C12"/>
    <mergeCell ref="A13:A26"/>
    <mergeCell ref="A28:C28"/>
    <mergeCell ref="A29:C29"/>
    <mergeCell ref="A30:A31"/>
    <mergeCell ref="A34:C34"/>
    <mergeCell ref="A37:C37"/>
    <mergeCell ref="A38:C38"/>
  </mergeCells>
  <conditionalFormatting sqref="B100">
    <cfRule type="cellIs" dxfId="3" priority="13" operator="lessThan">
      <formula>0</formula>
    </cfRule>
  </conditionalFormatting>
  <conditionalFormatting sqref="D35:O35">
    <cfRule type="cellIs" dxfId="2" priority="1" operator="lessThan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scale="52" fitToHeight="0" orientation="landscape" r:id="rId1"/>
  <rowBreaks count="1" manualBreakCount="1">
    <brk id="49" max="14" man="1"/>
  </rowBreaks>
  <colBreaks count="1" manualBreakCount="1">
    <brk id="11" max="108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2060"/>
  </sheetPr>
  <dimension ref="A1:T138"/>
  <sheetViews>
    <sheetView showGridLines="0" zoomScale="70" zoomScaleNormal="70" workbookViewId="0">
      <pane xSplit="3" ySplit="6" topLeftCell="J7" activePane="bottomRight" state="frozen"/>
      <selection pane="bottomRight" activeCell="Q36" sqref="Q36"/>
      <selection pane="bottomLeft"/>
      <selection pane="topRight"/>
    </sheetView>
  </sheetViews>
  <sheetFormatPr defaultColWidth="9.28515625" defaultRowHeight="16.899999999999999"/>
  <cols>
    <col min="1" max="1" width="50.7109375" style="125" customWidth="1"/>
    <col min="2" max="2" width="38.7109375" style="125" customWidth="1"/>
    <col min="3" max="3" width="39.42578125" style="125" customWidth="1"/>
    <col min="4" max="4" width="18.28515625" style="127" customWidth="1"/>
    <col min="5" max="5" width="20.28515625" style="127" customWidth="1"/>
    <col min="6" max="11" width="18.28515625" style="125" customWidth="1"/>
    <col min="12" max="13" width="20.7109375" style="125" customWidth="1"/>
    <col min="14" max="14" width="19.42578125" style="125" customWidth="1"/>
    <col min="15" max="15" width="18.28515625" style="125" hidden="1" customWidth="1"/>
    <col min="16" max="16" width="17.42578125" style="126" bestFit="1" customWidth="1"/>
    <col min="17" max="17" width="15.28515625" style="125" customWidth="1"/>
    <col min="18" max="18" width="18.28515625" style="125" bestFit="1" customWidth="1"/>
    <col min="19" max="19" width="16.42578125" style="125" bestFit="1" customWidth="1"/>
    <col min="20" max="16384" width="9.28515625" style="125"/>
  </cols>
  <sheetData>
    <row r="1" spans="1:18" s="275" customFormat="1">
      <c r="D1" s="280"/>
      <c r="E1" s="280"/>
      <c r="P1" s="276"/>
    </row>
    <row r="2" spans="1:18" s="275" customFormat="1" ht="20.45">
      <c r="B2" s="279" t="s">
        <v>5690</v>
      </c>
      <c r="D2" s="279"/>
      <c r="E2" s="278"/>
      <c r="P2" s="276"/>
    </row>
    <row r="3" spans="1:18" s="275" customFormat="1" ht="20.45">
      <c r="B3" s="277" t="s">
        <v>5691</v>
      </c>
      <c r="D3" s="277"/>
      <c r="E3" s="277"/>
      <c r="P3" s="276"/>
    </row>
    <row r="4" spans="1:18" ht="20.45">
      <c r="B4" s="274" t="s">
        <v>5692</v>
      </c>
      <c r="D4" s="274"/>
      <c r="E4" s="274"/>
    </row>
    <row r="5" spans="1:18" ht="20.45">
      <c r="B5" s="274"/>
      <c r="D5" s="274">
        <v>1</v>
      </c>
      <c r="E5" s="274">
        <v>2</v>
      </c>
      <c r="F5" s="125">
        <v>3</v>
      </c>
      <c r="G5" s="274">
        <v>4</v>
      </c>
      <c r="H5" s="274">
        <v>5</v>
      </c>
      <c r="I5" s="125">
        <v>6</v>
      </c>
      <c r="J5" s="274">
        <v>7</v>
      </c>
      <c r="K5" s="274">
        <v>8</v>
      </c>
      <c r="L5" s="125">
        <v>9</v>
      </c>
      <c r="M5" s="274">
        <v>10</v>
      </c>
      <c r="N5" s="274">
        <v>11</v>
      </c>
      <c r="O5" s="125">
        <v>12</v>
      </c>
    </row>
    <row r="6" spans="1:18" s="272" customFormat="1" ht="33" customHeight="1">
      <c r="A6" s="1146" t="s">
        <v>5693</v>
      </c>
      <c r="B6" s="233" t="s">
        <v>5694</v>
      </c>
      <c r="C6" s="232" t="s">
        <v>213</v>
      </c>
      <c r="D6" s="231" t="s">
        <v>5695</v>
      </c>
      <c r="E6" s="231" t="s">
        <v>5696</v>
      </c>
      <c r="F6" s="231" t="s">
        <v>5697</v>
      </c>
      <c r="G6" s="231" t="s">
        <v>5698</v>
      </c>
      <c r="H6" s="231" t="s">
        <v>5699</v>
      </c>
      <c r="I6" s="231" t="s">
        <v>5700</v>
      </c>
      <c r="J6" s="231" t="s">
        <v>5701</v>
      </c>
      <c r="K6" s="231" t="s">
        <v>5702</v>
      </c>
      <c r="L6" s="231" t="s">
        <v>5703</v>
      </c>
      <c r="M6" s="231" t="s">
        <v>5704</v>
      </c>
      <c r="N6" s="231" t="s">
        <v>5705</v>
      </c>
      <c r="O6" s="231" t="s">
        <v>5706</v>
      </c>
      <c r="P6" s="273"/>
    </row>
    <row r="7" spans="1:18">
      <c r="A7" s="1147"/>
      <c r="B7" s="230">
        <v>3</v>
      </c>
      <c r="C7" s="161" t="s">
        <v>184</v>
      </c>
      <c r="D7" s="174">
        <v>14109063.560000001</v>
      </c>
      <c r="E7" s="229">
        <v>32923756.68</v>
      </c>
      <c r="F7" s="229">
        <v>45722408.590000004</v>
      </c>
      <c r="G7" s="174">
        <v>59167087.32</v>
      </c>
      <c r="H7" s="174">
        <v>73946967.659999996</v>
      </c>
      <c r="I7" s="174">
        <v>90061194.299999997</v>
      </c>
      <c r="J7" s="174">
        <v>102518466</v>
      </c>
      <c r="K7" s="174">
        <v>116326095.18000001</v>
      </c>
      <c r="L7" s="271">
        <v>126725465.31999999</v>
      </c>
      <c r="M7" s="1018">
        <v>140283967.43000001</v>
      </c>
      <c r="N7" s="150">
        <v>156242799.31999999</v>
      </c>
      <c r="O7" s="174">
        <v>168941278.81</v>
      </c>
      <c r="P7" s="183"/>
    </row>
    <row r="8" spans="1:18" ht="34.15" thickBot="1">
      <c r="A8" s="221" t="s">
        <v>5707</v>
      </c>
      <c r="B8" s="227">
        <v>4</v>
      </c>
      <c r="C8" s="181" t="s">
        <v>970</v>
      </c>
      <c r="D8" s="174">
        <v>10285496.51</v>
      </c>
      <c r="E8" s="225">
        <v>25945822.260000002</v>
      </c>
      <c r="F8" s="229">
        <v>39165279.759999998</v>
      </c>
      <c r="G8" s="174">
        <v>50691186.770000003</v>
      </c>
      <c r="H8" s="174">
        <v>67438461.099999994</v>
      </c>
      <c r="I8" s="174">
        <v>80211183.340000004</v>
      </c>
      <c r="J8" s="174">
        <v>92109124.689999998</v>
      </c>
      <c r="K8" s="174">
        <v>107662482.73</v>
      </c>
      <c r="L8" s="271">
        <v>119537743.27</v>
      </c>
      <c r="M8" s="150">
        <v>131500198.98</v>
      </c>
      <c r="N8" s="150">
        <v>146323918.34</v>
      </c>
      <c r="O8" s="174">
        <v>163006294.62</v>
      </c>
      <c r="P8" s="183"/>
    </row>
    <row r="9" spans="1:18" ht="17.45" thickBot="1">
      <c r="A9" s="1165" t="s">
        <v>5708</v>
      </c>
      <c r="B9" s="1166"/>
      <c r="C9" s="1167"/>
      <c r="D9" s="184">
        <f t="shared" ref="D9:O9" si="0">D7-D8</f>
        <v>3823567.0500000007</v>
      </c>
      <c r="E9" s="270">
        <f t="shared" si="0"/>
        <v>6977934.4199999981</v>
      </c>
      <c r="F9" s="269">
        <f t="shared" si="0"/>
        <v>6557128.8300000057</v>
      </c>
      <c r="G9" s="185">
        <f t="shared" si="0"/>
        <v>8475900.549999997</v>
      </c>
      <c r="H9" s="185">
        <f t="shared" si="0"/>
        <v>6508506.5600000024</v>
      </c>
      <c r="I9" s="185">
        <f t="shared" si="0"/>
        <v>9850010.9599999934</v>
      </c>
      <c r="J9" s="184">
        <f t="shared" si="0"/>
        <v>10409341.310000002</v>
      </c>
      <c r="K9" s="184">
        <f t="shared" si="0"/>
        <v>8663612.450000003</v>
      </c>
      <c r="L9" s="184">
        <f t="shared" si="0"/>
        <v>7187722.049999997</v>
      </c>
      <c r="M9" s="184">
        <f t="shared" si="0"/>
        <v>8783768.450000003</v>
      </c>
      <c r="N9" s="184">
        <f t="shared" si="0"/>
        <v>9918880.9799999893</v>
      </c>
      <c r="O9" s="184">
        <f t="shared" si="0"/>
        <v>5934984.1899999976</v>
      </c>
      <c r="P9" s="183"/>
    </row>
    <row r="10" spans="1:18" ht="17.45" thickBot="1">
      <c r="A10" s="268"/>
      <c r="B10" s="267" t="s">
        <v>5709</v>
      </c>
      <c r="C10" s="179" t="s">
        <v>5710</v>
      </c>
      <c r="D10" s="210">
        <v>0</v>
      </c>
      <c r="E10" s="210">
        <v>909859.47</v>
      </c>
      <c r="F10" s="174">
        <v>1950432.45</v>
      </c>
      <c r="G10" s="174">
        <v>1988364.19</v>
      </c>
      <c r="H10" s="174">
        <v>2505301.91</v>
      </c>
      <c r="I10" s="174">
        <v>2962923.74</v>
      </c>
      <c r="J10" s="174">
        <v>2962923.74</v>
      </c>
      <c r="K10" s="174">
        <v>3113135.06</v>
      </c>
      <c r="L10" s="174">
        <v>2909643.85</v>
      </c>
      <c r="M10" s="174">
        <v>2489477.91</v>
      </c>
      <c r="N10" s="174">
        <v>2762615.67</v>
      </c>
      <c r="O10" s="174">
        <v>3086376.13</v>
      </c>
      <c r="P10" s="183"/>
    </row>
    <row r="11" spans="1:18" ht="17.45" thickBot="1">
      <c r="A11" s="1151" t="s">
        <v>5711</v>
      </c>
      <c r="B11" s="1152"/>
      <c r="C11" s="1153"/>
      <c r="D11" s="215">
        <f t="shared" ref="D11:O11" si="1">D9+D10</f>
        <v>3823567.0500000007</v>
      </c>
      <c r="E11" s="215">
        <f t="shared" si="1"/>
        <v>7887793.8899999978</v>
      </c>
      <c r="F11" s="266">
        <f t="shared" si="1"/>
        <v>8507561.2800000049</v>
      </c>
      <c r="G11" s="217">
        <f t="shared" si="1"/>
        <v>10464264.739999996</v>
      </c>
      <c r="H11" s="217">
        <f t="shared" si="1"/>
        <v>9013808.4700000025</v>
      </c>
      <c r="I11" s="217">
        <f t="shared" si="1"/>
        <v>12812934.699999994</v>
      </c>
      <c r="J11" s="215">
        <f t="shared" si="1"/>
        <v>13372265.050000003</v>
      </c>
      <c r="K11" s="215">
        <f t="shared" si="1"/>
        <v>11776747.510000004</v>
      </c>
      <c r="L11" s="215">
        <f t="shared" si="1"/>
        <v>10097365.899999997</v>
      </c>
      <c r="M11" s="215">
        <f t="shared" si="1"/>
        <v>11273246.360000003</v>
      </c>
      <c r="N11" s="215">
        <f t="shared" si="1"/>
        <v>12681496.649999989</v>
      </c>
      <c r="O11" s="215">
        <f t="shared" si="1"/>
        <v>9021360.3199999966</v>
      </c>
      <c r="P11" s="183">
        <f>N11/1000</f>
        <v>12681.49664999999</v>
      </c>
      <c r="Q11" s="128">
        <f>N11*34%</f>
        <v>4311708.8609999968</v>
      </c>
      <c r="R11" s="265">
        <f>ROUND(Q11,0)</f>
        <v>4311709</v>
      </c>
    </row>
    <row r="12" spans="1:18" s="172" customFormat="1" ht="17.45" thickBot="1">
      <c r="A12" s="1154" t="s">
        <v>5712</v>
      </c>
      <c r="B12" s="1155"/>
      <c r="C12" s="1156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183">
        <f t="shared" ref="P12:P75" si="2">N12/1000</f>
        <v>0</v>
      </c>
      <c r="Q12" s="128">
        <f t="shared" ref="Q12:Q75" si="3">N12*34%</f>
        <v>0</v>
      </c>
      <c r="R12" s="265">
        <f t="shared" ref="R12:R75" si="4">ROUND(Q12,0)</f>
        <v>0</v>
      </c>
    </row>
    <row r="13" spans="1:18" s="172" customFormat="1">
      <c r="A13" s="1168" t="s">
        <v>5713</v>
      </c>
      <c r="B13" s="176">
        <v>411111</v>
      </c>
      <c r="C13" s="175" t="s">
        <v>5714</v>
      </c>
      <c r="D13" s="174">
        <v>15645.08</v>
      </c>
      <c r="E13" s="174">
        <v>16974.7</v>
      </c>
      <c r="F13" s="174">
        <v>16974.7</v>
      </c>
      <c r="G13" s="174">
        <v>16974.7</v>
      </c>
      <c r="H13" s="174">
        <v>28951.56</v>
      </c>
      <c r="I13" s="174">
        <v>42771.01</v>
      </c>
      <c r="J13" s="174">
        <v>44613.599999999999</v>
      </c>
      <c r="K13" s="174">
        <v>61890.36</v>
      </c>
      <c r="L13" s="174">
        <v>79762.87</v>
      </c>
      <c r="M13" s="150">
        <v>80358.62</v>
      </c>
      <c r="N13" s="150">
        <v>80358.62</v>
      </c>
      <c r="O13" s="174">
        <v>80358.62</v>
      </c>
      <c r="P13" s="183">
        <f t="shared" si="2"/>
        <v>80.358620000000002</v>
      </c>
      <c r="Q13" s="128">
        <f t="shared" si="3"/>
        <v>27321.930800000002</v>
      </c>
      <c r="R13" s="265">
        <f t="shared" si="4"/>
        <v>27322</v>
      </c>
    </row>
    <row r="14" spans="1:18" s="172" customFormat="1">
      <c r="A14" s="1157"/>
      <c r="B14" s="176">
        <v>411113</v>
      </c>
      <c r="C14" s="175" t="s">
        <v>988</v>
      </c>
      <c r="D14" s="174">
        <v>1100.18</v>
      </c>
      <c r="E14" s="174">
        <v>2788.91</v>
      </c>
      <c r="F14" s="174">
        <v>2788.91</v>
      </c>
      <c r="G14" s="174">
        <v>12156.4</v>
      </c>
      <c r="H14" s="174">
        <v>12156.4</v>
      </c>
      <c r="I14" s="174">
        <v>12156.4</v>
      </c>
      <c r="J14" s="174">
        <v>18144.830000000002</v>
      </c>
      <c r="K14" s="174">
        <v>26594.34</v>
      </c>
      <c r="L14" s="174">
        <v>26594.34</v>
      </c>
      <c r="M14" s="150">
        <v>26594.34</v>
      </c>
      <c r="N14" s="150">
        <v>31740.51</v>
      </c>
      <c r="O14" s="174">
        <v>41147.26</v>
      </c>
      <c r="P14" s="183">
        <f t="shared" si="2"/>
        <v>31.740509999999997</v>
      </c>
      <c r="Q14" s="128">
        <f t="shared" si="3"/>
        <v>10791.7734</v>
      </c>
      <c r="R14" s="265">
        <f t="shared" si="4"/>
        <v>10792</v>
      </c>
    </row>
    <row r="15" spans="1:18" s="172" customFormat="1">
      <c r="A15" s="1157"/>
      <c r="B15" s="176">
        <v>411310</v>
      </c>
      <c r="C15" s="175" t="s">
        <v>1013</v>
      </c>
      <c r="D15" s="174">
        <v>366.38</v>
      </c>
      <c r="E15" s="229">
        <v>156.91999999999999</v>
      </c>
      <c r="F15" s="174">
        <v>430.96</v>
      </c>
      <c r="G15" s="174">
        <v>705</v>
      </c>
      <c r="H15" s="174">
        <v>1019.19</v>
      </c>
      <c r="I15" s="174">
        <v>1284.3800000000001</v>
      </c>
      <c r="J15" s="174">
        <v>1567.07</v>
      </c>
      <c r="K15" s="174">
        <v>1832.26</v>
      </c>
      <c r="L15" s="174">
        <v>2076.3000000000002</v>
      </c>
      <c r="M15" s="150">
        <v>2320.34</v>
      </c>
      <c r="N15" s="150">
        <v>4639.51</v>
      </c>
      <c r="O15" s="174">
        <v>4884.7</v>
      </c>
      <c r="P15" s="183">
        <f t="shared" si="2"/>
        <v>4.6395100000000005</v>
      </c>
      <c r="Q15" s="128">
        <f t="shared" si="3"/>
        <v>1577.4334000000001</v>
      </c>
      <c r="R15" s="265">
        <f t="shared" si="4"/>
        <v>1577</v>
      </c>
    </row>
    <row r="16" spans="1:18" s="172" customFormat="1">
      <c r="A16" s="1157"/>
      <c r="B16" s="176">
        <v>416211</v>
      </c>
      <c r="C16" s="175" t="s">
        <v>5715</v>
      </c>
      <c r="D16" s="174">
        <v>0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0</v>
      </c>
      <c r="K16" s="174">
        <v>0</v>
      </c>
      <c r="L16" s="174">
        <v>0</v>
      </c>
      <c r="M16" s="174" t="s">
        <v>5805</v>
      </c>
      <c r="N16" s="174">
        <v>0</v>
      </c>
      <c r="O16" s="174">
        <v>0</v>
      </c>
      <c r="P16" s="183">
        <f t="shared" si="2"/>
        <v>0</v>
      </c>
      <c r="Q16" s="128">
        <f t="shared" si="3"/>
        <v>0</v>
      </c>
      <c r="R16" s="265">
        <f t="shared" si="4"/>
        <v>0</v>
      </c>
    </row>
    <row r="17" spans="1:20">
      <c r="A17" s="1157"/>
      <c r="B17" s="176">
        <v>421110</v>
      </c>
      <c r="C17" s="175" t="s">
        <v>5714</v>
      </c>
      <c r="D17" s="174">
        <v>0</v>
      </c>
      <c r="E17" s="229">
        <v>0</v>
      </c>
      <c r="F17" s="174">
        <v>0</v>
      </c>
      <c r="G17" s="174">
        <v>36693.199999999997</v>
      </c>
      <c r="H17" s="174">
        <v>99485.73</v>
      </c>
      <c r="I17" s="174">
        <v>121190.09</v>
      </c>
      <c r="J17" s="174">
        <v>121190.09</v>
      </c>
      <c r="K17" s="174">
        <v>121190.09</v>
      </c>
      <c r="L17" s="174">
        <v>121190.09</v>
      </c>
      <c r="M17" s="150">
        <v>121190.09</v>
      </c>
      <c r="N17" s="150">
        <v>121190.09</v>
      </c>
      <c r="O17" s="174">
        <v>121190.09</v>
      </c>
      <c r="P17" s="183">
        <f t="shared" si="2"/>
        <v>121.19009</v>
      </c>
      <c r="Q17" s="128">
        <f t="shared" si="3"/>
        <v>41204.630600000004</v>
      </c>
      <c r="R17" s="265">
        <f t="shared" si="4"/>
        <v>41205</v>
      </c>
    </row>
    <row r="18" spans="1:20">
      <c r="A18" s="1157"/>
      <c r="B18" s="176">
        <v>421112</v>
      </c>
      <c r="C18" s="175" t="s">
        <v>988</v>
      </c>
      <c r="D18" s="174">
        <v>0</v>
      </c>
      <c r="E18" s="174">
        <v>2934.49</v>
      </c>
      <c r="F18" s="174">
        <v>2934.49</v>
      </c>
      <c r="G18" s="174">
        <v>2934.49</v>
      </c>
      <c r="H18" s="174">
        <v>2934.49</v>
      </c>
      <c r="I18" s="174">
        <v>2934.49</v>
      </c>
      <c r="J18" s="174">
        <v>2934.49</v>
      </c>
      <c r="K18" s="174">
        <v>2934.49</v>
      </c>
      <c r="L18" s="174">
        <v>2934.49</v>
      </c>
      <c r="M18" s="174">
        <v>2934.49</v>
      </c>
      <c r="N18" s="174">
        <v>2934.49</v>
      </c>
      <c r="O18" s="174">
        <v>2934.49</v>
      </c>
      <c r="P18" s="183">
        <f t="shared" si="2"/>
        <v>2.9344899999999998</v>
      </c>
      <c r="Q18" s="128">
        <f t="shared" si="3"/>
        <v>997.72659999999996</v>
      </c>
      <c r="R18" s="265">
        <f t="shared" si="4"/>
        <v>998</v>
      </c>
    </row>
    <row r="19" spans="1:20">
      <c r="A19" s="1157"/>
      <c r="B19" s="176">
        <v>421310</v>
      </c>
      <c r="C19" s="175" t="s">
        <v>1013</v>
      </c>
      <c r="D19" s="174">
        <v>1186.1199999999999</v>
      </c>
      <c r="E19" s="229">
        <v>2210.58</v>
      </c>
      <c r="F19" s="174">
        <v>3377.54</v>
      </c>
      <c r="G19" s="174">
        <v>4544.5</v>
      </c>
      <c r="H19" s="174">
        <v>5697.81</v>
      </c>
      <c r="I19" s="174">
        <v>6851.12</v>
      </c>
      <c r="J19" s="174">
        <v>8004.43</v>
      </c>
      <c r="K19" s="174">
        <v>9157.74</v>
      </c>
      <c r="L19" s="174">
        <v>10282.200000000001</v>
      </c>
      <c r="M19" s="150">
        <v>11406.66</v>
      </c>
      <c r="N19" s="150">
        <v>10395.99</v>
      </c>
      <c r="O19" s="174">
        <v>11534.3</v>
      </c>
      <c r="P19" s="183">
        <f t="shared" si="2"/>
        <v>10.395989999999999</v>
      </c>
      <c r="Q19" s="128">
        <f t="shared" si="3"/>
        <v>3534.6366000000003</v>
      </c>
      <c r="R19" s="265">
        <f t="shared" si="4"/>
        <v>3535</v>
      </c>
    </row>
    <row r="20" spans="1:20">
      <c r="A20" s="1157"/>
      <c r="B20" s="176">
        <v>42541</v>
      </c>
      <c r="C20" s="161" t="s">
        <v>5716</v>
      </c>
      <c r="D20" s="174">
        <v>0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0</v>
      </c>
      <c r="K20" s="174">
        <v>0</v>
      </c>
      <c r="L20" s="174">
        <v>21188.62</v>
      </c>
      <c r="M20" s="150">
        <v>21188.62</v>
      </c>
      <c r="N20" s="150">
        <v>21188.62</v>
      </c>
      <c r="O20" s="174">
        <v>200708.91</v>
      </c>
      <c r="P20" s="183">
        <f t="shared" si="2"/>
        <v>21.18862</v>
      </c>
      <c r="Q20" s="128">
        <f t="shared" si="3"/>
        <v>7204.1307999999999</v>
      </c>
      <c r="R20" s="265">
        <f t="shared" si="4"/>
        <v>7204</v>
      </c>
    </row>
    <row r="21" spans="1:20">
      <c r="A21" s="1157"/>
      <c r="B21" s="176">
        <v>42542</v>
      </c>
      <c r="C21" s="175" t="s">
        <v>5717</v>
      </c>
      <c r="D21" s="174">
        <v>0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0</v>
      </c>
      <c r="K21" s="174">
        <v>0</v>
      </c>
      <c r="L21" s="174">
        <v>0</v>
      </c>
      <c r="M21" s="174" t="s">
        <v>5805</v>
      </c>
      <c r="N21" s="174">
        <v>0</v>
      </c>
      <c r="O21" s="174">
        <v>0</v>
      </c>
      <c r="P21" s="183">
        <f t="shared" si="2"/>
        <v>0</v>
      </c>
      <c r="Q21" s="128">
        <f t="shared" si="3"/>
        <v>0</v>
      </c>
      <c r="R21" s="265">
        <f t="shared" si="4"/>
        <v>0</v>
      </c>
      <c r="T21" s="125">
        <v>11</v>
      </c>
    </row>
    <row r="22" spans="1:20">
      <c r="A22" s="1157"/>
      <c r="B22" s="176">
        <v>42543</v>
      </c>
      <c r="C22" s="161" t="s">
        <v>5156</v>
      </c>
      <c r="D22" s="174">
        <v>0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0</v>
      </c>
      <c r="K22" s="174">
        <v>0</v>
      </c>
      <c r="L22" s="174">
        <v>0</v>
      </c>
      <c r="M22" s="150" t="s">
        <v>5805</v>
      </c>
      <c r="N22" s="150">
        <v>0</v>
      </c>
      <c r="O22" s="174">
        <v>0</v>
      </c>
      <c r="P22" s="183">
        <f t="shared" si="2"/>
        <v>0</v>
      </c>
      <c r="Q22" s="128">
        <f t="shared" si="3"/>
        <v>0</v>
      </c>
      <c r="R22" s="265">
        <f t="shared" si="4"/>
        <v>0</v>
      </c>
    </row>
    <row r="23" spans="1:20">
      <c r="A23" s="1157"/>
      <c r="B23" s="176">
        <v>42544</v>
      </c>
      <c r="C23" s="161" t="s">
        <v>205</v>
      </c>
      <c r="D23" s="174">
        <v>0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0</v>
      </c>
      <c r="K23" s="174">
        <v>1442391.85</v>
      </c>
      <c r="L23" s="174">
        <v>483375.19</v>
      </c>
      <c r="M23" s="150">
        <v>483375.19</v>
      </c>
      <c r="N23" s="150">
        <v>483375.19</v>
      </c>
      <c r="O23" s="174">
        <v>483375.19</v>
      </c>
      <c r="P23" s="183">
        <f t="shared" si="2"/>
        <v>483.37518999999998</v>
      </c>
      <c r="Q23" s="128">
        <f t="shared" si="3"/>
        <v>164347.56460000001</v>
      </c>
      <c r="R23" s="265">
        <f t="shared" si="4"/>
        <v>164348</v>
      </c>
    </row>
    <row r="24" spans="1:20">
      <c r="A24" s="1157"/>
      <c r="B24" s="176">
        <v>42720</v>
      </c>
      <c r="C24" s="161" t="s">
        <v>5718</v>
      </c>
      <c r="D24" s="174">
        <v>110164.44</v>
      </c>
      <c r="E24" s="229">
        <v>220328.88</v>
      </c>
      <c r="F24" s="229">
        <v>249763.72</v>
      </c>
      <c r="G24" s="174">
        <v>360292.98</v>
      </c>
      <c r="H24" s="174">
        <v>470822.24</v>
      </c>
      <c r="I24" s="174">
        <v>331669.01</v>
      </c>
      <c r="J24" s="174">
        <v>443480.07</v>
      </c>
      <c r="K24" s="174">
        <v>555291.13</v>
      </c>
      <c r="L24" s="174">
        <v>928751.87</v>
      </c>
      <c r="M24" s="150">
        <v>928751.87</v>
      </c>
      <c r="N24" s="150">
        <v>928751.87</v>
      </c>
      <c r="O24" s="174">
        <v>1045800.73</v>
      </c>
      <c r="P24" s="183">
        <f t="shared" si="2"/>
        <v>928.75186999999994</v>
      </c>
      <c r="Q24" s="128">
        <f t="shared" si="3"/>
        <v>315775.63580000005</v>
      </c>
      <c r="R24" s="265">
        <f t="shared" si="4"/>
        <v>315776</v>
      </c>
      <c r="S24" s="128"/>
    </row>
    <row r="25" spans="1:20">
      <c r="A25" s="1157"/>
      <c r="B25" s="176">
        <v>426213</v>
      </c>
      <c r="C25" s="175" t="s">
        <v>5715</v>
      </c>
      <c r="D25" s="174">
        <v>0</v>
      </c>
      <c r="E25" s="229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0</v>
      </c>
      <c r="K25" s="174">
        <v>0</v>
      </c>
      <c r="L25" s="174">
        <v>0</v>
      </c>
      <c r="M25" s="150" t="s">
        <v>5805</v>
      </c>
      <c r="N25" s="150">
        <v>0</v>
      </c>
      <c r="O25" s="174">
        <v>0</v>
      </c>
      <c r="P25" s="183">
        <f t="shared" si="2"/>
        <v>0</v>
      </c>
      <c r="Q25" s="128">
        <f t="shared" si="3"/>
        <v>0</v>
      </c>
      <c r="R25" s="265">
        <f t="shared" si="4"/>
        <v>0</v>
      </c>
    </row>
    <row r="26" spans="1:20">
      <c r="A26" s="1157"/>
      <c r="B26" s="176">
        <v>424110</v>
      </c>
      <c r="C26" s="175" t="s">
        <v>5719</v>
      </c>
      <c r="D26" s="174">
        <v>0</v>
      </c>
      <c r="E26" s="174">
        <v>0</v>
      </c>
      <c r="F26" s="174">
        <v>0</v>
      </c>
      <c r="G26" s="174">
        <v>0</v>
      </c>
      <c r="H26" s="174">
        <v>219439.62</v>
      </c>
      <c r="I26" s="174">
        <v>219439.62</v>
      </c>
      <c r="J26" s="174">
        <v>219439.62</v>
      </c>
      <c r="K26" s="174">
        <v>219439.62</v>
      </c>
      <c r="L26" s="174">
        <v>219439.62</v>
      </c>
      <c r="M26" s="150">
        <v>219439.62</v>
      </c>
      <c r="N26" s="150">
        <v>219439.62</v>
      </c>
      <c r="O26" s="174">
        <v>219439.62</v>
      </c>
      <c r="P26" s="183">
        <f t="shared" si="2"/>
        <v>219.43961999999999</v>
      </c>
      <c r="Q26" s="128">
        <f t="shared" si="3"/>
        <v>74609.47080000001</v>
      </c>
      <c r="R26" s="265">
        <f t="shared" si="4"/>
        <v>74609</v>
      </c>
    </row>
    <row r="27" spans="1:20">
      <c r="A27" s="1157"/>
      <c r="B27" s="176">
        <v>427122</v>
      </c>
      <c r="C27" s="161" t="s">
        <v>5720</v>
      </c>
      <c r="D27" s="174">
        <v>77354.75</v>
      </c>
      <c r="E27" s="174">
        <v>153865.01</v>
      </c>
      <c r="F27" s="174">
        <v>229527.34</v>
      </c>
      <c r="G27" s="174">
        <v>304338.28999999998</v>
      </c>
      <c r="H27" s="174">
        <v>378294.39</v>
      </c>
      <c r="I27" s="174">
        <v>451392.16</v>
      </c>
      <c r="J27" s="174">
        <v>523628.1</v>
      </c>
      <c r="K27" s="174">
        <v>594998.69999999995</v>
      </c>
      <c r="L27" s="174">
        <v>665500.43999999994</v>
      </c>
      <c r="M27" s="174">
        <v>735129.77</v>
      </c>
      <c r="N27" s="174">
        <v>803883.14</v>
      </c>
      <c r="O27" s="174">
        <v>962582.74</v>
      </c>
      <c r="P27" s="183">
        <f t="shared" si="2"/>
        <v>803.88314000000003</v>
      </c>
      <c r="Q27" s="128">
        <f t="shared" si="3"/>
        <v>273320.26760000002</v>
      </c>
      <c r="R27" s="265">
        <f t="shared" si="4"/>
        <v>273320</v>
      </c>
    </row>
    <row r="28" spans="1:20" ht="17.45" thickBot="1">
      <c r="A28" s="209"/>
      <c r="B28" s="176">
        <v>426118</v>
      </c>
      <c r="C28" s="161" t="s">
        <v>513</v>
      </c>
      <c r="D28" s="174">
        <v>227043.25</v>
      </c>
      <c r="E28" s="174">
        <v>454086.5</v>
      </c>
      <c r="F28" s="174">
        <v>681129.75</v>
      </c>
      <c r="G28" s="174">
        <v>908173</v>
      </c>
      <c r="H28" s="174">
        <v>1135216.25</v>
      </c>
      <c r="I28" s="174">
        <v>1362259.5</v>
      </c>
      <c r="J28" s="174">
        <v>1589302.75</v>
      </c>
      <c r="K28" s="174">
        <v>1816346</v>
      </c>
      <c r="L28" s="174">
        <v>2043389.25</v>
      </c>
      <c r="M28" s="174">
        <v>2270432.5</v>
      </c>
      <c r="N28" s="174">
        <v>2497475.75</v>
      </c>
      <c r="O28" s="174">
        <v>2929337.76</v>
      </c>
      <c r="P28" s="183">
        <f t="shared" si="2"/>
        <v>2497.4757500000001</v>
      </c>
      <c r="Q28" s="128">
        <f t="shared" si="3"/>
        <v>849141.755</v>
      </c>
      <c r="R28" s="265">
        <f t="shared" si="4"/>
        <v>849142</v>
      </c>
    </row>
    <row r="29" spans="1:20" s="172" customFormat="1" ht="17.45" thickBot="1">
      <c r="A29" s="1154" t="s">
        <v>5721</v>
      </c>
      <c r="B29" s="1155"/>
      <c r="C29" s="1156"/>
      <c r="D29" s="264">
        <f t="shared" ref="D29:I29" si="5">SUM(D13:D28)</f>
        <v>432860.2</v>
      </c>
      <c r="E29" s="264">
        <f t="shared" si="5"/>
        <v>853345.99</v>
      </c>
      <c r="F29" s="264">
        <f t="shared" si="5"/>
        <v>1186927.4100000001</v>
      </c>
      <c r="G29" s="264">
        <f t="shared" si="5"/>
        <v>1646812.56</v>
      </c>
      <c r="H29" s="264">
        <f t="shared" si="5"/>
        <v>2354017.6799999997</v>
      </c>
      <c r="I29" s="264">
        <f t="shared" si="5"/>
        <v>2551947.7800000003</v>
      </c>
      <c r="J29" s="264">
        <f t="shared" ref="J29:O29" si="6">SUM(J13:J28)</f>
        <v>2972305.05</v>
      </c>
      <c r="K29" s="264">
        <f t="shared" si="6"/>
        <v>4852066.58</v>
      </c>
      <c r="L29" s="264">
        <f t="shared" si="6"/>
        <v>4604485.2799999993</v>
      </c>
      <c r="M29" s="264">
        <f t="shared" si="6"/>
        <v>4903122.1099999994</v>
      </c>
      <c r="N29" s="264">
        <f t="shared" si="6"/>
        <v>5205373.4000000004</v>
      </c>
      <c r="O29" s="264">
        <f t="shared" si="6"/>
        <v>6103294.4100000001</v>
      </c>
      <c r="P29" s="183">
        <f t="shared" si="2"/>
        <v>5205.3734000000004</v>
      </c>
      <c r="Q29" s="128">
        <f t="shared" si="3"/>
        <v>1769826.9560000002</v>
      </c>
      <c r="R29" s="265">
        <f t="shared" si="4"/>
        <v>1769827</v>
      </c>
      <c r="S29" s="263"/>
    </row>
    <row r="30" spans="1:20" s="172" customFormat="1" ht="17.45" thickBot="1">
      <c r="A30" s="1158" t="s">
        <v>5722</v>
      </c>
      <c r="B30" s="1159"/>
      <c r="C30" s="1160"/>
      <c r="D30" s="201"/>
      <c r="E30" s="201"/>
      <c r="F30" s="202"/>
      <c r="G30" s="262"/>
      <c r="H30" s="262"/>
      <c r="I30" s="201"/>
      <c r="J30" s="201"/>
      <c r="K30" s="201"/>
      <c r="L30" s="201"/>
      <c r="M30" s="201"/>
      <c r="N30" s="201"/>
      <c r="O30" s="201"/>
      <c r="P30" s="183">
        <f t="shared" si="2"/>
        <v>0</v>
      </c>
      <c r="Q30" s="128">
        <f t="shared" si="3"/>
        <v>0</v>
      </c>
      <c r="R30" s="265">
        <f t="shared" si="4"/>
        <v>0</v>
      </c>
    </row>
    <row r="31" spans="1:20" s="256" customFormat="1" ht="15.95" customHeight="1">
      <c r="A31" s="1174" t="s">
        <v>5724</v>
      </c>
      <c r="B31" s="176">
        <v>33611</v>
      </c>
      <c r="C31" s="161" t="s">
        <v>4994</v>
      </c>
      <c r="D31" s="257">
        <f>'[7]01.2022'!G1398</f>
        <v>0</v>
      </c>
      <c r="E31" s="257"/>
      <c r="F31" s="257">
        <v>4097.53</v>
      </c>
      <c r="G31" s="174">
        <v>853908.84</v>
      </c>
      <c r="H31" s="167">
        <v>1423181.4</v>
      </c>
      <c r="I31" s="167">
        <v>0</v>
      </c>
      <c r="J31" s="257">
        <f>[8]IRPJ_CSLL_2023!$J$29</f>
        <v>0</v>
      </c>
      <c r="K31" s="257">
        <v>0</v>
      </c>
      <c r="L31" s="257">
        <v>395364.68</v>
      </c>
      <c r="M31" s="257">
        <v>2888461.56</v>
      </c>
      <c r="N31" s="257">
        <v>3183622.53</v>
      </c>
      <c r="O31" s="259">
        <v>396703.92</v>
      </c>
      <c r="P31" s="183">
        <f t="shared" si="2"/>
        <v>3183.6225299999996</v>
      </c>
      <c r="Q31" s="128">
        <f t="shared" si="3"/>
        <v>1082431.6602</v>
      </c>
      <c r="R31" s="265">
        <f t="shared" si="4"/>
        <v>1082432</v>
      </c>
    </row>
    <row r="32" spans="1:20" s="256" customFormat="1" ht="18" customHeight="1">
      <c r="A32" s="1175"/>
      <c r="B32" s="196">
        <v>33612</v>
      </c>
      <c r="C32" s="181" t="s">
        <v>4996</v>
      </c>
      <c r="D32" s="257">
        <f>'[7]01.2022'!G1399</f>
        <v>0</v>
      </c>
      <c r="E32" s="257">
        <v>0</v>
      </c>
      <c r="F32" s="257">
        <v>0</v>
      </c>
      <c r="G32" s="174">
        <v>4097.53</v>
      </c>
      <c r="H32" s="174">
        <v>4097.53</v>
      </c>
      <c r="I32" s="167">
        <v>167006.07999999999</v>
      </c>
      <c r="J32" s="167">
        <v>167006.07999999999</v>
      </c>
      <c r="K32" s="167">
        <v>907863.88</v>
      </c>
      <c r="L32" s="167">
        <v>2494.36</v>
      </c>
      <c r="M32" s="261">
        <v>395364.68</v>
      </c>
      <c r="N32" s="260">
        <v>395364.68</v>
      </c>
      <c r="O32" s="167">
        <v>2494.36</v>
      </c>
      <c r="P32" s="183">
        <f t="shared" si="2"/>
        <v>395.36468000000002</v>
      </c>
      <c r="Q32" s="128">
        <f t="shared" si="3"/>
        <v>134423.99120000002</v>
      </c>
      <c r="R32" s="265">
        <f t="shared" si="4"/>
        <v>134424</v>
      </c>
    </row>
    <row r="33" spans="1:18" s="256" customFormat="1" ht="18" customHeight="1">
      <c r="A33" s="1175"/>
      <c r="B33" s="196">
        <v>33613</v>
      </c>
      <c r="C33" s="181" t="s">
        <v>4998</v>
      </c>
      <c r="D33" s="257">
        <f>'[7]01.2022'!G1400</f>
        <v>0</v>
      </c>
      <c r="E33" s="257">
        <v>0</v>
      </c>
      <c r="F33" s="257">
        <v>0</v>
      </c>
      <c r="G33" s="174">
        <v>0</v>
      </c>
      <c r="H33" s="174">
        <v>0</v>
      </c>
      <c r="I33" s="167">
        <v>0</v>
      </c>
      <c r="J33" s="167">
        <f>[8]IRPJ_CSLL_2023!$J$31</f>
        <v>0</v>
      </c>
      <c r="K33" s="167">
        <v>0</v>
      </c>
      <c r="L33" s="167"/>
      <c r="M33" s="167">
        <v>2494.36</v>
      </c>
      <c r="N33" s="167">
        <v>2494.36</v>
      </c>
      <c r="P33" s="183">
        <f t="shared" si="2"/>
        <v>2.4943599999999999</v>
      </c>
      <c r="Q33" s="128">
        <f t="shared" si="3"/>
        <v>848.08240000000012</v>
      </c>
      <c r="R33" s="265">
        <f t="shared" si="4"/>
        <v>848</v>
      </c>
    </row>
    <row r="34" spans="1:18" s="256" customFormat="1" ht="18" customHeight="1" thickBot="1">
      <c r="A34" s="1176"/>
      <c r="B34" s="227">
        <v>211161</v>
      </c>
      <c r="C34" s="181" t="s">
        <v>5723</v>
      </c>
      <c r="D34" s="257">
        <v>284636.28000000003</v>
      </c>
      <c r="E34" s="257">
        <v>284636.28000000003</v>
      </c>
      <c r="F34" s="167">
        <v>853908.84</v>
      </c>
      <c r="G34" s="174">
        <v>0</v>
      </c>
      <c r="H34" s="174">
        <v>0</v>
      </c>
      <c r="I34" s="167">
        <v>1707817.68</v>
      </c>
      <c r="J34" s="167">
        <v>2002978.65</v>
      </c>
      <c r="K34" s="257">
        <v>2298139.62</v>
      </c>
      <c r="L34" s="174">
        <v>2593300.59</v>
      </c>
      <c r="M34" s="174" t="s">
        <v>5805</v>
      </c>
      <c r="N34" s="174">
        <v>0</v>
      </c>
      <c r="O34" s="167">
        <v>3478783.5</v>
      </c>
      <c r="P34" s="183">
        <f t="shared" si="2"/>
        <v>0</v>
      </c>
      <c r="Q34" s="128">
        <f t="shared" si="3"/>
        <v>0</v>
      </c>
      <c r="R34" s="265">
        <f t="shared" si="4"/>
        <v>0</v>
      </c>
    </row>
    <row r="35" spans="1:18" s="256" customFormat="1" ht="18" customHeight="1" thickBot="1">
      <c r="A35" s="258"/>
      <c r="B35" s="196">
        <v>33614</v>
      </c>
      <c r="C35" s="181" t="s">
        <v>5725</v>
      </c>
      <c r="D35" s="257">
        <v>0</v>
      </c>
      <c r="E35" s="257">
        <v>0</v>
      </c>
      <c r="F35" s="257">
        <v>209184.26</v>
      </c>
      <c r="G35" s="174">
        <v>209184.26</v>
      </c>
      <c r="H35" s="174">
        <v>209184.26</v>
      </c>
      <c r="I35" s="167">
        <v>0</v>
      </c>
      <c r="J35" s="167"/>
      <c r="K35" s="167">
        <v>0</v>
      </c>
      <c r="L35" s="174"/>
      <c r="M35" s="174" t="s">
        <v>5805</v>
      </c>
      <c r="N35" s="128">
        <v>0</v>
      </c>
      <c r="O35" s="587">
        <v>0</v>
      </c>
      <c r="P35" s="183">
        <f t="shared" si="2"/>
        <v>0</v>
      </c>
      <c r="Q35" s="128">
        <f t="shared" si="3"/>
        <v>0</v>
      </c>
      <c r="R35" s="265">
        <f t="shared" si="4"/>
        <v>0</v>
      </c>
    </row>
    <row r="36" spans="1:18" s="172" customFormat="1" ht="17.45" thickBot="1">
      <c r="A36" s="1162" t="s">
        <v>5726</v>
      </c>
      <c r="B36" s="1163"/>
      <c r="C36" s="1164"/>
      <c r="D36" s="194">
        <f>SUM(D31:D34)</f>
        <v>284636.28000000003</v>
      </c>
      <c r="E36" s="194">
        <f>SUM(E31:E35)</f>
        <v>284636.28000000003</v>
      </c>
      <c r="F36" s="255">
        <f>SUM(F31:F35)</f>
        <v>1067190.6299999999</v>
      </c>
      <c r="G36" s="254">
        <f>SUM(G31:G35)</f>
        <v>1067190.6299999999</v>
      </c>
      <c r="H36" s="254">
        <f>SUM(H31:H35)</f>
        <v>1636463.19</v>
      </c>
      <c r="I36" s="254">
        <f>SUM(I31:I35)</f>
        <v>1874823.76</v>
      </c>
      <c r="J36" s="193">
        <f>SUM(J31:J34)</f>
        <v>2169984.73</v>
      </c>
      <c r="K36" s="193">
        <f>SUM(K31:K35)</f>
        <v>3206003.5</v>
      </c>
      <c r="L36" s="193">
        <f>SUM(L31:L35)</f>
        <v>2991159.63</v>
      </c>
      <c r="M36" s="193">
        <f>SUM(M31:M35)</f>
        <v>3286320.6</v>
      </c>
      <c r="N36" s="193">
        <f>SUM(N31:N33)</f>
        <v>3581481.57</v>
      </c>
      <c r="O36" s="193">
        <f>SUM(O31:O35)</f>
        <v>3877981.78</v>
      </c>
      <c r="P36" s="183">
        <f t="shared" si="2"/>
        <v>3581.4815699999999</v>
      </c>
      <c r="Q36" s="128">
        <f t="shared" si="3"/>
        <v>1217703.7338</v>
      </c>
      <c r="R36" s="265">
        <f t="shared" si="4"/>
        <v>1217704</v>
      </c>
    </row>
    <row r="37" spans="1:18">
      <c r="A37" s="253" t="s">
        <v>5727</v>
      </c>
      <c r="B37" s="170"/>
      <c r="C37" s="170"/>
      <c r="D37" s="248">
        <f t="shared" ref="D37:O37" si="7">D11+D29-D36</f>
        <v>3971790.9700000007</v>
      </c>
      <c r="E37" s="248">
        <f t="shared" si="7"/>
        <v>8456503.5999999978</v>
      </c>
      <c r="F37" s="252">
        <f t="shared" si="7"/>
        <v>8627298.0600000061</v>
      </c>
      <c r="G37" s="251">
        <f t="shared" si="7"/>
        <v>11043886.669999998</v>
      </c>
      <c r="H37" s="250">
        <f t="shared" si="7"/>
        <v>9731362.9600000028</v>
      </c>
      <c r="I37" s="249">
        <f t="shared" si="7"/>
        <v>13490058.719999993</v>
      </c>
      <c r="J37" s="248">
        <f t="shared" si="7"/>
        <v>14174585.370000001</v>
      </c>
      <c r="K37" s="248">
        <f t="shared" si="7"/>
        <v>13422810.590000004</v>
      </c>
      <c r="L37" s="249">
        <f t="shared" si="7"/>
        <v>11710691.549999997</v>
      </c>
      <c r="M37" s="248">
        <f t="shared" si="7"/>
        <v>12890047.870000003</v>
      </c>
      <c r="N37" s="248">
        <f t="shared" si="7"/>
        <v>14305388.479999989</v>
      </c>
      <c r="O37" s="247">
        <f t="shared" si="7"/>
        <v>11246672.949999997</v>
      </c>
      <c r="P37" s="183">
        <f t="shared" si="2"/>
        <v>14305.388479999989</v>
      </c>
      <c r="Q37" s="128">
        <f t="shared" si="3"/>
        <v>4863832.0831999965</v>
      </c>
      <c r="R37" s="265">
        <f t="shared" si="4"/>
        <v>4863832</v>
      </c>
    </row>
    <row r="38" spans="1:18" ht="17.45" thickBot="1">
      <c r="A38" s="161" t="s">
        <v>5728</v>
      </c>
      <c r="B38" s="161"/>
      <c r="C38" s="161"/>
      <c r="D38" s="150">
        <f t="shared" ref="D38:M38" si="8">-D37*30%</f>
        <v>-1191537.2910000002</v>
      </c>
      <c r="E38" s="150">
        <f t="shared" si="8"/>
        <v>-2536951.0799999991</v>
      </c>
      <c r="F38" s="150">
        <f t="shared" si="8"/>
        <v>-2588189.4180000019</v>
      </c>
      <c r="G38" s="150">
        <f t="shared" si="8"/>
        <v>-3313166.0009999992</v>
      </c>
      <c r="H38" s="246">
        <f t="shared" si="8"/>
        <v>-2919408.8880000007</v>
      </c>
      <c r="I38" s="150">
        <f t="shared" si="8"/>
        <v>-4047017.6159999976</v>
      </c>
      <c r="J38" s="150">
        <f t="shared" si="8"/>
        <v>-4252375.6110000005</v>
      </c>
      <c r="K38" s="150">
        <f t="shared" si="8"/>
        <v>-4026843.1770000011</v>
      </c>
      <c r="L38" s="150">
        <f t="shared" si="8"/>
        <v>-3513207.4649999989</v>
      </c>
      <c r="M38" s="150">
        <f t="shared" si="8"/>
        <v>-3867014.3610000005</v>
      </c>
      <c r="N38" s="150">
        <f>-N37*30%</f>
        <v>-4291616.543999997</v>
      </c>
      <c r="O38" s="150">
        <v>-3374001.8849999993</v>
      </c>
      <c r="P38" s="183">
        <f t="shared" si="2"/>
        <v>-4291.6165439999968</v>
      </c>
      <c r="Q38" s="128">
        <f t="shared" si="3"/>
        <v>-1459149.624959999</v>
      </c>
      <c r="R38" s="265">
        <f t="shared" si="4"/>
        <v>-1459150</v>
      </c>
    </row>
    <row r="39" spans="1:18" ht="17.45" thickBot="1">
      <c r="A39" s="1140" t="s">
        <v>5729</v>
      </c>
      <c r="B39" s="1141"/>
      <c r="C39" s="1142"/>
      <c r="D39" s="245">
        <f t="shared" ref="D39:O39" si="9">D37+D38</f>
        <v>2780253.6790000005</v>
      </c>
      <c r="E39" s="245">
        <f t="shared" si="9"/>
        <v>5919552.5199999986</v>
      </c>
      <c r="F39" s="245">
        <f t="shared" si="9"/>
        <v>6039108.6420000046</v>
      </c>
      <c r="G39" s="169">
        <f t="shared" si="9"/>
        <v>7730720.6689999988</v>
      </c>
      <c r="H39" s="169">
        <f t="shared" si="9"/>
        <v>6811954.0720000025</v>
      </c>
      <c r="I39" s="169">
        <f t="shared" si="9"/>
        <v>9443041.1039999947</v>
      </c>
      <c r="J39" s="245">
        <f t="shared" si="9"/>
        <v>9922209.7589999996</v>
      </c>
      <c r="K39" s="245">
        <f t="shared" si="9"/>
        <v>9395967.4130000025</v>
      </c>
      <c r="L39" s="169">
        <f t="shared" si="9"/>
        <v>8197484.0849999981</v>
      </c>
      <c r="M39" s="245">
        <f t="shared" si="9"/>
        <v>9023033.5090000033</v>
      </c>
      <c r="N39" s="245">
        <f t="shared" si="9"/>
        <v>10013771.935999993</v>
      </c>
      <c r="O39" s="245">
        <f t="shared" si="9"/>
        <v>7872671.0649999976</v>
      </c>
      <c r="P39" s="183">
        <f t="shared" si="2"/>
        <v>10013.771935999994</v>
      </c>
      <c r="Q39" s="128">
        <f t="shared" si="3"/>
        <v>3404682.4582399977</v>
      </c>
      <c r="R39" s="265">
        <f t="shared" si="4"/>
        <v>3404682</v>
      </c>
    </row>
    <row r="40" spans="1:18" ht="17.45" thickBot="1">
      <c r="A40" s="1151" t="s">
        <v>5730</v>
      </c>
      <c r="B40" s="1152"/>
      <c r="C40" s="1153">
        <f>IF(C38&gt;0,C38*9%,0)</f>
        <v>0</v>
      </c>
      <c r="D40" s="215">
        <f t="shared" ref="D40:I40" si="10">IF(D39&gt;0,D39*0.09,0)</f>
        <v>250222.83111000003</v>
      </c>
      <c r="E40" s="244">
        <f t="shared" si="10"/>
        <v>532759.72679999983</v>
      </c>
      <c r="F40" s="243">
        <f t="shared" si="10"/>
        <v>543519.77778000035</v>
      </c>
      <c r="G40" s="243">
        <f t="shared" si="10"/>
        <v>695764.86020999984</v>
      </c>
      <c r="H40" s="243">
        <f t="shared" si="10"/>
        <v>613075.8664800002</v>
      </c>
      <c r="I40" s="243">
        <f t="shared" si="10"/>
        <v>849873.6993599995</v>
      </c>
      <c r="J40" s="215">
        <f t="shared" ref="J40:O40" si="11">IF(J39&gt;0,J39*0.09,0)</f>
        <v>892998.87830999994</v>
      </c>
      <c r="K40" s="215">
        <f t="shared" si="11"/>
        <v>845637.06717000017</v>
      </c>
      <c r="L40" s="215">
        <f t="shared" si="11"/>
        <v>737773.56764999975</v>
      </c>
      <c r="M40" s="215">
        <f t="shared" si="11"/>
        <v>812073.01581000024</v>
      </c>
      <c r="N40" s="215">
        <f t="shared" si="11"/>
        <v>901239.47423999931</v>
      </c>
      <c r="O40" s="215">
        <f t="shared" si="11"/>
        <v>708540.39584999974</v>
      </c>
      <c r="P40" s="183">
        <f t="shared" si="2"/>
        <v>901.23947423999937</v>
      </c>
      <c r="Q40" s="128">
        <f t="shared" si="3"/>
        <v>306421.42124159978</v>
      </c>
      <c r="R40" s="265">
        <f t="shared" si="4"/>
        <v>306421</v>
      </c>
    </row>
    <row r="41" spans="1:18">
      <c r="A41" s="161"/>
      <c r="B41" s="160"/>
      <c r="C41" s="160"/>
      <c r="D41" s="158"/>
      <c r="E41" s="158"/>
      <c r="F41" s="242"/>
      <c r="G41" s="158"/>
      <c r="H41" s="241"/>
      <c r="I41" s="158"/>
      <c r="J41" s="158"/>
      <c r="K41" s="158"/>
      <c r="L41" s="158"/>
      <c r="M41" s="158"/>
      <c r="N41" s="158"/>
      <c r="O41" s="158"/>
      <c r="P41" s="183">
        <f t="shared" si="2"/>
        <v>0</v>
      </c>
      <c r="Q41" s="128">
        <f t="shared" si="3"/>
        <v>0</v>
      </c>
      <c r="R41" s="265">
        <f t="shared" si="4"/>
        <v>0</v>
      </c>
    </row>
    <row r="42" spans="1:18">
      <c r="A42" s="1169" t="s">
        <v>5731</v>
      </c>
      <c r="B42" s="1170"/>
      <c r="C42" s="1171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83">
        <f t="shared" si="2"/>
        <v>0</v>
      </c>
      <c r="Q42" s="128">
        <f t="shared" si="3"/>
        <v>0</v>
      </c>
      <c r="R42" s="265">
        <f t="shared" si="4"/>
        <v>0</v>
      </c>
    </row>
    <row r="43" spans="1:18">
      <c r="A43" s="161" t="s">
        <v>5732</v>
      </c>
      <c r="B43" s="160"/>
      <c r="C43" s="160">
        <v>0</v>
      </c>
      <c r="D43" s="166">
        <f>C48</f>
        <v>0</v>
      </c>
      <c r="E43" s="166">
        <f>D48</f>
        <v>250222.83111000003</v>
      </c>
      <c r="F43" s="166">
        <f>E46+E48</f>
        <v>532759.72679999983</v>
      </c>
      <c r="G43" s="166">
        <f>F46+F48</f>
        <v>543519.77778000035</v>
      </c>
      <c r="H43" s="166">
        <f>G46+G48</f>
        <v>695764.86020999984</v>
      </c>
      <c r="I43" s="166">
        <f>H46</f>
        <v>695764.86020999984</v>
      </c>
      <c r="J43" s="166">
        <f>I46+I48</f>
        <v>849873.6993599995</v>
      </c>
      <c r="K43" s="166">
        <f>J43+J48</f>
        <v>892998.87830999994</v>
      </c>
      <c r="L43" s="166">
        <f>K46</f>
        <v>892998.87830999994</v>
      </c>
      <c r="M43" s="166">
        <f>L43</f>
        <v>892998.87830999994</v>
      </c>
      <c r="N43" s="166">
        <f>M46</f>
        <v>892998.87830999994</v>
      </c>
      <c r="O43" s="166">
        <v>901239.47</v>
      </c>
      <c r="P43" s="183">
        <f t="shared" si="2"/>
        <v>892.9988783099999</v>
      </c>
      <c r="Q43" s="128">
        <f t="shared" si="3"/>
        <v>303619.61862540001</v>
      </c>
      <c r="R43" s="265">
        <f t="shared" si="4"/>
        <v>303620</v>
      </c>
    </row>
    <row r="44" spans="1:18">
      <c r="A44" s="161" t="s">
        <v>5733</v>
      </c>
      <c r="B44" s="165"/>
      <c r="C44" s="165">
        <v>0</v>
      </c>
      <c r="D44" s="240">
        <v>0</v>
      </c>
      <c r="E44" s="158">
        <v>0</v>
      </c>
      <c r="F44" s="158">
        <v>0</v>
      </c>
      <c r="G44" s="158">
        <v>0</v>
      </c>
      <c r="H44" s="158">
        <v>0</v>
      </c>
      <c r="I44" s="158">
        <v>0</v>
      </c>
      <c r="J44" s="158">
        <v>0</v>
      </c>
      <c r="K44" s="158">
        <v>0</v>
      </c>
      <c r="L44" s="158">
        <v>0</v>
      </c>
      <c r="M44" s="158">
        <v>0</v>
      </c>
      <c r="N44" s="158">
        <v>0</v>
      </c>
      <c r="O44" s="158">
        <v>0</v>
      </c>
      <c r="P44" s="183">
        <f t="shared" si="2"/>
        <v>0</v>
      </c>
      <c r="Q44" s="128">
        <f t="shared" si="3"/>
        <v>0</v>
      </c>
      <c r="R44" s="265">
        <f t="shared" si="4"/>
        <v>0</v>
      </c>
    </row>
    <row r="45" spans="1:18" ht="17.45" thickBot="1">
      <c r="A45" s="161"/>
      <c r="B45" s="160"/>
      <c r="C45" s="160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83">
        <f t="shared" si="2"/>
        <v>0</v>
      </c>
      <c r="Q45" s="128">
        <f t="shared" si="3"/>
        <v>0</v>
      </c>
      <c r="R45" s="265">
        <f t="shared" si="4"/>
        <v>0</v>
      </c>
    </row>
    <row r="46" spans="1:18" ht="17.45" thickBot="1">
      <c r="A46" s="1151" t="s">
        <v>5734</v>
      </c>
      <c r="B46" s="1152">
        <v>0</v>
      </c>
      <c r="C46" s="1153">
        <f t="shared" ref="C46:O46" si="12">SUM(C43:C45)</f>
        <v>0</v>
      </c>
      <c r="D46" s="215">
        <f t="shared" si="12"/>
        <v>0</v>
      </c>
      <c r="E46" s="215">
        <f t="shared" si="12"/>
        <v>250222.83111000003</v>
      </c>
      <c r="F46" s="215">
        <f t="shared" si="12"/>
        <v>532759.72679999983</v>
      </c>
      <c r="G46" s="215">
        <f t="shared" si="12"/>
        <v>543519.77778000035</v>
      </c>
      <c r="H46" s="215">
        <f t="shared" si="12"/>
        <v>695764.86020999984</v>
      </c>
      <c r="I46" s="215">
        <f t="shared" si="12"/>
        <v>695764.86020999984</v>
      </c>
      <c r="J46" s="215">
        <f t="shared" si="12"/>
        <v>849873.6993599995</v>
      </c>
      <c r="K46" s="215">
        <f t="shared" si="12"/>
        <v>892998.87830999994</v>
      </c>
      <c r="L46" s="215">
        <f t="shared" si="12"/>
        <v>892998.87830999994</v>
      </c>
      <c r="M46" s="215">
        <f t="shared" si="12"/>
        <v>892998.87830999994</v>
      </c>
      <c r="N46" s="215">
        <f t="shared" si="12"/>
        <v>892998.87830999994</v>
      </c>
      <c r="O46" s="215">
        <f t="shared" si="12"/>
        <v>901239.47</v>
      </c>
      <c r="P46" s="183">
        <f t="shared" si="2"/>
        <v>892.9988783099999</v>
      </c>
      <c r="Q46" s="128">
        <f t="shared" si="3"/>
        <v>303619.61862540001</v>
      </c>
      <c r="R46" s="265">
        <f t="shared" si="4"/>
        <v>303620</v>
      </c>
    </row>
    <row r="47" spans="1:18" ht="17.45" thickBot="1">
      <c r="A47" s="181"/>
      <c r="B47" s="180"/>
      <c r="C47" s="180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83">
        <f t="shared" si="2"/>
        <v>0</v>
      </c>
      <c r="Q47" s="128">
        <f t="shared" si="3"/>
        <v>0</v>
      </c>
      <c r="R47" s="265">
        <f t="shared" si="4"/>
        <v>0</v>
      </c>
    </row>
    <row r="48" spans="1:18" ht="21" thickBot="1">
      <c r="A48" s="1143" t="s">
        <v>5735</v>
      </c>
      <c r="B48" s="1144"/>
      <c r="C48" s="1145"/>
      <c r="D48" s="215">
        <f t="shared" ref="D48:O48" si="13">D40-D46</f>
        <v>250222.83111000003</v>
      </c>
      <c r="E48" s="215">
        <f t="shared" si="13"/>
        <v>282536.8956899998</v>
      </c>
      <c r="F48" s="215">
        <f t="shared" si="13"/>
        <v>10760.050980000524</v>
      </c>
      <c r="G48" s="215">
        <f t="shared" si="13"/>
        <v>152245.08242999949</v>
      </c>
      <c r="H48" s="215">
        <f t="shared" si="13"/>
        <v>-82688.993729999638</v>
      </c>
      <c r="I48" s="215">
        <f t="shared" si="13"/>
        <v>154108.83914999967</v>
      </c>
      <c r="J48" s="215">
        <f t="shared" si="13"/>
        <v>43125.178950000438</v>
      </c>
      <c r="K48" s="215">
        <f t="shared" si="13"/>
        <v>-47361.811139999772</v>
      </c>
      <c r="L48" s="215">
        <f t="shared" si="13"/>
        <v>-155225.31066000019</v>
      </c>
      <c r="M48" s="215">
        <f t="shared" si="13"/>
        <v>-80925.862499999697</v>
      </c>
      <c r="N48" s="215">
        <f t="shared" si="13"/>
        <v>8240.5959299993701</v>
      </c>
      <c r="O48" s="215">
        <f t="shared" si="13"/>
        <v>-192699.07415000023</v>
      </c>
      <c r="P48" s="183">
        <f t="shared" si="2"/>
        <v>8.2405959299993707</v>
      </c>
      <c r="Q48" s="128">
        <f t="shared" si="3"/>
        <v>2801.8026161997859</v>
      </c>
      <c r="R48" s="265">
        <f t="shared" si="4"/>
        <v>2802</v>
      </c>
    </row>
    <row r="49" spans="1:18">
      <c r="D49" s="125"/>
      <c r="E49" s="125"/>
      <c r="P49" s="183">
        <f t="shared" si="2"/>
        <v>0</v>
      </c>
      <c r="Q49" s="128">
        <f t="shared" si="3"/>
        <v>0</v>
      </c>
      <c r="R49" s="265">
        <f t="shared" si="4"/>
        <v>0</v>
      </c>
    </row>
    <row r="50" spans="1:18">
      <c r="A50" s="239"/>
      <c r="B50" s="238"/>
      <c r="C50" s="238"/>
      <c r="D50" s="237"/>
      <c r="E50" s="237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183">
        <f t="shared" si="2"/>
        <v>0</v>
      </c>
      <c r="Q50" s="128">
        <f t="shared" si="3"/>
        <v>0</v>
      </c>
      <c r="R50" s="265">
        <f t="shared" si="4"/>
        <v>0</v>
      </c>
    </row>
    <row r="51" spans="1:18">
      <c r="A51" s="236"/>
      <c r="B51" s="235"/>
      <c r="C51" s="235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4"/>
      <c r="P51" s="183">
        <f t="shared" si="2"/>
        <v>0</v>
      </c>
      <c r="Q51" s="128">
        <f t="shared" si="3"/>
        <v>0</v>
      </c>
      <c r="R51" s="265">
        <f t="shared" si="4"/>
        <v>0</v>
      </c>
    </row>
    <row r="52" spans="1:18">
      <c r="D52" s="125"/>
      <c r="E52" s="125"/>
      <c r="P52" s="183">
        <f t="shared" si="2"/>
        <v>0</v>
      </c>
      <c r="Q52" s="128">
        <f t="shared" si="3"/>
        <v>0</v>
      </c>
      <c r="R52" s="265">
        <f t="shared" si="4"/>
        <v>0</v>
      </c>
    </row>
    <row r="53" spans="1:18">
      <c r="A53" s="1146" t="s">
        <v>5736</v>
      </c>
      <c r="B53" s="233" t="s">
        <v>5694</v>
      </c>
      <c r="C53" s="232" t="s">
        <v>213</v>
      </c>
      <c r="D53" s="231" t="s">
        <v>5695</v>
      </c>
      <c r="E53" s="231" t="s">
        <v>5696</v>
      </c>
      <c r="F53" s="231" t="s">
        <v>5697</v>
      </c>
      <c r="G53" s="231" t="s">
        <v>5698</v>
      </c>
      <c r="H53" s="231" t="s">
        <v>5699</v>
      </c>
      <c r="I53" s="231" t="s">
        <v>5700</v>
      </c>
      <c r="J53" s="231" t="s">
        <v>5701</v>
      </c>
      <c r="K53" s="231" t="s">
        <v>5702</v>
      </c>
      <c r="L53" s="231" t="s">
        <v>5703</v>
      </c>
      <c r="M53" s="231" t="s">
        <v>5704</v>
      </c>
      <c r="N53" s="231" t="s">
        <v>5705</v>
      </c>
      <c r="O53" s="231" t="s">
        <v>5706</v>
      </c>
      <c r="P53" s="183" t="e">
        <f t="shared" si="2"/>
        <v>#VALUE!</v>
      </c>
      <c r="Q53" s="128" t="e">
        <f t="shared" si="3"/>
        <v>#VALUE!</v>
      </c>
      <c r="R53" s="265"/>
    </row>
    <row r="54" spans="1:18">
      <c r="A54" s="1147"/>
      <c r="B54" s="230">
        <v>3</v>
      </c>
      <c r="C54" s="161" t="s">
        <v>184</v>
      </c>
      <c r="D54" s="150">
        <f t="shared" ref="D54:O54" si="14">D7</f>
        <v>14109063.560000001</v>
      </c>
      <c r="E54" s="229">
        <f t="shared" si="14"/>
        <v>32923756.68</v>
      </c>
      <c r="F54" s="150">
        <f t="shared" si="14"/>
        <v>45722408.590000004</v>
      </c>
      <c r="G54" s="174">
        <f t="shared" si="14"/>
        <v>59167087.32</v>
      </c>
      <c r="H54" s="174">
        <f t="shared" si="14"/>
        <v>73946967.659999996</v>
      </c>
      <c r="I54" s="174">
        <f t="shared" si="14"/>
        <v>90061194.299999997</v>
      </c>
      <c r="J54" s="150">
        <f t="shared" si="14"/>
        <v>102518466</v>
      </c>
      <c r="K54" s="150">
        <f t="shared" si="14"/>
        <v>116326095.18000001</v>
      </c>
      <c r="L54" s="150">
        <f t="shared" si="14"/>
        <v>126725465.31999999</v>
      </c>
      <c r="M54" s="150">
        <f t="shared" si="14"/>
        <v>140283967.43000001</v>
      </c>
      <c r="N54" s="150">
        <f t="shared" si="14"/>
        <v>156242799.31999999</v>
      </c>
      <c r="O54" s="174">
        <f t="shared" si="14"/>
        <v>168941278.81</v>
      </c>
      <c r="P54" s="183">
        <f t="shared" si="2"/>
        <v>156242.79931999999</v>
      </c>
      <c r="Q54" s="128">
        <f t="shared" si="3"/>
        <v>53122551.768799998</v>
      </c>
      <c r="R54" s="265">
        <f t="shared" si="4"/>
        <v>53122552</v>
      </c>
    </row>
    <row r="55" spans="1:18">
      <c r="A55" s="228"/>
      <c r="B55" s="227">
        <v>4</v>
      </c>
      <c r="C55" s="181" t="s">
        <v>970</v>
      </c>
      <c r="D55" s="226">
        <f t="shared" ref="D55:O55" si="15">D8</f>
        <v>10285496.51</v>
      </c>
      <c r="E55" s="225">
        <f t="shared" si="15"/>
        <v>25945822.260000002</v>
      </c>
      <c r="F55" s="150">
        <f t="shared" si="15"/>
        <v>39165279.759999998</v>
      </c>
      <c r="G55" s="174">
        <f t="shared" si="15"/>
        <v>50691186.770000003</v>
      </c>
      <c r="H55" s="174">
        <f t="shared" si="15"/>
        <v>67438461.099999994</v>
      </c>
      <c r="I55" s="174">
        <f t="shared" si="15"/>
        <v>80211183.340000004</v>
      </c>
      <c r="J55" s="150">
        <f t="shared" si="15"/>
        <v>92109124.689999998</v>
      </c>
      <c r="K55" s="150">
        <f t="shared" si="15"/>
        <v>107662482.73</v>
      </c>
      <c r="L55" s="150">
        <f t="shared" si="15"/>
        <v>119537743.27</v>
      </c>
      <c r="M55" s="150">
        <f t="shared" si="15"/>
        <v>131500198.98</v>
      </c>
      <c r="N55" s="150">
        <f t="shared" si="15"/>
        <v>146323918.34</v>
      </c>
      <c r="O55" s="174">
        <f t="shared" si="15"/>
        <v>163006294.62</v>
      </c>
      <c r="P55" s="183">
        <f t="shared" si="2"/>
        <v>146323.91834</v>
      </c>
      <c r="Q55" s="128">
        <f t="shared" si="3"/>
        <v>49750132.235600002</v>
      </c>
      <c r="R55" s="265">
        <f t="shared" si="4"/>
        <v>49750132</v>
      </c>
    </row>
    <row r="56" spans="1:18" ht="23.45" customHeight="1">
      <c r="A56" s="1148" t="s">
        <v>5737</v>
      </c>
      <c r="B56" s="1149"/>
      <c r="C56" s="1150"/>
      <c r="D56" s="223">
        <f t="shared" ref="D56:N56" si="16">D54-D55</f>
        <v>3823567.0500000007</v>
      </c>
      <c r="E56" s="223">
        <f t="shared" si="16"/>
        <v>6977934.4199999981</v>
      </c>
      <c r="F56" s="223">
        <f t="shared" si="16"/>
        <v>6557128.8300000057</v>
      </c>
      <c r="G56" s="222">
        <f t="shared" si="16"/>
        <v>8475900.549999997</v>
      </c>
      <c r="H56" s="222">
        <f t="shared" si="16"/>
        <v>6508506.5600000024</v>
      </c>
      <c r="I56" s="222">
        <f t="shared" si="16"/>
        <v>9850010.9599999934</v>
      </c>
      <c r="J56" s="223">
        <f t="shared" si="16"/>
        <v>10409341.310000002</v>
      </c>
      <c r="K56" s="223">
        <f t="shared" si="16"/>
        <v>8663612.450000003</v>
      </c>
      <c r="L56" s="223">
        <f t="shared" si="16"/>
        <v>7187722.049999997</v>
      </c>
      <c r="M56" s="224">
        <f t="shared" si="16"/>
        <v>8783768.450000003</v>
      </c>
      <c r="N56" s="223">
        <f t="shared" si="16"/>
        <v>9918880.9799999893</v>
      </c>
      <c r="O56" s="222">
        <f>O54-O55</f>
        <v>5934984.1899999976</v>
      </c>
      <c r="P56" s="183">
        <f t="shared" si="2"/>
        <v>9918.880979999989</v>
      </c>
      <c r="Q56" s="128">
        <f t="shared" si="3"/>
        <v>3372419.5331999967</v>
      </c>
      <c r="R56" s="265">
        <f t="shared" si="4"/>
        <v>3372420</v>
      </c>
    </row>
    <row r="57" spans="1:18" ht="17.45" thickBot="1">
      <c r="A57" s="221" t="s">
        <v>5738</v>
      </c>
      <c r="B57" s="220" t="s">
        <v>5709</v>
      </c>
      <c r="C57" s="189" t="s">
        <v>5710</v>
      </c>
      <c r="D57" s="218">
        <f t="shared" ref="D57:O57" si="17">D10</f>
        <v>0</v>
      </c>
      <c r="E57" s="218">
        <f t="shared" si="17"/>
        <v>909859.47</v>
      </c>
      <c r="F57" s="218">
        <f t="shared" si="17"/>
        <v>1950432.45</v>
      </c>
      <c r="G57" s="218">
        <f t="shared" si="17"/>
        <v>1988364.19</v>
      </c>
      <c r="H57" s="218">
        <f t="shared" si="17"/>
        <v>2505301.91</v>
      </c>
      <c r="I57" s="218">
        <f t="shared" si="17"/>
        <v>2962923.74</v>
      </c>
      <c r="J57" s="218">
        <f t="shared" si="17"/>
        <v>2962923.74</v>
      </c>
      <c r="K57" s="219">
        <f t="shared" si="17"/>
        <v>3113135.06</v>
      </c>
      <c r="L57" s="218">
        <f t="shared" si="17"/>
        <v>2909643.85</v>
      </c>
      <c r="M57" s="218">
        <f t="shared" si="17"/>
        <v>2489477.91</v>
      </c>
      <c r="N57" s="218">
        <f t="shared" si="17"/>
        <v>2762615.67</v>
      </c>
      <c r="O57" s="218">
        <f t="shared" si="17"/>
        <v>3086376.13</v>
      </c>
      <c r="P57" s="183">
        <f t="shared" si="2"/>
        <v>2762.6156700000001</v>
      </c>
      <c r="Q57" s="128">
        <f t="shared" si="3"/>
        <v>939289.32780000009</v>
      </c>
      <c r="R57" s="265">
        <f t="shared" si="4"/>
        <v>939289</v>
      </c>
    </row>
    <row r="58" spans="1:18" ht="17.45" thickBot="1">
      <c r="A58" s="1151" t="s">
        <v>5739</v>
      </c>
      <c r="B58" s="1152"/>
      <c r="C58" s="1153"/>
      <c r="D58" s="215">
        <f t="shared" ref="D58:O58" si="18">D56+D57</f>
        <v>3823567.0500000007</v>
      </c>
      <c r="E58" s="215">
        <f t="shared" si="18"/>
        <v>7887793.8899999978</v>
      </c>
      <c r="F58" s="215">
        <f t="shared" si="18"/>
        <v>8507561.2800000049</v>
      </c>
      <c r="G58" s="217">
        <f t="shared" si="18"/>
        <v>10464264.739999996</v>
      </c>
      <c r="H58" s="217">
        <f t="shared" si="18"/>
        <v>9013808.4700000025</v>
      </c>
      <c r="I58" s="217">
        <f t="shared" si="18"/>
        <v>12812934.699999994</v>
      </c>
      <c r="J58" s="215">
        <f t="shared" si="18"/>
        <v>13372265.050000003</v>
      </c>
      <c r="K58" s="215">
        <f t="shared" si="18"/>
        <v>11776747.510000004</v>
      </c>
      <c r="L58" s="215">
        <f t="shared" si="18"/>
        <v>10097365.899999997</v>
      </c>
      <c r="M58" s="216">
        <f t="shared" si="18"/>
        <v>11273246.360000003</v>
      </c>
      <c r="N58" s="215">
        <f t="shared" si="18"/>
        <v>12681496.649999989</v>
      </c>
      <c r="O58" s="215">
        <f t="shared" si="18"/>
        <v>9021360.3199999966</v>
      </c>
      <c r="P58" s="183">
        <f t="shared" si="2"/>
        <v>12681.49664999999</v>
      </c>
      <c r="Q58" s="128">
        <f t="shared" si="3"/>
        <v>4311708.8609999968</v>
      </c>
      <c r="R58" s="265">
        <f t="shared" si="4"/>
        <v>4311709</v>
      </c>
    </row>
    <row r="59" spans="1:18" s="172" customFormat="1" ht="17.45" thickBot="1">
      <c r="A59" s="1154" t="s">
        <v>5712</v>
      </c>
      <c r="B59" s="1155"/>
      <c r="C59" s="1156"/>
      <c r="D59" s="214"/>
      <c r="E59" s="214"/>
      <c r="F59" s="214"/>
      <c r="G59" s="214"/>
      <c r="H59" s="214"/>
      <c r="I59" s="214"/>
      <c r="J59" s="214"/>
      <c r="K59" s="214"/>
      <c r="L59" s="214"/>
      <c r="M59" s="214"/>
      <c r="N59" s="214"/>
      <c r="O59" s="214"/>
      <c r="P59" s="183">
        <f t="shared" si="2"/>
        <v>0</v>
      </c>
      <c r="Q59" s="128">
        <f t="shared" si="3"/>
        <v>0</v>
      </c>
      <c r="R59" s="265">
        <f t="shared" si="4"/>
        <v>0</v>
      </c>
    </row>
    <row r="60" spans="1:18">
      <c r="A60" s="1157" t="s">
        <v>5713</v>
      </c>
      <c r="B60" s="213">
        <v>411111</v>
      </c>
      <c r="C60" s="212" t="s">
        <v>5714</v>
      </c>
      <c r="D60" s="174">
        <f t="shared" ref="D60:O60" si="19">D13</f>
        <v>15645.08</v>
      </c>
      <c r="E60" s="174">
        <f t="shared" si="19"/>
        <v>16974.7</v>
      </c>
      <c r="F60" s="174">
        <f t="shared" si="19"/>
        <v>16974.7</v>
      </c>
      <c r="G60" s="174">
        <f>G13</f>
        <v>16974.7</v>
      </c>
      <c r="H60" s="174">
        <f>H13</f>
        <v>28951.56</v>
      </c>
      <c r="I60" s="174">
        <f>I13</f>
        <v>42771.01</v>
      </c>
      <c r="J60" s="154">
        <f t="shared" si="19"/>
        <v>44613.599999999999</v>
      </c>
      <c r="K60" s="154">
        <f t="shared" si="19"/>
        <v>61890.36</v>
      </c>
      <c r="L60" s="154">
        <f t="shared" si="19"/>
        <v>79762.87</v>
      </c>
      <c r="M60" s="154">
        <f>M13</f>
        <v>80358.62</v>
      </c>
      <c r="N60" s="154">
        <f t="shared" si="19"/>
        <v>80358.62</v>
      </c>
      <c r="O60" s="154">
        <f t="shared" si="19"/>
        <v>80358.62</v>
      </c>
      <c r="P60" s="183">
        <f t="shared" si="2"/>
        <v>80.358620000000002</v>
      </c>
      <c r="Q60" s="128">
        <f t="shared" si="3"/>
        <v>27321.930800000002</v>
      </c>
      <c r="R60" s="265">
        <f t="shared" si="4"/>
        <v>27322</v>
      </c>
    </row>
    <row r="61" spans="1:18">
      <c r="A61" s="1157"/>
      <c r="B61" s="176">
        <v>411113</v>
      </c>
      <c r="C61" s="175" t="s">
        <v>988</v>
      </c>
      <c r="D61" s="174">
        <f t="shared" ref="D61:O61" si="20">D14</f>
        <v>1100.18</v>
      </c>
      <c r="E61" s="174">
        <f t="shared" si="20"/>
        <v>2788.91</v>
      </c>
      <c r="F61" s="174">
        <f t="shared" si="20"/>
        <v>2788.91</v>
      </c>
      <c r="G61" s="174">
        <f t="shared" si="20"/>
        <v>12156.4</v>
      </c>
      <c r="H61" s="174">
        <f t="shared" si="20"/>
        <v>12156.4</v>
      </c>
      <c r="I61" s="174">
        <f t="shared" si="20"/>
        <v>12156.4</v>
      </c>
      <c r="J61" s="154">
        <f t="shared" si="20"/>
        <v>18144.830000000002</v>
      </c>
      <c r="K61" s="154">
        <f t="shared" si="20"/>
        <v>26594.34</v>
      </c>
      <c r="L61" s="154">
        <f t="shared" si="20"/>
        <v>26594.34</v>
      </c>
      <c r="M61" s="154">
        <f t="shared" si="20"/>
        <v>26594.34</v>
      </c>
      <c r="N61" s="154">
        <f t="shared" si="20"/>
        <v>31740.51</v>
      </c>
      <c r="O61" s="154">
        <f t="shared" si="20"/>
        <v>41147.26</v>
      </c>
      <c r="P61" s="183">
        <f t="shared" si="2"/>
        <v>31.740509999999997</v>
      </c>
      <c r="Q61" s="128">
        <f t="shared" si="3"/>
        <v>10791.7734</v>
      </c>
      <c r="R61" s="265">
        <f t="shared" si="4"/>
        <v>10792</v>
      </c>
    </row>
    <row r="62" spans="1:18">
      <c r="A62" s="1157"/>
      <c r="B62" s="176">
        <v>411310</v>
      </c>
      <c r="C62" s="175" t="s">
        <v>1013</v>
      </c>
      <c r="D62" s="174">
        <f t="shared" ref="D62:O62" si="21">D15</f>
        <v>366.38</v>
      </c>
      <c r="E62" s="154">
        <f t="shared" si="21"/>
        <v>156.91999999999999</v>
      </c>
      <c r="F62" s="150">
        <f t="shared" si="21"/>
        <v>430.96</v>
      </c>
      <c r="G62" s="174">
        <f t="shared" si="21"/>
        <v>705</v>
      </c>
      <c r="H62" s="174">
        <f t="shared" si="21"/>
        <v>1019.19</v>
      </c>
      <c r="I62" s="174">
        <f t="shared" si="21"/>
        <v>1284.3800000000001</v>
      </c>
      <c r="J62" s="154">
        <f t="shared" si="21"/>
        <v>1567.07</v>
      </c>
      <c r="K62" s="154">
        <f t="shared" si="21"/>
        <v>1832.26</v>
      </c>
      <c r="L62" s="154">
        <f t="shared" si="21"/>
        <v>2076.3000000000002</v>
      </c>
      <c r="M62" s="154">
        <f t="shared" si="21"/>
        <v>2320.34</v>
      </c>
      <c r="N62" s="154">
        <f t="shared" si="21"/>
        <v>4639.51</v>
      </c>
      <c r="O62" s="154">
        <f t="shared" si="21"/>
        <v>4884.7</v>
      </c>
      <c r="P62" s="183">
        <f t="shared" si="2"/>
        <v>4.6395100000000005</v>
      </c>
      <c r="Q62" s="128">
        <f t="shared" si="3"/>
        <v>1577.4334000000001</v>
      </c>
      <c r="R62" s="265">
        <f t="shared" si="4"/>
        <v>1577</v>
      </c>
    </row>
    <row r="63" spans="1:18">
      <c r="A63" s="1157"/>
      <c r="B63" s="176">
        <v>416211</v>
      </c>
      <c r="C63" s="175" t="s">
        <v>5715</v>
      </c>
      <c r="D63" s="174">
        <f t="shared" ref="D63:O63" si="22">D16</f>
        <v>0</v>
      </c>
      <c r="E63" s="174">
        <f t="shared" si="22"/>
        <v>0</v>
      </c>
      <c r="F63" s="174">
        <f t="shared" si="22"/>
        <v>0</v>
      </c>
      <c r="G63" s="174">
        <f t="shared" si="22"/>
        <v>0</v>
      </c>
      <c r="H63" s="174">
        <f t="shared" si="22"/>
        <v>0</v>
      </c>
      <c r="I63" s="174">
        <f t="shared" si="22"/>
        <v>0</v>
      </c>
      <c r="J63" s="174">
        <f t="shared" si="22"/>
        <v>0</v>
      </c>
      <c r="K63" s="174">
        <f t="shared" si="22"/>
        <v>0</v>
      </c>
      <c r="L63" s="174">
        <f t="shared" si="22"/>
        <v>0</v>
      </c>
      <c r="M63" s="154" t="str">
        <f t="shared" si="22"/>
        <v xml:space="preserve">                               -  </v>
      </c>
      <c r="N63" s="154">
        <f t="shared" si="22"/>
        <v>0</v>
      </c>
      <c r="O63" s="174">
        <f t="shared" si="22"/>
        <v>0</v>
      </c>
      <c r="P63" s="183">
        <f t="shared" si="2"/>
        <v>0</v>
      </c>
      <c r="Q63" s="128">
        <f t="shared" si="3"/>
        <v>0</v>
      </c>
      <c r="R63" s="265">
        <f t="shared" si="4"/>
        <v>0</v>
      </c>
    </row>
    <row r="64" spans="1:18">
      <c r="A64" s="1157"/>
      <c r="B64" s="176">
        <v>421110</v>
      </c>
      <c r="C64" s="175" t="s">
        <v>5714</v>
      </c>
      <c r="D64" s="174">
        <f t="shared" ref="D64:O64" si="23">D17</f>
        <v>0</v>
      </c>
      <c r="E64" s="154">
        <f t="shared" si="23"/>
        <v>0</v>
      </c>
      <c r="F64" s="150">
        <f t="shared" si="23"/>
        <v>0</v>
      </c>
      <c r="G64" s="174">
        <f t="shared" si="23"/>
        <v>36693.199999999997</v>
      </c>
      <c r="H64" s="174">
        <f t="shared" si="23"/>
        <v>99485.73</v>
      </c>
      <c r="I64" s="174">
        <f t="shared" si="23"/>
        <v>121190.09</v>
      </c>
      <c r="J64" s="154">
        <f t="shared" si="23"/>
        <v>121190.09</v>
      </c>
      <c r="K64" s="154">
        <f t="shared" si="23"/>
        <v>121190.09</v>
      </c>
      <c r="L64" s="154">
        <f t="shared" si="23"/>
        <v>121190.09</v>
      </c>
      <c r="M64" s="154">
        <f t="shared" si="23"/>
        <v>121190.09</v>
      </c>
      <c r="N64" s="154">
        <f t="shared" si="23"/>
        <v>121190.09</v>
      </c>
      <c r="O64" s="154">
        <f t="shared" si="23"/>
        <v>121190.09</v>
      </c>
      <c r="P64" s="183">
        <f t="shared" si="2"/>
        <v>121.19009</v>
      </c>
      <c r="Q64" s="128">
        <f t="shared" si="3"/>
        <v>41204.630600000004</v>
      </c>
      <c r="R64" s="265">
        <f t="shared" si="4"/>
        <v>41205</v>
      </c>
    </row>
    <row r="65" spans="1:18">
      <c r="A65" s="1157"/>
      <c r="B65" s="176">
        <v>421112</v>
      </c>
      <c r="C65" s="175" t="s">
        <v>988</v>
      </c>
      <c r="D65" s="174">
        <f t="shared" ref="D65:O65" si="24">D18</f>
        <v>0</v>
      </c>
      <c r="E65" s="174">
        <f t="shared" si="24"/>
        <v>2934.49</v>
      </c>
      <c r="F65" s="174">
        <f t="shared" si="24"/>
        <v>2934.49</v>
      </c>
      <c r="G65" s="174">
        <f t="shared" si="24"/>
        <v>2934.49</v>
      </c>
      <c r="H65" s="174">
        <f t="shared" si="24"/>
        <v>2934.49</v>
      </c>
      <c r="I65" s="174">
        <f t="shared" si="24"/>
        <v>2934.49</v>
      </c>
      <c r="J65" s="174">
        <f t="shared" si="24"/>
        <v>2934.49</v>
      </c>
      <c r="K65" s="174">
        <f t="shared" si="24"/>
        <v>2934.49</v>
      </c>
      <c r="L65" s="174">
        <f t="shared" si="24"/>
        <v>2934.49</v>
      </c>
      <c r="M65" s="154">
        <f t="shared" si="24"/>
        <v>2934.49</v>
      </c>
      <c r="N65" s="154">
        <f t="shared" si="24"/>
        <v>2934.49</v>
      </c>
      <c r="O65" s="211">
        <f t="shared" si="24"/>
        <v>2934.49</v>
      </c>
      <c r="P65" s="183">
        <f t="shared" si="2"/>
        <v>2.9344899999999998</v>
      </c>
      <c r="Q65" s="128">
        <f t="shared" si="3"/>
        <v>997.72659999999996</v>
      </c>
      <c r="R65" s="265">
        <f t="shared" si="4"/>
        <v>998</v>
      </c>
    </row>
    <row r="66" spans="1:18">
      <c r="A66" s="1157"/>
      <c r="B66" s="176">
        <v>421310</v>
      </c>
      <c r="C66" s="175" t="s">
        <v>1013</v>
      </c>
      <c r="D66" s="174">
        <f t="shared" ref="D66:O66" si="25">D19</f>
        <v>1186.1199999999999</v>
      </c>
      <c r="E66" s="154">
        <f t="shared" si="25"/>
        <v>2210.58</v>
      </c>
      <c r="F66" s="150">
        <f t="shared" si="25"/>
        <v>3377.54</v>
      </c>
      <c r="G66" s="174">
        <f t="shared" si="25"/>
        <v>4544.5</v>
      </c>
      <c r="H66" s="174">
        <f t="shared" si="25"/>
        <v>5697.81</v>
      </c>
      <c r="I66" s="174">
        <f t="shared" si="25"/>
        <v>6851.12</v>
      </c>
      <c r="J66" s="154">
        <f t="shared" si="25"/>
        <v>8004.43</v>
      </c>
      <c r="K66" s="154">
        <f t="shared" si="25"/>
        <v>9157.74</v>
      </c>
      <c r="L66" s="154">
        <f t="shared" si="25"/>
        <v>10282.200000000001</v>
      </c>
      <c r="M66" s="154">
        <f t="shared" si="25"/>
        <v>11406.66</v>
      </c>
      <c r="N66" s="154">
        <f t="shared" si="25"/>
        <v>10395.99</v>
      </c>
      <c r="O66" s="154">
        <f t="shared" si="25"/>
        <v>11534.3</v>
      </c>
      <c r="P66" s="183">
        <f t="shared" si="2"/>
        <v>10.395989999999999</v>
      </c>
      <c r="Q66" s="128">
        <f t="shared" si="3"/>
        <v>3534.6366000000003</v>
      </c>
      <c r="R66" s="265">
        <f t="shared" si="4"/>
        <v>3535</v>
      </c>
    </row>
    <row r="67" spans="1:18">
      <c r="A67" s="1157"/>
      <c r="B67" s="176">
        <v>42541</v>
      </c>
      <c r="C67" s="161" t="s">
        <v>5716</v>
      </c>
      <c r="D67" s="174">
        <f t="shared" ref="D67:O67" si="26">D20</f>
        <v>0</v>
      </c>
      <c r="E67" s="174">
        <f t="shared" si="26"/>
        <v>0</v>
      </c>
      <c r="F67" s="174">
        <f t="shared" si="26"/>
        <v>0</v>
      </c>
      <c r="G67" s="174">
        <f t="shared" si="26"/>
        <v>0</v>
      </c>
      <c r="H67" s="174">
        <f t="shared" si="26"/>
        <v>0</v>
      </c>
      <c r="I67" s="174">
        <f t="shared" si="26"/>
        <v>0</v>
      </c>
      <c r="J67" s="154">
        <f t="shared" si="26"/>
        <v>0</v>
      </c>
      <c r="K67" s="154">
        <f t="shared" si="26"/>
        <v>0</v>
      </c>
      <c r="L67" s="154">
        <f t="shared" si="26"/>
        <v>21188.62</v>
      </c>
      <c r="M67" s="154">
        <f t="shared" si="26"/>
        <v>21188.62</v>
      </c>
      <c r="N67" s="154">
        <f t="shared" si="26"/>
        <v>21188.62</v>
      </c>
      <c r="O67" s="154">
        <f t="shared" si="26"/>
        <v>200708.91</v>
      </c>
      <c r="P67" s="183">
        <f t="shared" si="2"/>
        <v>21.18862</v>
      </c>
      <c r="Q67" s="128">
        <f t="shared" si="3"/>
        <v>7204.1307999999999</v>
      </c>
      <c r="R67" s="265">
        <f t="shared" si="4"/>
        <v>7204</v>
      </c>
    </row>
    <row r="68" spans="1:18">
      <c r="A68" s="1157"/>
      <c r="B68" s="176">
        <v>42542</v>
      </c>
      <c r="C68" s="175" t="s">
        <v>5717</v>
      </c>
      <c r="D68" s="174">
        <f t="shared" ref="D68:O68" si="27">D21</f>
        <v>0</v>
      </c>
      <c r="E68" s="174">
        <f t="shared" si="27"/>
        <v>0</v>
      </c>
      <c r="F68" s="174">
        <f t="shared" si="27"/>
        <v>0</v>
      </c>
      <c r="G68" s="174">
        <f t="shared" si="27"/>
        <v>0</v>
      </c>
      <c r="H68" s="174">
        <f t="shared" si="27"/>
        <v>0</v>
      </c>
      <c r="I68" s="174">
        <f t="shared" si="27"/>
        <v>0</v>
      </c>
      <c r="J68" s="174">
        <f t="shared" si="27"/>
        <v>0</v>
      </c>
      <c r="K68" s="174">
        <f t="shared" si="27"/>
        <v>0</v>
      </c>
      <c r="L68" s="174">
        <f t="shared" si="27"/>
        <v>0</v>
      </c>
      <c r="M68" s="154" t="str">
        <f t="shared" si="27"/>
        <v xml:space="preserve">                               -  </v>
      </c>
      <c r="N68" s="154">
        <f t="shared" si="27"/>
        <v>0</v>
      </c>
      <c r="O68" s="174">
        <f t="shared" si="27"/>
        <v>0</v>
      </c>
      <c r="P68" s="183">
        <f t="shared" si="2"/>
        <v>0</v>
      </c>
      <c r="Q68" s="128">
        <f t="shared" si="3"/>
        <v>0</v>
      </c>
      <c r="R68" s="265">
        <f t="shared" si="4"/>
        <v>0</v>
      </c>
    </row>
    <row r="69" spans="1:18">
      <c r="A69" s="1157"/>
      <c r="B69" s="176">
        <v>42543</v>
      </c>
      <c r="C69" s="161" t="s">
        <v>5156</v>
      </c>
      <c r="D69" s="174">
        <f t="shared" ref="D69:O69" si="28">D22</f>
        <v>0</v>
      </c>
      <c r="E69" s="174">
        <f t="shared" si="28"/>
        <v>0</v>
      </c>
      <c r="F69" s="174">
        <f t="shared" si="28"/>
        <v>0</v>
      </c>
      <c r="G69" s="174">
        <f t="shared" si="28"/>
        <v>0</v>
      </c>
      <c r="H69" s="174">
        <f t="shared" si="28"/>
        <v>0</v>
      </c>
      <c r="I69" s="174">
        <f t="shared" si="28"/>
        <v>0</v>
      </c>
      <c r="J69" s="174">
        <f t="shared" si="28"/>
        <v>0</v>
      </c>
      <c r="K69" s="174">
        <f t="shared" si="28"/>
        <v>0</v>
      </c>
      <c r="L69" s="154">
        <f t="shared" si="28"/>
        <v>0</v>
      </c>
      <c r="M69" s="154" t="str">
        <f t="shared" si="28"/>
        <v xml:space="preserve">                               -  </v>
      </c>
      <c r="N69" s="154">
        <f t="shared" si="28"/>
        <v>0</v>
      </c>
      <c r="O69" s="174">
        <f t="shared" si="28"/>
        <v>0</v>
      </c>
      <c r="P69" s="183">
        <f t="shared" si="2"/>
        <v>0</v>
      </c>
      <c r="Q69" s="128">
        <f t="shared" si="3"/>
        <v>0</v>
      </c>
      <c r="R69" s="265">
        <f t="shared" si="4"/>
        <v>0</v>
      </c>
    </row>
    <row r="70" spans="1:18">
      <c r="A70" s="1157"/>
      <c r="B70" s="176">
        <v>42544</v>
      </c>
      <c r="C70" s="161" t="str">
        <f>C23</f>
        <v>Indenizações trabalhistas</v>
      </c>
      <c r="D70" s="174">
        <f>D23</f>
        <v>0</v>
      </c>
      <c r="E70" s="174">
        <v>0</v>
      </c>
      <c r="F70" s="174">
        <f>F23</f>
        <v>0</v>
      </c>
      <c r="G70" s="174">
        <f t="shared" ref="G70:I74" si="29">G23</f>
        <v>0</v>
      </c>
      <c r="H70" s="174">
        <f t="shared" si="29"/>
        <v>0</v>
      </c>
      <c r="I70" s="174">
        <f t="shared" si="29"/>
        <v>0</v>
      </c>
      <c r="J70" s="210">
        <v>0</v>
      </c>
      <c r="K70" s="210">
        <f t="shared" ref="K70:K75" si="30">K23</f>
        <v>1442391.85</v>
      </c>
      <c r="L70" s="154">
        <f t="shared" ref="L70:O72" si="31">L23</f>
        <v>483375.19</v>
      </c>
      <c r="M70" s="154">
        <f t="shared" si="31"/>
        <v>483375.19</v>
      </c>
      <c r="N70" s="154">
        <f t="shared" si="31"/>
        <v>483375.19</v>
      </c>
      <c r="O70" s="174">
        <f t="shared" si="31"/>
        <v>483375.19</v>
      </c>
      <c r="P70" s="183">
        <f t="shared" si="2"/>
        <v>483.37518999999998</v>
      </c>
      <c r="Q70" s="128">
        <f t="shared" si="3"/>
        <v>164347.56460000001</v>
      </c>
      <c r="R70" s="265">
        <f t="shared" si="4"/>
        <v>164348</v>
      </c>
    </row>
    <row r="71" spans="1:18">
      <c r="A71" s="1157"/>
      <c r="B71" s="176">
        <v>42720</v>
      </c>
      <c r="C71" s="161" t="s">
        <v>5718</v>
      </c>
      <c r="D71" s="174">
        <f>D24</f>
        <v>110164.44</v>
      </c>
      <c r="E71" s="154">
        <f>E24</f>
        <v>220328.88</v>
      </c>
      <c r="F71" s="150">
        <f>F24</f>
        <v>249763.72</v>
      </c>
      <c r="G71" s="174">
        <f t="shared" si="29"/>
        <v>360292.98</v>
      </c>
      <c r="H71" s="174">
        <f t="shared" si="29"/>
        <v>470822.24</v>
      </c>
      <c r="I71" s="174">
        <f t="shared" si="29"/>
        <v>331669.01</v>
      </c>
      <c r="J71" s="154">
        <f>J24</f>
        <v>443480.07</v>
      </c>
      <c r="K71" s="154">
        <f t="shared" si="30"/>
        <v>555291.13</v>
      </c>
      <c r="L71" s="154">
        <f t="shared" si="31"/>
        <v>928751.87</v>
      </c>
      <c r="M71" s="154">
        <f t="shared" si="31"/>
        <v>928751.87</v>
      </c>
      <c r="N71" s="154">
        <f t="shared" si="31"/>
        <v>928751.87</v>
      </c>
      <c r="O71" s="174">
        <f t="shared" si="31"/>
        <v>1045800.73</v>
      </c>
      <c r="P71" s="183">
        <f t="shared" si="2"/>
        <v>928.75186999999994</v>
      </c>
      <c r="Q71" s="128">
        <f t="shared" si="3"/>
        <v>315775.63580000005</v>
      </c>
      <c r="R71" s="265">
        <f t="shared" si="4"/>
        <v>315776</v>
      </c>
    </row>
    <row r="72" spans="1:18">
      <c r="A72" s="1157"/>
      <c r="B72" s="176">
        <v>426213</v>
      </c>
      <c r="C72" s="175" t="s">
        <v>5715</v>
      </c>
      <c r="D72" s="174">
        <f>D25</f>
        <v>0</v>
      </c>
      <c r="E72" s="154">
        <f>E25</f>
        <v>0</v>
      </c>
      <c r="F72" s="174">
        <f>F25</f>
        <v>0</v>
      </c>
      <c r="G72" s="174">
        <f t="shared" si="29"/>
        <v>0</v>
      </c>
      <c r="H72" s="174">
        <f t="shared" si="29"/>
        <v>0</v>
      </c>
      <c r="I72" s="174">
        <f t="shared" si="29"/>
        <v>0</v>
      </c>
      <c r="J72" s="154">
        <f>J25</f>
        <v>0</v>
      </c>
      <c r="K72" s="154">
        <f t="shared" si="30"/>
        <v>0</v>
      </c>
      <c r="L72" s="154">
        <f t="shared" si="31"/>
        <v>0</v>
      </c>
      <c r="M72" s="154" t="str">
        <f t="shared" si="31"/>
        <v xml:space="preserve">                               -  </v>
      </c>
      <c r="N72" s="154">
        <f t="shared" si="31"/>
        <v>0</v>
      </c>
      <c r="O72" s="174">
        <f t="shared" si="31"/>
        <v>0</v>
      </c>
      <c r="P72" s="183">
        <f t="shared" si="2"/>
        <v>0</v>
      </c>
      <c r="Q72" s="128">
        <f t="shared" si="3"/>
        <v>0</v>
      </c>
      <c r="R72" s="265">
        <f t="shared" si="4"/>
        <v>0</v>
      </c>
    </row>
    <row r="73" spans="1:18">
      <c r="A73" s="1157"/>
      <c r="B73" s="196">
        <f>B26</f>
        <v>424110</v>
      </c>
      <c r="C73" s="622" t="str">
        <f>C26</f>
        <v>Despesas com IRPJ - anos anteriores</v>
      </c>
      <c r="D73" s="174">
        <v>0</v>
      </c>
      <c r="E73" s="174">
        <v>0</v>
      </c>
      <c r="F73" s="174">
        <v>0</v>
      </c>
      <c r="G73" s="174">
        <f t="shared" si="29"/>
        <v>0</v>
      </c>
      <c r="H73" s="174">
        <f t="shared" si="29"/>
        <v>219439.62</v>
      </c>
      <c r="I73" s="174">
        <f t="shared" si="29"/>
        <v>219439.62</v>
      </c>
      <c r="J73" s="210">
        <f>J26</f>
        <v>219439.62</v>
      </c>
      <c r="K73" s="210">
        <f t="shared" si="30"/>
        <v>219439.62</v>
      </c>
      <c r="L73" s="210">
        <f>L26</f>
        <v>219439.62</v>
      </c>
      <c r="M73" s="154">
        <f t="shared" ref="M73:N75" si="32">M26</f>
        <v>219439.62</v>
      </c>
      <c r="N73" s="154">
        <f t="shared" si="32"/>
        <v>219439.62</v>
      </c>
      <c r="O73" s="174">
        <f>O26</f>
        <v>219439.62</v>
      </c>
      <c r="P73" s="183">
        <f t="shared" si="2"/>
        <v>219.43961999999999</v>
      </c>
      <c r="Q73" s="128">
        <f t="shared" si="3"/>
        <v>74609.47080000001</v>
      </c>
      <c r="R73" s="265">
        <f t="shared" si="4"/>
        <v>74609</v>
      </c>
    </row>
    <row r="74" spans="1:18">
      <c r="A74" s="1157"/>
      <c r="B74" s="196">
        <v>427121</v>
      </c>
      <c r="C74" s="181" t="s">
        <v>5327</v>
      </c>
      <c r="D74" s="174">
        <f t="shared" ref="D74:F75" si="33">D27</f>
        <v>77354.75</v>
      </c>
      <c r="E74" s="174">
        <f t="shared" si="33"/>
        <v>153865.01</v>
      </c>
      <c r="F74" s="174">
        <f t="shared" si="33"/>
        <v>229527.34</v>
      </c>
      <c r="G74" s="174">
        <f t="shared" si="29"/>
        <v>304338.28999999998</v>
      </c>
      <c r="H74" s="174">
        <f t="shared" si="29"/>
        <v>378294.39</v>
      </c>
      <c r="I74" s="174">
        <f t="shared" si="29"/>
        <v>451392.16</v>
      </c>
      <c r="J74" s="174">
        <f>J27</f>
        <v>523628.1</v>
      </c>
      <c r="K74" s="174">
        <f t="shared" si="30"/>
        <v>594998.69999999995</v>
      </c>
      <c r="L74" s="174">
        <f>L27</f>
        <v>665500.43999999994</v>
      </c>
      <c r="M74" s="154">
        <f t="shared" si="32"/>
        <v>735129.77</v>
      </c>
      <c r="N74" s="154">
        <f t="shared" si="32"/>
        <v>803883.14</v>
      </c>
      <c r="O74" s="174">
        <f>O27</f>
        <v>962582.74</v>
      </c>
      <c r="P74" s="183">
        <f t="shared" si="2"/>
        <v>803.88314000000003</v>
      </c>
      <c r="Q74" s="128">
        <f t="shared" si="3"/>
        <v>273320.26760000002</v>
      </c>
      <c r="R74" s="265">
        <f t="shared" si="4"/>
        <v>273320</v>
      </c>
    </row>
    <row r="75" spans="1:18" ht="17.45" thickBot="1">
      <c r="A75" s="209"/>
      <c r="B75" s="208">
        <v>426118</v>
      </c>
      <c r="C75" s="207" t="s">
        <v>513</v>
      </c>
      <c r="D75" s="174">
        <f t="shared" si="33"/>
        <v>227043.25</v>
      </c>
      <c r="E75" s="174">
        <f t="shared" si="33"/>
        <v>454086.5</v>
      </c>
      <c r="F75" s="174">
        <f t="shared" si="33"/>
        <v>681129.75</v>
      </c>
      <c r="G75" s="174">
        <f>G28</f>
        <v>908173</v>
      </c>
      <c r="H75" s="174">
        <f>H28</f>
        <v>1135216.25</v>
      </c>
      <c r="I75" s="174">
        <f>I28</f>
        <v>1362259.5</v>
      </c>
      <c r="J75" s="174">
        <f>J28</f>
        <v>1589302.75</v>
      </c>
      <c r="K75" s="174">
        <f t="shared" si="30"/>
        <v>1816346</v>
      </c>
      <c r="L75" s="174">
        <f>L28</f>
        <v>2043389.25</v>
      </c>
      <c r="M75" s="154">
        <f t="shared" si="32"/>
        <v>2270432.5</v>
      </c>
      <c r="N75" s="154">
        <f t="shared" si="32"/>
        <v>2497475.75</v>
      </c>
      <c r="O75" s="174">
        <f>O28</f>
        <v>2929337.76</v>
      </c>
      <c r="P75" s="183">
        <f t="shared" si="2"/>
        <v>2497.4757500000001</v>
      </c>
      <c r="Q75" s="128">
        <f t="shared" si="3"/>
        <v>849141.755</v>
      </c>
      <c r="R75" s="265">
        <f t="shared" si="4"/>
        <v>849142</v>
      </c>
    </row>
    <row r="76" spans="1:18" s="172" customFormat="1" ht="17.45" thickBot="1">
      <c r="A76" s="1154" t="s">
        <v>5721</v>
      </c>
      <c r="B76" s="1155"/>
      <c r="C76" s="1156"/>
      <c r="D76" s="206">
        <f t="shared" ref="D76:I76" si="34">SUM(D60:D75)</f>
        <v>432860.2</v>
      </c>
      <c r="E76" s="206">
        <f t="shared" si="34"/>
        <v>853345.99</v>
      </c>
      <c r="F76" s="206">
        <f t="shared" si="34"/>
        <v>1186927.4100000001</v>
      </c>
      <c r="G76" s="206">
        <f t="shared" si="34"/>
        <v>1646812.56</v>
      </c>
      <c r="H76" s="206">
        <f t="shared" si="34"/>
        <v>2354017.6799999997</v>
      </c>
      <c r="I76" s="206">
        <f t="shared" si="34"/>
        <v>2551947.7800000003</v>
      </c>
      <c r="J76" s="204">
        <f t="shared" ref="J76:O76" si="35">SUM(J60:J75)</f>
        <v>2972305.05</v>
      </c>
      <c r="K76" s="204">
        <f t="shared" si="35"/>
        <v>4852066.58</v>
      </c>
      <c r="L76" s="204">
        <f t="shared" si="35"/>
        <v>4604485.2799999993</v>
      </c>
      <c r="M76" s="204">
        <f t="shared" si="35"/>
        <v>4903122.1099999994</v>
      </c>
      <c r="N76" s="204">
        <f t="shared" si="35"/>
        <v>5205373.4000000004</v>
      </c>
      <c r="O76" s="204">
        <f t="shared" si="35"/>
        <v>6103294.4100000001</v>
      </c>
      <c r="P76" s="183">
        <f t="shared" ref="P76:P81" si="36">N76/1000</f>
        <v>5205.3734000000004</v>
      </c>
      <c r="Q76" s="128">
        <f t="shared" ref="Q76:Q123" si="37">N76*34%</f>
        <v>1769826.9560000002</v>
      </c>
      <c r="R76" s="265">
        <f t="shared" ref="R76:R123" si="38">ROUND(Q76,0)</f>
        <v>1769827</v>
      </c>
    </row>
    <row r="77" spans="1:18" s="172" customFormat="1" ht="17.45" thickBot="1">
      <c r="A77" s="1158" t="s">
        <v>5722</v>
      </c>
      <c r="B77" s="1159"/>
      <c r="C77" s="1160"/>
      <c r="D77" s="201"/>
      <c r="E77" s="201"/>
      <c r="F77" s="201"/>
      <c r="G77" s="202"/>
      <c r="H77" s="202"/>
      <c r="I77" s="201"/>
      <c r="J77" s="201"/>
      <c r="K77" s="201"/>
      <c r="L77" s="201"/>
      <c r="M77" s="201"/>
      <c r="N77" s="201"/>
      <c r="O77" s="201"/>
      <c r="P77" s="183">
        <f t="shared" si="36"/>
        <v>0</v>
      </c>
      <c r="Q77" s="128">
        <f t="shared" si="37"/>
        <v>0</v>
      </c>
      <c r="R77" s="265">
        <f t="shared" si="38"/>
        <v>0</v>
      </c>
    </row>
    <row r="78" spans="1:18">
      <c r="A78" s="1161" t="s">
        <v>5724</v>
      </c>
      <c r="B78" s="200">
        <v>33611</v>
      </c>
      <c r="C78" s="199" t="s">
        <v>4994</v>
      </c>
      <c r="D78" s="174">
        <f>D31</f>
        <v>0</v>
      </c>
      <c r="E78" s="174">
        <v>0</v>
      </c>
      <c r="F78" s="174">
        <f>F31</f>
        <v>4097.53</v>
      </c>
      <c r="G78" s="174">
        <f>G31</f>
        <v>853908.84</v>
      </c>
      <c r="H78" s="174">
        <f>H31</f>
        <v>1423181.4</v>
      </c>
      <c r="I78" s="174">
        <f>I31</f>
        <v>0</v>
      </c>
      <c r="J78" s="174">
        <v>0</v>
      </c>
      <c r="K78" s="174">
        <v>0</v>
      </c>
      <c r="L78" s="174">
        <f>L31</f>
        <v>395364.68</v>
      </c>
      <c r="M78" s="174">
        <f>M31</f>
        <v>2888461.56</v>
      </c>
      <c r="N78" s="174">
        <f>N31</f>
        <v>3183622.53</v>
      </c>
      <c r="O78" s="150">
        <v>0</v>
      </c>
      <c r="P78" s="183">
        <f t="shared" si="36"/>
        <v>3183.6225299999996</v>
      </c>
      <c r="Q78" s="128">
        <f t="shared" si="37"/>
        <v>1082431.6602</v>
      </c>
      <c r="R78" s="265">
        <f t="shared" si="38"/>
        <v>1082432</v>
      </c>
    </row>
    <row r="79" spans="1:18">
      <c r="A79" s="1161"/>
      <c r="B79" s="198">
        <v>33612</v>
      </c>
      <c r="C79" s="182" t="s">
        <v>4996</v>
      </c>
      <c r="D79" s="174">
        <f>D32</f>
        <v>0</v>
      </c>
      <c r="E79" s="174">
        <v>0</v>
      </c>
      <c r="F79" s="174">
        <f>F32</f>
        <v>0</v>
      </c>
      <c r="G79" s="174">
        <f t="shared" ref="G79:I82" si="39">G32</f>
        <v>4097.53</v>
      </c>
      <c r="H79" s="174">
        <f t="shared" si="39"/>
        <v>4097.53</v>
      </c>
      <c r="I79" s="174">
        <f t="shared" si="39"/>
        <v>167006.07999999999</v>
      </c>
      <c r="J79" s="150">
        <f>J32</f>
        <v>167006.07999999999</v>
      </c>
      <c r="K79" s="174">
        <f>K32</f>
        <v>907863.88</v>
      </c>
      <c r="L79" s="174">
        <f>L32</f>
        <v>2494.36</v>
      </c>
      <c r="M79" s="174">
        <f t="shared" ref="M79:N82" si="40">M32</f>
        <v>395364.68</v>
      </c>
      <c r="N79" s="174">
        <f t="shared" si="40"/>
        <v>395364.68</v>
      </c>
      <c r="O79" s="150">
        <f>O31</f>
        <v>396703.92</v>
      </c>
      <c r="P79" s="183">
        <f t="shared" si="36"/>
        <v>395.36468000000002</v>
      </c>
      <c r="Q79" s="128">
        <f t="shared" si="37"/>
        <v>134423.99120000002</v>
      </c>
      <c r="R79" s="265">
        <f t="shared" si="38"/>
        <v>134424</v>
      </c>
    </row>
    <row r="80" spans="1:18">
      <c r="A80" s="197"/>
      <c r="B80" s="196">
        <v>33613</v>
      </c>
      <c r="C80" s="181" t="s">
        <v>4998</v>
      </c>
      <c r="D80" s="174">
        <f>D33</f>
        <v>0</v>
      </c>
      <c r="E80" s="174">
        <v>0</v>
      </c>
      <c r="F80" s="174">
        <f>F33</f>
        <v>0</v>
      </c>
      <c r="G80" s="174">
        <f t="shared" si="39"/>
        <v>0</v>
      </c>
      <c r="H80" s="174">
        <f t="shared" si="39"/>
        <v>0</v>
      </c>
      <c r="I80" s="174">
        <f t="shared" si="39"/>
        <v>0</v>
      </c>
      <c r="J80" s="174">
        <v>0</v>
      </c>
      <c r="K80" s="174">
        <v>0</v>
      </c>
      <c r="L80" s="174">
        <f>L33</f>
        <v>0</v>
      </c>
      <c r="M80" s="174">
        <f t="shared" si="40"/>
        <v>2494.36</v>
      </c>
      <c r="N80" s="174">
        <f t="shared" si="40"/>
        <v>2494.36</v>
      </c>
      <c r="O80" s="174">
        <f>O32</f>
        <v>2494.36</v>
      </c>
      <c r="P80" s="183">
        <f t="shared" si="36"/>
        <v>2.4943599999999999</v>
      </c>
      <c r="Q80" s="128">
        <f t="shared" si="37"/>
        <v>848.08240000000012</v>
      </c>
      <c r="R80" s="265">
        <f t="shared" si="38"/>
        <v>848</v>
      </c>
    </row>
    <row r="81" spans="1:18">
      <c r="A81" s="197"/>
      <c r="B81" s="196">
        <v>211161</v>
      </c>
      <c r="C81" s="181" t="s">
        <v>5723</v>
      </c>
      <c r="D81" s="174">
        <f>D34</f>
        <v>284636.28000000003</v>
      </c>
      <c r="E81" s="174">
        <f>E34</f>
        <v>284636.28000000003</v>
      </c>
      <c r="F81" s="174">
        <f>F34</f>
        <v>853908.84</v>
      </c>
      <c r="G81" s="174">
        <f t="shared" si="39"/>
        <v>0</v>
      </c>
      <c r="H81" s="174">
        <f t="shared" si="39"/>
        <v>0</v>
      </c>
      <c r="I81" s="174">
        <f t="shared" si="39"/>
        <v>1707817.68</v>
      </c>
      <c r="J81" s="174">
        <v>2002978.65</v>
      </c>
      <c r="K81" s="174">
        <f>K34</f>
        <v>2298139.62</v>
      </c>
      <c r="L81" s="174">
        <f>L34</f>
        <v>2593300.59</v>
      </c>
      <c r="M81" s="174" t="str">
        <f t="shared" si="40"/>
        <v xml:space="preserve">                               -  </v>
      </c>
      <c r="N81" s="174">
        <f t="shared" si="40"/>
        <v>0</v>
      </c>
      <c r="O81" s="174">
        <f>O34</f>
        <v>3478783.5</v>
      </c>
      <c r="P81" s="183">
        <f t="shared" si="36"/>
        <v>0</v>
      </c>
      <c r="Q81" s="128">
        <f t="shared" si="37"/>
        <v>0</v>
      </c>
      <c r="R81" s="265">
        <f t="shared" si="38"/>
        <v>0</v>
      </c>
    </row>
    <row r="82" spans="1:18" ht="17.45" thickBot="1">
      <c r="A82" s="197"/>
      <c r="B82" s="196">
        <v>33614</v>
      </c>
      <c r="C82" s="181" t="s">
        <v>5725</v>
      </c>
      <c r="D82" s="257">
        <v>0</v>
      </c>
      <c r="E82" s="257">
        <v>0</v>
      </c>
      <c r="F82" s="257">
        <f>F35</f>
        <v>209184.26</v>
      </c>
      <c r="G82" s="174">
        <f t="shared" si="39"/>
        <v>209184.26</v>
      </c>
      <c r="H82" s="174">
        <f t="shared" si="39"/>
        <v>209184.26</v>
      </c>
      <c r="I82" s="174">
        <f t="shared" si="39"/>
        <v>0</v>
      </c>
      <c r="J82" s="128"/>
      <c r="K82" s="128"/>
      <c r="L82" s="128"/>
      <c r="M82" s="174" t="str">
        <f t="shared" si="40"/>
        <v xml:space="preserve">                               -  </v>
      </c>
      <c r="N82" s="174">
        <f t="shared" si="40"/>
        <v>0</v>
      </c>
      <c r="O82" s="128"/>
      <c r="P82" s="183"/>
      <c r="Q82" s="128">
        <f t="shared" si="37"/>
        <v>0</v>
      </c>
      <c r="R82" s="265">
        <f t="shared" si="38"/>
        <v>0</v>
      </c>
    </row>
    <row r="83" spans="1:18" s="172" customFormat="1" ht="17.45" thickBot="1">
      <c r="A83" s="1162" t="s">
        <v>5726</v>
      </c>
      <c r="B83" s="1163"/>
      <c r="C83" s="1164"/>
      <c r="D83" s="195">
        <f>SUM(D78:D81)</f>
        <v>284636.28000000003</v>
      </c>
      <c r="E83" s="195">
        <f>SUM(E78:E81)</f>
        <v>284636.28000000003</v>
      </c>
      <c r="F83" s="195">
        <f t="shared" ref="F83:K83" si="41">SUM(F78:F82)</f>
        <v>1067190.6299999999</v>
      </c>
      <c r="G83" s="195">
        <f t="shared" si="41"/>
        <v>1067190.6299999999</v>
      </c>
      <c r="H83" s="195">
        <f t="shared" si="41"/>
        <v>1636463.19</v>
      </c>
      <c r="I83" s="195">
        <f t="shared" si="41"/>
        <v>1874823.76</v>
      </c>
      <c r="J83" s="193">
        <f t="shared" si="41"/>
        <v>2169984.73</v>
      </c>
      <c r="K83" s="193">
        <f t="shared" si="41"/>
        <v>3206003.5</v>
      </c>
      <c r="L83" s="193">
        <f>SUM(L78:L82)</f>
        <v>2991159.63</v>
      </c>
      <c r="M83" s="191">
        <f>M78+M79+M80</f>
        <v>3286320.6</v>
      </c>
      <c r="N83" s="191">
        <f>N78+N79+N80</f>
        <v>3581481.57</v>
      </c>
      <c r="O83" s="190">
        <f>SUM(O78:O81)</f>
        <v>3877981.78</v>
      </c>
      <c r="P83" s="183">
        <f>E83/1000</f>
        <v>284.63628000000006</v>
      </c>
      <c r="Q83" s="128">
        <f t="shared" si="37"/>
        <v>1217703.7338</v>
      </c>
      <c r="R83" s="265">
        <f t="shared" si="38"/>
        <v>1217704</v>
      </c>
    </row>
    <row r="84" spans="1:18" ht="17.45" thickBot="1">
      <c r="A84" s="189"/>
      <c r="B84" s="188"/>
      <c r="C84" s="188"/>
      <c r="D84" s="158"/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83">
        <f t="shared" ref="P84:P123" si="42">D84/1000</f>
        <v>0</v>
      </c>
      <c r="Q84" s="128">
        <f t="shared" si="37"/>
        <v>0</v>
      </c>
      <c r="R84" s="265">
        <f t="shared" si="38"/>
        <v>0</v>
      </c>
    </row>
    <row r="85" spans="1:18" s="182" customFormat="1" ht="17.45" thickBot="1">
      <c r="A85" s="1140" t="s">
        <v>5740</v>
      </c>
      <c r="B85" s="1141"/>
      <c r="C85" s="1142"/>
      <c r="D85" s="184">
        <f t="shared" ref="D85:O85" si="43">D58+D76-D83</f>
        <v>3971790.9700000007</v>
      </c>
      <c r="E85" s="184">
        <f t="shared" si="43"/>
        <v>8456503.5999999978</v>
      </c>
      <c r="F85" s="184">
        <f t="shared" si="43"/>
        <v>8627298.0600000061</v>
      </c>
      <c r="G85" s="185">
        <f t="shared" si="43"/>
        <v>11043886.669999998</v>
      </c>
      <c r="H85" s="184">
        <f t="shared" si="43"/>
        <v>9731362.9600000028</v>
      </c>
      <c r="I85" s="185">
        <f t="shared" si="43"/>
        <v>13490058.719999993</v>
      </c>
      <c r="J85" s="184">
        <f t="shared" si="43"/>
        <v>14174585.370000001</v>
      </c>
      <c r="K85" s="184">
        <f t="shared" si="43"/>
        <v>13422810.590000004</v>
      </c>
      <c r="L85" s="184">
        <f t="shared" si="43"/>
        <v>11710691.549999997</v>
      </c>
      <c r="M85" s="184">
        <f t="shared" si="43"/>
        <v>12890047.870000003</v>
      </c>
      <c r="N85" s="184">
        <f t="shared" si="43"/>
        <v>14305388.479999989</v>
      </c>
      <c r="O85" s="184">
        <f t="shared" si="43"/>
        <v>11246672.949999997</v>
      </c>
      <c r="P85" s="183">
        <f>E85/1000</f>
        <v>8456.5035999999982</v>
      </c>
      <c r="Q85" s="128">
        <f t="shared" si="37"/>
        <v>4863832.0831999965</v>
      </c>
      <c r="R85" s="265">
        <f t="shared" si="38"/>
        <v>4863832</v>
      </c>
    </row>
    <row r="86" spans="1:18" ht="17.45" thickBot="1">
      <c r="A86" s="179" t="s">
        <v>5741</v>
      </c>
      <c r="B86" s="178"/>
      <c r="C86" s="187"/>
      <c r="D86" s="186">
        <f t="shared" ref="D86:N86" si="44">D85*30%</f>
        <v>1191537.2910000002</v>
      </c>
      <c r="E86" s="186">
        <f t="shared" si="44"/>
        <v>2536951.0799999991</v>
      </c>
      <c r="F86" s="186">
        <f t="shared" si="44"/>
        <v>2588189.4180000019</v>
      </c>
      <c r="G86" s="186">
        <f t="shared" si="44"/>
        <v>3313166.0009999992</v>
      </c>
      <c r="H86" s="186">
        <f t="shared" si="44"/>
        <v>2919408.8880000007</v>
      </c>
      <c r="I86" s="186">
        <f t="shared" si="44"/>
        <v>4047017.6159999976</v>
      </c>
      <c r="J86" s="186">
        <f t="shared" si="44"/>
        <v>4252375.6110000005</v>
      </c>
      <c r="K86" s="186">
        <f t="shared" si="44"/>
        <v>4026843.1770000011</v>
      </c>
      <c r="L86" s="186">
        <f t="shared" si="44"/>
        <v>3513207.4649999989</v>
      </c>
      <c r="M86" s="186">
        <f t="shared" si="44"/>
        <v>3867014.3610000005</v>
      </c>
      <c r="N86" s="186">
        <f t="shared" si="44"/>
        <v>4291616.543999997</v>
      </c>
      <c r="O86" s="186">
        <f>-O38</f>
        <v>3374001.8849999993</v>
      </c>
      <c r="P86" s="183">
        <f>E86/1000</f>
        <v>2536.9510799999994</v>
      </c>
      <c r="Q86" s="128">
        <f t="shared" si="37"/>
        <v>1459149.624959999</v>
      </c>
      <c r="R86" s="265">
        <f t="shared" si="38"/>
        <v>1459150</v>
      </c>
    </row>
    <row r="87" spans="1:18" s="182" customFormat="1" ht="17.45" thickBot="1">
      <c r="A87" s="1140" t="s">
        <v>5729</v>
      </c>
      <c r="B87" s="1141"/>
      <c r="C87" s="1142"/>
      <c r="D87" s="184">
        <f t="shared" ref="D87:M87" si="45">D85-D86</f>
        <v>2780253.6790000005</v>
      </c>
      <c r="E87" s="184">
        <f t="shared" si="45"/>
        <v>5919552.5199999986</v>
      </c>
      <c r="F87" s="184">
        <f t="shared" si="45"/>
        <v>6039108.6420000046</v>
      </c>
      <c r="G87" s="185">
        <f t="shared" si="45"/>
        <v>7730720.6689999988</v>
      </c>
      <c r="H87" s="184">
        <f t="shared" si="45"/>
        <v>6811954.0720000025</v>
      </c>
      <c r="I87" s="185">
        <f t="shared" si="45"/>
        <v>9443041.1039999947</v>
      </c>
      <c r="J87" s="184">
        <f t="shared" si="45"/>
        <v>9922209.7589999996</v>
      </c>
      <c r="K87" s="184">
        <f t="shared" si="45"/>
        <v>9395967.4130000025</v>
      </c>
      <c r="L87" s="184">
        <f t="shared" si="45"/>
        <v>8197484.0849999981</v>
      </c>
      <c r="M87" s="184">
        <f t="shared" si="45"/>
        <v>9023033.5090000033</v>
      </c>
      <c r="N87" s="184">
        <f>N85-N86</f>
        <v>10013771.935999993</v>
      </c>
      <c r="O87" s="184">
        <f>O85-O86</f>
        <v>7872671.0649999976</v>
      </c>
      <c r="P87" s="183">
        <f>E87/1000</f>
        <v>5919.5525199999984</v>
      </c>
      <c r="Q87" s="128">
        <f t="shared" si="37"/>
        <v>3404682.4582399977</v>
      </c>
      <c r="R87" s="265">
        <f t="shared" si="38"/>
        <v>3404682</v>
      </c>
    </row>
    <row r="88" spans="1:18">
      <c r="A88" s="161" t="s">
        <v>5742</v>
      </c>
      <c r="B88" s="160"/>
      <c r="C88" s="160"/>
      <c r="D88" s="154">
        <f t="shared" ref="D88:O88" si="46">IF(D87&gt;0,D87*15%,0)</f>
        <v>417038.05185000005</v>
      </c>
      <c r="E88" s="150">
        <f t="shared" si="46"/>
        <v>887932.87799999979</v>
      </c>
      <c r="F88" s="150">
        <f t="shared" si="46"/>
        <v>905866.29630000063</v>
      </c>
      <c r="G88" s="150">
        <f t="shared" si="46"/>
        <v>1159608.1003499997</v>
      </c>
      <c r="H88" s="150">
        <f t="shared" si="46"/>
        <v>1021793.1108000004</v>
      </c>
      <c r="I88" s="150">
        <f t="shared" si="46"/>
        <v>1416456.1655999993</v>
      </c>
      <c r="J88" s="150">
        <f t="shared" si="46"/>
        <v>1488331.4638499999</v>
      </c>
      <c r="K88" s="150">
        <f t="shared" si="46"/>
        <v>1409395.1119500003</v>
      </c>
      <c r="L88" s="150">
        <f t="shared" si="46"/>
        <v>1229622.6127499996</v>
      </c>
      <c r="M88" s="150">
        <f t="shared" si="46"/>
        <v>1353455.0263500004</v>
      </c>
      <c r="N88" s="150">
        <f t="shared" si="46"/>
        <v>1502065.7903999989</v>
      </c>
      <c r="O88" s="150">
        <f t="shared" si="46"/>
        <v>1180900.6597499996</v>
      </c>
      <c r="P88" s="183">
        <f>E88/1000</f>
        <v>887.93287799999985</v>
      </c>
      <c r="Q88" s="128">
        <f t="shared" si="37"/>
        <v>510702.36873599968</v>
      </c>
      <c r="R88" s="265">
        <f t="shared" si="38"/>
        <v>510702</v>
      </c>
    </row>
    <row r="89" spans="1:18" ht="17.45" thickBot="1">
      <c r="A89" s="181" t="s">
        <v>5743</v>
      </c>
      <c r="B89" s="180"/>
      <c r="C89" s="180"/>
      <c r="D89" s="150">
        <f>IF(D87&gt;D90,((D87-(D90*1))*0.1),0)</f>
        <v>276025.36790000007</v>
      </c>
      <c r="E89" s="150">
        <f t="shared" ref="E89:O89" si="47">IF(E87&gt;E90,((E87-(E90*1))*0.1),0)</f>
        <v>587955.25199999986</v>
      </c>
      <c r="F89" s="150">
        <f t="shared" si="47"/>
        <v>597910.86420000053</v>
      </c>
      <c r="G89" s="150">
        <f t="shared" si="47"/>
        <v>765072.06689999998</v>
      </c>
      <c r="H89" s="150">
        <f t="shared" si="47"/>
        <v>671195.40720000025</v>
      </c>
      <c r="I89" s="150">
        <f t="shared" si="47"/>
        <v>932304.11039999954</v>
      </c>
      <c r="J89" s="150">
        <f t="shared" si="47"/>
        <v>978220.97589999996</v>
      </c>
      <c r="K89" s="150">
        <f t="shared" si="47"/>
        <v>923596.74130000034</v>
      </c>
      <c r="L89" s="150">
        <f t="shared" si="47"/>
        <v>801748.4084999999</v>
      </c>
      <c r="M89" s="150">
        <f t="shared" si="47"/>
        <v>882303.35090000043</v>
      </c>
      <c r="N89" s="150">
        <f t="shared" si="47"/>
        <v>979377.19359999942</v>
      </c>
      <c r="O89" s="150">
        <f t="shared" si="47"/>
        <v>763267.10649999976</v>
      </c>
      <c r="P89" s="183">
        <f>E89/1000</f>
        <v>587.95525199999986</v>
      </c>
      <c r="Q89" s="128">
        <f t="shared" si="37"/>
        <v>332988.24582399981</v>
      </c>
      <c r="R89" s="265">
        <f t="shared" si="38"/>
        <v>332988</v>
      </c>
    </row>
    <row r="90" spans="1:18" ht="17.45" hidden="1" thickBot="1">
      <c r="B90" s="157"/>
      <c r="C90" s="157"/>
      <c r="D90" s="127">
        <f t="shared" ref="D90:O90" si="48">20000*D5</f>
        <v>20000</v>
      </c>
      <c r="E90" s="127">
        <f t="shared" si="48"/>
        <v>40000</v>
      </c>
      <c r="F90" s="127">
        <f t="shared" si="48"/>
        <v>60000</v>
      </c>
      <c r="G90" s="127">
        <f t="shared" si="48"/>
        <v>80000</v>
      </c>
      <c r="H90" s="127">
        <f t="shared" si="48"/>
        <v>100000</v>
      </c>
      <c r="I90" s="127">
        <f t="shared" si="48"/>
        <v>120000</v>
      </c>
      <c r="J90" s="127">
        <f t="shared" si="48"/>
        <v>140000</v>
      </c>
      <c r="K90" s="127">
        <f t="shared" si="48"/>
        <v>160000</v>
      </c>
      <c r="L90" s="127">
        <f t="shared" si="48"/>
        <v>180000</v>
      </c>
      <c r="M90" s="127">
        <f t="shared" si="48"/>
        <v>200000</v>
      </c>
      <c r="N90" s="127">
        <f t="shared" si="48"/>
        <v>220000</v>
      </c>
      <c r="O90" s="127">
        <f t="shared" si="48"/>
        <v>240000</v>
      </c>
      <c r="P90" s="183">
        <f t="shared" si="42"/>
        <v>20</v>
      </c>
      <c r="Q90" s="128">
        <f t="shared" si="37"/>
        <v>74800</v>
      </c>
      <c r="R90" s="265">
        <f t="shared" si="38"/>
        <v>74800</v>
      </c>
    </row>
    <row r="91" spans="1:18" ht="17.45" thickBot="1">
      <c r="A91" s="1137" t="s">
        <v>5744</v>
      </c>
      <c r="B91" s="1138"/>
      <c r="C91" s="1139"/>
      <c r="D91" s="156">
        <f t="shared" ref="D91:O91" si="49">D88+D89</f>
        <v>693063.41975000012</v>
      </c>
      <c r="E91" s="156">
        <f t="shared" si="49"/>
        <v>1475888.1299999997</v>
      </c>
      <c r="F91" s="156">
        <f t="shared" si="49"/>
        <v>1503777.1605000012</v>
      </c>
      <c r="G91" s="156">
        <f t="shared" si="49"/>
        <v>1924680.1672499997</v>
      </c>
      <c r="H91" s="156">
        <f t="shared" si="49"/>
        <v>1692988.5180000006</v>
      </c>
      <c r="I91" s="156">
        <f t="shared" si="49"/>
        <v>2348760.2759999987</v>
      </c>
      <c r="J91" s="156">
        <f t="shared" si="49"/>
        <v>2466552.4397499999</v>
      </c>
      <c r="K91" s="156">
        <f t="shared" si="49"/>
        <v>2332991.8532500006</v>
      </c>
      <c r="L91" s="156">
        <f t="shared" si="49"/>
        <v>2031371.0212499995</v>
      </c>
      <c r="M91" s="156">
        <f t="shared" si="49"/>
        <v>2235758.3772500008</v>
      </c>
      <c r="N91" s="156">
        <f t="shared" si="49"/>
        <v>2481442.9839999983</v>
      </c>
      <c r="O91" s="156">
        <f t="shared" si="49"/>
        <v>1944167.7662499994</v>
      </c>
      <c r="P91" s="183">
        <f>E91/1000</f>
        <v>1475.8881299999996</v>
      </c>
      <c r="Q91" s="128">
        <f t="shared" si="37"/>
        <v>843690.61455999943</v>
      </c>
      <c r="R91" s="265">
        <f t="shared" si="38"/>
        <v>843691</v>
      </c>
    </row>
    <row r="92" spans="1:18">
      <c r="A92" s="179"/>
      <c r="B92" s="178"/>
      <c r="C92" s="178"/>
      <c r="D92" s="158"/>
      <c r="E92" s="158"/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183">
        <f t="shared" si="42"/>
        <v>0</v>
      </c>
      <c r="Q92" s="128">
        <f t="shared" si="37"/>
        <v>0</v>
      </c>
      <c r="R92" s="265">
        <f t="shared" si="38"/>
        <v>0</v>
      </c>
    </row>
    <row r="93" spans="1:18">
      <c r="A93" s="170" t="s">
        <v>5745</v>
      </c>
      <c r="B93" s="169"/>
      <c r="C93" s="160"/>
      <c r="D93" s="158"/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83">
        <f t="shared" si="42"/>
        <v>0</v>
      </c>
      <c r="Q93" s="128">
        <f t="shared" si="37"/>
        <v>0</v>
      </c>
      <c r="R93" s="265">
        <f t="shared" si="38"/>
        <v>0</v>
      </c>
    </row>
    <row r="94" spans="1:18">
      <c r="A94" s="177" t="s">
        <v>5746</v>
      </c>
      <c r="B94" s="160"/>
      <c r="C94" s="160">
        <f>C88*4%</f>
        <v>0</v>
      </c>
      <c r="D94" s="163">
        <v>16681.52</v>
      </c>
      <c r="E94" s="163">
        <v>35517.315119999992</v>
      </c>
      <c r="F94" s="163">
        <v>36234.651852000025</v>
      </c>
      <c r="G94" s="163">
        <v>46384.324013999991</v>
      </c>
      <c r="H94" s="163">
        <v>40871.724432000017</v>
      </c>
      <c r="I94" s="163">
        <v>56658.246624000065</v>
      </c>
      <c r="J94" s="163">
        <v>59533.258554</v>
      </c>
      <c r="K94" s="163">
        <v>56375.804478000013</v>
      </c>
      <c r="L94" s="163">
        <v>49184.904509999986</v>
      </c>
      <c r="M94" s="163">
        <v>54138.2</v>
      </c>
      <c r="N94" s="163">
        <v>60082.631615999955</v>
      </c>
      <c r="O94" s="163">
        <v>47236.03</v>
      </c>
      <c r="P94" s="183">
        <f t="shared" ref="P94:P99" si="50">E94/1000</f>
        <v>35.517315119999992</v>
      </c>
      <c r="Q94" s="128">
        <f t="shared" si="37"/>
        <v>20428.094749439988</v>
      </c>
      <c r="R94" s="265">
        <f t="shared" si="38"/>
        <v>20428</v>
      </c>
    </row>
    <row r="95" spans="1:18" s="172" customFormat="1">
      <c r="A95" s="175" t="s">
        <v>5714</v>
      </c>
      <c r="B95" s="176">
        <v>411111</v>
      </c>
      <c r="C95" s="175" t="str">
        <f>A95</f>
        <v>Salario Maternidade  - Prorrogação</v>
      </c>
      <c r="D95" s="163">
        <v>15645.08</v>
      </c>
      <c r="E95" s="163">
        <v>16974.7</v>
      </c>
      <c r="F95" s="163">
        <v>16974.7</v>
      </c>
      <c r="G95" s="163">
        <v>16974.7</v>
      </c>
      <c r="H95" s="163">
        <v>28951.56</v>
      </c>
      <c r="I95" s="163">
        <v>42771.01</v>
      </c>
      <c r="J95" s="174">
        <v>44613.599999999999</v>
      </c>
      <c r="K95" s="174">
        <v>61890.36</v>
      </c>
      <c r="L95" s="174">
        <v>79762.87</v>
      </c>
      <c r="M95" s="150">
        <v>80358.62</v>
      </c>
      <c r="N95" s="150">
        <v>80358.62</v>
      </c>
      <c r="O95" s="174">
        <v>80358.62</v>
      </c>
      <c r="P95" s="183">
        <f t="shared" si="50"/>
        <v>16.974700000000002</v>
      </c>
      <c r="Q95" s="128">
        <f t="shared" si="37"/>
        <v>27321.930800000002</v>
      </c>
      <c r="R95" s="265">
        <f t="shared" si="38"/>
        <v>27322</v>
      </c>
    </row>
    <row r="96" spans="1:18" s="172" customFormat="1">
      <c r="A96" s="175" t="s">
        <v>988</v>
      </c>
      <c r="B96" s="176">
        <v>411113</v>
      </c>
      <c r="C96" s="175" t="str">
        <f>A96</f>
        <v>Licença Paternidade Prorrogação</v>
      </c>
      <c r="D96" s="163">
        <v>1100.18</v>
      </c>
      <c r="E96" s="163">
        <v>2788.91</v>
      </c>
      <c r="F96" s="163">
        <v>2788.91</v>
      </c>
      <c r="G96" s="150">
        <v>12156.4</v>
      </c>
      <c r="H96" s="150">
        <v>12156.4</v>
      </c>
      <c r="I96" s="174">
        <v>12156.4</v>
      </c>
      <c r="J96" s="174">
        <v>18144.830000000002</v>
      </c>
      <c r="K96" s="174">
        <v>26594.34</v>
      </c>
      <c r="L96" s="174">
        <v>26594.34</v>
      </c>
      <c r="M96" s="150">
        <v>26594.34</v>
      </c>
      <c r="N96" s="150">
        <v>31740.51</v>
      </c>
      <c r="O96" s="174">
        <v>41147.26</v>
      </c>
      <c r="P96" s="183">
        <f t="shared" si="50"/>
        <v>2.78891</v>
      </c>
      <c r="Q96" s="128">
        <f t="shared" si="37"/>
        <v>10791.7734</v>
      </c>
      <c r="R96" s="265">
        <f t="shared" si="38"/>
        <v>10792</v>
      </c>
    </row>
    <row r="97" spans="1:18" s="172" customFormat="1">
      <c r="A97" s="175" t="s">
        <v>5714</v>
      </c>
      <c r="B97" s="176">
        <v>421110</v>
      </c>
      <c r="C97" s="175" t="str">
        <f>A97</f>
        <v>Salario Maternidade  - Prorrogação</v>
      </c>
      <c r="D97" s="163">
        <v>0</v>
      </c>
      <c r="E97" s="163">
        <v>0</v>
      </c>
      <c r="F97" s="163">
        <v>0</v>
      </c>
      <c r="G97" s="150">
        <v>36693.199999999997</v>
      </c>
      <c r="H97" s="150">
        <v>99485.73</v>
      </c>
      <c r="I97" s="174">
        <v>121190.09</v>
      </c>
      <c r="J97" s="150">
        <v>121190.09</v>
      </c>
      <c r="K97" s="174">
        <v>121190.09</v>
      </c>
      <c r="L97" s="174">
        <v>121190.09</v>
      </c>
      <c r="M97" s="150">
        <v>121190.09</v>
      </c>
      <c r="N97" s="150">
        <v>121190.09</v>
      </c>
      <c r="O97" s="174">
        <v>121190.09</v>
      </c>
      <c r="P97" s="183">
        <f t="shared" si="50"/>
        <v>0</v>
      </c>
      <c r="Q97" s="128">
        <f t="shared" si="37"/>
        <v>41204.630600000004</v>
      </c>
      <c r="R97" s="265">
        <f t="shared" si="38"/>
        <v>41205</v>
      </c>
    </row>
    <row r="98" spans="1:18" s="172" customFormat="1" ht="17.45" thickBot="1">
      <c r="A98" s="175" t="s">
        <v>988</v>
      </c>
      <c r="B98" s="176">
        <v>421112</v>
      </c>
      <c r="C98" s="175" t="str">
        <f>A98</f>
        <v>Licença Paternidade Prorrogação</v>
      </c>
      <c r="D98" s="163">
        <v>0</v>
      </c>
      <c r="E98" s="163">
        <v>2934.49</v>
      </c>
      <c r="F98" s="163">
        <v>2934.49</v>
      </c>
      <c r="G98" s="158">
        <v>2934.49</v>
      </c>
      <c r="H98" s="160">
        <v>2934.49</v>
      </c>
      <c r="I98" s="150">
        <v>2934.49</v>
      </c>
      <c r="J98" s="150">
        <v>2934.49</v>
      </c>
      <c r="K98" s="174">
        <v>2934.49</v>
      </c>
      <c r="L98" s="174">
        <v>2934.49</v>
      </c>
      <c r="M98" s="174">
        <v>2934.49</v>
      </c>
      <c r="N98" s="174">
        <v>2934.49</v>
      </c>
      <c r="O98" s="174">
        <v>2934.49</v>
      </c>
      <c r="P98" s="183">
        <f t="shared" si="50"/>
        <v>2.9344899999999998</v>
      </c>
      <c r="Q98" s="128">
        <f t="shared" si="37"/>
        <v>997.72659999999996</v>
      </c>
      <c r="R98" s="265">
        <f t="shared" si="38"/>
        <v>998</v>
      </c>
    </row>
    <row r="99" spans="1:18" ht="17.45" thickBot="1">
      <c r="A99" s="1137" t="s">
        <v>5747</v>
      </c>
      <c r="B99" s="1138"/>
      <c r="C99" s="1139">
        <f>SUM(C94:C97)</f>
        <v>0</v>
      </c>
      <c r="D99" s="171">
        <f t="shared" ref="D99:O99" si="51">SUM(D94:D98)</f>
        <v>33426.78</v>
      </c>
      <c r="E99" s="156">
        <f t="shared" si="51"/>
        <v>58215.415119999998</v>
      </c>
      <c r="F99" s="171">
        <f t="shared" si="51"/>
        <v>58932.751852000023</v>
      </c>
      <c r="G99" s="171">
        <f t="shared" si="51"/>
        <v>115143.11401399999</v>
      </c>
      <c r="H99" s="171">
        <f t="shared" si="51"/>
        <v>184399.90443200001</v>
      </c>
      <c r="I99" s="171">
        <f t="shared" si="51"/>
        <v>235710.23662400004</v>
      </c>
      <c r="J99" s="171">
        <f t="shared" si="51"/>
        <v>246416.26855400001</v>
      </c>
      <c r="K99" s="171">
        <f t="shared" si="51"/>
        <v>268985.084478</v>
      </c>
      <c r="L99" s="171">
        <f>SUM(L94:L98)</f>
        <v>279666.69450999994</v>
      </c>
      <c r="M99" s="171">
        <f>SUM(M94:M98)</f>
        <v>285215.74</v>
      </c>
      <c r="N99" s="171">
        <f t="shared" si="51"/>
        <v>296306.34161599993</v>
      </c>
      <c r="O99" s="171">
        <f t="shared" si="51"/>
        <v>292866.49</v>
      </c>
      <c r="P99" s="183">
        <f t="shared" si="50"/>
        <v>58.215415119999996</v>
      </c>
      <c r="Q99" s="128">
        <f t="shared" si="37"/>
        <v>100744.15614943998</v>
      </c>
      <c r="R99" s="265">
        <f t="shared" si="38"/>
        <v>100744</v>
      </c>
    </row>
    <row r="100" spans="1:18" ht="17.45" thickBot="1">
      <c r="A100" s="161"/>
      <c r="B100" s="160"/>
      <c r="C100" s="160"/>
      <c r="D100" s="158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P100" s="183">
        <f t="shared" si="42"/>
        <v>0</v>
      </c>
      <c r="Q100" s="128">
        <f t="shared" si="37"/>
        <v>0</v>
      </c>
      <c r="R100" s="265">
        <f t="shared" si="38"/>
        <v>0</v>
      </c>
    </row>
    <row r="101" spans="1:18" ht="17.45" thickBot="1">
      <c r="A101" s="1137" t="s">
        <v>5748</v>
      </c>
      <c r="B101" s="1138"/>
      <c r="C101" s="1139">
        <f>C91-C99</f>
        <v>0</v>
      </c>
      <c r="D101" s="156">
        <f>D91-D99</f>
        <v>659636.63975000009</v>
      </c>
      <c r="E101" s="156">
        <f>E91-E99</f>
        <v>1417672.7148799996</v>
      </c>
      <c r="F101" s="156">
        <f>F91-F99</f>
        <v>1444844.408648001</v>
      </c>
      <c r="G101" s="156">
        <f t="shared" ref="G101:O101" si="52">IF(G91-G99&gt;0,G91-G99,0)</f>
        <v>1809537.0532359998</v>
      </c>
      <c r="H101" s="156">
        <f t="shared" si="52"/>
        <v>1508588.6135680005</v>
      </c>
      <c r="I101" s="156">
        <f t="shared" si="52"/>
        <v>2113050.0393759985</v>
      </c>
      <c r="J101" s="156">
        <f t="shared" si="52"/>
        <v>2220136.1711959997</v>
      </c>
      <c r="K101" s="156">
        <f t="shared" si="52"/>
        <v>2064006.7687720007</v>
      </c>
      <c r="L101" s="156">
        <f t="shared" si="52"/>
        <v>1751704.3267399995</v>
      </c>
      <c r="M101" s="156">
        <f t="shared" si="52"/>
        <v>1950542.6372500008</v>
      </c>
      <c r="N101" s="156">
        <f t="shared" si="52"/>
        <v>2185136.6423839983</v>
      </c>
      <c r="O101" s="156">
        <f t="shared" si="52"/>
        <v>1651301.2762499994</v>
      </c>
      <c r="P101" s="183">
        <f>E101/1000</f>
        <v>1417.6727148799996</v>
      </c>
      <c r="Q101" s="128">
        <f t="shared" si="37"/>
        <v>742946.45841055945</v>
      </c>
      <c r="R101" s="265">
        <f t="shared" si="38"/>
        <v>742946</v>
      </c>
    </row>
    <row r="102" spans="1:18">
      <c r="A102" s="170" t="s">
        <v>5749</v>
      </c>
      <c r="B102" s="169"/>
      <c r="C102" s="160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83">
        <f t="shared" si="42"/>
        <v>0</v>
      </c>
      <c r="Q102" s="128">
        <f t="shared" si="37"/>
        <v>0</v>
      </c>
      <c r="R102" s="265">
        <f t="shared" si="38"/>
        <v>0</v>
      </c>
    </row>
    <row r="103" spans="1:18">
      <c r="A103" s="161" t="s">
        <v>5750</v>
      </c>
      <c r="B103" s="168"/>
      <c r="C103" s="167">
        <v>0</v>
      </c>
      <c r="D103" s="163">
        <f>C107</f>
        <v>0</v>
      </c>
      <c r="E103" s="166">
        <f>D107</f>
        <v>659636.63975000009</v>
      </c>
      <c r="F103" s="166">
        <f>E105+E107</f>
        <v>1417672.7148799996</v>
      </c>
      <c r="G103" s="166">
        <f>F105+F107</f>
        <v>1444844.408648001</v>
      </c>
      <c r="H103" s="166">
        <f>G105+G107</f>
        <v>1809537.0532359998</v>
      </c>
      <c r="I103" s="167">
        <f t="shared" ref="I103:O103" si="53">H105</f>
        <v>1809537.0532359998</v>
      </c>
      <c r="J103" s="167">
        <f>I105+I107</f>
        <v>2113050.0393759985</v>
      </c>
      <c r="K103" s="166">
        <f>J105+J107</f>
        <v>2220136.1711959997</v>
      </c>
      <c r="L103" s="166">
        <f t="shared" si="53"/>
        <v>2220136.1711959997</v>
      </c>
      <c r="M103" s="166">
        <f t="shared" si="53"/>
        <v>2220136.1711959997</v>
      </c>
      <c r="N103" s="166">
        <f t="shared" si="53"/>
        <v>2220136.1711959997</v>
      </c>
      <c r="O103" s="166">
        <f t="shared" si="53"/>
        <v>2220136.1711959997</v>
      </c>
      <c r="P103" s="183">
        <f t="shared" si="42"/>
        <v>0</v>
      </c>
      <c r="Q103" s="128">
        <f t="shared" si="37"/>
        <v>754846.29820663994</v>
      </c>
      <c r="R103" s="265">
        <f t="shared" si="38"/>
        <v>754846</v>
      </c>
    </row>
    <row r="104" spans="1:18" ht="17.45" thickBot="1">
      <c r="A104" s="161" t="s">
        <v>5751</v>
      </c>
      <c r="B104" s="165"/>
      <c r="C104" s="164"/>
      <c r="D104" s="163">
        <v>0</v>
      </c>
      <c r="E104" s="163">
        <v>0</v>
      </c>
      <c r="F104" s="163">
        <v>0</v>
      </c>
      <c r="G104" s="163">
        <v>0</v>
      </c>
      <c r="H104" s="163">
        <v>0</v>
      </c>
      <c r="I104" s="163">
        <v>0</v>
      </c>
      <c r="J104" s="158">
        <v>0</v>
      </c>
      <c r="K104" s="158">
        <v>0</v>
      </c>
      <c r="L104" s="158">
        <v>0</v>
      </c>
      <c r="M104" s="158">
        <v>0</v>
      </c>
      <c r="N104" s="158">
        <v>0</v>
      </c>
      <c r="O104" s="163">
        <v>0</v>
      </c>
      <c r="P104" s="183">
        <f t="shared" si="42"/>
        <v>0</v>
      </c>
      <c r="Q104" s="128">
        <f t="shared" si="37"/>
        <v>0</v>
      </c>
      <c r="R104" s="265">
        <f t="shared" si="38"/>
        <v>0</v>
      </c>
    </row>
    <row r="105" spans="1:18" ht="17.45" thickBot="1">
      <c r="A105" s="1137" t="s">
        <v>5752</v>
      </c>
      <c r="B105" s="1138">
        <v>0</v>
      </c>
      <c r="C105" s="1139">
        <f t="shared" ref="C105:O105" si="54">SUM(C103:C104)</f>
        <v>0</v>
      </c>
      <c r="D105" s="156">
        <f t="shared" si="54"/>
        <v>0</v>
      </c>
      <c r="E105" s="156">
        <f t="shared" si="54"/>
        <v>659636.63975000009</v>
      </c>
      <c r="F105" s="156">
        <f t="shared" si="54"/>
        <v>1417672.7148799996</v>
      </c>
      <c r="G105" s="156">
        <f t="shared" si="54"/>
        <v>1444844.408648001</v>
      </c>
      <c r="H105" s="162">
        <f t="shared" si="54"/>
        <v>1809537.0532359998</v>
      </c>
      <c r="I105" s="162">
        <f t="shared" si="54"/>
        <v>1809537.0532359998</v>
      </c>
      <c r="J105" s="156">
        <f t="shared" si="54"/>
        <v>2113050.0393759985</v>
      </c>
      <c r="K105" s="156">
        <f t="shared" si="54"/>
        <v>2220136.1711959997</v>
      </c>
      <c r="L105" s="156">
        <f t="shared" si="54"/>
        <v>2220136.1711959997</v>
      </c>
      <c r="M105" s="156">
        <f t="shared" si="54"/>
        <v>2220136.1711959997</v>
      </c>
      <c r="N105" s="156">
        <f t="shared" si="54"/>
        <v>2220136.1711959997</v>
      </c>
      <c r="O105" s="156">
        <f t="shared" si="54"/>
        <v>2220136.1711959997</v>
      </c>
      <c r="P105" s="183">
        <f>E105/1000</f>
        <v>659.63663975000009</v>
      </c>
      <c r="Q105" s="128">
        <f t="shared" si="37"/>
        <v>754846.29820663994</v>
      </c>
      <c r="R105" s="265">
        <f t="shared" si="38"/>
        <v>754846</v>
      </c>
    </row>
    <row r="106" spans="1:18" ht="17.45" thickBot="1">
      <c r="A106" s="161"/>
      <c r="B106" s="160"/>
      <c r="C106" s="160"/>
      <c r="D106" s="159"/>
      <c r="E106" s="158"/>
      <c r="F106" s="158"/>
      <c r="G106" s="158"/>
      <c r="H106" s="158"/>
      <c r="I106" s="158"/>
      <c r="J106" s="158"/>
      <c r="K106" s="158"/>
      <c r="L106" s="158"/>
      <c r="M106" s="158"/>
      <c r="N106" s="158"/>
      <c r="O106" s="158"/>
      <c r="P106" s="183">
        <f t="shared" si="42"/>
        <v>0</v>
      </c>
      <c r="Q106" s="128">
        <f t="shared" si="37"/>
        <v>0</v>
      </c>
      <c r="R106" s="265">
        <f t="shared" si="38"/>
        <v>0</v>
      </c>
    </row>
    <row r="107" spans="1:18" ht="17.45" thickBot="1">
      <c r="A107" s="1137" t="s">
        <v>5753</v>
      </c>
      <c r="B107" s="1138"/>
      <c r="C107" s="1139">
        <f t="shared" ref="C107:O107" si="55">C101-C105</f>
        <v>0</v>
      </c>
      <c r="D107" s="156">
        <f t="shared" si="55"/>
        <v>659636.63975000009</v>
      </c>
      <c r="E107" s="156">
        <f t="shared" si="55"/>
        <v>758036.07512999955</v>
      </c>
      <c r="F107" s="156">
        <f t="shared" si="55"/>
        <v>27171.693768001394</v>
      </c>
      <c r="G107" s="156">
        <f t="shared" si="55"/>
        <v>364692.64458799874</v>
      </c>
      <c r="H107" s="156">
        <f t="shared" si="55"/>
        <v>-300948.43966799928</v>
      </c>
      <c r="I107" s="156">
        <f t="shared" si="55"/>
        <v>303512.98613999877</v>
      </c>
      <c r="J107" s="156">
        <f t="shared" si="55"/>
        <v>107086.13182000117</v>
      </c>
      <c r="K107" s="156">
        <f>K101-K105</f>
        <v>-156129.40242399904</v>
      </c>
      <c r="L107" s="156">
        <f t="shared" si="55"/>
        <v>-468431.84445600025</v>
      </c>
      <c r="M107" s="156">
        <f t="shared" si="55"/>
        <v>-269593.53394599888</v>
      </c>
      <c r="N107" s="156">
        <f t="shared" si="55"/>
        <v>-34999.528812001459</v>
      </c>
      <c r="O107" s="156">
        <f t="shared" si="55"/>
        <v>-568834.89494600031</v>
      </c>
      <c r="P107" s="183">
        <f>E107/1000</f>
        <v>758.03607512999952</v>
      </c>
      <c r="Q107" s="128">
        <f t="shared" si="37"/>
        <v>-11899.839796080498</v>
      </c>
      <c r="R107" s="265">
        <f t="shared" si="38"/>
        <v>-11900</v>
      </c>
    </row>
    <row r="108" spans="1:18" ht="17.45" thickBot="1">
      <c r="P108" s="183">
        <f t="shared" si="42"/>
        <v>0</v>
      </c>
      <c r="Q108" s="128">
        <f t="shared" si="37"/>
        <v>0</v>
      </c>
      <c r="R108" s="265">
        <f t="shared" si="38"/>
        <v>0</v>
      </c>
    </row>
    <row r="109" spans="1:18" ht="17.45" thickBot="1">
      <c r="A109" s="1137" t="s">
        <v>5803</v>
      </c>
      <c r="B109" s="1138"/>
      <c r="C109" s="1138"/>
      <c r="D109" s="155" t="s">
        <v>5695</v>
      </c>
      <c r="E109" s="155" t="s">
        <v>5696</v>
      </c>
      <c r="F109" s="155" t="s">
        <v>5697</v>
      </c>
      <c r="G109" s="155" t="s">
        <v>5698</v>
      </c>
      <c r="H109" s="155" t="s">
        <v>5699</v>
      </c>
      <c r="I109" s="155" t="s">
        <v>5700</v>
      </c>
      <c r="J109" s="155" t="s">
        <v>5701</v>
      </c>
      <c r="K109" s="155" t="s">
        <v>5702</v>
      </c>
      <c r="L109" s="155" t="s">
        <v>5703</v>
      </c>
      <c r="M109" s="155" t="s">
        <v>5704</v>
      </c>
      <c r="N109" s="155" t="s">
        <v>5705</v>
      </c>
      <c r="O109" s="155" t="s">
        <v>5706</v>
      </c>
      <c r="P109" s="183"/>
      <c r="Q109" s="128" t="e">
        <f t="shared" si="37"/>
        <v>#VALUE!</v>
      </c>
      <c r="R109" s="265" t="e">
        <f t="shared" si="38"/>
        <v>#VALUE!</v>
      </c>
    </row>
    <row r="110" spans="1:18">
      <c r="A110" s="152" t="s">
        <v>5804</v>
      </c>
      <c r="B110" s="151"/>
      <c r="C110" s="151"/>
      <c r="D110" s="154">
        <v>3693677.7</v>
      </c>
      <c r="E110" s="154">
        <f>IF(E85&lt;0, D110+E85, D110)</f>
        <v>3693677.7</v>
      </c>
      <c r="F110" s="154">
        <f>IF(F85&lt;0, E110+F85, E110)</f>
        <v>3693677.7</v>
      </c>
      <c r="G110" s="154">
        <f>IF(G85&lt;0, F110+G85, F110)</f>
        <v>3693677.7</v>
      </c>
      <c r="H110" s="154">
        <f>IF(H85&lt;0, G110+H85, G110)</f>
        <v>3693677.7</v>
      </c>
      <c r="I110" s="154">
        <f t="shared" ref="I110:O110" si="56">H110+H85</f>
        <v>13425040.660000004</v>
      </c>
      <c r="J110" s="154">
        <f>[8]IRPJ_CSLL_2023!$J$103</f>
        <v>4403156.1400000025</v>
      </c>
      <c r="K110" s="154">
        <f>[8]IRPJ_CSLL_2023!$K$103</f>
        <v>4403156.1400000025</v>
      </c>
      <c r="L110" s="154">
        <f>[8]IRPJ_CSLL_2023!$L$103</f>
        <v>4403156.1399999997</v>
      </c>
      <c r="M110" s="154">
        <f t="shared" si="56"/>
        <v>16113847.689999998</v>
      </c>
      <c r="N110" s="154">
        <f t="shared" si="56"/>
        <v>29003895.560000002</v>
      </c>
      <c r="O110" s="154">
        <f t="shared" si="56"/>
        <v>43309284.039999992</v>
      </c>
      <c r="P110" s="183">
        <f t="shared" si="42"/>
        <v>3693.6777000000002</v>
      </c>
      <c r="Q110" s="128">
        <f t="shared" si="37"/>
        <v>9861324.4904000014</v>
      </c>
      <c r="R110" s="265">
        <f t="shared" si="38"/>
        <v>9861324</v>
      </c>
    </row>
    <row r="111" spans="1:18">
      <c r="A111" s="152" t="s">
        <v>5756</v>
      </c>
      <c r="B111" s="151"/>
      <c r="C111" s="151"/>
      <c r="D111" s="153">
        <f>D86</f>
        <v>1191537.2910000002</v>
      </c>
      <c r="E111" s="153">
        <f t="shared" ref="E111:L111" si="57">E86</f>
        <v>2536951.0799999991</v>
      </c>
      <c r="F111" s="153">
        <f t="shared" si="57"/>
        <v>2588189.4180000019</v>
      </c>
      <c r="G111" s="153">
        <f t="shared" si="57"/>
        <v>3313166.0009999992</v>
      </c>
      <c r="H111" s="153">
        <f t="shared" si="57"/>
        <v>2919408.8880000007</v>
      </c>
      <c r="I111" s="153">
        <f t="shared" si="57"/>
        <v>4047017.6159999976</v>
      </c>
      <c r="J111" s="153">
        <f t="shared" si="57"/>
        <v>4252375.6110000005</v>
      </c>
      <c r="K111" s="153">
        <f t="shared" si="57"/>
        <v>4026843.1770000011</v>
      </c>
      <c r="L111" s="153">
        <f t="shared" si="57"/>
        <v>3513207.4649999989</v>
      </c>
      <c r="M111" s="150">
        <f t="shared" ref="M111:O112" si="58">L111</f>
        <v>3513207.4649999989</v>
      </c>
      <c r="N111" s="150">
        <f t="shared" si="58"/>
        <v>3513207.4649999989</v>
      </c>
      <c r="O111" s="150">
        <f t="shared" si="58"/>
        <v>3513207.4649999989</v>
      </c>
      <c r="P111" s="183">
        <f t="shared" si="42"/>
        <v>1191.5372910000001</v>
      </c>
      <c r="Q111" s="128">
        <f t="shared" si="37"/>
        <v>1194490.5380999998</v>
      </c>
      <c r="R111" s="265">
        <f t="shared" si="38"/>
        <v>1194491</v>
      </c>
    </row>
    <row r="112" spans="1:18">
      <c r="A112" s="152" t="s">
        <v>5757</v>
      </c>
      <c r="B112" s="151"/>
      <c r="C112" s="151"/>
      <c r="D112" s="150">
        <f t="shared" ref="D112:L112" si="59">D110-D111</f>
        <v>2502140.409</v>
      </c>
      <c r="E112" s="150">
        <f t="shared" si="59"/>
        <v>1156726.620000001</v>
      </c>
      <c r="F112" s="150">
        <f t="shared" si="59"/>
        <v>1105488.2819999983</v>
      </c>
      <c r="G112" s="150">
        <f t="shared" si="59"/>
        <v>380511.69900000095</v>
      </c>
      <c r="H112" s="150">
        <f t="shared" si="59"/>
        <v>774268.81199999945</v>
      </c>
      <c r="I112" s="150">
        <f t="shared" si="59"/>
        <v>9378023.0440000072</v>
      </c>
      <c r="J112" s="150">
        <f t="shared" si="59"/>
        <v>150780.52900000196</v>
      </c>
      <c r="K112" s="150">
        <f t="shared" si="59"/>
        <v>376312.96300000139</v>
      </c>
      <c r="L112" s="150">
        <f t="shared" si="59"/>
        <v>889948.67500000075</v>
      </c>
      <c r="M112" s="150">
        <f t="shared" si="58"/>
        <v>889948.67500000075</v>
      </c>
      <c r="N112" s="150">
        <f t="shared" si="58"/>
        <v>889948.67500000075</v>
      </c>
      <c r="O112" s="150">
        <f t="shared" si="58"/>
        <v>889948.67500000075</v>
      </c>
      <c r="P112" s="183">
        <f t="shared" si="42"/>
        <v>2502.1404090000001</v>
      </c>
      <c r="Q112" s="128">
        <f t="shared" si="37"/>
        <v>302582.54950000026</v>
      </c>
      <c r="R112" s="265">
        <f t="shared" si="38"/>
        <v>302583</v>
      </c>
    </row>
    <row r="113" spans="2:18">
      <c r="P113" s="183">
        <f t="shared" si="42"/>
        <v>0</v>
      </c>
      <c r="Q113" s="128">
        <f t="shared" si="37"/>
        <v>0</v>
      </c>
      <c r="R113" s="265">
        <f t="shared" si="38"/>
        <v>0</v>
      </c>
    </row>
    <row r="114" spans="2:18" ht="17.45" thickBot="1">
      <c r="C114" s="149"/>
      <c r="D114" s="148"/>
      <c r="E114" s="148"/>
      <c r="F114" s="148"/>
      <c r="G114" s="148"/>
      <c r="H114" s="148"/>
      <c r="I114" s="148"/>
      <c r="J114" s="148"/>
      <c r="K114" s="148"/>
      <c r="L114" s="148"/>
      <c r="M114" s="148"/>
      <c r="N114" s="148"/>
      <c r="O114" s="148"/>
      <c r="P114" s="183">
        <f t="shared" si="42"/>
        <v>0</v>
      </c>
      <c r="Q114" s="128">
        <f t="shared" si="37"/>
        <v>0</v>
      </c>
      <c r="R114" s="265">
        <f t="shared" si="38"/>
        <v>0</v>
      </c>
    </row>
    <row r="115" spans="2:18" ht="17.45" thickBot="1">
      <c r="B115" s="147" t="s">
        <v>5758</v>
      </c>
      <c r="C115" s="146"/>
      <c r="D115" s="145" t="s">
        <v>5695</v>
      </c>
      <c r="E115" s="145" t="s">
        <v>5696</v>
      </c>
      <c r="F115" s="145" t="s">
        <v>5697</v>
      </c>
      <c r="G115" s="145" t="s">
        <v>5698</v>
      </c>
      <c r="H115" s="145" t="s">
        <v>5699</v>
      </c>
      <c r="I115" s="145" t="s">
        <v>5700</v>
      </c>
      <c r="J115" s="145" t="s">
        <v>5701</v>
      </c>
      <c r="K115" s="145" t="s">
        <v>5702</v>
      </c>
      <c r="L115" s="145" t="s">
        <v>5703</v>
      </c>
      <c r="M115" s="145" t="s">
        <v>5704</v>
      </c>
      <c r="N115" s="145" t="s">
        <v>5705</v>
      </c>
      <c r="O115" s="145" t="s">
        <v>5706</v>
      </c>
      <c r="P115" s="183"/>
      <c r="Q115" s="128" t="e">
        <f t="shared" si="37"/>
        <v>#VALUE!</v>
      </c>
      <c r="R115" s="265" t="e">
        <f t="shared" si="38"/>
        <v>#VALUE!</v>
      </c>
    </row>
    <row r="116" spans="2:18">
      <c r="B116" s="138" t="s">
        <v>5759</v>
      </c>
      <c r="C116" s="144">
        <v>41132</v>
      </c>
      <c r="D116" s="141">
        <v>185479.9</v>
      </c>
      <c r="E116" s="141"/>
      <c r="F116" s="141"/>
      <c r="G116" s="140"/>
      <c r="H116" s="140"/>
      <c r="I116" s="140"/>
      <c r="J116" s="140"/>
      <c r="K116" s="140"/>
      <c r="L116" s="140"/>
      <c r="M116" s="140"/>
      <c r="N116" s="140"/>
      <c r="O116" s="140">
        <f>'[7]12.2022'!H263</f>
        <v>1886772.51</v>
      </c>
      <c r="P116" s="183">
        <f t="shared" si="42"/>
        <v>185.47989999999999</v>
      </c>
      <c r="Q116" s="128">
        <f t="shared" si="37"/>
        <v>0</v>
      </c>
      <c r="R116" s="265">
        <f t="shared" si="38"/>
        <v>0</v>
      </c>
    </row>
    <row r="117" spans="2:18" ht="17.45" thickBot="1">
      <c r="B117" s="143" t="s">
        <v>5759</v>
      </c>
      <c r="C117" s="142">
        <v>42132</v>
      </c>
      <c r="D117" s="141">
        <v>85291.71</v>
      </c>
      <c r="E117" s="141"/>
      <c r="F117" s="141"/>
      <c r="G117" s="140"/>
      <c r="H117" s="140"/>
      <c r="I117" s="140"/>
      <c r="J117" s="140"/>
      <c r="K117" s="140"/>
      <c r="L117" s="140"/>
      <c r="M117" s="140"/>
      <c r="N117" s="140"/>
      <c r="O117" s="140">
        <f>'[7]12.2022'!H318</f>
        <v>866557.95</v>
      </c>
      <c r="P117" s="183">
        <f t="shared" si="42"/>
        <v>85.291710000000009</v>
      </c>
      <c r="Q117" s="128">
        <f t="shared" si="37"/>
        <v>0</v>
      </c>
      <c r="R117" s="265">
        <f t="shared" si="38"/>
        <v>0</v>
      </c>
    </row>
    <row r="118" spans="2:18" ht="17.45" thickBot="1">
      <c r="B118" s="1133" t="s">
        <v>5760</v>
      </c>
      <c r="C118" s="1134"/>
      <c r="D118" s="139">
        <f>SUM(D116:D117)</f>
        <v>270771.61</v>
      </c>
      <c r="E118" s="139"/>
      <c r="F118" s="139"/>
      <c r="G118" s="139"/>
      <c r="H118" s="139"/>
      <c r="I118" s="139"/>
      <c r="J118" s="139"/>
      <c r="K118" s="139"/>
      <c r="L118" s="139"/>
      <c r="M118" s="139"/>
      <c r="N118" s="139"/>
      <c r="O118" s="139">
        <f>SUM(O116:O117)</f>
        <v>2753330.46</v>
      </c>
      <c r="P118" s="183">
        <f t="shared" si="42"/>
        <v>270.77161000000001</v>
      </c>
      <c r="Q118" s="128">
        <f t="shared" si="37"/>
        <v>0</v>
      </c>
      <c r="R118" s="265">
        <f t="shared" si="38"/>
        <v>0</v>
      </c>
    </row>
    <row r="119" spans="2:18">
      <c r="B119" s="1135" t="s">
        <v>5761</v>
      </c>
      <c r="C119" s="1136"/>
      <c r="D119" s="137">
        <f t="shared" ref="D119:O119" si="60">D118*0.15</f>
        <v>40615.741499999996</v>
      </c>
      <c r="E119" s="137">
        <f t="shared" si="60"/>
        <v>0</v>
      </c>
      <c r="F119" s="137">
        <f t="shared" si="60"/>
        <v>0</v>
      </c>
      <c r="G119" s="137">
        <f t="shared" si="60"/>
        <v>0</v>
      </c>
      <c r="H119" s="137">
        <f t="shared" si="60"/>
        <v>0</v>
      </c>
      <c r="I119" s="137">
        <f t="shared" si="60"/>
        <v>0</v>
      </c>
      <c r="J119" s="137">
        <f>J118*0.15</f>
        <v>0</v>
      </c>
      <c r="K119" s="137">
        <f t="shared" si="60"/>
        <v>0</v>
      </c>
      <c r="L119" s="137">
        <f t="shared" si="60"/>
        <v>0</v>
      </c>
      <c r="M119" s="137">
        <f t="shared" si="60"/>
        <v>0</v>
      </c>
      <c r="N119" s="137">
        <f t="shared" si="60"/>
        <v>0</v>
      </c>
      <c r="O119" s="137">
        <f t="shared" si="60"/>
        <v>412999.56899999996</v>
      </c>
      <c r="P119" s="183">
        <f t="shared" si="42"/>
        <v>40.615741499999999</v>
      </c>
      <c r="Q119" s="128">
        <f t="shared" si="37"/>
        <v>0</v>
      </c>
      <c r="R119" s="265">
        <f t="shared" si="38"/>
        <v>0</v>
      </c>
    </row>
    <row r="120" spans="2:18">
      <c r="B120" s="138" t="s">
        <v>5762</v>
      </c>
      <c r="C120" s="135"/>
      <c r="D120" s="137">
        <f t="shared" ref="D120:O120" si="61">D88*0.04</f>
        <v>16681.522074</v>
      </c>
      <c r="E120" s="137">
        <f t="shared" si="61"/>
        <v>35517.315119999992</v>
      </c>
      <c r="F120" s="137">
        <f t="shared" si="61"/>
        <v>36234.651852000025</v>
      </c>
      <c r="G120" s="137">
        <f t="shared" si="61"/>
        <v>46384.324013999991</v>
      </c>
      <c r="H120" s="137">
        <f t="shared" si="61"/>
        <v>40871.724432000017</v>
      </c>
      <c r="I120" s="137">
        <f t="shared" si="61"/>
        <v>56658.24662399997</v>
      </c>
      <c r="J120" s="137">
        <f>J88*0.04</f>
        <v>59533.258554</v>
      </c>
      <c r="K120" s="137">
        <f t="shared" si="61"/>
        <v>56375.804478000013</v>
      </c>
      <c r="L120" s="137">
        <f>L88*0.04</f>
        <v>49184.904509999986</v>
      </c>
      <c r="M120" s="137">
        <f t="shared" si="61"/>
        <v>54138.201054000019</v>
      </c>
      <c r="N120" s="137">
        <f>N88*0.04</f>
        <v>60082.631615999955</v>
      </c>
      <c r="O120" s="137">
        <f t="shared" si="61"/>
        <v>47236.026389999985</v>
      </c>
      <c r="P120" s="183">
        <f t="shared" si="42"/>
        <v>16.681522074</v>
      </c>
      <c r="Q120" s="128">
        <f t="shared" si="37"/>
        <v>20428.094749439988</v>
      </c>
      <c r="R120" s="265">
        <f t="shared" si="38"/>
        <v>20428</v>
      </c>
    </row>
    <row r="121" spans="2:18">
      <c r="B121" s="136" t="s">
        <v>5763</v>
      </c>
      <c r="C121" s="135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83">
        <f t="shared" si="42"/>
        <v>0</v>
      </c>
      <c r="Q121" s="128">
        <f t="shared" si="37"/>
        <v>0</v>
      </c>
      <c r="R121" s="265">
        <f t="shared" si="38"/>
        <v>0</v>
      </c>
    </row>
    <row r="122" spans="2:18" ht="17.45" thickBot="1">
      <c r="B122" s="133" t="s">
        <v>5764</v>
      </c>
      <c r="C122" s="132"/>
      <c r="D122" s="131">
        <f t="shared" ref="D122:O122" si="62">IF(D120&gt;0,(D119-D120),0)</f>
        <v>23934.219425999996</v>
      </c>
      <c r="E122" s="131">
        <f t="shared" si="62"/>
        <v>-35517.315119999992</v>
      </c>
      <c r="F122" s="131">
        <f t="shared" si="62"/>
        <v>-36234.651852000025</v>
      </c>
      <c r="G122" s="131">
        <f t="shared" si="62"/>
        <v>-46384.324013999991</v>
      </c>
      <c r="H122" s="131">
        <f t="shared" si="62"/>
        <v>-40871.724432000017</v>
      </c>
      <c r="I122" s="131">
        <f t="shared" si="62"/>
        <v>-56658.24662399997</v>
      </c>
      <c r="J122" s="131">
        <f t="shared" si="62"/>
        <v>-59533.258554</v>
      </c>
      <c r="K122" s="131">
        <f t="shared" si="62"/>
        <v>-56375.804478000013</v>
      </c>
      <c r="L122" s="131">
        <f t="shared" si="62"/>
        <v>-49184.904509999986</v>
      </c>
      <c r="M122" s="131">
        <f t="shared" si="62"/>
        <v>-54138.201054000019</v>
      </c>
      <c r="N122" s="131">
        <f t="shared" si="62"/>
        <v>-60082.631615999955</v>
      </c>
      <c r="O122" s="131">
        <f t="shared" si="62"/>
        <v>365763.54261</v>
      </c>
      <c r="P122" s="183">
        <f t="shared" si="42"/>
        <v>23.934219425999995</v>
      </c>
      <c r="Q122" s="128">
        <f t="shared" si="37"/>
        <v>-20428.094749439988</v>
      </c>
      <c r="R122" s="265">
        <f t="shared" si="38"/>
        <v>-20428</v>
      </c>
    </row>
    <row r="123" spans="2:18">
      <c r="B123" s="129"/>
      <c r="C123" s="130"/>
      <c r="D123" s="129"/>
      <c r="E123" s="129"/>
      <c r="P123" s="183">
        <f t="shared" si="42"/>
        <v>0</v>
      </c>
      <c r="Q123" s="128">
        <f t="shared" si="37"/>
        <v>0</v>
      </c>
      <c r="R123" s="265">
        <f t="shared" si="38"/>
        <v>0</v>
      </c>
    </row>
    <row r="124" spans="2:18">
      <c r="K124" s="128"/>
    </row>
    <row r="126" spans="2:18">
      <c r="K126" s="127"/>
    </row>
    <row r="132" spans="2:6">
      <c r="B132" s="125" t="s">
        <v>5767</v>
      </c>
    </row>
    <row r="133" spans="2:6">
      <c r="B133" s="125" t="s">
        <v>5769</v>
      </c>
    </row>
    <row r="134" spans="2:6">
      <c r="B134" s="125" t="s">
        <v>5771</v>
      </c>
      <c r="F134" s="127">
        <f>+F40+F101</f>
        <v>1988364.1864280014</v>
      </c>
    </row>
    <row r="135" spans="2:6">
      <c r="F135" s="128">
        <f>-P16</f>
        <v>0</v>
      </c>
    </row>
    <row r="136" spans="2:6">
      <c r="B136" s="125" t="s">
        <v>328</v>
      </c>
      <c r="F136" s="127">
        <f>+F135-F134</f>
        <v>-1988364.1864280014</v>
      </c>
    </row>
    <row r="137" spans="2:6">
      <c r="B137" s="125" t="s">
        <v>5773</v>
      </c>
    </row>
    <row r="138" spans="2:6">
      <c r="B138" s="125" t="s">
        <v>5775</v>
      </c>
    </row>
  </sheetData>
  <autoFilter ref="A6:I7" xr:uid="{00000000-0009-0000-0000-00001F000000}"/>
  <mergeCells count="33">
    <mergeCell ref="A42:C42"/>
    <mergeCell ref="A6:A7"/>
    <mergeCell ref="A9:C9"/>
    <mergeCell ref="A11:C11"/>
    <mergeCell ref="A12:C12"/>
    <mergeCell ref="A13:A27"/>
    <mergeCell ref="A29:C29"/>
    <mergeCell ref="A30:C30"/>
    <mergeCell ref="A31:A34"/>
    <mergeCell ref="A36:C36"/>
    <mergeCell ref="A39:C39"/>
    <mergeCell ref="A40:C40"/>
    <mergeCell ref="A85:C85"/>
    <mergeCell ref="A46:C46"/>
    <mergeCell ref="A48:C48"/>
    <mergeCell ref="A53:A54"/>
    <mergeCell ref="A56:C56"/>
    <mergeCell ref="A58:C58"/>
    <mergeCell ref="A59:C59"/>
    <mergeCell ref="A60:A74"/>
    <mergeCell ref="A76:C76"/>
    <mergeCell ref="A77:C77"/>
    <mergeCell ref="A78:A79"/>
    <mergeCell ref="A83:C83"/>
    <mergeCell ref="A109:C109"/>
    <mergeCell ref="B118:C118"/>
    <mergeCell ref="B119:C119"/>
    <mergeCell ref="A87:C87"/>
    <mergeCell ref="A91:C91"/>
    <mergeCell ref="A99:C99"/>
    <mergeCell ref="A101:C101"/>
    <mergeCell ref="A105:C105"/>
    <mergeCell ref="A107:C107"/>
  </mergeCells>
  <conditionalFormatting sqref="B103">
    <cfRule type="cellIs" dxfId="1" priority="2" operator="lessThan">
      <formula>0</formula>
    </cfRule>
  </conditionalFormatting>
  <conditionalFormatting sqref="D37:O37">
    <cfRule type="cellIs" dxfId="0" priority="1" operator="lessThan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scale="52" fitToHeight="0" orientation="landscape" r:id="rId1"/>
  <rowBreaks count="1" manualBreakCount="1">
    <brk id="51" max="14" man="1"/>
  </rowBreaks>
  <colBreaks count="1" manualBreakCount="1">
    <brk id="11" max="108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D3:W98"/>
  <sheetViews>
    <sheetView showGridLines="0" topLeftCell="D4" workbookViewId="0">
      <selection activeCell="D40" sqref="D40"/>
    </sheetView>
  </sheetViews>
  <sheetFormatPr defaultColWidth="9.28515625" defaultRowHeight="14.45"/>
  <cols>
    <col min="4" max="4" width="52.7109375" style="281" customWidth="1"/>
    <col min="5" max="5" width="1.7109375" customWidth="1"/>
    <col min="6" max="6" width="11.5703125" style="77" hidden="1" customWidth="1"/>
    <col min="7" max="7" width="5.28515625" hidden="1" customWidth="1"/>
    <col min="8" max="8" width="12.28515625" hidden="1" customWidth="1"/>
    <col min="9" max="9" width="1.7109375" customWidth="1"/>
    <col min="10" max="10" width="14.7109375" style="283" bestFit="1" customWidth="1"/>
    <col min="11" max="11" width="5.140625" customWidth="1"/>
    <col min="12" max="12" width="14" hidden="1" customWidth="1"/>
    <col min="13" max="13" width="2.7109375" customWidth="1"/>
    <col min="14" max="14" width="13.5703125" customWidth="1"/>
    <col min="15" max="15" width="13.5703125" hidden="1" customWidth="1"/>
    <col min="16" max="16" width="10.7109375" style="85" hidden="1" customWidth="1"/>
    <col min="17" max="17" width="5.42578125" hidden="1" customWidth="1"/>
    <col min="18" max="18" width="10.7109375" hidden="1" customWidth="1"/>
    <col min="19" max="19" width="2.5703125" customWidth="1"/>
    <col min="20" max="20" width="11.7109375" customWidth="1"/>
    <col min="21" max="21" width="5.42578125" customWidth="1"/>
    <col min="22" max="22" width="10.7109375" hidden="1" customWidth="1"/>
  </cols>
  <sheetData>
    <row r="3" spans="4:22" ht="30" customHeight="1">
      <c r="D3" s="1177" t="s">
        <v>5806</v>
      </c>
      <c r="E3" s="1177"/>
      <c r="F3" s="1177"/>
      <c r="G3" s="1177"/>
      <c r="H3" s="1177"/>
      <c r="I3" s="1177"/>
      <c r="J3" s="1177"/>
      <c r="K3" s="1177"/>
      <c r="L3" s="1177"/>
      <c r="M3" s="586"/>
    </row>
    <row r="5" spans="4:22">
      <c r="F5" s="1178" t="s">
        <v>5807</v>
      </c>
      <c r="G5" s="1178"/>
      <c r="H5" s="1178"/>
      <c r="J5" s="1178"/>
      <c r="K5" s="1178"/>
      <c r="L5" s="1178"/>
      <c r="M5" s="313"/>
      <c r="P5" s="320">
        <v>1000</v>
      </c>
    </row>
    <row r="6" spans="4:22">
      <c r="F6" s="282">
        <v>45107</v>
      </c>
      <c r="H6" s="282">
        <v>44742</v>
      </c>
      <c r="J6" s="282">
        <f>'DFC '!F5</f>
        <v>46203</v>
      </c>
      <c r="L6" s="282">
        <f>'DFC '!I5</f>
        <v>45838</v>
      </c>
      <c r="M6" s="314"/>
      <c r="P6" s="326">
        <v>45291</v>
      </c>
      <c r="Q6" s="327"/>
      <c r="R6" s="326">
        <v>44926</v>
      </c>
      <c r="T6" s="326">
        <f>J6</f>
        <v>46203</v>
      </c>
      <c r="U6" s="327"/>
      <c r="V6" s="326">
        <f>L6</f>
        <v>45838</v>
      </c>
    </row>
    <row r="7" spans="4:22">
      <c r="F7" s="283"/>
      <c r="H7" s="283"/>
      <c r="L7" s="283"/>
      <c r="M7" s="283"/>
      <c r="N7" s="70"/>
      <c r="O7" s="70"/>
      <c r="R7" s="283"/>
    </row>
    <row r="8" spans="4:22" s="84" customFormat="1">
      <c r="D8" s="284" t="s">
        <v>341</v>
      </c>
      <c r="F8" s="285">
        <f>[9]IRPJ_CSLL_2023!I11-[9]IRPJ_CSLL_2023!F11</f>
        <v>-87418.600000005215</v>
      </c>
      <c r="H8" s="285">
        <f>[9]IRPJ_CSLL_2022!I11-[9]IRPJ_CSLL_2022!F11</f>
        <v>433651.78999999678</v>
      </c>
      <c r="J8" s="285">
        <f>IRPJ_CSLL_2026!I11</f>
        <v>-14540797.5</v>
      </c>
      <c r="L8" s="285">
        <f>IRPJ_CSLL_2025!F11</f>
        <v>-626147.22000000626</v>
      </c>
      <c r="M8" s="285"/>
      <c r="N8" s="111"/>
      <c r="O8" s="111"/>
      <c r="P8" s="300">
        <f>+J8/$P$5</f>
        <v>-14540.797500000001</v>
      </c>
      <c r="Q8" s="300"/>
      <c r="R8" s="300">
        <f>+L8/$P$5</f>
        <v>-626.14722000000631</v>
      </c>
      <c r="T8" s="322">
        <f>ROUND(P8,0)</f>
        <v>-14541</v>
      </c>
      <c r="V8" s="322">
        <f>ROUND(R8,0)</f>
        <v>-626</v>
      </c>
    </row>
    <row r="9" spans="4:22">
      <c r="D9" s="281" t="s">
        <v>342</v>
      </c>
      <c r="F9" s="286">
        <v>0.34</v>
      </c>
      <c r="H9" s="286">
        <v>0.34</v>
      </c>
      <c r="J9" s="286">
        <v>0.34</v>
      </c>
      <c r="L9" s="286">
        <v>0.34</v>
      </c>
      <c r="M9" s="286"/>
      <c r="N9" s="70"/>
      <c r="O9" s="70"/>
      <c r="P9" s="286">
        <v>0.34</v>
      </c>
      <c r="R9" s="286">
        <v>0.34</v>
      </c>
      <c r="T9" s="323">
        <f>P9</f>
        <v>0.34</v>
      </c>
      <c r="V9" s="324">
        <f>R9</f>
        <v>0.34</v>
      </c>
    </row>
    <row r="10" spans="4:22" s="84" customFormat="1" ht="28.9">
      <c r="D10" s="284" t="s">
        <v>343</v>
      </c>
      <c r="F10" s="285">
        <f>-F8*F9</f>
        <v>29722.324000001776</v>
      </c>
      <c r="H10" s="285">
        <f>-H8*H9</f>
        <v>-147441.6085999989</v>
      </c>
      <c r="J10" s="285">
        <f>-J8*J9</f>
        <v>4943871.1500000004</v>
      </c>
      <c r="L10" s="285">
        <f>-L8*L9</f>
        <v>212890.05480000214</v>
      </c>
      <c r="M10" s="285"/>
      <c r="N10" s="111"/>
      <c r="O10" s="111"/>
      <c r="P10" s="300">
        <f>-P8*P9</f>
        <v>4943.8711500000009</v>
      </c>
      <c r="R10" s="285">
        <f>-R8*R9</f>
        <v>212.89005480000216</v>
      </c>
      <c r="T10" s="322">
        <f>ROUND(P10,0)</f>
        <v>4944</v>
      </c>
      <c r="V10" s="322">
        <f>ROUND(R10,0)</f>
        <v>213</v>
      </c>
    </row>
    <row r="11" spans="4:22" s="84" customFormat="1">
      <c r="D11" s="284"/>
      <c r="F11" s="285"/>
      <c r="H11" s="285"/>
      <c r="J11" s="285"/>
      <c r="L11" s="285"/>
      <c r="M11" s="285"/>
      <c r="N11" s="111"/>
      <c r="O11" s="111"/>
      <c r="P11" s="285"/>
      <c r="R11" s="285"/>
      <c r="T11" s="322"/>
      <c r="V11" s="322"/>
    </row>
    <row r="12" spans="4:22" s="84" customFormat="1">
      <c r="D12" s="284" t="s">
        <v>344</v>
      </c>
      <c r="F12" s="285"/>
      <c r="H12" s="285"/>
      <c r="J12" s="285"/>
      <c r="L12" s="285"/>
      <c r="M12" s="285"/>
      <c r="N12" s="111"/>
      <c r="O12" s="111"/>
      <c r="P12" s="285"/>
      <c r="R12" s="285"/>
      <c r="T12" s="322"/>
      <c r="V12" s="322"/>
    </row>
    <row r="13" spans="4:22" s="84" customFormat="1">
      <c r="D13" s="284" t="s">
        <v>345</v>
      </c>
      <c r="F13" s="285"/>
      <c r="H13" s="285"/>
      <c r="J13" s="285"/>
      <c r="L13" s="285"/>
      <c r="M13" s="285"/>
      <c r="N13"/>
      <c r="O13" s="111"/>
      <c r="P13" s="285"/>
      <c r="R13" s="285"/>
      <c r="T13" s="322"/>
      <c r="V13" s="322"/>
    </row>
    <row r="14" spans="4:22">
      <c r="D14" s="287" t="s">
        <v>5808</v>
      </c>
      <c r="F14" s="283">
        <f>-([9]IRPJ_CSLL_2023!I13+[9]IRPJ_CSLL_2023!I14+[9]IRPJ_CSLL_2023!I17+[9]IRPJ_CSLL_2023!I18-[9]IRPJ_CSLL_2023!F18-[9]IRPJ_CSLL_2023!F17-[9]IRPJ_CSLL_2023!F14-[9]IRPJ_CSLL_2023!F13)*F9</f>
        <v>-15839.430400000001</v>
      </c>
      <c r="H14" s="283">
        <f>-([9]IRPJ_CSLL_2022!I13+[9]IRPJ_CSLL_2022!I14+[9]IRPJ_CSLL_2022!I17+[9]IRPJ_CSLL_2022!I18-[9]IRPJ_CSLL_2022!F13-[9]IRPJ_CSLL_2022!F14-[9]IRPJ_CSLL_2022!F17-[9]IRPJ_CSLL_2022!F18)*H9</f>
        <v>-26370.488399999998</v>
      </c>
      <c r="J14" s="283">
        <f>-IRPJ_CSLL_2026!P14-IRPJ_CSLL_2026!P18</f>
        <v>-15843.908200000002</v>
      </c>
      <c r="L14" s="283">
        <f>-IRPJ_CSLL_2025!Q13+IRPJ_CSLL_2025!Q14-IRPJ_CSLL_2025!Q17-IRPJ_CSLL_2025!Q18</f>
        <v>-4830.8730000000005</v>
      </c>
      <c r="M14" s="283"/>
      <c r="N14" s="70"/>
      <c r="O14" s="70"/>
      <c r="P14" s="319">
        <f>+J14/$P$5</f>
        <v>-15.843908200000001</v>
      </c>
      <c r="Q14" s="319">
        <f>+K14/$P$5</f>
        <v>0</v>
      </c>
      <c r="R14" s="319">
        <f>+L14/$P$5</f>
        <v>-4.8308730000000004</v>
      </c>
      <c r="T14" s="325">
        <f t="shared" ref="T14:T35" si="0">ROUND(P14,0)</f>
        <v>-16</v>
      </c>
      <c r="V14" s="325">
        <f t="shared" ref="V14:V35" si="1">ROUND(R14,0)</f>
        <v>-5</v>
      </c>
    </row>
    <row r="15" spans="4:22">
      <c r="D15" s="287" t="s">
        <v>5809</v>
      </c>
      <c r="F15" s="283">
        <f>-([9]IRPJ_CSLL_2023!I20-[9]IRPJ_CSLL_2023!F20)*F9</f>
        <v>-5559.3026</v>
      </c>
      <c r="H15" s="283">
        <f>-([9]IRPJ_CSLL_2022!I20-[9]IRPJ_CSLL_2022!F20)*H9</f>
        <v>-60694.304400000008</v>
      </c>
      <c r="J15" s="283">
        <v>0</v>
      </c>
      <c r="L15" s="283">
        <v>0</v>
      </c>
      <c r="M15" s="283"/>
      <c r="N15" s="70"/>
      <c r="O15" s="70"/>
      <c r="P15" s="319">
        <f>+J15/$P$5</f>
        <v>0</v>
      </c>
      <c r="R15" s="319">
        <f t="shared" ref="R15:R29" si="2">+L15/$P$5</f>
        <v>0</v>
      </c>
      <c r="T15" s="325">
        <f t="shared" si="0"/>
        <v>0</v>
      </c>
      <c r="V15" s="325">
        <f t="shared" si="1"/>
        <v>0</v>
      </c>
    </row>
    <row r="16" spans="4:22" ht="14.45" customHeight="1">
      <c r="D16" s="287" t="s">
        <v>5810</v>
      </c>
      <c r="F16" s="283"/>
      <c r="H16" s="283"/>
      <c r="J16" s="283">
        <v>0</v>
      </c>
      <c r="L16" s="283">
        <v>0</v>
      </c>
      <c r="M16" s="283"/>
      <c r="N16" s="70"/>
      <c r="O16" s="70"/>
      <c r="P16" s="319">
        <f t="shared" ref="P16:P24" si="3">+J16/$P$5</f>
        <v>0</v>
      </c>
      <c r="R16" s="319">
        <f t="shared" si="2"/>
        <v>0</v>
      </c>
      <c r="T16" s="325">
        <f t="shared" si="0"/>
        <v>0</v>
      </c>
      <c r="V16" s="325">
        <f t="shared" si="1"/>
        <v>0</v>
      </c>
    </row>
    <row r="17" spans="4:22" ht="14.45" customHeight="1">
      <c r="D17" s="287" t="s">
        <v>5811</v>
      </c>
      <c r="F17" s="283"/>
      <c r="H17" s="283"/>
      <c r="J17" s="283">
        <f>-IRPJ_CSLL_2026!P24-IRPJ_CSLL_2026!P21</f>
        <v>-91119.167000000001</v>
      </c>
      <c r="L17" s="283">
        <f>-IRPJ_CSLL_2025!Q24</f>
        <v>-99175.691400000011</v>
      </c>
      <c r="M17" s="283"/>
      <c r="N17" s="70"/>
      <c r="O17" s="70"/>
      <c r="P17" s="319">
        <f t="shared" si="3"/>
        <v>-91.119167000000004</v>
      </c>
      <c r="R17" s="319">
        <f t="shared" si="2"/>
        <v>-99.175691400000005</v>
      </c>
      <c r="T17" s="325">
        <f t="shared" si="0"/>
        <v>-91</v>
      </c>
      <c r="V17" s="325">
        <f t="shared" si="1"/>
        <v>-99</v>
      </c>
    </row>
    <row r="18" spans="4:22">
      <c r="D18" s="287" t="s">
        <v>347</v>
      </c>
      <c r="F18" s="283" t="e">
        <f>-([9]IRPJ_CSLL_2023!I24-[9]IRPJ_CSLL_2023!F24)*F9</f>
        <v>#REF!</v>
      </c>
      <c r="H18" s="283">
        <f>-([9]IRPJ_CSLL_2022!I24-[9]IRPJ_CSLL_2022!F24)*H9</f>
        <v>-108067.1436</v>
      </c>
      <c r="J18" s="283">
        <v>0</v>
      </c>
      <c r="L18" s="283">
        <v>0</v>
      </c>
      <c r="M18" s="283"/>
      <c r="N18" s="70"/>
      <c r="O18" s="70"/>
      <c r="P18" s="319">
        <f t="shared" si="3"/>
        <v>0</v>
      </c>
      <c r="R18" s="319">
        <f t="shared" si="2"/>
        <v>0</v>
      </c>
      <c r="T18" s="325">
        <f t="shared" si="0"/>
        <v>0</v>
      </c>
      <c r="V18" s="325">
        <f t="shared" si="1"/>
        <v>0</v>
      </c>
    </row>
    <row r="19" spans="4:22">
      <c r="D19" s="287" t="s">
        <v>348</v>
      </c>
      <c r="F19" s="283">
        <f>-([9]IRPJ_CSLL_2023!I15+[9]IRPJ_CSLL_2023!I19-[9]IRPJ_CSLL_2023!G19-[9]IRPJ_CSLL_2023!G15)*34%</f>
        <v>-652.46</v>
      </c>
      <c r="H19" s="283">
        <f>-([9]IRPJ_CSLL_2022!I15+[9]IRPJ_CSLL_2022!I19+[9]IRPJ_CSLL_2022!I25-[9]IRPJ_CSLL_2022!F25-[9]IRPJ_CSLL_2022!F19-[9]IRPJ_CSLL_2022!F15)*H9</f>
        <v>-4001.8000000000015</v>
      </c>
      <c r="J19" s="283">
        <f>-IRPJ_CSLL_2026!P15-IRPJ_CSLL_2026!P19-IRPJ_CSLL_2026!P25</f>
        <v>-4393.4799999999996</v>
      </c>
      <c r="L19" s="283">
        <f>-IRPJ_CSLL_2025!Q15-IRPJ_CSLL_2025!Q19</f>
        <v>-3556.5734000000002</v>
      </c>
      <c r="M19" s="283"/>
      <c r="N19" s="70"/>
      <c r="O19" s="70"/>
      <c r="P19" s="319">
        <f t="shared" si="3"/>
        <v>-4.3934799999999994</v>
      </c>
      <c r="R19" s="319">
        <f t="shared" si="2"/>
        <v>-3.5565734000000004</v>
      </c>
      <c r="T19" s="325">
        <f t="shared" si="0"/>
        <v>-4</v>
      </c>
      <c r="V19" s="325">
        <f t="shared" si="1"/>
        <v>-4</v>
      </c>
    </row>
    <row r="20" spans="4:22">
      <c r="D20" s="287" t="s">
        <v>5720</v>
      </c>
      <c r="F20" s="283"/>
      <c r="H20" s="283"/>
      <c r="J20" s="283">
        <f>-IRPJ_CSLL_2026!P26</f>
        <v>-58251.3874</v>
      </c>
      <c r="L20" s="283">
        <f>-IRPJ_CSLL_2025!Q27</f>
        <v>-69917.974000000002</v>
      </c>
      <c r="M20" s="283"/>
      <c r="N20" s="70"/>
      <c r="O20" s="70"/>
      <c r="P20" s="319">
        <f t="shared" si="3"/>
        <v>-58.251387399999999</v>
      </c>
      <c r="R20" s="319">
        <f t="shared" si="2"/>
        <v>-69.917974000000001</v>
      </c>
      <c r="T20" s="325">
        <f t="shared" si="0"/>
        <v>-58</v>
      </c>
      <c r="V20" s="325">
        <f t="shared" si="1"/>
        <v>-70</v>
      </c>
    </row>
    <row r="21" spans="4:22">
      <c r="D21" s="287" t="s">
        <v>513</v>
      </c>
      <c r="F21" s="283"/>
      <c r="H21" s="283"/>
      <c r="J21" s="283">
        <f>-IRPJ_CSLL_2026!P27</f>
        <v>-251199.53100000002</v>
      </c>
      <c r="L21" s="283">
        <f>-IRPJ_CSLL_2025!Q28</f>
        <v>-237387.3132</v>
      </c>
      <c r="M21" s="283"/>
      <c r="N21" s="70"/>
      <c r="O21" s="70"/>
      <c r="P21" s="319">
        <f t="shared" si="3"/>
        <v>-251.19953100000001</v>
      </c>
      <c r="R21" s="319">
        <f t="shared" si="2"/>
        <v>-237.38731319999999</v>
      </c>
      <c r="T21" s="325">
        <f t="shared" si="0"/>
        <v>-251</v>
      </c>
      <c r="V21" s="325">
        <f t="shared" si="1"/>
        <v>-237</v>
      </c>
    </row>
    <row r="22" spans="4:22" s="84" customFormat="1">
      <c r="D22" s="284" t="s">
        <v>351</v>
      </c>
      <c r="F22" s="285"/>
      <c r="H22" s="285"/>
      <c r="J22" s="285"/>
      <c r="L22" s="285"/>
      <c r="M22" s="285"/>
      <c r="N22" s="111"/>
      <c r="O22" s="111"/>
      <c r="P22" s="319">
        <f t="shared" si="3"/>
        <v>0</v>
      </c>
      <c r="R22" s="319">
        <f t="shared" si="2"/>
        <v>0</v>
      </c>
      <c r="T22" s="325">
        <f t="shared" si="0"/>
        <v>0</v>
      </c>
      <c r="U22"/>
      <c r="V22" s="325">
        <f t="shared" si="1"/>
        <v>0</v>
      </c>
    </row>
    <row r="23" spans="4:22">
      <c r="D23" s="287" t="s">
        <v>1368</v>
      </c>
      <c r="F23" s="283">
        <v>0</v>
      </c>
      <c r="H23" s="283">
        <f>[9]IRPJ_CSLL_2022!I81-[9]IRPJ_CSLL_2022!F81</f>
        <v>0</v>
      </c>
      <c r="J23" s="283">
        <f>IRPJ_CSLL_2026!P31+IRPJ_CSLL_2026!P33</f>
        <v>1058049.1178000001</v>
      </c>
      <c r="L23" s="283">
        <v>0</v>
      </c>
      <c r="M23" s="283"/>
      <c r="N23" s="70"/>
      <c r="O23" s="70"/>
      <c r="P23" s="319">
        <f t="shared" si="3"/>
        <v>1058.0491178000002</v>
      </c>
      <c r="R23" s="319">
        <f t="shared" si="2"/>
        <v>0</v>
      </c>
      <c r="T23" s="325">
        <f t="shared" si="0"/>
        <v>1058</v>
      </c>
      <c r="V23" s="325">
        <f t="shared" si="1"/>
        <v>0</v>
      </c>
    </row>
    <row r="24" spans="4:22">
      <c r="D24" s="287" t="s">
        <v>514</v>
      </c>
      <c r="F24" s="283">
        <v>0</v>
      </c>
      <c r="H24" s="283">
        <f>[9]IRPJ_CSLL_2022!I82-[9]IRPJ_CSLL_2022!F82</f>
        <v>0</v>
      </c>
      <c r="J24" s="283">
        <f>IRPJ_CSLL_2026!P30</f>
        <v>316661.26440000004</v>
      </c>
      <c r="L24" s="283">
        <f>IRPJ_CSLL_2025!Q31</f>
        <v>301064.18940000003</v>
      </c>
      <c r="M24" s="283"/>
      <c r="N24" s="70"/>
      <c r="O24" s="70"/>
      <c r="P24" s="319">
        <f t="shared" si="3"/>
        <v>316.66126440000005</v>
      </c>
      <c r="R24" s="319">
        <f t="shared" si="2"/>
        <v>301.06418940000003</v>
      </c>
      <c r="T24" s="325">
        <f t="shared" si="0"/>
        <v>317</v>
      </c>
      <c r="V24" s="325">
        <f t="shared" si="1"/>
        <v>301</v>
      </c>
    </row>
    <row r="25" spans="4:22">
      <c r="D25" s="287" t="s">
        <v>515</v>
      </c>
      <c r="F25" s="283">
        <v>0</v>
      </c>
      <c r="H25" s="283">
        <f>[9]IRPJ_CSLL_2022!I83-[9]IRPJ_CSLL_2022!F83</f>
        <v>1019339.2499999969</v>
      </c>
      <c r="J25" s="283">
        <v>0</v>
      </c>
      <c r="L25" s="283">
        <f>IRPJ_CSLL_2025!Q32</f>
        <v>160352.67680000002</v>
      </c>
      <c r="M25" s="283"/>
      <c r="N25" s="70"/>
      <c r="O25" s="70"/>
      <c r="P25" s="319">
        <f>+J25/$P$5</f>
        <v>0</v>
      </c>
      <c r="R25" s="319">
        <f t="shared" si="2"/>
        <v>160.35267680000001</v>
      </c>
      <c r="T25" s="325">
        <f t="shared" si="0"/>
        <v>0</v>
      </c>
      <c r="V25" s="325">
        <f t="shared" si="1"/>
        <v>160</v>
      </c>
    </row>
    <row r="26" spans="4:22">
      <c r="D26" s="287" t="s">
        <v>355</v>
      </c>
      <c r="F26" s="288" t="e">
        <f>-SUM(F10:F23)*30%</f>
        <v>#REF!</v>
      </c>
      <c r="G26" s="288">
        <f>-SUM(G10:G23)*30%</f>
        <v>0</v>
      </c>
      <c r="H26" s="288">
        <f>-SUM(H10:H23)*30%</f>
        <v>103972.60349999968</v>
      </c>
      <c r="I26" s="288">
        <f>-SUM(I10:I23)*30%</f>
        <v>0</v>
      </c>
      <c r="J26" s="288">
        <f>-SUM(J10:J25)*30%</f>
        <v>-1769332.2175799995</v>
      </c>
      <c r="L26" s="288">
        <f>-SUM(L10:L25)*30%</f>
        <v>-77831.548800000659</v>
      </c>
      <c r="M26" s="288"/>
      <c r="N26" s="70"/>
      <c r="O26" s="70"/>
      <c r="P26" s="319">
        <f>+J26/$P$5</f>
        <v>-1769.3322175799995</v>
      </c>
      <c r="Q26" s="319"/>
      <c r="R26" s="319">
        <f t="shared" si="2"/>
        <v>-77.831548800000661</v>
      </c>
      <c r="T26" s="325">
        <f>ROUND(P26,0)</f>
        <v>-1769</v>
      </c>
      <c r="V26" s="325">
        <f t="shared" si="1"/>
        <v>-78</v>
      </c>
    </row>
    <row r="27" spans="4:22">
      <c r="D27" s="287" t="s">
        <v>357</v>
      </c>
      <c r="F27" s="288">
        <f>2000*3</f>
        <v>6000</v>
      </c>
      <c r="H27" s="288">
        <v>0</v>
      </c>
      <c r="J27" s="288">
        <v>12000</v>
      </c>
      <c r="L27" s="288">
        <v>6000</v>
      </c>
      <c r="M27" s="288"/>
      <c r="N27" s="70"/>
      <c r="O27" s="70"/>
      <c r="P27" s="319">
        <f>+J27/$P$5</f>
        <v>12</v>
      </c>
      <c r="Q27" s="319"/>
      <c r="R27" s="319">
        <f t="shared" si="2"/>
        <v>6</v>
      </c>
      <c r="T27" s="325">
        <f t="shared" si="0"/>
        <v>12</v>
      </c>
      <c r="V27" s="325">
        <f t="shared" si="1"/>
        <v>6</v>
      </c>
    </row>
    <row r="28" spans="4:22">
      <c r="D28" s="287" t="s">
        <v>358</v>
      </c>
      <c r="F28" s="288">
        <f>+[7]IRPJ_CSLL_2022!I92-[7]IRPJ_CSLL_2022!F92</f>
        <v>81841.484849999979</v>
      </c>
      <c r="H28" s="288">
        <v>81841.484849999979</v>
      </c>
      <c r="J28" s="288" t="e">
        <f>IRPJ_CSLL_2026!I97</f>
        <v>#VALUE!</v>
      </c>
      <c r="L28" s="288">
        <f>+IRPJ_CSLL_2025!F99</f>
        <v>0</v>
      </c>
      <c r="M28" s="288"/>
      <c r="N28" s="70"/>
      <c r="O28" s="906"/>
      <c r="P28" s="319" t="e">
        <f>+J28/$P$5</f>
        <v>#VALUE!</v>
      </c>
      <c r="R28" s="319">
        <f t="shared" si="2"/>
        <v>0</v>
      </c>
      <c r="T28" s="325" t="e">
        <f t="shared" si="0"/>
        <v>#VALUE!</v>
      </c>
      <c r="V28" s="325">
        <f t="shared" si="1"/>
        <v>0</v>
      </c>
    </row>
    <row r="29" spans="4:22" hidden="1">
      <c r="D29" s="287" t="s">
        <v>5812</v>
      </c>
      <c r="F29" s="288">
        <v>0</v>
      </c>
      <c r="H29" s="288">
        <v>593805.9</v>
      </c>
      <c r="J29" s="288">
        <v>0</v>
      </c>
      <c r="L29" s="288">
        <v>0</v>
      </c>
      <c r="M29" s="288"/>
      <c r="N29" s="70"/>
      <c r="O29" s="70"/>
      <c r="P29" s="319">
        <f>+J29/$P$5</f>
        <v>0</v>
      </c>
      <c r="R29" s="319">
        <f t="shared" si="2"/>
        <v>0</v>
      </c>
      <c r="T29" s="325">
        <f t="shared" si="0"/>
        <v>0</v>
      </c>
      <c r="V29" s="325">
        <f t="shared" si="1"/>
        <v>0</v>
      </c>
    </row>
    <row r="30" spans="4:22" s="84" customFormat="1" ht="15" thickBot="1">
      <c r="D30" s="289" t="s">
        <v>517</v>
      </c>
      <c r="F30" s="290" t="e">
        <f>SUM(F10:F29)</f>
        <v>#REF!</v>
      </c>
      <c r="G30" s="291"/>
      <c r="H30" s="290">
        <f>SUM(H10:H29)</f>
        <v>1452383.8933499977</v>
      </c>
      <c r="J30" s="290" t="e">
        <f>SUM(J10:J28)</f>
        <v>#VALUE!</v>
      </c>
      <c r="K30" s="291"/>
      <c r="L30" s="290">
        <f>SUM(L10:L29)</f>
        <v>187606.94720000154</v>
      </c>
      <c r="M30" s="315"/>
      <c r="N30" s="906" t="e">
        <f>J30+IRPJ_CSLL_2026!F99+IRPJ_CSLL_2026!F47</f>
        <v>#VALUE!</v>
      </c>
      <c r="O30" s="906">
        <f>L30+IRPJ_CSLL_2024!N101+IRPJ_CSLL_2024!N40</f>
        <v>3273983.0638239994</v>
      </c>
      <c r="P30" s="302" t="e">
        <f>SUM(P10:P28)</f>
        <v>#VALUE!</v>
      </c>
      <c r="Q30" s="299"/>
      <c r="R30" s="290">
        <f>SUM(R10:R29)</f>
        <v>187.60694720000154</v>
      </c>
      <c r="T30" s="302" t="e">
        <f>SUM(T10:T29)</f>
        <v>#VALUE!</v>
      </c>
      <c r="V30" s="302">
        <f>SUM(V10:V29)</f>
        <v>187</v>
      </c>
    </row>
    <row r="31" spans="4:22" ht="11.25" customHeight="1" thickTop="1">
      <c r="F31" s="283"/>
      <c r="G31" s="292"/>
      <c r="H31" s="283"/>
      <c r="K31" s="292"/>
      <c r="L31" s="283"/>
      <c r="M31" s="283"/>
      <c r="N31" s="70"/>
      <c r="O31" s="70"/>
      <c r="P31" s="283"/>
      <c r="R31" s="283"/>
      <c r="T31" s="322"/>
      <c r="V31" s="322"/>
    </row>
    <row r="32" spans="4:22">
      <c r="D32" s="281" t="s">
        <v>5813</v>
      </c>
      <c r="F32" s="283">
        <v>0</v>
      </c>
      <c r="H32" s="283">
        <v>443990.61</v>
      </c>
      <c r="J32" s="283" t="e">
        <f>J30</f>
        <v>#VALUE!</v>
      </c>
      <c r="L32" s="283">
        <f>L30</f>
        <v>187606.94720000154</v>
      </c>
      <c r="M32" s="283"/>
      <c r="N32" s="70"/>
      <c r="O32" s="70"/>
      <c r="P32" s="283" t="e">
        <f>ROUND(P30,0)</f>
        <v>#VALUE!</v>
      </c>
      <c r="R32" s="283">
        <f>ROUND(R30,0)</f>
        <v>188</v>
      </c>
      <c r="T32" s="325" t="e">
        <f>ROUND(P32,0)</f>
        <v>#VALUE!</v>
      </c>
      <c r="V32" s="325">
        <f>ROUND(R32,0)</f>
        <v>188</v>
      </c>
    </row>
    <row r="33" spans="4:23">
      <c r="D33" s="281" t="s">
        <v>518</v>
      </c>
      <c r="F33" s="283">
        <v>0</v>
      </c>
      <c r="H33" s="283">
        <v>0</v>
      </c>
      <c r="J33" s="283">
        <v>0</v>
      </c>
      <c r="L33" s="288">
        <v>0</v>
      </c>
      <c r="M33" s="288"/>
      <c r="N33" s="70"/>
      <c r="O33" s="70"/>
      <c r="P33" s="301">
        <v>0</v>
      </c>
      <c r="R33" s="288">
        <v>0</v>
      </c>
      <c r="T33" s="325">
        <f t="shared" si="0"/>
        <v>0</v>
      </c>
      <c r="V33" s="325">
        <f t="shared" si="1"/>
        <v>0</v>
      </c>
    </row>
    <row r="34" spans="4:23" ht="6" customHeight="1">
      <c r="F34" s="283"/>
      <c r="H34" s="283"/>
      <c r="L34" s="283"/>
      <c r="M34" s="283"/>
      <c r="N34" s="70"/>
      <c r="O34" s="70"/>
      <c r="P34" s="283"/>
      <c r="R34" s="283"/>
      <c r="T34" s="325">
        <f t="shared" si="0"/>
        <v>0</v>
      </c>
      <c r="V34" s="325">
        <f t="shared" si="1"/>
        <v>0</v>
      </c>
    </row>
    <row r="35" spans="4:23">
      <c r="N35" s="70"/>
      <c r="O35" s="70"/>
      <c r="P35" s="283"/>
      <c r="T35" s="325">
        <f t="shared" si="0"/>
        <v>0</v>
      </c>
      <c r="V35" s="325">
        <f t="shared" si="1"/>
        <v>0</v>
      </c>
    </row>
    <row r="36" spans="4:23" s="84" customFormat="1" ht="15" thickBot="1">
      <c r="D36" s="289" t="s">
        <v>360</v>
      </c>
      <c r="F36" s="293" t="e">
        <f>+F30/F8</f>
        <v>#REF!</v>
      </c>
      <c r="H36" s="293">
        <f>H30/H8</f>
        <v>3.349193815964667</v>
      </c>
      <c r="J36" s="293" t="e">
        <f>-J30/J8</f>
        <v>#VALUE!</v>
      </c>
      <c r="L36" s="293">
        <f>-L30/L8</f>
        <v>0.29962114532745138</v>
      </c>
      <c r="M36" s="316"/>
      <c r="N36" s="111"/>
      <c r="O36" s="111"/>
      <c r="P36" s="293" t="s">
        <v>361</v>
      </c>
      <c r="R36" s="293">
        <f>-R30/R8</f>
        <v>0.29962114532745132</v>
      </c>
      <c r="T36" s="293" t="e">
        <f>-T30/T8</f>
        <v>#VALUE!</v>
      </c>
      <c r="U36" s="293"/>
      <c r="V36" s="293">
        <f>-V30/V8</f>
        <v>0.2987220447284345</v>
      </c>
      <c r="W36" s="293"/>
    </row>
    <row r="37" spans="4:23" ht="15" thickTop="1">
      <c r="N37" s="70"/>
      <c r="O37" s="70"/>
    </row>
    <row r="38" spans="4:23">
      <c r="N38" s="70"/>
      <c r="O38" s="70"/>
    </row>
    <row r="39" spans="4:23">
      <c r="F39" s="1178" t="s">
        <v>5807</v>
      </c>
      <c r="G39" s="1178"/>
      <c r="H39" s="1178"/>
      <c r="J39" s="1178" t="s">
        <v>5814</v>
      </c>
      <c r="K39" s="1178"/>
      <c r="L39" s="1178"/>
      <c r="M39" s="313"/>
      <c r="N39" s="70"/>
      <c r="O39" s="70"/>
    </row>
    <row r="40" spans="4:23">
      <c r="F40" s="282">
        <v>45107</v>
      </c>
      <c r="H40" s="282">
        <v>44742</v>
      </c>
      <c r="J40" s="282">
        <v>45107</v>
      </c>
      <c r="L40" s="282">
        <v>44742</v>
      </c>
      <c r="M40" s="314"/>
      <c r="N40" s="70"/>
      <c r="O40" s="70"/>
    </row>
    <row r="41" spans="4:23">
      <c r="F41" s="283"/>
      <c r="H41" s="283"/>
      <c r="L41" s="283"/>
      <c r="M41" s="283"/>
      <c r="N41" s="70"/>
      <c r="O41" s="70"/>
      <c r="R41" s="285"/>
    </row>
    <row r="42" spans="4:23">
      <c r="N42" s="70"/>
      <c r="O42" s="70"/>
    </row>
    <row r="43" spans="4:23">
      <c r="N43" s="70"/>
      <c r="O43" s="70"/>
    </row>
    <row r="44" spans="4:23">
      <c r="N44" s="70"/>
      <c r="O44" s="70"/>
    </row>
    <row r="45" spans="4:23">
      <c r="N45" s="70"/>
      <c r="O45" s="70"/>
    </row>
    <row r="46" spans="4:23">
      <c r="N46" s="70"/>
      <c r="O46" s="70"/>
    </row>
    <row r="47" spans="4:23">
      <c r="N47" s="70"/>
      <c r="O47" s="70"/>
    </row>
    <row r="48" spans="4:23">
      <c r="N48" s="70"/>
      <c r="O48" s="70"/>
    </row>
    <row r="49" spans="14:15">
      <c r="N49" s="70"/>
      <c r="O49" s="70"/>
    </row>
    <row r="50" spans="14:15">
      <c r="N50" s="70"/>
      <c r="O50" s="70"/>
    </row>
    <row r="51" spans="14:15">
      <c r="N51" s="70"/>
      <c r="O51" s="70"/>
    </row>
    <row r="52" spans="14:15">
      <c r="N52" s="70"/>
      <c r="O52" s="70"/>
    </row>
    <row r="53" spans="14:15">
      <c r="N53" s="70"/>
      <c r="O53" s="70"/>
    </row>
    <row r="54" spans="14:15">
      <c r="N54" s="70"/>
      <c r="O54" s="70"/>
    </row>
    <row r="55" spans="14:15">
      <c r="N55" s="70"/>
      <c r="O55" s="70"/>
    </row>
    <row r="56" spans="14:15">
      <c r="N56" s="70"/>
      <c r="O56" s="70"/>
    </row>
    <row r="57" spans="14:15">
      <c r="N57" s="70"/>
      <c r="O57" s="70"/>
    </row>
    <row r="58" spans="14:15">
      <c r="N58" s="70"/>
      <c r="O58" s="70"/>
    </row>
    <row r="59" spans="14:15">
      <c r="N59" s="70"/>
      <c r="O59" s="70"/>
    </row>
    <row r="60" spans="14:15">
      <c r="N60" s="70"/>
      <c r="O60" s="70"/>
    </row>
    <row r="61" spans="14:15">
      <c r="N61" s="70"/>
      <c r="O61" s="70"/>
    </row>
    <row r="62" spans="14:15">
      <c r="N62" s="70"/>
      <c r="O62" s="70"/>
    </row>
    <row r="63" spans="14:15">
      <c r="N63" s="70"/>
      <c r="O63" s="70"/>
    </row>
    <row r="64" spans="14:15">
      <c r="N64" s="70"/>
      <c r="O64" s="70"/>
    </row>
    <row r="65" spans="14:15">
      <c r="N65" s="70"/>
      <c r="O65" s="70"/>
    </row>
    <row r="66" spans="14:15">
      <c r="N66" s="70"/>
      <c r="O66" s="70"/>
    </row>
    <row r="67" spans="14:15">
      <c r="N67" s="70"/>
      <c r="O67" s="70"/>
    </row>
    <row r="68" spans="14:15">
      <c r="N68" s="70"/>
      <c r="O68" s="70"/>
    </row>
    <row r="69" spans="14:15">
      <c r="N69" s="70"/>
      <c r="O69" s="70"/>
    </row>
    <row r="70" spans="14:15">
      <c r="N70" s="70"/>
      <c r="O70" s="70"/>
    </row>
    <row r="71" spans="14:15">
      <c r="N71" s="70"/>
      <c r="O71" s="70"/>
    </row>
    <row r="72" spans="14:15">
      <c r="N72" s="70"/>
      <c r="O72" s="70"/>
    </row>
    <row r="73" spans="14:15">
      <c r="N73" s="70"/>
      <c r="O73" s="70"/>
    </row>
    <row r="74" spans="14:15">
      <c r="N74" s="70"/>
      <c r="O74" s="70"/>
    </row>
    <row r="75" spans="14:15">
      <c r="N75" s="70"/>
      <c r="O75" s="70"/>
    </row>
    <row r="76" spans="14:15">
      <c r="N76" s="70"/>
      <c r="O76" s="70"/>
    </row>
    <row r="77" spans="14:15">
      <c r="N77" s="70"/>
      <c r="O77" s="70"/>
    </row>
    <row r="78" spans="14:15">
      <c r="N78" s="70"/>
      <c r="O78" s="70"/>
    </row>
    <row r="79" spans="14:15">
      <c r="N79" s="70"/>
      <c r="O79" s="70"/>
    </row>
    <row r="80" spans="14:15">
      <c r="N80" s="70"/>
      <c r="O80" s="70"/>
    </row>
    <row r="81" spans="14:15">
      <c r="N81" s="70"/>
      <c r="O81" s="70"/>
    </row>
    <row r="82" spans="14:15">
      <c r="N82" s="70"/>
      <c r="O82" s="70"/>
    </row>
    <row r="83" spans="14:15">
      <c r="N83" s="70"/>
      <c r="O83" s="70"/>
    </row>
    <row r="84" spans="14:15">
      <c r="N84" s="70"/>
      <c r="O84" s="70"/>
    </row>
    <row r="85" spans="14:15">
      <c r="N85" s="70"/>
      <c r="O85" s="70"/>
    </row>
    <row r="86" spans="14:15">
      <c r="N86" s="70"/>
      <c r="O86" s="70"/>
    </row>
    <row r="87" spans="14:15">
      <c r="N87" s="70"/>
      <c r="O87" s="70"/>
    </row>
    <row r="88" spans="14:15">
      <c r="N88" s="70"/>
      <c r="O88" s="70"/>
    </row>
    <row r="89" spans="14:15">
      <c r="N89" s="70"/>
      <c r="O89" s="70"/>
    </row>
    <row r="90" spans="14:15">
      <c r="N90" s="70"/>
      <c r="O90" s="70"/>
    </row>
    <row r="91" spans="14:15">
      <c r="N91" s="70"/>
      <c r="O91" s="70"/>
    </row>
    <row r="92" spans="14:15">
      <c r="N92" s="70"/>
      <c r="O92" s="70"/>
    </row>
    <row r="93" spans="14:15">
      <c r="N93" s="70"/>
      <c r="O93" s="70"/>
    </row>
    <row r="94" spans="14:15">
      <c r="N94" s="70"/>
      <c r="O94" s="70"/>
    </row>
    <row r="95" spans="14:15">
      <c r="N95" s="70"/>
      <c r="O95" s="70"/>
    </row>
    <row r="96" spans="14:15">
      <c r="N96" s="70"/>
      <c r="O96" s="70"/>
    </row>
    <row r="97" spans="14:15">
      <c r="N97" s="70"/>
      <c r="O97" s="70"/>
    </row>
    <row r="98" spans="14:15">
      <c r="N98" s="70"/>
      <c r="O98" s="70"/>
    </row>
  </sheetData>
  <mergeCells count="5">
    <mergeCell ref="D3:L3"/>
    <mergeCell ref="F5:H5"/>
    <mergeCell ref="J5:L5"/>
    <mergeCell ref="F39:H39"/>
    <mergeCell ref="J39:L39"/>
  </mergeCell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50"/>
  <sheetViews>
    <sheetView showGridLines="0" workbookViewId="0">
      <selection activeCell="G9" sqref="G9"/>
    </sheetView>
  </sheetViews>
  <sheetFormatPr defaultColWidth="9.28515625" defaultRowHeight="14.45"/>
  <cols>
    <col min="1" max="1" width="29.28515625" style="70" customWidth="1"/>
    <col min="2" max="2" width="28.28515625" style="70" customWidth="1"/>
    <col min="3" max="3" width="16.28515625" style="70" customWidth="1"/>
    <col min="4" max="4" width="15.7109375" style="70" customWidth="1"/>
    <col min="5" max="5" width="14.42578125" style="70" customWidth="1"/>
    <col min="6" max="6" width="13.7109375" style="70" customWidth="1"/>
    <col min="7" max="7" width="13.7109375" style="70" bestFit="1" customWidth="1"/>
    <col min="8" max="8" width="11.28515625" style="70" bestFit="1" customWidth="1"/>
    <col min="9" max="9" width="22.5703125" style="70" bestFit="1" customWidth="1"/>
    <col min="10" max="10" width="2.28515625" style="70" customWidth="1"/>
    <col min="11" max="11" width="10.28515625" style="70" bestFit="1" customWidth="1"/>
    <col min="12" max="12" width="2" style="70" customWidth="1"/>
    <col min="13" max="13" width="10.7109375" style="70" bestFit="1" customWidth="1"/>
    <col min="14" max="16384" width="9.28515625" style="70"/>
  </cols>
  <sheetData>
    <row r="1" spans="1:12">
      <c r="A1" s="78"/>
      <c r="B1" s="1183" t="s">
        <v>252</v>
      </c>
      <c r="C1" s="71"/>
      <c r="D1" s="71" t="s">
        <v>254</v>
      </c>
      <c r="E1" s="569">
        <f>BP!F7</f>
        <v>46203</v>
      </c>
      <c r="F1" s="71" t="s">
        <v>1295</v>
      </c>
    </row>
    <row r="2" spans="1:12">
      <c r="A2" s="79" t="s">
        <v>213</v>
      </c>
      <c r="B2" s="1183"/>
      <c r="C2" s="71" t="s">
        <v>257</v>
      </c>
      <c r="D2" s="71" t="s">
        <v>258</v>
      </c>
      <c r="E2" s="71" t="s">
        <v>259</v>
      </c>
      <c r="F2" s="71" t="s">
        <v>259</v>
      </c>
    </row>
    <row r="3" spans="1:12">
      <c r="A3" s="80" t="s">
        <v>260</v>
      </c>
      <c r="B3" s="86">
        <v>0.1</v>
      </c>
      <c r="C3" s="119">
        <f>SUMIF('Balancete 06.2026'!C:C,12313,'Balancete 06.2026'!K:K)</f>
        <v>2714</v>
      </c>
      <c r="D3" s="119">
        <f>SUMIF('Balancete 06.2026'!C:C,123982,'Balancete 06.2026'!K:K)</f>
        <v>-1354</v>
      </c>
      <c r="E3" s="98">
        <f>C3+D3</f>
        <v>1360</v>
      </c>
      <c r="F3" s="98">
        <v>1681</v>
      </c>
    </row>
    <row r="4" spans="1:12">
      <c r="A4" s="80" t="s">
        <v>414</v>
      </c>
      <c r="B4" s="86">
        <v>0.1</v>
      </c>
      <c r="C4" s="119">
        <f>SUMIF('Balancete 06.2026'!C:C,12314,'Balancete 06.2026'!K:K)</f>
        <v>859</v>
      </c>
      <c r="D4" s="119">
        <f>SUMIF('Balancete 06.2026'!C:C,123983,'Balancete 06.2026'!K:K)</f>
        <v>-781</v>
      </c>
      <c r="E4" s="98">
        <f>C4+D4</f>
        <v>78</v>
      </c>
      <c r="F4" s="98">
        <v>56</v>
      </c>
    </row>
    <row r="5" spans="1:12">
      <c r="A5" s="80" t="s">
        <v>415</v>
      </c>
      <c r="B5" s="86">
        <v>0.2</v>
      </c>
      <c r="C5" s="119">
        <f>SUMIF('Balancete 06.2026'!C:C,12315,'Balancete 06.2026'!K:K)</f>
        <v>15195</v>
      </c>
      <c r="D5" s="119">
        <f>SUMIF('Balancete 06.2026'!C:C,123984,'Balancete 06.2026'!K:K)</f>
        <v>-11723</v>
      </c>
      <c r="E5" s="98">
        <f>C5+D5</f>
        <v>3472</v>
      </c>
      <c r="F5" s="98">
        <v>3613</v>
      </c>
    </row>
    <row r="6" spans="1:12">
      <c r="A6" s="80" t="s">
        <v>416</v>
      </c>
      <c r="B6" s="86">
        <v>0.1</v>
      </c>
      <c r="C6" s="119">
        <f>SUMIF('Balancete 06.2026'!C:C,12317,'Balancete 06.2026'!K:K)</f>
        <v>2772</v>
      </c>
      <c r="D6" s="119">
        <f>SUMIF('Balancete 06.2026'!C:C,123986,'Balancete 06.2026'!K:K)</f>
        <v>-2154</v>
      </c>
      <c r="E6" s="98">
        <f>C6+D6</f>
        <v>618</v>
      </c>
      <c r="F6" s="98">
        <v>165</v>
      </c>
    </row>
    <row r="7" spans="1:12" hidden="1">
      <c r="A7" s="80" t="s">
        <v>5815</v>
      </c>
      <c r="B7" s="72" t="s">
        <v>5816</v>
      </c>
      <c r="C7" s="99">
        <v>0</v>
      </c>
      <c r="D7" s="99"/>
      <c r="E7" s="98">
        <f>C7+D7</f>
        <v>0</v>
      </c>
      <c r="F7" s="98">
        <f>B19</f>
        <v>0</v>
      </c>
    </row>
    <row r="8" spans="1:12">
      <c r="A8" s="79" t="s">
        <v>118</v>
      </c>
      <c r="B8" s="73"/>
      <c r="C8" s="100">
        <f>SUM(C3:C7)</f>
        <v>21540</v>
      </c>
      <c r="D8" s="101">
        <f>SUM(D3:D7)</f>
        <v>-16012</v>
      </c>
      <c r="E8" s="102">
        <f>SUM(E3:E7)</f>
        <v>5528</v>
      </c>
      <c r="F8" s="100">
        <f>SUM(F3:F7)</f>
        <v>5515</v>
      </c>
    </row>
    <row r="9" spans="1:12">
      <c r="C9" s="103"/>
      <c r="D9" s="103"/>
      <c r="E9" s="103"/>
      <c r="F9" s="103"/>
    </row>
    <row r="13" spans="1:12">
      <c r="A13" s="78"/>
      <c r="B13" s="74" t="s">
        <v>1295</v>
      </c>
      <c r="C13" s="1179" t="s">
        <v>264</v>
      </c>
      <c r="D13" s="1179" t="s">
        <v>5512</v>
      </c>
      <c r="E13" s="1183" t="s">
        <v>5817</v>
      </c>
      <c r="F13" s="1179" t="s">
        <v>254</v>
      </c>
      <c r="G13" s="71" t="s">
        <v>5818</v>
      </c>
      <c r="H13" s="569">
        <f>BP!F7</f>
        <v>46203</v>
      </c>
    </row>
    <row r="14" spans="1:12">
      <c r="A14" s="79" t="s">
        <v>213</v>
      </c>
      <c r="B14" s="74" t="s">
        <v>259</v>
      </c>
      <c r="C14" s="1179"/>
      <c r="D14" s="1179"/>
      <c r="E14" s="1183"/>
      <c r="F14" s="1179"/>
      <c r="G14" s="71" t="s">
        <v>254</v>
      </c>
      <c r="H14" s="71" t="s">
        <v>259</v>
      </c>
    </row>
    <row r="15" spans="1:12">
      <c r="A15" s="80" t="s">
        <v>260</v>
      </c>
      <c r="B15" s="98">
        <v>1681</v>
      </c>
      <c r="C15" s="98">
        <f>SUMIF('Balancete 06.2026'!C:C,12313,'Balancete 06.2026'!F:F)/1000</f>
        <v>0</v>
      </c>
      <c r="D15" s="98">
        <f>SUMIF('Balancete 06.2026'!C:C,12313,'Balancete 06.2026'!G:G)/1000</f>
        <v>-1.0000000000000001E-5</v>
      </c>
      <c r="E15" s="98">
        <v>0</v>
      </c>
      <c r="F15" s="98">
        <f>SUMIF('Balancete 06.2026'!C:C,123982,'Balancete 06.2026'!G:G)/1000</f>
        <v>-135.70092000000002</v>
      </c>
      <c r="G15" s="98">
        <v>0</v>
      </c>
      <c r="H15" s="98">
        <f>SUM(B15:G15)</f>
        <v>1545.29907</v>
      </c>
      <c r="J15" s="75"/>
      <c r="L15" s="85"/>
    </row>
    <row r="16" spans="1:12">
      <c r="A16" s="82" t="s">
        <v>414</v>
      </c>
      <c r="B16" s="98">
        <v>56</v>
      </c>
      <c r="C16" s="98">
        <f>SUMIF('Balancete 06.2026'!C:C,12314,'Balancete 06.2026'!F:F)/1000</f>
        <v>0</v>
      </c>
      <c r="D16" s="98">
        <f>SUMIF('Balancete 06.2026'!C:C,12314,'Balancete 06.2026'!G:G)/1000</f>
        <v>0</v>
      </c>
      <c r="E16" s="98">
        <v>0</v>
      </c>
      <c r="F16" s="98">
        <f>SUMIF('Balancete 06.2026'!C:C,123983,'Balancete 06.2026'!G:G)/1000</f>
        <v>-8.0805600000000002</v>
      </c>
      <c r="G16" s="98">
        <v>0</v>
      </c>
      <c r="H16" s="98">
        <f>SUM(B16:G16)</f>
        <v>47.919440000000002</v>
      </c>
      <c r="J16" s="75"/>
      <c r="L16" s="85"/>
    </row>
    <row r="17" spans="1:12">
      <c r="A17" s="82" t="s">
        <v>262</v>
      </c>
      <c r="B17" s="98">
        <v>3613</v>
      </c>
      <c r="C17" s="98">
        <f>SUMIF('Balancete 06.2026'!C:C,12315,'Balancete 06.2026'!F:F)/1000</f>
        <v>583.32500000000005</v>
      </c>
      <c r="D17" s="98">
        <f>SUMIF('Balancete 06.2026'!C:C,12315,'Balancete 06.2026'!G:G)/1000</f>
        <v>-0.25</v>
      </c>
      <c r="E17" s="98">
        <v>0</v>
      </c>
      <c r="F17" s="98">
        <f>SUMIF('Balancete 06.2026'!C:C,123984,'Balancete 06.2026'!G:G)/1000</f>
        <v>-740.37108000000001</v>
      </c>
      <c r="G17" s="98">
        <v>0</v>
      </c>
      <c r="H17" s="98">
        <f>SUM(B17:G17)</f>
        <v>3455.7039199999999</v>
      </c>
      <c r="J17" s="75"/>
      <c r="L17" s="85"/>
    </row>
    <row r="18" spans="1:12">
      <c r="A18" s="82" t="s">
        <v>263</v>
      </c>
      <c r="B18" s="98">
        <v>165</v>
      </c>
      <c r="C18" s="98">
        <f>SUMIF('Balancete 06.2026'!C:C,12316,'Balancete 06.2026'!F:F)/1000</f>
        <v>0</v>
      </c>
      <c r="D18" s="98">
        <f>SUMIF('Balancete 06.2026'!C:C,12316,'Balancete 06.2026'!G:G)/1000</f>
        <v>0</v>
      </c>
      <c r="E18" s="98">
        <v>0</v>
      </c>
      <c r="F18" s="98">
        <f>SUMIF('Balancete 06.2026'!C:C,123986,'Balancete 06.2026'!G:G)/1000</f>
        <v>-49.988459999999996</v>
      </c>
      <c r="G18" s="98">
        <v>0</v>
      </c>
      <c r="H18" s="98">
        <f>SUM(B18:G18)</f>
        <v>115.01154</v>
      </c>
      <c r="J18" s="75"/>
      <c r="L18" s="85"/>
    </row>
    <row r="19" spans="1:12" hidden="1">
      <c r="A19" s="80" t="s">
        <v>5815</v>
      </c>
      <c r="B19" s="98">
        <v>0</v>
      </c>
      <c r="C19" s="98">
        <v>0</v>
      </c>
      <c r="D19" s="98">
        <v>0</v>
      </c>
      <c r="E19" s="98">
        <v>0</v>
      </c>
      <c r="F19" s="98">
        <v>0</v>
      </c>
      <c r="G19" s="98">
        <v>0</v>
      </c>
      <c r="H19" s="98">
        <f>SUM(B19:G19)</f>
        <v>0</v>
      </c>
    </row>
    <row r="20" spans="1:12">
      <c r="A20" s="79" t="s">
        <v>118</v>
      </c>
      <c r="B20" s="100">
        <f t="shared" ref="B20:H20" si="0">SUM(B15:B19)</f>
        <v>5515</v>
      </c>
      <c r="C20" s="101">
        <f>SUM(C15:C19)</f>
        <v>583.32500000000005</v>
      </c>
      <c r="D20" s="101">
        <f>SUM(D15:D19)</f>
        <v>-0.25001000000000001</v>
      </c>
      <c r="E20" s="101">
        <f t="shared" si="0"/>
        <v>0</v>
      </c>
      <c r="F20" s="102">
        <f>SUM(F15:F19)</f>
        <v>-934.14102000000003</v>
      </c>
      <c r="G20" s="102">
        <f t="shared" si="0"/>
        <v>0</v>
      </c>
      <c r="H20" s="101">
        <f t="shared" si="0"/>
        <v>5163.93397</v>
      </c>
    </row>
    <row r="21" spans="1:12">
      <c r="B21" s="77"/>
      <c r="C21" s="77"/>
      <c r="D21" s="77"/>
      <c r="E21" s="77"/>
      <c r="F21" s="77"/>
      <c r="G21" s="77"/>
      <c r="H21" s="77"/>
    </row>
    <row r="22" spans="1:12">
      <c r="B22" s="77"/>
      <c r="C22" s="77"/>
      <c r="D22" s="77"/>
      <c r="E22" s="77"/>
      <c r="F22" s="77"/>
      <c r="G22" s="77"/>
      <c r="H22" s="77"/>
    </row>
    <row r="24" spans="1:12">
      <c r="A24" s="70">
        <v>11</v>
      </c>
    </row>
    <row r="25" spans="1:12">
      <c r="A25" s="87"/>
      <c r="B25" s="1180" t="s">
        <v>432</v>
      </c>
      <c r="C25" s="88" t="s">
        <v>253</v>
      </c>
      <c r="D25" s="88" t="s">
        <v>436</v>
      </c>
      <c r="E25" s="570">
        <f>BP!F7</f>
        <v>46203</v>
      </c>
      <c r="F25" s="88" t="s">
        <v>1295</v>
      </c>
      <c r="G25" s="77"/>
    </row>
    <row r="26" spans="1:12">
      <c r="A26" s="89" t="s">
        <v>213</v>
      </c>
      <c r="B26" s="1180"/>
      <c r="C26" s="88" t="s">
        <v>257</v>
      </c>
      <c r="D26" s="88" t="s">
        <v>258</v>
      </c>
      <c r="E26" s="88" t="s">
        <v>259</v>
      </c>
      <c r="F26" s="88" t="s">
        <v>259</v>
      </c>
      <c r="G26" s="77"/>
    </row>
    <row r="27" spans="1:12">
      <c r="A27" s="90" t="s">
        <v>434</v>
      </c>
      <c r="B27" s="93">
        <v>0.2</v>
      </c>
      <c r="C27" s="311">
        <f>SUMIF('Balancete 06.2026'!C:C,124101,'Balancete 06.2026'!K:K)</f>
        <v>14386</v>
      </c>
      <c r="D27" s="311">
        <f>SUMIF('Balancete 06.2026'!C:C,1242,'Balancete 06.2026'!K:K)</f>
        <v>-12681</v>
      </c>
      <c r="E27" s="108">
        <f>SUM(C27:D27)</f>
        <v>1705</v>
      </c>
      <c r="F27" s="108">
        <v>2676</v>
      </c>
      <c r="G27" s="76"/>
    </row>
    <row r="28" spans="1:12">
      <c r="A28" s="91" t="s">
        <v>118</v>
      </c>
      <c r="B28" s="92"/>
      <c r="C28" s="109">
        <f>SUM(C27)</f>
        <v>14386</v>
      </c>
      <c r="D28" s="109">
        <f>SUM(D27)</f>
        <v>-12681</v>
      </c>
      <c r="E28" s="109">
        <f>SUM(E27)</f>
        <v>1705</v>
      </c>
      <c r="F28" s="109">
        <f>SUM(F27)</f>
        <v>2676</v>
      </c>
      <c r="G28" s="81"/>
    </row>
    <row r="29" spans="1:12">
      <c r="A29" s="77"/>
      <c r="B29" s="77"/>
      <c r="C29" s="77"/>
      <c r="D29" s="77"/>
      <c r="E29" s="77"/>
      <c r="F29" s="77"/>
      <c r="G29" s="77"/>
    </row>
    <row r="30" spans="1:12">
      <c r="A30" s="77"/>
      <c r="B30" s="77"/>
      <c r="C30" s="77"/>
      <c r="D30" s="77"/>
      <c r="E30" s="77"/>
      <c r="F30" s="77"/>
      <c r="G30" s="77"/>
    </row>
    <row r="31" spans="1:12">
      <c r="A31" s="87"/>
      <c r="B31" s="88" t="str">
        <f>F25</f>
        <v>31.12.2023</v>
      </c>
      <c r="C31" s="1181" t="s">
        <v>264</v>
      </c>
      <c r="D31" s="1180" t="s">
        <v>410</v>
      </c>
      <c r="E31" s="1182" t="s">
        <v>436</v>
      </c>
      <c r="F31" s="88" t="s">
        <v>5818</v>
      </c>
      <c r="G31" s="570">
        <f>E25</f>
        <v>46203</v>
      </c>
    </row>
    <row r="32" spans="1:12">
      <c r="A32" s="89" t="s">
        <v>213</v>
      </c>
      <c r="B32" s="88" t="s">
        <v>259</v>
      </c>
      <c r="C32" s="1181"/>
      <c r="D32" s="1180"/>
      <c r="E32" s="1182"/>
      <c r="F32" s="88" t="s">
        <v>436</v>
      </c>
      <c r="G32" s="88" t="s">
        <v>259</v>
      </c>
    </row>
    <row r="33" spans="1:15">
      <c r="A33" s="90" t="s">
        <v>434</v>
      </c>
      <c r="B33" s="108">
        <v>2676</v>
      </c>
      <c r="C33" s="312">
        <f>SUMIF('Balancete 06.2026'!C:C,124101,'Balancete 06.2026'!F:F)/1000</f>
        <v>799.97977000000003</v>
      </c>
      <c r="D33" s="108">
        <f>SUMIF('Balancete 06.2026'!C:C,124101,'Balancete 06.2026'!G:G)/1000</f>
        <v>-0.25</v>
      </c>
      <c r="E33" s="312">
        <f>SUMIF('Balancete 06.2026'!C:C,1242,'Balancete 06.2026'!G:G)/1000</f>
        <v>-279.09023999999999</v>
      </c>
      <c r="F33" s="108" t="s">
        <v>115</v>
      </c>
      <c r="G33" s="108">
        <f>SUM(B33:F33)</f>
        <v>3196.6395299999999</v>
      </c>
    </row>
    <row r="34" spans="1:15">
      <c r="A34" s="91" t="s">
        <v>118</v>
      </c>
      <c r="B34" s="109">
        <f t="shared" ref="B34:G34" si="1">SUM(B33)</f>
        <v>2676</v>
      </c>
      <c r="C34" s="109">
        <f t="shared" si="1"/>
        <v>799.97977000000003</v>
      </c>
      <c r="D34" s="109">
        <f t="shared" si="1"/>
        <v>-0.25</v>
      </c>
      <c r="E34" s="109">
        <f t="shared" si="1"/>
        <v>-279.09023999999999</v>
      </c>
      <c r="F34" s="109">
        <f t="shared" si="1"/>
        <v>0</v>
      </c>
      <c r="G34" s="109">
        <f t="shared" si="1"/>
        <v>3196.6395299999999</v>
      </c>
      <c r="I34" s="70" t="s">
        <v>5819</v>
      </c>
    </row>
    <row r="45" spans="1:15">
      <c r="I45" s="121"/>
      <c r="J45" s="121"/>
      <c r="K45" s="121"/>
      <c r="L45" s="121"/>
      <c r="M45" s="121"/>
      <c r="N45" s="121"/>
      <c r="O45" s="121"/>
    </row>
    <row r="46" spans="1:15" ht="33" customHeight="1">
      <c r="I46" s="120"/>
      <c r="J46" s="121"/>
      <c r="K46" s="122"/>
      <c r="L46" s="121"/>
      <c r="M46" s="120"/>
      <c r="N46" s="121"/>
      <c r="O46" s="121"/>
    </row>
    <row r="47" spans="1:15">
      <c r="I47" s="121"/>
      <c r="J47" s="121"/>
      <c r="K47" s="123"/>
      <c r="L47" s="121"/>
      <c r="M47" s="124"/>
      <c r="N47" s="121"/>
      <c r="O47" s="121"/>
    </row>
    <row r="48" spans="1:15">
      <c r="I48" s="121"/>
      <c r="J48" s="121"/>
      <c r="K48" s="121"/>
      <c r="L48" s="121"/>
      <c r="M48" s="121"/>
      <c r="N48" s="121"/>
      <c r="O48" s="121"/>
    </row>
    <row r="49" spans="9:15">
      <c r="I49" s="121"/>
      <c r="J49" s="121"/>
      <c r="K49" s="121"/>
      <c r="L49" s="121"/>
      <c r="M49" s="121"/>
      <c r="N49" s="121"/>
      <c r="O49" s="121"/>
    </row>
    <row r="50" spans="9:15">
      <c r="I50" s="121"/>
      <c r="J50" s="121"/>
      <c r="K50" s="121"/>
      <c r="L50" s="121"/>
      <c r="M50" s="121"/>
      <c r="N50" s="121"/>
      <c r="O50" s="121"/>
    </row>
  </sheetData>
  <mergeCells count="9">
    <mergeCell ref="B1:B2"/>
    <mergeCell ref="C13:C14"/>
    <mergeCell ref="E13:E14"/>
    <mergeCell ref="F13:F14"/>
    <mergeCell ref="B25:B26"/>
    <mergeCell ref="D13:D14"/>
    <mergeCell ref="C31:C32"/>
    <mergeCell ref="D31:D32"/>
    <mergeCell ref="E31:E3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91FE38EC899440BAAAE7FB8027CE72" ma:contentTypeVersion="2" ma:contentTypeDescription="Crie um novo documento." ma:contentTypeScope="" ma:versionID="c4818c192a72d691b48af3df1a214f10">
  <xsd:schema xmlns:xsd="http://www.w3.org/2001/XMLSchema" xmlns:xs="http://www.w3.org/2001/XMLSchema" xmlns:p="http://schemas.microsoft.com/office/2006/metadata/properties" xmlns:ns1="http://schemas.microsoft.com/sharepoint/v3" xmlns:ns2="17e47aec-4fd1-44ac-8b41-cb90461b566e" targetNamespace="http://schemas.microsoft.com/office/2006/metadata/properties" ma:root="true" ma:fieldsID="ad89866ca665d838beb61211c8cad87d" ns1:_="" ns2:_="">
    <xsd:import namespace="http://schemas.microsoft.com/sharepoint/v3"/>
    <xsd:import namespace="17e47aec-4fd1-44ac-8b41-cb90461b566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47aec-4fd1-44ac-8b41-cb90461b56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AA5FEE-A1AA-436C-B4E9-98F7FD96F202}"/>
</file>

<file path=customXml/itemProps2.xml><?xml version="1.0" encoding="utf-8"?>
<ds:datastoreItem xmlns:ds="http://schemas.openxmlformats.org/officeDocument/2006/customXml" ds:itemID="{8EECD118-F9F6-4F74-86BE-73BFB6DC1700}"/>
</file>

<file path=customXml/itemProps3.xml><?xml version="1.0" encoding="utf-8"?>
<ds:datastoreItem xmlns:ds="http://schemas.openxmlformats.org/officeDocument/2006/customXml" ds:itemID="{68404311-DECD-4CDD-B8C5-1B8EEA6755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Empresa de Pesquisa Energética - EPE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 Tosta</dc:creator>
  <cp:keywords/>
  <dc:description/>
  <cp:lastModifiedBy/>
  <cp:revision/>
  <dcterms:created xsi:type="dcterms:W3CDTF">2020-11-11T18:13:55Z</dcterms:created>
  <dcterms:modified xsi:type="dcterms:W3CDTF">2026-10-13T17:03:46Z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0x0101004591FE38EC899440BAAAE7FB8027CE72</vt:lpwstr>
  </property>
  <property fmtid="{D5CDD505-2E9C-101B-9397-08002B2CF9AE}" pid="3" name="MediaServiceImageTags">
    <vt:lpwstr/>
  </property>
</Properties>
</file>